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e-PDR\Link Budgets\digital transponder\"/>
    </mc:Choice>
  </mc:AlternateContent>
  <bookViews>
    <workbookView xWindow="0" yWindow="0" windowWidth="24525" windowHeight="12615" tabRatio="735" activeTab="3"/>
  </bookViews>
  <sheets>
    <sheet name="10W_20dB_1.2m_10MHz" sheetId="23" r:id="rId1"/>
    <sheet name="10W_20dB_1.2m_5MHz" sheetId="22" r:id="rId2"/>
    <sheet name="10W_20dB_1.2m_2MHz" sheetId="20" r:id="rId3"/>
    <sheet name="Margins" sheetId="15" r:id="rId4"/>
    <sheet name="Calculators" sheetId="8" r:id="rId5"/>
  </sheets>
  <definedNames>
    <definedName name="imp_loss">Margins!$D$2</definedName>
    <definedName name="snr_1">'10W_20dB_1.2m_10MHz'!$B$26</definedName>
    <definedName name="snr_2">'10W_20dB_1.2m_5MHz'!$B$26</definedName>
    <definedName name="snr_3">'10W_20dB_1.2m_2MHz'!$B$26</definedName>
  </definedNames>
  <calcPr calcId="152511"/>
</workbook>
</file>

<file path=xl/calcChain.xml><?xml version="1.0" encoding="utf-8"?>
<calcChain xmlns="http://schemas.openxmlformats.org/spreadsheetml/2006/main">
  <c r="B25" i="23" l="1"/>
  <c r="B22" i="23"/>
  <c r="B9" i="23"/>
  <c r="B12" i="23" s="1"/>
  <c r="B5" i="23"/>
  <c r="B14" i="23" s="1"/>
  <c r="B25" i="22"/>
  <c r="B22" i="22"/>
  <c r="B9" i="22"/>
  <c r="B12" i="22" s="1"/>
  <c r="B5" i="22"/>
  <c r="B14" i="22" s="1"/>
  <c r="B19" i="23" l="1"/>
  <c r="B26" i="23" s="1"/>
  <c r="B19" i="22"/>
  <c r="B26" i="22" s="1"/>
  <c r="F8" i="15" l="1"/>
  <c r="F16" i="15"/>
  <c r="F24" i="15"/>
  <c r="F32" i="15"/>
  <c r="F40" i="15"/>
  <c r="F6" i="15"/>
  <c r="F9" i="15"/>
  <c r="F17" i="15"/>
  <c r="F25" i="15"/>
  <c r="F33" i="15"/>
  <c r="F41" i="15"/>
  <c r="F13" i="15"/>
  <c r="F21" i="15"/>
  <c r="F29" i="15"/>
  <c r="F37" i="15"/>
  <c r="F45" i="15"/>
  <c r="F14" i="15"/>
  <c r="F22" i="15"/>
  <c r="F30" i="15"/>
  <c r="F38" i="15"/>
  <c r="F46" i="15"/>
  <c r="F7" i="15"/>
  <c r="F15" i="15"/>
  <c r="F23" i="15"/>
  <c r="F31" i="15"/>
  <c r="F39" i="15"/>
  <c r="F47" i="15"/>
  <c r="F10" i="15"/>
  <c r="F18" i="15"/>
  <c r="F26" i="15"/>
  <c r="F34" i="15"/>
  <c r="F42" i="15"/>
  <c r="F11" i="15"/>
  <c r="F19" i="15"/>
  <c r="F27" i="15"/>
  <c r="F35" i="15"/>
  <c r="F43" i="15"/>
  <c r="F12" i="15"/>
  <c r="F20" i="15"/>
  <c r="F28" i="15"/>
  <c r="F36" i="15"/>
  <c r="F44" i="15"/>
  <c r="G14" i="15"/>
  <c r="G22" i="15"/>
  <c r="G30" i="15"/>
  <c r="G38" i="15"/>
  <c r="G46" i="15"/>
  <c r="G7" i="15"/>
  <c r="G15" i="15"/>
  <c r="G23" i="15"/>
  <c r="G31" i="15"/>
  <c r="G39" i="15"/>
  <c r="G47" i="15"/>
  <c r="G18" i="15"/>
  <c r="G9" i="15"/>
  <c r="G17" i="15"/>
  <c r="G25" i="15"/>
  <c r="G33" i="15"/>
  <c r="G41" i="15"/>
  <c r="G34" i="15"/>
  <c r="G11" i="15"/>
  <c r="G19" i="15"/>
  <c r="G27" i="15"/>
  <c r="G35" i="15"/>
  <c r="G43" i="15"/>
  <c r="G12" i="15"/>
  <c r="G20" i="15"/>
  <c r="G28" i="15"/>
  <c r="G36" i="15"/>
  <c r="G44" i="15"/>
  <c r="G13" i="15"/>
  <c r="G21" i="15"/>
  <c r="G29" i="15"/>
  <c r="G37" i="15"/>
  <c r="G45" i="15"/>
  <c r="G8" i="15"/>
  <c r="G16" i="15"/>
  <c r="G24" i="15"/>
  <c r="G32" i="15"/>
  <c r="G40" i="15"/>
  <c r="G6" i="15"/>
  <c r="G10" i="15"/>
  <c r="G26" i="15"/>
  <c r="G42" i="15"/>
  <c r="B25" i="20"/>
  <c r="B22" i="20"/>
  <c r="B9" i="20"/>
  <c r="B12" i="20" s="1"/>
  <c r="B5" i="20"/>
  <c r="B14" i="20" s="1"/>
  <c r="B19" i="20" l="1"/>
  <c r="B26" i="20" s="1"/>
  <c r="H7" i="15" l="1"/>
  <c r="H15" i="15"/>
  <c r="H23" i="15"/>
  <c r="H31" i="15"/>
  <c r="H39" i="15"/>
  <c r="H47" i="15"/>
  <c r="H9" i="15"/>
  <c r="H25" i="15"/>
  <c r="H41" i="15"/>
  <c r="H18" i="15"/>
  <c r="H34" i="15"/>
  <c r="H11" i="15"/>
  <c r="H27" i="15"/>
  <c r="H43" i="15"/>
  <c r="H20" i="15"/>
  <c r="H36" i="15"/>
  <c r="H21" i="15"/>
  <c r="H37" i="15"/>
  <c r="H14" i="15"/>
  <c r="H22" i="15"/>
  <c r="H30" i="15"/>
  <c r="H38" i="15"/>
  <c r="H46" i="15"/>
  <c r="H8" i="15"/>
  <c r="H16" i="15"/>
  <c r="H24" i="15"/>
  <c r="H32" i="15"/>
  <c r="H40" i="15"/>
  <c r="H6" i="15"/>
  <c r="H17" i="15"/>
  <c r="H33" i="15"/>
  <c r="H10" i="15"/>
  <c r="H26" i="15"/>
  <c r="H42" i="15"/>
  <c r="H19" i="15"/>
  <c r="H35" i="15"/>
  <c r="H12" i="15"/>
  <c r="H28" i="15"/>
  <c r="H44" i="15"/>
  <c r="H13" i="15"/>
  <c r="H29" i="15"/>
  <c r="H45" i="15"/>
  <c r="C11" i="8"/>
  <c r="N14" i="8" l="1"/>
  <c r="K30" i="8" l="1"/>
  <c r="K41" i="8" l="1"/>
  <c r="G41" i="8"/>
  <c r="C41" i="8"/>
  <c r="C25" i="8" l="1"/>
  <c r="C33" i="8"/>
  <c r="G34" i="8"/>
  <c r="G11" i="8"/>
  <c r="G18" i="8"/>
  <c r="C5" i="8"/>
  <c r="G17" i="8" s="1"/>
  <c r="G19" i="8" l="1"/>
  <c r="G22" i="8"/>
  <c r="G25" i="8" s="1"/>
  <c r="C17" i="8"/>
  <c r="C19" i="8" s="1"/>
</calcChain>
</file>

<file path=xl/sharedStrings.xml><?xml version="1.0" encoding="utf-8"?>
<sst xmlns="http://schemas.openxmlformats.org/spreadsheetml/2006/main" count="415" uniqueCount="160">
  <si>
    <t>GHz</t>
  </si>
  <si>
    <t>Downlink Frequency:</t>
  </si>
  <si>
    <t>Downlink Wavelength:</t>
  </si>
  <si>
    <t>m</t>
  </si>
  <si>
    <t>km</t>
  </si>
  <si>
    <t>dB</t>
  </si>
  <si>
    <t>Atmosphere Losses:</t>
  </si>
  <si>
    <t>W</t>
  </si>
  <si>
    <t>dBm</t>
  </si>
  <si>
    <t>Transmit Power:</t>
  </si>
  <si>
    <t>Transmit Antenna Gain:</t>
  </si>
  <si>
    <t>Transmit EIRP:</t>
  </si>
  <si>
    <t>Link Distance:</t>
  </si>
  <si>
    <t>Polarization Loss:</t>
  </si>
  <si>
    <t>Downlink</t>
  </si>
  <si>
    <t>K</t>
  </si>
  <si>
    <t>Receive Antenna Gain:</t>
  </si>
  <si>
    <t>Received Power:</t>
  </si>
  <si>
    <t>System Noise Temp:</t>
  </si>
  <si>
    <t>System Noise Figure:</t>
  </si>
  <si>
    <t>Antenna Noise Temp:</t>
  </si>
  <si>
    <t>Downlink Path Loss:</t>
  </si>
  <si>
    <t>Parameter</t>
  </si>
  <si>
    <t>Value</t>
  </si>
  <si>
    <t>Unit</t>
  </si>
  <si>
    <t>Transmit Losses:</t>
  </si>
  <si>
    <t>Notes</t>
  </si>
  <si>
    <t>Reasonable to achieve at 10 GHz with quality devices.</t>
  </si>
  <si>
    <t>Combined filter and coax/waveguide losses</t>
  </si>
  <si>
    <t>Based off approximately 35 deg elevation angle.</t>
  </si>
  <si>
    <t>Minimal at 10 GHz</t>
  </si>
  <si>
    <t>Cold Sky Temperature at Downlink Freq at 35 deg elevation.
Ref:  “Introduction to RF Propagation,” J Seybold., pg 275.</t>
  </si>
  <si>
    <t>Implementation Loss:</t>
  </si>
  <si>
    <t>Reasonable Assumption</t>
  </si>
  <si>
    <t>Noise Bandwidth:</t>
  </si>
  <si>
    <t>MHz</t>
  </si>
  <si>
    <t>Comp Noise Temp:</t>
  </si>
  <si>
    <t>MDS:</t>
  </si>
  <si>
    <t>c</t>
  </si>
  <si>
    <t>m/s</t>
  </si>
  <si>
    <t>f</t>
  </si>
  <si>
    <t>𝜆</t>
  </si>
  <si>
    <t>D</t>
  </si>
  <si>
    <t>𝜂</t>
  </si>
  <si>
    <t>G</t>
  </si>
  <si>
    <t>k</t>
  </si>
  <si>
    <t>𝜃</t>
  </si>
  <si>
    <t>%</t>
  </si>
  <si>
    <t>dBi</t>
  </si>
  <si>
    <t>deg</t>
  </si>
  <si>
    <t>BW_𝜃</t>
  </si>
  <si>
    <t>BW_𝜙</t>
  </si>
  <si>
    <t>Frequency to Wavelength</t>
  </si>
  <si>
    <t>Parabolic Dish Gain</t>
  </si>
  <si>
    <t>Parabolic Dish Beamwidth</t>
  </si>
  <si>
    <t>General Antenna Gain from BW</t>
  </si>
  <si>
    <t>Noise Temp from Noise Figure</t>
  </si>
  <si>
    <t>NF</t>
  </si>
  <si>
    <t>Tref</t>
  </si>
  <si>
    <t>X</t>
  </si>
  <si>
    <t>ellipsoidal</t>
  </si>
  <si>
    <t>N_temp</t>
  </si>
  <si>
    <t>General Antenna BW from Gain</t>
  </si>
  <si>
    <t>Dish Gain from Beamwidth</t>
  </si>
  <si>
    <t>Dish Diameter from Gain</t>
  </si>
  <si>
    <t>Reasonable Assumption, based on 0.7dB NF LNA/LNB and close mounting to antenna terminals</t>
  </si>
  <si>
    <t>NOISE FIGURE, NOISE TEMPERATURE</t>
  </si>
  <si>
    <t>PARABOLIC DISH</t>
  </si>
  <si>
    <t>GENERAL ANTENNA</t>
  </si>
  <si>
    <t>Electric Field Intensity</t>
  </si>
  <si>
    <t>EIRP</t>
  </si>
  <si>
    <t>Watts</t>
  </si>
  <si>
    <t>d</t>
  </si>
  <si>
    <t>meters</t>
  </si>
  <si>
    <t>Volts/meter</t>
  </si>
  <si>
    <t>E</t>
  </si>
  <si>
    <t>dBW</t>
  </si>
  <si>
    <t>Linear Polarization all around</t>
  </si>
  <si>
    <t>Contour Loss:</t>
  </si>
  <si>
    <t>Target BER:</t>
  </si>
  <si>
    <t>1e-5</t>
  </si>
  <si>
    <t>Modulation</t>
  </si>
  <si>
    <t>Rate</t>
  </si>
  <si>
    <t>Standard</t>
  </si>
  <si>
    <t>DVB- S2</t>
  </si>
  <si>
    <t>DVB- S2X</t>
  </si>
  <si>
    <t>13 / 45</t>
  </si>
  <si>
    <t>23 / 36</t>
  </si>
  <si>
    <t>25 / 36</t>
  </si>
  <si>
    <t>13 / 18</t>
  </si>
  <si>
    <t>14 / 45</t>
  </si>
  <si>
    <t>32 / 45</t>
  </si>
  <si>
    <t>26 / 45</t>
  </si>
  <si>
    <t>1 / 4</t>
  </si>
  <si>
    <t>1 / 3</t>
  </si>
  <si>
    <t>2 / 5</t>
  </si>
  <si>
    <t>3 / 5</t>
  </si>
  <si>
    <t>2 / 3</t>
  </si>
  <si>
    <t>3 / 4</t>
  </si>
  <si>
    <t>4 / 5</t>
  </si>
  <si>
    <t>5 / 6</t>
  </si>
  <si>
    <t>8 / 9</t>
  </si>
  <si>
    <t>9 / 10</t>
  </si>
  <si>
    <t>2 / 9</t>
  </si>
  <si>
    <t>9 / 20</t>
  </si>
  <si>
    <t>11 / 20</t>
  </si>
  <si>
    <t>1 / 5</t>
  </si>
  <si>
    <t>11 / 45</t>
  </si>
  <si>
    <t>4 / 15</t>
  </si>
  <si>
    <t>7 / 15</t>
  </si>
  <si>
    <t>8 / 15</t>
  </si>
  <si>
    <t>Ideal Es/No [dB]</t>
  </si>
  <si>
    <t>1 / 2</t>
  </si>
  <si>
    <t>RX SNR:</t>
  </si>
  <si>
    <t>1.2m diameter</t>
  </si>
  <si>
    <t>QPSK 1/4</t>
  </si>
  <si>
    <t>QPSK 1/3</t>
  </si>
  <si>
    <t>QPSK 2/5</t>
  </si>
  <si>
    <t>QPSK 1/2</t>
  </si>
  <si>
    <t>QPSK 3/5</t>
  </si>
  <si>
    <t>QPSK 2/3</t>
  </si>
  <si>
    <t>QPSK 3/4</t>
  </si>
  <si>
    <t>QPSK 4/5</t>
  </si>
  <si>
    <t>QPSK 5/6</t>
  </si>
  <si>
    <t>QPSK 8/9</t>
  </si>
  <si>
    <t>QPSK 9/10</t>
  </si>
  <si>
    <t>8-PSK 3/5</t>
  </si>
  <si>
    <t>8-PSK 2/3</t>
  </si>
  <si>
    <t>8-PSK 3/4</t>
  </si>
  <si>
    <t>8-PSK 5/6</t>
  </si>
  <si>
    <t>8-PSK 8/9</t>
  </si>
  <si>
    <t>8-PSK 9/10</t>
  </si>
  <si>
    <t>QPSK 2/9</t>
  </si>
  <si>
    <t>QPSK 13/45</t>
  </si>
  <si>
    <t>QPSK 9/20</t>
  </si>
  <si>
    <t>QPSK 11/20</t>
  </si>
  <si>
    <t>8-PSK 23/26</t>
  </si>
  <si>
    <t>8-PSK 25/36</t>
  </si>
  <si>
    <t>8-PSK 13/18</t>
  </si>
  <si>
    <t>QPSK 11/45</t>
  </si>
  <si>
    <t>QPSK 4/15</t>
  </si>
  <si>
    <t>QPSK 14/45</t>
  </si>
  <si>
    <t>QPSK 7/15</t>
  </si>
  <si>
    <t>QPSK 8/15</t>
  </si>
  <si>
    <t>QPSK 32/45</t>
  </si>
  <si>
    <t>8-PSK 7/15</t>
  </si>
  <si>
    <t>8-PSK 8/15</t>
  </si>
  <si>
    <t>8-PSK 26/45</t>
  </si>
  <si>
    <t>8-PSK 32/45</t>
  </si>
  <si>
    <t>BPSK–S, 1/5, SF</t>
  </si>
  <si>
    <t>BPSK–S, 11/45, SF</t>
  </si>
  <si>
    <t>BPSK, 1/5, MF</t>
  </si>
  <si>
    <t>BPSK, 1/5, SF</t>
  </si>
  <si>
    <t>BPSK, 1/3, SF</t>
  </si>
  <si>
    <t>BPSK, 11/45, MF</t>
  </si>
  <si>
    <t>BPSK, 4/15, SF</t>
  </si>
  <si>
    <t>BPSK, 1/3, MF</t>
  </si>
  <si>
    <t>10W_26dB_1.2m_10MHz</t>
  </si>
  <si>
    <t>10W_26dB_1.2m_5MHz</t>
  </si>
  <si>
    <t>10W_26dB_1.2m_2MHz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</si>
</sst>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0" fillId="0" borderId="10" xfId="0" applyBorder="1"/>
    <xf numFmtId="0" fontId="0" fillId="0" borderId="10" xfId="0" applyFill="1" applyBorder="1"/>
    <xf numFmtId="166" fontId="0" fillId="0" borderId="10" xfId="0" applyNumberFormat="1" applyBorder="1"/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6" xfId="0" applyBorder="1" applyAlignment="1">
      <alignment horizontal="right"/>
    </xf>
    <xf numFmtId="166" fontId="0" fillId="0" borderId="17" xfId="0" applyNumberFormat="1" applyBorder="1"/>
    <xf numFmtId="166" fontId="0" fillId="0" borderId="12" xfId="0" applyNumberFormat="1" applyBorder="1"/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7" xfId="0" applyFill="1" applyBorder="1"/>
    <xf numFmtId="0" fontId="0" fillId="0" borderId="12" xfId="0" applyFill="1" applyBorder="1"/>
    <xf numFmtId="0" fontId="0" fillId="0" borderId="14" xfId="0" applyBorder="1" applyAlignment="1">
      <alignment horizontal="right" wrapText="1"/>
    </xf>
    <xf numFmtId="164" fontId="0" fillId="0" borderId="10" xfId="0" applyNumberFormat="1" applyBorder="1"/>
    <xf numFmtId="0" fontId="16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2" fontId="0" fillId="0" borderId="10" xfId="0" applyNumberFormat="1" applyBorder="1"/>
    <xf numFmtId="0" fontId="0" fillId="0" borderId="20" xfId="0" applyBorder="1"/>
    <xf numFmtId="2" fontId="0" fillId="0" borderId="20" xfId="0" applyNumberFormat="1" applyBorder="1"/>
    <xf numFmtId="0" fontId="0" fillId="0" borderId="21" xfId="0" applyBorder="1"/>
    <xf numFmtId="2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8" fillId="0" borderId="25" xfId="0" applyFont="1" applyBorder="1"/>
    <xf numFmtId="164" fontId="0" fillId="0" borderId="26" xfId="0" applyNumberFormat="1" applyBorder="1"/>
    <xf numFmtId="0" fontId="0" fillId="0" borderId="27" xfId="0" applyBorder="1"/>
    <xf numFmtId="0" fontId="18" fillId="0" borderId="21" xfId="0" applyFont="1" applyBorder="1"/>
    <xf numFmtId="164" fontId="0" fillId="0" borderId="0" xfId="0" applyNumberFormat="1" applyBorder="1"/>
    <xf numFmtId="0" fontId="18" fillId="0" borderId="23" xfId="0" applyFont="1" applyBorder="1"/>
    <xf numFmtId="0" fontId="0" fillId="0" borderId="25" xfId="0" applyBorder="1"/>
    <xf numFmtId="2" fontId="0" fillId="0" borderId="26" xfId="0" applyNumberFormat="1" applyBorder="1"/>
    <xf numFmtId="0" fontId="0" fillId="0" borderId="0" xfId="0" applyBorder="1"/>
    <xf numFmtId="166" fontId="0" fillId="0" borderId="26" xfId="0" applyNumberFormat="1" applyBorder="1"/>
    <xf numFmtId="0" fontId="0" fillId="0" borderId="26" xfId="0" applyBorder="1"/>
    <xf numFmtId="1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2" xfId="0" applyBorder="1" applyAlignment="1">
      <alignment horizontal="right"/>
    </xf>
    <xf numFmtId="0" fontId="0" fillId="0" borderId="31" xfId="0" applyBorder="1"/>
    <xf numFmtId="0" fontId="0" fillId="0" borderId="33" xfId="0" applyBorder="1" applyAlignment="1">
      <alignment wrapText="1"/>
    </xf>
    <xf numFmtId="165" fontId="0" fillId="0" borderId="20" xfId="0" applyNumberFormat="1" applyBorder="1"/>
    <xf numFmtId="0" fontId="0" fillId="0" borderId="34" xfId="0" applyBorder="1" applyAlignment="1">
      <alignment horizontal="right"/>
    </xf>
    <xf numFmtId="166" fontId="0" fillId="0" borderId="19" xfId="0" applyNumberFormat="1" applyBorder="1"/>
    <xf numFmtId="0" fontId="0" fillId="0" borderId="19" xfId="0" applyBorder="1"/>
    <xf numFmtId="0" fontId="0" fillId="0" borderId="35" xfId="0" applyBorder="1" applyAlignment="1">
      <alignment wrapText="1"/>
    </xf>
    <xf numFmtId="166" fontId="0" fillId="0" borderId="31" xfId="0" applyNumberFormat="1" applyBorder="1"/>
    <xf numFmtId="49" fontId="0" fillId="0" borderId="10" xfId="0" applyNumberFormat="1" applyBorder="1" applyAlignment="1">
      <alignment horizontal="right"/>
    </xf>
    <xf numFmtId="2" fontId="0" fillId="0" borderId="0" xfId="0" applyNumberFormat="1"/>
    <xf numFmtId="49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6" fillId="0" borderId="20" xfId="0" applyFon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Margins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Margins!$F$5</c:f>
              <c:strCache>
                <c:ptCount val="1"/>
                <c:pt idx="0">
                  <c:v>10W_26dB_1.2m_10MHz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Margins!$C$6:$C$47</c:f>
              <c:strCache>
                <c:ptCount val="42"/>
                <c:pt idx="0">
                  <c:v>BPSK–S, 1/5, SF</c:v>
                </c:pt>
                <c:pt idx="1">
                  <c:v>BPSK–S, 11/45, SF</c:v>
                </c:pt>
                <c:pt idx="2">
                  <c:v>BPSK, 1/5, MF</c:v>
                </c:pt>
                <c:pt idx="3">
                  <c:v>BPSK, 1/5, SF</c:v>
                </c:pt>
                <c:pt idx="4">
                  <c:v>BPSK, 11/45, MF</c:v>
                </c:pt>
                <c:pt idx="5">
                  <c:v>BPSK, 4/15, SF</c:v>
                </c:pt>
                <c:pt idx="6">
                  <c:v>BPSK, 1/3, MF</c:v>
                </c:pt>
                <c:pt idx="7">
                  <c:v>BPSK, 1/3, SF</c:v>
                </c:pt>
                <c:pt idx="8">
                  <c:v>QPSK 2/9</c:v>
                </c:pt>
                <c:pt idx="9">
                  <c:v>QPSK 11/45</c:v>
                </c:pt>
                <c:pt idx="10">
                  <c:v>QPSK 4/15</c:v>
                </c:pt>
                <c:pt idx="11">
                  <c:v>QPSK 1/4</c:v>
                </c:pt>
                <c:pt idx="12">
                  <c:v>QPSK 13/45</c:v>
                </c:pt>
                <c:pt idx="13">
                  <c:v>QPSK 14/45</c:v>
                </c:pt>
                <c:pt idx="14">
                  <c:v>QPSK 1/3</c:v>
                </c:pt>
                <c:pt idx="15">
                  <c:v>QPSK 2/5</c:v>
                </c:pt>
                <c:pt idx="16">
                  <c:v>QPSK 9/20</c:v>
                </c:pt>
                <c:pt idx="17">
                  <c:v>QPSK 7/15</c:v>
                </c:pt>
                <c:pt idx="18">
                  <c:v>QPSK 1/2</c:v>
                </c:pt>
                <c:pt idx="19">
                  <c:v>QPSK 11/20</c:v>
                </c:pt>
                <c:pt idx="20">
                  <c:v>QPSK 8/15</c:v>
                </c:pt>
                <c:pt idx="21">
                  <c:v>QPSK 3/5</c:v>
                </c:pt>
                <c:pt idx="22">
                  <c:v>QPSK 2/3</c:v>
                </c:pt>
                <c:pt idx="23">
                  <c:v>QPSK 32/45</c:v>
                </c:pt>
                <c:pt idx="24">
                  <c:v>QPSK 3/4</c:v>
                </c:pt>
                <c:pt idx="25">
                  <c:v>QPSK 4/5</c:v>
                </c:pt>
                <c:pt idx="26">
                  <c:v>QPSK 5/6</c:v>
                </c:pt>
                <c:pt idx="27">
                  <c:v>QPSK 8/9</c:v>
                </c:pt>
                <c:pt idx="28">
                  <c:v>QPSK 9/10</c:v>
                </c:pt>
                <c:pt idx="29">
                  <c:v>8-PSK 7/15</c:v>
                </c:pt>
                <c:pt idx="30">
                  <c:v>8-PSK 8/15</c:v>
                </c:pt>
                <c:pt idx="31">
                  <c:v>8-PSK 26/45</c:v>
                </c:pt>
                <c:pt idx="32">
                  <c:v>8-PSK 3/5</c:v>
                </c:pt>
                <c:pt idx="33">
                  <c:v>8-PSK 23/26</c:v>
                </c:pt>
                <c:pt idx="34">
                  <c:v>8-PSK 2/3</c:v>
                </c:pt>
                <c:pt idx="35">
                  <c:v>8-PSK 25/36</c:v>
                </c:pt>
                <c:pt idx="36">
                  <c:v>8-PSK 13/18</c:v>
                </c:pt>
                <c:pt idx="37">
                  <c:v>8-PSK 32/45</c:v>
                </c:pt>
                <c:pt idx="38">
                  <c:v>8-PSK 3/4</c:v>
                </c:pt>
                <c:pt idx="39">
                  <c:v>8-PSK 5/6</c:v>
                </c:pt>
                <c:pt idx="40">
                  <c:v>8-PSK 8/9</c:v>
                </c:pt>
                <c:pt idx="41">
                  <c:v>8-PSK 9/10</c:v>
                </c:pt>
              </c:strCache>
            </c:strRef>
          </c:cat>
          <c:val>
            <c:numRef>
              <c:f>Margins!$F$6:$F$47</c:f>
              <c:numCache>
                <c:formatCode>0.00</c:formatCode>
                <c:ptCount val="42"/>
                <c:pt idx="0">
                  <c:v>3.7221901687572174</c:v>
                </c:pt>
                <c:pt idx="1">
                  <c:v>2.1221901687572178</c:v>
                </c:pt>
                <c:pt idx="2">
                  <c:v>0.67219016875721671</c:v>
                </c:pt>
                <c:pt idx="3">
                  <c:v>-7.7809831242783289E-2</c:v>
                </c:pt>
                <c:pt idx="4">
                  <c:v>-0.67780983124278293</c:v>
                </c:pt>
                <c:pt idx="5">
                  <c:v>-1.2778098312427826</c:v>
                </c:pt>
                <c:pt idx="6">
                  <c:v>-2.1778098312427829</c:v>
                </c:pt>
                <c:pt idx="7">
                  <c:v>-2.4578098312427827</c:v>
                </c:pt>
                <c:pt idx="8">
                  <c:v>-3.3278098312427828</c:v>
                </c:pt>
                <c:pt idx="9">
                  <c:v>-3.6778098312427829</c:v>
                </c:pt>
                <c:pt idx="10">
                  <c:v>-3.9378098312427827</c:v>
                </c:pt>
                <c:pt idx="11">
                  <c:v>-3.8278098312427828</c:v>
                </c:pt>
                <c:pt idx="12">
                  <c:v>-4.1478098312427836</c:v>
                </c:pt>
                <c:pt idx="13">
                  <c:v>-4.717809831242783</c:v>
                </c:pt>
                <c:pt idx="14">
                  <c:v>-4.9378098312427827</c:v>
                </c:pt>
                <c:pt idx="15">
                  <c:v>-5.8778098312427831</c:v>
                </c:pt>
                <c:pt idx="16">
                  <c:v>-6.3978098312427827</c:v>
                </c:pt>
                <c:pt idx="17">
                  <c:v>-6.7778098312427826</c:v>
                </c:pt>
                <c:pt idx="18">
                  <c:v>-7.1778098312427829</c:v>
                </c:pt>
                <c:pt idx="19">
                  <c:v>-7.6278098312427831</c:v>
                </c:pt>
                <c:pt idx="20">
                  <c:v>-7.6278098312427831</c:v>
                </c:pt>
                <c:pt idx="21">
                  <c:v>-8.4078098312427834</c:v>
                </c:pt>
                <c:pt idx="22">
                  <c:v>-9.2778098312427826</c:v>
                </c:pt>
                <c:pt idx="23">
                  <c:v>-9.8378098312427831</c:v>
                </c:pt>
                <c:pt idx="24">
                  <c:v>-10.207809831242784</c:v>
                </c:pt>
                <c:pt idx="25">
                  <c:v>-10.857809831242783</c:v>
                </c:pt>
                <c:pt idx="26">
                  <c:v>-11.357809831242783</c:v>
                </c:pt>
                <c:pt idx="27">
                  <c:v>-12.377809831242782</c:v>
                </c:pt>
                <c:pt idx="28">
                  <c:v>-12.597809831242783</c:v>
                </c:pt>
                <c:pt idx="29">
                  <c:v>-10.007809831242783</c:v>
                </c:pt>
                <c:pt idx="30">
                  <c:v>-10.887809831242784</c:v>
                </c:pt>
                <c:pt idx="31">
                  <c:v>-11.697809831242783</c:v>
                </c:pt>
                <c:pt idx="32">
                  <c:v>-11.677809831242783</c:v>
                </c:pt>
                <c:pt idx="33">
                  <c:v>-12.297809831242784</c:v>
                </c:pt>
                <c:pt idx="34">
                  <c:v>-12.797809831242784</c:v>
                </c:pt>
                <c:pt idx="35">
                  <c:v>-13.197809831242783</c:v>
                </c:pt>
                <c:pt idx="36">
                  <c:v>-13.667809831242783</c:v>
                </c:pt>
                <c:pt idx="37">
                  <c:v>-13.717809831242782</c:v>
                </c:pt>
                <c:pt idx="38">
                  <c:v>-14.087809831242783</c:v>
                </c:pt>
                <c:pt idx="39">
                  <c:v>-15.527809831242783</c:v>
                </c:pt>
                <c:pt idx="40">
                  <c:v>-16.867809831242781</c:v>
                </c:pt>
                <c:pt idx="41">
                  <c:v>-17.157809831242783</c:v>
                </c:pt>
              </c:numCache>
            </c:numRef>
          </c:val>
        </c:ser>
        <c:ser>
          <c:idx val="1"/>
          <c:order val="1"/>
          <c:tx>
            <c:strRef>
              <c:f>Margins!$G$5</c:f>
              <c:strCache>
                <c:ptCount val="1"/>
                <c:pt idx="0">
                  <c:v>10W_26dB_1.2m_5MHz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Margins!$C$6:$C$47</c:f>
              <c:strCache>
                <c:ptCount val="42"/>
                <c:pt idx="0">
                  <c:v>BPSK–S, 1/5, SF</c:v>
                </c:pt>
                <c:pt idx="1">
                  <c:v>BPSK–S, 11/45, SF</c:v>
                </c:pt>
                <c:pt idx="2">
                  <c:v>BPSK, 1/5, MF</c:v>
                </c:pt>
                <c:pt idx="3">
                  <c:v>BPSK, 1/5, SF</c:v>
                </c:pt>
                <c:pt idx="4">
                  <c:v>BPSK, 11/45, MF</c:v>
                </c:pt>
                <c:pt idx="5">
                  <c:v>BPSK, 4/15, SF</c:v>
                </c:pt>
                <c:pt idx="6">
                  <c:v>BPSK, 1/3, MF</c:v>
                </c:pt>
                <c:pt idx="7">
                  <c:v>BPSK, 1/3, SF</c:v>
                </c:pt>
                <c:pt idx="8">
                  <c:v>QPSK 2/9</c:v>
                </c:pt>
                <c:pt idx="9">
                  <c:v>QPSK 11/45</c:v>
                </c:pt>
                <c:pt idx="10">
                  <c:v>QPSK 4/15</c:v>
                </c:pt>
                <c:pt idx="11">
                  <c:v>QPSK 1/4</c:v>
                </c:pt>
                <c:pt idx="12">
                  <c:v>QPSK 13/45</c:v>
                </c:pt>
                <c:pt idx="13">
                  <c:v>QPSK 14/45</c:v>
                </c:pt>
                <c:pt idx="14">
                  <c:v>QPSK 1/3</c:v>
                </c:pt>
                <c:pt idx="15">
                  <c:v>QPSK 2/5</c:v>
                </c:pt>
                <c:pt idx="16">
                  <c:v>QPSK 9/20</c:v>
                </c:pt>
                <c:pt idx="17">
                  <c:v>QPSK 7/15</c:v>
                </c:pt>
                <c:pt idx="18">
                  <c:v>QPSK 1/2</c:v>
                </c:pt>
                <c:pt idx="19">
                  <c:v>QPSK 11/20</c:v>
                </c:pt>
                <c:pt idx="20">
                  <c:v>QPSK 8/15</c:v>
                </c:pt>
                <c:pt idx="21">
                  <c:v>QPSK 3/5</c:v>
                </c:pt>
                <c:pt idx="22">
                  <c:v>QPSK 2/3</c:v>
                </c:pt>
                <c:pt idx="23">
                  <c:v>QPSK 32/45</c:v>
                </c:pt>
                <c:pt idx="24">
                  <c:v>QPSK 3/4</c:v>
                </c:pt>
                <c:pt idx="25">
                  <c:v>QPSK 4/5</c:v>
                </c:pt>
                <c:pt idx="26">
                  <c:v>QPSK 5/6</c:v>
                </c:pt>
                <c:pt idx="27">
                  <c:v>QPSK 8/9</c:v>
                </c:pt>
                <c:pt idx="28">
                  <c:v>QPSK 9/10</c:v>
                </c:pt>
                <c:pt idx="29">
                  <c:v>8-PSK 7/15</c:v>
                </c:pt>
                <c:pt idx="30">
                  <c:v>8-PSK 8/15</c:v>
                </c:pt>
                <c:pt idx="31">
                  <c:v>8-PSK 26/45</c:v>
                </c:pt>
                <c:pt idx="32">
                  <c:v>8-PSK 3/5</c:v>
                </c:pt>
                <c:pt idx="33">
                  <c:v>8-PSK 23/26</c:v>
                </c:pt>
                <c:pt idx="34">
                  <c:v>8-PSK 2/3</c:v>
                </c:pt>
                <c:pt idx="35">
                  <c:v>8-PSK 25/36</c:v>
                </c:pt>
                <c:pt idx="36">
                  <c:v>8-PSK 13/18</c:v>
                </c:pt>
                <c:pt idx="37">
                  <c:v>8-PSK 32/45</c:v>
                </c:pt>
                <c:pt idx="38">
                  <c:v>8-PSK 3/4</c:v>
                </c:pt>
                <c:pt idx="39">
                  <c:v>8-PSK 5/6</c:v>
                </c:pt>
                <c:pt idx="40">
                  <c:v>8-PSK 8/9</c:v>
                </c:pt>
                <c:pt idx="41">
                  <c:v>8-PSK 9/10</c:v>
                </c:pt>
              </c:strCache>
            </c:strRef>
          </c:cat>
          <c:val>
            <c:numRef>
              <c:f>Margins!$G$6:$G$47</c:f>
              <c:numCache>
                <c:formatCode>0.00</c:formatCode>
                <c:ptCount val="42"/>
                <c:pt idx="0">
                  <c:v>6.73249012539703</c:v>
                </c:pt>
                <c:pt idx="1">
                  <c:v>5.1324901253970303</c:v>
                </c:pt>
                <c:pt idx="2">
                  <c:v>3.6824901253970292</c:v>
                </c:pt>
                <c:pt idx="3">
                  <c:v>2.9324901253970292</c:v>
                </c:pt>
                <c:pt idx="4">
                  <c:v>2.3324901253970296</c:v>
                </c:pt>
                <c:pt idx="5">
                  <c:v>1.73249012539703</c:v>
                </c:pt>
                <c:pt idx="6">
                  <c:v>0.8324901253970296</c:v>
                </c:pt>
                <c:pt idx="7">
                  <c:v>0.5524901253970298</c:v>
                </c:pt>
                <c:pt idx="8">
                  <c:v>-0.31750987460297031</c:v>
                </c:pt>
                <c:pt idx="9">
                  <c:v>-0.6675098746029704</c:v>
                </c:pt>
                <c:pt idx="10">
                  <c:v>-0.92750987460297019</c:v>
                </c:pt>
                <c:pt idx="11">
                  <c:v>-0.81750987460297031</c:v>
                </c:pt>
                <c:pt idx="12">
                  <c:v>-1.1375098746029706</c:v>
                </c:pt>
                <c:pt idx="13">
                  <c:v>-1.7075098746029704</c:v>
                </c:pt>
                <c:pt idx="14">
                  <c:v>-1.9275098746029704</c:v>
                </c:pt>
                <c:pt idx="15">
                  <c:v>-2.8675098746029706</c:v>
                </c:pt>
                <c:pt idx="16">
                  <c:v>-3.3875098746029702</c:v>
                </c:pt>
                <c:pt idx="17">
                  <c:v>-3.7675098746029705</c:v>
                </c:pt>
                <c:pt idx="18">
                  <c:v>-4.1675098746029704</c:v>
                </c:pt>
                <c:pt idx="19">
                  <c:v>-4.6175098746029706</c:v>
                </c:pt>
                <c:pt idx="20">
                  <c:v>-4.6175098746029706</c:v>
                </c:pt>
                <c:pt idx="21">
                  <c:v>-5.3975098746029708</c:v>
                </c:pt>
                <c:pt idx="22">
                  <c:v>-6.26750987460297</c:v>
                </c:pt>
                <c:pt idx="23">
                  <c:v>-6.8275098746029705</c:v>
                </c:pt>
                <c:pt idx="24">
                  <c:v>-7.1975098746029706</c:v>
                </c:pt>
                <c:pt idx="25">
                  <c:v>-7.8475098746029701</c:v>
                </c:pt>
                <c:pt idx="26">
                  <c:v>-8.3475098746029701</c:v>
                </c:pt>
                <c:pt idx="27">
                  <c:v>-9.3675098746029697</c:v>
                </c:pt>
                <c:pt idx="28">
                  <c:v>-9.5875098746029703</c:v>
                </c:pt>
                <c:pt idx="29">
                  <c:v>-6.9975098746029705</c:v>
                </c:pt>
                <c:pt idx="30">
                  <c:v>-7.8775098746029704</c:v>
                </c:pt>
                <c:pt idx="31">
                  <c:v>-8.68750987460297</c:v>
                </c:pt>
                <c:pt idx="32">
                  <c:v>-8.6675098746029704</c:v>
                </c:pt>
                <c:pt idx="33">
                  <c:v>-9.2875098746029714</c:v>
                </c:pt>
                <c:pt idx="34">
                  <c:v>-9.7875098746029714</c:v>
                </c:pt>
                <c:pt idx="35">
                  <c:v>-10.18750987460297</c:v>
                </c:pt>
                <c:pt idx="36">
                  <c:v>-10.657509874602971</c:v>
                </c:pt>
                <c:pt idx="37">
                  <c:v>-10.70750987460297</c:v>
                </c:pt>
                <c:pt idx="38">
                  <c:v>-11.077509874602971</c:v>
                </c:pt>
                <c:pt idx="39">
                  <c:v>-12.51750987460297</c:v>
                </c:pt>
                <c:pt idx="40">
                  <c:v>-13.85750987460297</c:v>
                </c:pt>
                <c:pt idx="41">
                  <c:v>-14.147509874602971</c:v>
                </c:pt>
              </c:numCache>
            </c:numRef>
          </c:val>
        </c:ser>
        <c:ser>
          <c:idx val="2"/>
          <c:order val="2"/>
          <c:tx>
            <c:strRef>
              <c:f>Margins!$H$5</c:f>
              <c:strCache>
                <c:ptCount val="1"/>
                <c:pt idx="0">
                  <c:v>10W_26dB_1.2m_2MHz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Margins!$C$6:$C$47</c:f>
              <c:strCache>
                <c:ptCount val="42"/>
                <c:pt idx="0">
                  <c:v>BPSK–S, 1/5, SF</c:v>
                </c:pt>
                <c:pt idx="1">
                  <c:v>BPSK–S, 11/45, SF</c:v>
                </c:pt>
                <c:pt idx="2">
                  <c:v>BPSK, 1/5, MF</c:v>
                </c:pt>
                <c:pt idx="3">
                  <c:v>BPSK, 1/5, SF</c:v>
                </c:pt>
                <c:pt idx="4">
                  <c:v>BPSK, 11/45, MF</c:v>
                </c:pt>
                <c:pt idx="5">
                  <c:v>BPSK, 4/15, SF</c:v>
                </c:pt>
                <c:pt idx="6">
                  <c:v>BPSK, 1/3, MF</c:v>
                </c:pt>
                <c:pt idx="7">
                  <c:v>BPSK, 1/3, SF</c:v>
                </c:pt>
                <c:pt idx="8">
                  <c:v>QPSK 2/9</c:v>
                </c:pt>
                <c:pt idx="9">
                  <c:v>QPSK 11/45</c:v>
                </c:pt>
                <c:pt idx="10">
                  <c:v>QPSK 4/15</c:v>
                </c:pt>
                <c:pt idx="11">
                  <c:v>QPSK 1/4</c:v>
                </c:pt>
                <c:pt idx="12">
                  <c:v>QPSK 13/45</c:v>
                </c:pt>
                <c:pt idx="13">
                  <c:v>QPSK 14/45</c:v>
                </c:pt>
                <c:pt idx="14">
                  <c:v>QPSK 1/3</c:v>
                </c:pt>
                <c:pt idx="15">
                  <c:v>QPSK 2/5</c:v>
                </c:pt>
                <c:pt idx="16">
                  <c:v>QPSK 9/20</c:v>
                </c:pt>
                <c:pt idx="17">
                  <c:v>QPSK 7/15</c:v>
                </c:pt>
                <c:pt idx="18">
                  <c:v>QPSK 1/2</c:v>
                </c:pt>
                <c:pt idx="19">
                  <c:v>QPSK 11/20</c:v>
                </c:pt>
                <c:pt idx="20">
                  <c:v>QPSK 8/15</c:v>
                </c:pt>
                <c:pt idx="21">
                  <c:v>QPSK 3/5</c:v>
                </c:pt>
                <c:pt idx="22">
                  <c:v>QPSK 2/3</c:v>
                </c:pt>
                <c:pt idx="23">
                  <c:v>QPSK 32/45</c:v>
                </c:pt>
                <c:pt idx="24">
                  <c:v>QPSK 3/4</c:v>
                </c:pt>
                <c:pt idx="25">
                  <c:v>QPSK 4/5</c:v>
                </c:pt>
                <c:pt idx="26">
                  <c:v>QPSK 5/6</c:v>
                </c:pt>
                <c:pt idx="27">
                  <c:v>QPSK 8/9</c:v>
                </c:pt>
                <c:pt idx="28">
                  <c:v>QPSK 9/10</c:v>
                </c:pt>
                <c:pt idx="29">
                  <c:v>8-PSK 7/15</c:v>
                </c:pt>
                <c:pt idx="30">
                  <c:v>8-PSK 8/15</c:v>
                </c:pt>
                <c:pt idx="31">
                  <c:v>8-PSK 26/45</c:v>
                </c:pt>
                <c:pt idx="32">
                  <c:v>8-PSK 3/5</c:v>
                </c:pt>
                <c:pt idx="33">
                  <c:v>8-PSK 23/26</c:v>
                </c:pt>
                <c:pt idx="34">
                  <c:v>8-PSK 2/3</c:v>
                </c:pt>
                <c:pt idx="35">
                  <c:v>8-PSK 25/36</c:v>
                </c:pt>
                <c:pt idx="36">
                  <c:v>8-PSK 13/18</c:v>
                </c:pt>
                <c:pt idx="37">
                  <c:v>8-PSK 32/45</c:v>
                </c:pt>
                <c:pt idx="38">
                  <c:v>8-PSK 3/4</c:v>
                </c:pt>
                <c:pt idx="39">
                  <c:v>8-PSK 5/6</c:v>
                </c:pt>
                <c:pt idx="40">
                  <c:v>8-PSK 8/9</c:v>
                </c:pt>
                <c:pt idx="41">
                  <c:v>8-PSK 9/10</c:v>
                </c:pt>
              </c:strCache>
            </c:strRef>
          </c:cat>
          <c:val>
            <c:numRef>
              <c:f>Margins!$H$6:$H$47</c:f>
              <c:numCache>
                <c:formatCode>0.00</c:formatCode>
                <c:ptCount val="42"/>
                <c:pt idx="0">
                  <c:v>10.711890212117405</c:v>
                </c:pt>
                <c:pt idx="1">
                  <c:v>9.1118902121174052</c:v>
                </c:pt>
                <c:pt idx="2">
                  <c:v>7.6618902121174042</c:v>
                </c:pt>
                <c:pt idx="3">
                  <c:v>6.9118902121174042</c:v>
                </c:pt>
                <c:pt idx="4">
                  <c:v>6.3118902121174045</c:v>
                </c:pt>
                <c:pt idx="5">
                  <c:v>5.7118902121174049</c:v>
                </c:pt>
                <c:pt idx="6">
                  <c:v>4.8118902121174045</c:v>
                </c:pt>
                <c:pt idx="7">
                  <c:v>4.5318902121174052</c:v>
                </c:pt>
                <c:pt idx="8">
                  <c:v>3.6618902121174046</c:v>
                </c:pt>
                <c:pt idx="9">
                  <c:v>3.3118902121174045</c:v>
                </c:pt>
                <c:pt idx="10">
                  <c:v>3.0518902121174047</c:v>
                </c:pt>
                <c:pt idx="11">
                  <c:v>3.1618902121174046</c:v>
                </c:pt>
                <c:pt idx="12">
                  <c:v>2.8418902121174043</c:v>
                </c:pt>
                <c:pt idx="13">
                  <c:v>2.2718902121174045</c:v>
                </c:pt>
                <c:pt idx="14">
                  <c:v>2.0518902121174047</c:v>
                </c:pt>
                <c:pt idx="15">
                  <c:v>1.1118902121174046</c:v>
                </c:pt>
                <c:pt idx="16">
                  <c:v>0.59189021211740456</c:v>
                </c:pt>
                <c:pt idx="17">
                  <c:v>0.21189021211740444</c:v>
                </c:pt>
                <c:pt idx="18">
                  <c:v>-0.18810978788259547</c:v>
                </c:pt>
                <c:pt idx="19">
                  <c:v>-0.63810978788259565</c:v>
                </c:pt>
                <c:pt idx="20">
                  <c:v>-0.63810978788259565</c:v>
                </c:pt>
                <c:pt idx="21">
                  <c:v>-1.4181097878825955</c:v>
                </c:pt>
                <c:pt idx="22">
                  <c:v>-2.2881097878825951</c:v>
                </c:pt>
                <c:pt idx="23">
                  <c:v>-2.8481097878825956</c:v>
                </c:pt>
                <c:pt idx="24">
                  <c:v>-3.2181097878825957</c:v>
                </c:pt>
                <c:pt idx="25">
                  <c:v>-3.8681097878825952</c:v>
                </c:pt>
                <c:pt idx="26">
                  <c:v>-4.3681097878825952</c:v>
                </c:pt>
                <c:pt idx="27">
                  <c:v>-5.3881097878825956</c:v>
                </c:pt>
                <c:pt idx="28">
                  <c:v>-5.6081097878825954</c:v>
                </c:pt>
                <c:pt idx="29">
                  <c:v>-3.0181097878825955</c:v>
                </c:pt>
                <c:pt idx="30">
                  <c:v>-3.8981097878825954</c:v>
                </c:pt>
                <c:pt idx="31">
                  <c:v>-4.708109787882595</c:v>
                </c:pt>
                <c:pt idx="32">
                  <c:v>-4.6881097878825955</c:v>
                </c:pt>
                <c:pt idx="33">
                  <c:v>-5.3081097878825956</c:v>
                </c:pt>
                <c:pt idx="34">
                  <c:v>-5.8081097878825956</c:v>
                </c:pt>
                <c:pt idx="35">
                  <c:v>-6.208109787882595</c:v>
                </c:pt>
                <c:pt idx="36">
                  <c:v>-6.6781097878825957</c:v>
                </c:pt>
                <c:pt idx="37">
                  <c:v>-6.7281097878825946</c:v>
                </c:pt>
                <c:pt idx="38">
                  <c:v>-7.0981097878825956</c:v>
                </c:pt>
                <c:pt idx="39">
                  <c:v>-8.5381097878825951</c:v>
                </c:pt>
                <c:pt idx="40">
                  <c:v>-9.878109787882595</c:v>
                </c:pt>
                <c:pt idx="41">
                  <c:v>-10.168109787882596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88784"/>
        <c:axId val="229387664"/>
      </c:barChart>
      <c:catAx>
        <c:axId val="2293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87664"/>
        <c:crosses val="autoZero"/>
        <c:auto val="1"/>
        <c:lblAlgn val="ctr"/>
        <c:lblOffset val="100"/>
        <c:noMultiLvlLbl val="0"/>
      </c:catAx>
      <c:valAx>
        <c:axId val="2293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14</xdr:row>
      <xdr:rowOff>9525</xdr:rowOff>
    </xdr:from>
    <xdr:to>
      <xdr:col>13</xdr:col>
      <xdr:colOff>476251</xdr:colOff>
      <xdr:row>35</xdr:row>
      <xdr:rowOff>114299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F4" sqref="F4:O25"/>
    </sheetView>
  </sheetViews>
  <sheetFormatPr defaultRowHeight="15" x14ac:dyDescent="0.25"/>
  <cols>
    <col min="1" max="1" width="26.5703125" bestFit="1" customWidth="1"/>
    <col min="2" max="2" width="12.5703125" bestFit="1" customWidth="1"/>
    <col min="3" max="3" width="5" bestFit="1" customWidth="1"/>
    <col min="4" max="4" width="71" customWidth="1"/>
    <col min="5" max="5" width="23.42578125" bestFit="1" customWidth="1"/>
    <col min="6" max="6" width="13" customWidth="1"/>
    <col min="7" max="7" width="5" bestFit="1" customWidth="1"/>
  </cols>
  <sheetData>
    <row r="2" spans="1:4" x14ac:dyDescent="0.25">
      <c r="A2" s="54" t="s">
        <v>14</v>
      </c>
      <c r="B2" s="54"/>
      <c r="C2" s="54"/>
      <c r="D2" s="54"/>
    </row>
    <row r="3" spans="1:4" ht="15.75" thickBot="1" x14ac:dyDescent="0.3">
      <c r="A3" s="18" t="s">
        <v>22</v>
      </c>
      <c r="B3" s="18" t="s">
        <v>23</v>
      </c>
      <c r="C3" s="18" t="s">
        <v>24</v>
      </c>
      <c r="D3" s="19" t="s">
        <v>26</v>
      </c>
    </row>
    <row r="4" spans="1:4" ht="15" customHeight="1" x14ac:dyDescent="0.25">
      <c r="A4" s="4" t="s">
        <v>1</v>
      </c>
      <c r="B4" s="9">
        <v>10.475</v>
      </c>
      <c r="C4" s="9" t="s">
        <v>0</v>
      </c>
      <c r="D4" s="10"/>
    </row>
    <row r="5" spans="1:4" x14ac:dyDescent="0.25">
      <c r="A5" s="5" t="s">
        <v>2</v>
      </c>
      <c r="B5" s="17">
        <f>299792458 /( B4*1000000000)</f>
        <v>2.8619805059665871E-2</v>
      </c>
      <c r="C5" s="1" t="s">
        <v>3</v>
      </c>
      <c r="D5" s="13"/>
    </row>
    <row r="6" spans="1:4" x14ac:dyDescent="0.25">
      <c r="A6" s="5" t="s">
        <v>79</v>
      </c>
      <c r="B6" s="51" t="s">
        <v>80</v>
      </c>
      <c r="C6" s="1"/>
      <c r="D6" s="13"/>
    </row>
    <row r="7" spans="1:4" ht="15.75" thickBot="1" x14ac:dyDescent="0.3">
      <c r="A7" s="5" t="s">
        <v>32</v>
      </c>
      <c r="B7" s="20">
        <v>1</v>
      </c>
      <c r="C7" s="1" t="s">
        <v>5</v>
      </c>
      <c r="D7" s="13" t="s">
        <v>33</v>
      </c>
    </row>
    <row r="8" spans="1:4" x14ac:dyDescent="0.25">
      <c r="A8" s="4" t="s">
        <v>9</v>
      </c>
      <c r="B8" s="8">
        <v>10</v>
      </c>
      <c r="C8" s="9" t="s">
        <v>7</v>
      </c>
      <c r="D8" s="10" t="s">
        <v>27</v>
      </c>
    </row>
    <row r="9" spans="1:4" x14ac:dyDescent="0.25">
      <c r="A9" s="5" t="s">
        <v>9</v>
      </c>
      <c r="B9" s="3">
        <f>10*LOG10(B8*1000)</f>
        <v>40</v>
      </c>
      <c r="C9" s="1" t="s">
        <v>8</v>
      </c>
      <c r="D9" s="13"/>
    </row>
    <row r="10" spans="1:4" x14ac:dyDescent="0.25">
      <c r="A10" s="5" t="s">
        <v>25</v>
      </c>
      <c r="B10" s="3">
        <v>0</v>
      </c>
      <c r="C10" s="1" t="s">
        <v>5</v>
      </c>
      <c r="D10" s="13" t="s">
        <v>28</v>
      </c>
    </row>
    <row r="11" spans="1:4" x14ac:dyDescent="0.25">
      <c r="A11" s="5" t="s">
        <v>10</v>
      </c>
      <c r="B11" s="3">
        <v>20</v>
      </c>
      <c r="C11" s="1" t="s">
        <v>5</v>
      </c>
      <c r="D11" s="13"/>
    </row>
    <row r="12" spans="1:4" ht="15.75" thickBot="1" x14ac:dyDescent="0.3">
      <c r="A12" s="46" t="s">
        <v>11</v>
      </c>
      <c r="B12" s="47">
        <f>B9+B11+B10</f>
        <v>60</v>
      </c>
      <c r="C12" s="48" t="s">
        <v>8</v>
      </c>
      <c r="D12" s="49"/>
    </row>
    <row r="13" spans="1:4" x14ac:dyDescent="0.25">
      <c r="A13" s="4" t="s">
        <v>12</v>
      </c>
      <c r="B13" s="8">
        <v>38181</v>
      </c>
      <c r="C13" s="9" t="s">
        <v>4</v>
      </c>
      <c r="D13" s="10" t="s">
        <v>29</v>
      </c>
    </row>
    <row r="14" spans="1:4" x14ac:dyDescent="0.25">
      <c r="A14" s="5" t="s">
        <v>21</v>
      </c>
      <c r="B14" s="3">
        <f>-1*10*LOG10((4*PI()*B13*1000/B5)^2)</f>
        <v>-204.48780983124277</v>
      </c>
      <c r="C14" s="1" t="s">
        <v>5</v>
      </c>
      <c r="D14" s="13"/>
    </row>
    <row r="15" spans="1:4" x14ac:dyDescent="0.25">
      <c r="A15" s="5" t="s">
        <v>13</v>
      </c>
      <c r="B15" s="3">
        <v>0</v>
      </c>
      <c r="C15" s="1" t="s">
        <v>5</v>
      </c>
      <c r="D15" s="13" t="s">
        <v>77</v>
      </c>
    </row>
    <row r="16" spans="1:4" x14ac:dyDescent="0.25">
      <c r="A16" s="5" t="s">
        <v>6</v>
      </c>
      <c r="B16" s="3">
        <v>-0.15</v>
      </c>
      <c r="C16" s="1" t="s">
        <v>5</v>
      </c>
      <c r="D16" s="13" t="s">
        <v>30</v>
      </c>
    </row>
    <row r="17" spans="1:4" ht="15.75" thickBot="1" x14ac:dyDescent="0.3">
      <c r="A17" s="6" t="s">
        <v>78</v>
      </c>
      <c r="B17" s="7">
        <v>-3</v>
      </c>
      <c r="C17" s="11" t="s">
        <v>5</v>
      </c>
      <c r="D17" s="12"/>
    </row>
    <row r="18" spans="1:4" x14ac:dyDescent="0.25">
      <c r="A18" s="42" t="s">
        <v>16</v>
      </c>
      <c r="B18" s="50">
        <v>39.799999999999997</v>
      </c>
      <c r="C18" s="43" t="s">
        <v>5</v>
      </c>
      <c r="D18" s="44" t="s">
        <v>114</v>
      </c>
    </row>
    <row r="19" spans="1:4" x14ac:dyDescent="0.25">
      <c r="A19" s="5" t="s">
        <v>17</v>
      </c>
      <c r="B19" s="3">
        <f>SUM(B12,B14,B15,B16,B17,B18)</f>
        <v>-107.83780983124278</v>
      </c>
      <c r="C19" s="1" t="s">
        <v>8</v>
      </c>
      <c r="D19" s="13"/>
    </row>
    <row r="20" spans="1:4" ht="30" x14ac:dyDescent="0.25">
      <c r="A20" s="16" t="s">
        <v>36</v>
      </c>
      <c r="B20" s="3">
        <v>100</v>
      </c>
      <c r="C20" s="1" t="s">
        <v>15</v>
      </c>
      <c r="D20" s="13" t="s">
        <v>65</v>
      </c>
    </row>
    <row r="21" spans="1:4" ht="30" x14ac:dyDescent="0.25">
      <c r="A21" s="5" t="s">
        <v>20</v>
      </c>
      <c r="B21" s="3">
        <v>5</v>
      </c>
      <c r="C21" s="1" t="s">
        <v>15</v>
      </c>
      <c r="D21" s="13" t="s">
        <v>31</v>
      </c>
    </row>
    <row r="22" spans="1:4" x14ac:dyDescent="0.25">
      <c r="A22" s="5" t="s">
        <v>18</v>
      </c>
      <c r="B22" s="3">
        <f>SUM(B20:B21)</f>
        <v>105</v>
      </c>
      <c r="C22" s="2" t="s">
        <v>15</v>
      </c>
      <c r="D22" s="13"/>
    </row>
    <row r="23" spans="1:4" x14ac:dyDescent="0.25">
      <c r="A23" s="5" t="s">
        <v>19</v>
      </c>
      <c r="B23" s="3">
        <v>1.34</v>
      </c>
      <c r="C23" s="2" t="s">
        <v>5</v>
      </c>
      <c r="D23" s="13"/>
    </row>
    <row r="24" spans="1:4" ht="15.75" thickBot="1" x14ac:dyDescent="0.3">
      <c r="A24" s="6" t="s">
        <v>34</v>
      </c>
      <c r="B24" s="7">
        <v>10</v>
      </c>
      <c r="C24" s="14" t="s">
        <v>35</v>
      </c>
      <c r="D24" s="12"/>
    </row>
    <row r="25" spans="1:4" x14ac:dyDescent="0.25">
      <c r="A25" s="4" t="s">
        <v>37</v>
      </c>
      <c r="B25" s="8">
        <f>-174 +10*LOG(B24*1000000) +B23</f>
        <v>-102.66</v>
      </c>
      <c r="C25" s="15" t="s">
        <v>8</v>
      </c>
      <c r="D25" s="10"/>
    </row>
    <row r="26" spans="1:4" x14ac:dyDescent="0.25">
      <c r="A26" s="5" t="s">
        <v>113</v>
      </c>
      <c r="B26" s="3">
        <f>B19-B25</f>
        <v>-5.1778098312427829</v>
      </c>
      <c r="C26" s="2" t="s">
        <v>5</v>
      </c>
      <c r="D26" s="13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F4" sqref="F4:O25"/>
    </sheetView>
  </sheetViews>
  <sheetFormatPr defaultRowHeight="15" x14ac:dyDescent="0.25"/>
  <cols>
    <col min="1" max="1" width="26.5703125" bestFit="1" customWidth="1"/>
    <col min="2" max="2" width="12.5703125" bestFit="1" customWidth="1"/>
    <col min="3" max="3" width="5" bestFit="1" customWidth="1"/>
    <col min="4" max="4" width="71" customWidth="1"/>
    <col min="5" max="5" width="23.42578125" bestFit="1" customWidth="1"/>
    <col min="6" max="6" width="13" customWidth="1"/>
    <col min="7" max="7" width="5" bestFit="1" customWidth="1"/>
  </cols>
  <sheetData>
    <row r="2" spans="1:4" x14ac:dyDescent="0.25">
      <c r="A2" s="54" t="s">
        <v>14</v>
      </c>
      <c r="B2" s="54"/>
      <c r="C2" s="54"/>
      <c r="D2" s="54"/>
    </row>
    <row r="3" spans="1:4" ht="15.75" thickBot="1" x14ac:dyDescent="0.3">
      <c r="A3" s="18" t="s">
        <v>22</v>
      </c>
      <c r="B3" s="18" t="s">
        <v>23</v>
      </c>
      <c r="C3" s="18" t="s">
        <v>24</v>
      </c>
      <c r="D3" s="19" t="s">
        <v>26</v>
      </c>
    </row>
    <row r="4" spans="1:4" ht="15" customHeight="1" x14ac:dyDescent="0.25">
      <c r="A4" s="4" t="s">
        <v>1</v>
      </c>
      <c r="B4" s="9">
        <v>10.475</v>
      </c>
      <c r="C4" s="9" t="s">
        <v>0</v>
      </c>
      <c r="D4" s="10"/>
    </row>
    <row r="5" spans="1:4" x14ac:dyDescent="0.25">
      <c r="A5" s="5" t="s">
        <v>2</v>
      </c>
      <c r="B5" s="17">
        <f>299792458 /( B4*1000000000)</f>
        <v>2.8619805059665871E-2</v>
      </c>
      <c r="C5" s="1" t="s">
        <v>3</v>
      </c>
      <c r="D5" s="13"/>
    </row>
    <row r="6" spans="1:4" x14ac:dyDescent="0.25">
      <c r="A6" s="5" t="s">
        <v>79</v>
      </c>
      <c r="B6" s="51" t="s">
        <v>80</v>
      </c>
      <c r="C6" s="1"/>
      <c r="D6" s="13"/>
    </row>
    <row r="7" spans="1:4" ht="15.75" thickBot="1" x14ac:dyDescent="0.3">
      <c r="A7" s="5" t="s">
        <v>32</v>
      </c>
      <c r="B7" s="20">
        <v>1</v>
      </c>
      <c r="C7" s="1" t="s">
        <v>5</v>
      </c>
      <c r="D7" s="13" t="s">
        <v>33</v>
      </c>
    </row>
    <row r="8" spans="1:4" x14ac:dyDescent="0.25">
      <c r="A8" s="4" t="s">
        <v>9</v>
      </c>
      <c r="B8" s="8">
        <v>10</v>
      </c>
      <c r="C8" s="9" t="s">
        <v>7</v>
      </c>
      <c r="D8" s="10" t="s">
        <v>27</v>
      </c>
    </row>
    <row r="9" spans="1:4" x14ac:dyDescent="0.25">
      <c r="A9" s="5" t="s">
        <v>9</v>
      </c>
      <c r="B9" s="3">
        <f>10*LOG10(B8*1000)</f>
        <v>40</v>
      </c>
      <c r="C9" s="1" t="s">
        <v>8</v>
      </c>
      <c r="D9" s="13"/>
    </row>
    <row r="10" spans="1:4" x14ac:dyDescent="0.25">
      <c r="A10" s="5" t="s">
        <v>25</v>
      </c>
      <c r="B10" s="3">
        <v>0</v>
      </c>
      <c r="C10" s="1" t="s">
        <v>5</v>
      </c>
      <c r="D10" s="13" t="s">
        <v>28</v>
      </c>
    </row>
    <row r="11" spans="1:4" x14ac:dyDescent="0.25">
      <c r="A11" s="5" t="s">
        <v>10</v>
      </c>
      <c r="B11" s="3">
        <v>20</v>
      </c>
      <c r="C11" s="1" t="s">
        <v>5</v>
      </c>
      <c r="D11" s="13"/>
    </row>
    <row r="12" spans="1:4" ht="15.75" thickBot="1" x14ac:dyDescent="0.3">
      <c r="A12" s="46" t="s">
        <v>11</v>
      </c>
      <c r="B12" s="47">
        <f>B9+B11+B10</f>
        <v>60</v>
      </c>
      <c r="C12" s="48" t="s">
        <v>8</v>
      </c>
      <c r="D12" s="49"/>
    </row>
    <row r="13" spans="1:4" x14ac:dyDescent="0.25">
      <c r="A13" s="4" t="s">
        <v>12</v>
      </c>
      <c r="B13" s="8">
        <v>38181</v>
      </c>
      <c r="C13" s="9" t="s">
        <v>4</v>
      </c>
      <c r="D13" s="10" t="s">
        <v>29</v>
      </c>
    </row>
    <row r="14" spans="1:4" x14ac:dyDescent="0.25">
      <c r="A14" s="5" t="s">
        <v>21</v>
      </c>
      <c r="B14" s="3">
        <f>-1*10*LOG10((4*PI()*B13*1000/B5)^2)</f>
        <v>-204.48780983124277</v>
      </c>
      <c r="C14" s="1" t="s">
        <v>5</v>
      </c>
      <c r="D14" s="13"/>
    </row>
    <row r="15" spans="1:4" x14ac:dyDescent="0.25">
      <c r="A15" s="5" t="s">
        <v>13</v>
      </c>
      <c r="B15" s="3">
        <v>0</v>
      </c>
      <c r="C15" s="1" t="s">
        <v>5</v>
      </c>
      <c r="D15" s="13" t="s">
        <v>77</v>
      </c>
    </row>
    <row r="16" spans="1:4" x14ac:dyDescent="0.25">
      <c r="A16" s="5" t="s">
        <v>6</v>
      </c>
      <c r="B16" s="3">
        <v>-0.15</v>
      </c>
      <c r="C16" s="1" t="s">
        <v>5</v>
      </c>
      <c r="D16" s="13" t="s">
        <v>30</v>
      </c>
    </row>
    <row r="17" spans="1:4" ht="15.75" thickBot="1" x14ac:dyDescent="0.3">
      <c r="A17" s="6" t="s">
        <v>78</v>
      </c>
      <c r="B17" s="7">
        <v>-3</v>
      </c>
      <c r="C17" s="11" t="s">
        <v>5</v>
      </c>
      <c r="D17" s="12"/>
    </row>
    <row r="18" spans="1:4" x14ac:dyDescent="0.25">
      <c r="A18" s="42" t="s">
        <v>16</v>
      </c>
      <c r="B18" s="50">
        <v>39.799999999999997</v>
      </c>
      <c r="C18" s="43" t="s">
        <v>5</v>
      </c>
      <c r="D18" s="44" t="s">
        <v>114</v>
      </c>
    </row>
    <row r="19" spans="1:4" x14ac:dyDescent="0.25">
      <c r="A19" s="5" t="s">
        <v>17</v>
      </c>
      <c r="B19" s="3">
        <f>SUM(B12,B14,B15,B16,B17,B18)</f>
        <v>-107.83780983124278</v>
      </c>
      <c r="C19" s="1" t="s">
        <v>8</v>
      </c>
      <c r="D19" s="13"/>
    </row>
    <row r="20" spans="1:4" ht="30" x14ac:dyDescent="0.25">
      <c r="A20" s="16" t="s">
        <v>36</v>
      </c>
      <c r="B20" s="3">
        <v>100</v>
      </c>
      <c r="C20" s="1" t="s">
        <v>15</v>
      </c>
      <c r="D20" s="13" t="s">
        <v>65</v>
      </c>
    </row>
    <row r="21" spans="1:4" ht="30" x14ac:dyDescent="0.25">
      <c r="A21" s="5" t="s">
        <v>20</v>
      </c>
      <c r="B21" s="3">
        <v>5</v>
      </c>
      <c r="C21" s="1" t="s">
        <v>15</v>
      </c>
      <c r="D21" s="13" t="s">
        <v>31</v>
      </c>
    </row>
    <row r="22" spans="1:4" x14ac:dyDescent="0.25">
      <c r="A22" s="5" t="s">
        <v>18</v>
      </c>
      <c r="B22" s="3">
        <f>SUM(B20:B21)</f>
        <v>105</v>
      </c>
      <c r="C22" s="2" t="s">
        <v>15</v>
      </c>
      <c r="D22" s="13"/>
    </row>
    <row r="23" spans="1:4" x14ac:dyDescent="0.25">
      <c r="A23" s="5" t="s">
        <v>19</v>
      </c>
      <c r="B23" s="3">
        <v>1.34</v>
      </c>
      <c r="C23" s="2" t="s">
        <v>5</v>
      </c>
      <c r="D23" s="13"/>
    </row>
    <row r="24" spans="1:4" ht="15.75" thickBot="1" x14ac:dyDescent="0.3">
      <c r="A24" s="6" t="s">
        <v>34</v>
      </c>
      <c r="B24" s="7">
        <v>5</v>
      </c>
      <c r="C24" s="14" t="s">
        <v>35</v>
      </c>
      <c r="D24" s="12"/>
    </row>
    <row r="25" spans="1:4" x14ac:dyDescent="0.25">
      <c r="A25" s="4" t="s">
        <v>37</v>
      </c>
      <c r="B25" s="8">
        <f>-174 +10*LOG(B24*1000000) +B23</f>
        <v>-105.67029995663981</v>
      </c>
      <c r="C25" s="15" t="s">
        <v>8</v>
      </c>
      <c r="D25" s="10"/>
    </row>
    <row r="26" spans="1:4" x14ac:dyDescent="0.25">
      <c r="A26" s="5" t="s">
        <v>113</v>
      </c>
      <c r="B26" s="3">
        <f>B19-B25</f>
        <v>-2.1675098746029704</v>
      </c>
      <c r="C26" s="2" t="s">
        <v>5</v>
      </c>
      <c r="D26" s="13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F4" sqref="F4:O25"/>
    </sheetView>
  </sheetViews>
  <sheetFormatPr defaultRowHeight="15" x14ac:dyDescent="0.25"/>
  <cols>
    <col min="1" max="1" width="26.5703125" bestFit="1" customWidth="1"/>
    <col min="2" max="2" width="12.5703125" bestFit="1" customWidth="1"/>
    <col min="3" max="3" width="5" bestFit="1" customWidth="1"/>
    <col min="4" max="4" width="71" customWidth="1"/>
    <col min="5" max="5" width="23.42578125" bestFit="1" customWidth="1"/>
    <col min="6" max="6" width="13" customWidth="1"/>
    <col min="7" max="7" width="5" bestFit="1" customWidth="1"/>
  </cols>
  <sheetData>
    <row r="2" spans="1:4" x14ac:dyDescent="0.25">
      <c r="A2" s="54" t="s">
        <v>14</v>
      </c>
      <c r="B2" s="54"/>
      <c r="C2" s="54"/>
      <c r="D2" s="54"/>
    </row>
    <row r="3" spans="1:4" ht="15.75" thickBot="1" x14ac:dyDescent="0.3">
      <c r="A3" s="18" t="s">
        <v>22</v>
      </c>
      <c r="B3" s="18" t="s">
        <v>23</v>
      </c>
      <c r="C3" s="18" t="s">
        <v>24</v>
      </c>
      <c r="D3" s="19" t="s">
        <v>26</v>
      </c>
    </row>
    <row r="4" spans="1:4" ht="15" customHeight="1" x14ac:dyDescent="0.25">
      <c r="A4" s="4" t="s">
        <v>1</v>
      </c>
      <c r="B4" s="9">
        <v>10.475</v>
      </c>
      <c r="C4" s="9" t="s">
        <v>0</v>
      </c>
      <c r="D4" s="10"/>
    </row>
    <row r="5" spans="1:4" x14ac:dyDescent="0.25">
      <c r="A5" s="5" t="s">
        <v>2</v>
      </c>
      <c r="B5" s="17">
        <f>299792458 /( B4*1000000000)</f>
        <v>2.8619805059665871E-2</v>
      </c>
      <c r="C5" s="1" t="s">
        <v>3</v>
      </c>
      <c r="D5" s="13"/>
    </row>
    <row r="6" spans="1:4" x14ac:dyDescent="0.25">
      <c r="A6" s="5" t="s">
        <v>79</v>
      </c>
      <c r="B6" s="51" t="s">
        <v>80</v>
      </c>
      <c r="C6" s="1"/>
      <c r="D6" s="13"/>
    </row>
    <row r="7" spans="1:4" ht="15.75" thickBot="1" x14ac:dyDescent="0.3">
      <c r="A7" s="5" t="s">
        <v>32</v>
      </c>
      <c r="B7" s="20">
        <v>1</v>
      </c>
      <c r="C7" s="1" t="s">
        <v>5</v>
      </c>
      <c r="D7" s="13" t="s">
        <v>33</v>
      </c>
    </row>
    <row r="8" spans="1:4" x14ac:dyDescent="0.25">
      <c r="A8" s="4" t="s">
        <v>9</v>
      </c>
      <c r="B8" s="8">
        <v>10</v>
      </c>
      <c r="C8" s="9" t="s">
        <v>7</v>
      </c>
      <c r="D8" s="10" t="s">
        <v>27</v>
      </c>
    </row>
    <row r="9" spans="1:4" x14ac:dyDescent="0.25">
      <c r="A9" s="5" t="s">
        <v>9</v>
      </c>
      <c r="B9" s="3">
        <f>10*LOG10(B8*1000)</f>
        <v>40</v>
      </c>
      <c r="C9" s="1" t="s">
        <v>8</v>
      </c>
      <c r="D9" s="13"/>
    </row>
    <row r="10" spans="1:4" x14ac:dyDescent="0.25">
      <c r="A10" s="5" t="s">
        <v>25</v>
      </c>
      <c r="B10" s="3">
        <v>0</v>
      </c>
      <c r="C10" s="1" t="s">
        <v>5</v>
      </c>
      <c r="D10" s="13" t="s">
        <v>28</v>
      </c>
    </row>
    <row r="11" spans="1:4" x14ac:dyDescent="0.25">
      <c r="A11" s="5" t="s">
        <v>10</v>
      </c>
      <c r="B11" s="3">
        <v>20</v>
      </c>
      <c r="C11" s="1" t="s">
        <v>5</v>
      </c>
      <c r="D11" s="13"/>
    </row>
    <row r="12" spans="1:4" ht="15.75" thickBot="1" x14ac:dyDescent="0.3">
      <c r="A12" s="46" t="s">
        <v>11</v>
      </c>
      <c r="B12" s="47">
        <f>B9+B11+B10</f>
        <v>60</v>
      </c>
      <c r="C12" s="48" t="s">
        <v>8</v>
      </c>
      <c r="D12" s="49"/>
    </row>
    <row r="13" spans="1:4" x14ac:dyDescent="0.25">
      <c r="A13" s="4" t="s">
        <v>12</v>
      </c>
      <c r="B13" s="8">
        <v>38181</v>
      </c>
      <c r="C13" s="9" t="s">
        <v>4</v>
      </c>
      <c r="D13" s="10" t="s">
        <v>29</v>
      </c>
    </row>
    <row r="14" spans="1:4" x14ac:dyDescent="0.25">
      <c r="A14" s="5" t="s">
        <v>21</v>
      </c>
      <c r="B14" s="3">
        <f>-1*10*LOG10((4*PI()*B13*1000/B5)^2)</f>
        <v>-204.48780983124277</v>
      </c>
      <c r="C14" s="1" t="s">
        <v>5</v>
      </c>
      <c r="D14" s="13"/>
    </row>
    <row r="15" spans="1:4" x14ac:dyDescent="0.25">
      <c r="A15" s="5" t="s">
        <v>13</v>
      </c>
      <c r="B15" s="3">
        <v>0</v>
      </c>
      <c r="C15" s="1" t="s">
        <v>5</v>
      </c>
      <c r="D15" s="13" t="s">
        <v>77</v>
      </c>
    </row>
    <row r="16" spans="1:4" x14ac:dyDescent="0.25">
      <c r="A16" s="5" t="s">
        <v>6</v>
      </c>
      <c r="B16" s="3">
        <v>-0.15</v>
      </c>
      <c r="C16" s="1" t="s">
        <v>5</v>
      </c>
      <c r="D16" s="13" t="s">
        <v>30</v>
      </c>
    </row>
    <row r="17" spans="1:4" ht="15.75" thickBot="1" x14ac:dyDescent="0.3">
      <c r="A17" s="6" t="s">
        <v>78</v>
      </c>
      <c r="B17" s="7">
        <v>-3</v>
      </c>
      <c r="C17" s="11" t="s">
        <v>5</v>
      </c>
      <c r="D17" s="12"/>
    </row>
    <row r="18" spans="1:4" x14ac:dyDescent="0.25">
      <c r="A18" s="42" t="s">
        <v>16</v>
      </c>
      <c r="B18" s="50">
        <v>39.799999999999997</v>
      </c>
      <c r="C18" s="43" t="s">
        <v>5</v>
      </c>
      <c r="D18" s="44" t="s">
        <v>114</v>
      </c>
    </row>
    <row r="19" spans="1:4" x14ac:dyDescent="0.25">
      <c r="A19" s="5" t="s">
        <v>17</v>
      </c>
      <c r="B19" s="3">
        <f>SUM(B12,B14,B15,B16,B17,B18)</f>
        <v>-107.83780983124278</v>
      </c>
      <c r="C19" s="1" t="s">
        <v>8</v>
      </c>
      <c r="D19" s="13"/>
    </row>
    <row r="20" spans="1:4" ht="30" x14ac:dyDescent="0.25">
      <c r="A20" s="16" t="s">
        <v>36</v>
      </c>
      <c r="B20" s="3">
        <v>100</v>
      </c>
      <c r="C20" s="1" t="s">
        <v>15</v>
      </c>
      <c r="D20" s="13" t="s">
        <v>65</v>
      </c>
    </row>
    <row r="21" spans="1:4" ht="30" x14ac:dyDescent="0.25">
      <c r="A21" s="5" t="s">
        <v>20</v>
      </c>
      <c r="B21" s="3">
        <v>5</v>
      </c>
      <c r="C21" s="1" t="s">
        <v>15</v>
      </c>
      <c r="D21" s="13" t="s">
        <v>31</v>
      </c>
    </row>
    <row r="22" spans="1:4" x14ac:dyDescent="0.25">
      <c r="A22" s="5" t="s">
        <v>18</v>
      </c>
      <c r="B22" s="3">
        <f>SUM(B20:B21)</f>
        <v>105</v>
      </c>
      <c r="C22" s="2" t="s">
        <v>15</v>
      </c>
      <c r="D22" s="13"/>
    </row>
    <row r="23" spans="1:4" x14ac:dyDescent="0.25">
      <c r="A23" s="5" t="s">
        <v>19</v>
      </c>
      <c r="B23" s="3">
        <v>1.34</v>
      </c>
      <c r="C23" s="2" t="s">
        <v>5</v>
      </c>
      <c r="D23" s="13"/>
    </row>
    <row r="24" spans="1:4" ht="15.75" thickBot="1" x14ac:dyDescent="0.3">
      <c r="A24" s="6" t="s">
        <v>34</v>
      </c>
      <c r="B24" s="7">
        <v>2</v>
      </c>
      <c r="C24" s="14" t="s">
        <v>35</v>
      </c>
      <c r="D24" s="12"/>
    </row>
    <row r="25" spans="1:4" x14ac:dyDescent="0.25">
      <c r="A25" s="4" t="s">
        <v>37</v>
      </c>
      <c r="B25" s="8">
        <f>-174 +10*LOG(B24*1000000) +B23</f>
        <v>-109.64970004336018</v>
      </c>
      <c r="C25" s="15" t="s">
        <v>8</v>
      </c>
      <c r="D25" s="10"/>
    </row>
    <row r="26" spans="1:4" x14ac:dyDescent="0.25">
      <c r="A26" s="5" t="s">
        <v>113</v>
      </c>
      <c r="B26" s="3">
        <f>B19-B25</f>
        <v>1.8118902121174045</v>
      </c>
      <c r="C26" s="2" t="s">
        <v>5</v>
      </c>
      <c r="D26" s="13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abSelected="1" topLeftCell="A8" workbookViewId="0">
      <selection activeCell="F6" sqref="F6:F47"/>
    </sheetView>
  </sheetViews>
  <sheetFormatPr defaultRowHeight="15" x14ac:dyDescent="0.25"/>
  <cols>
    <col min="2" max="2" width="11.28515625" bestFit="1" customWidth="1"/>
    <col min="3" max="3" width="15.85546875" bestFit="1" customWidth="1"/>
    <col min="4" max="4" width="9" bestFit="1" customWidth="1"/>
    <col min="5" max="5" width="11.140625" bestFit="1" customWidth="1"/>
    <col min="6" max="8" width="22.7109375" bestFit="1" customWidth="1"/>
  </cols>
  <sheetData>
    <row r="2" spans="2:8" x14ac:dyDescent="0.25">
      <c r="B2" s="55" t="s">
        <v>32</v>
      </c>
      <c r="C2" s="55"/>
      <c r="D2">
        <v>1</v>
      </c>
      <c r="E2" t="s">
        <v>5</v>
      </c>
    </row>
    <row r="3" spans="2:8" x14ac:dyDescent="0.25">
      <c r="B3" s="41"/>
      <c r="C3" s="41"/>
      <c r="D3" s="41"/>
    </row>
    <row r="5" spans="2:8" x14ac:dyDescent="0.25">
      <c r="B5" t="s">
        <v>83</v>
      </c>
      <c r="C5" t="s">
        <v>81</v>
      </c>
      <c r="D5" t="s">
        <v>82</v>
      </c>
      <c r="E5" t="s">
        <v>111</v>
      </c>
      <c r="F5" t="s">
        <v>157</v>
      </c>
      <c r="G5" t="s">
        <v>158</v>
      </c>
      <c r="H5" t="s">
        <v>159</v>
      </c>
    </row>
    <row r="6" spans="2:8" x14ac:dyDescent="0.25">
      <c r="B6" t="s">
        <v>85</v>
      </c>
      <c r="C6" t="s">
        <v>149</v>
      </c>
      <c r="D6" t="s">
        <v>106</v>
      </c>
      <c r="E6">
        <v>-9.9</v>
      </c>
      <c r="F6" s="52">
        <f t="shared" ref="F6:F47" si="0">snr_1 - (E6+imp_loss)</f>
        <v>3.7221901687572174</v>
      </c>
      <c r="G6" s="52">
        <f t="shared" ref="G6:G47" si="1">snr_2 - (E6+imp_loss)</f>
        <v>6.73249012539703</v>
      </c>
      <c r="H6" s="52">
        <f t="shared" ref="H6:H47" si="2">snr_3 - (E6+imp_loss)</f>
        <v>10.711890212117405</v>
      </c>
    </row>
    <row r="7" spans="2:8" x14ac:dyDescent="0.25">
      <c r="B7" t="s">
        <v>85</v>
      </c>
      <c r="C7" t="s">
        <v>150</v>
      </c>
      <c r="D7" t="s">
        <v>107</v>
      </c>
      <c r="E7">
        <v>-8.3000000000000007</v>
      </c>
      <c r="F7" s="52">
        <f t="shared" si="0"/>
        <v>2.1221901687572178</v>
      </c>
      <c r="G7" s="52">
        <f t="shared" si="1"/>
        <v>5.1324901253970303</v>
      </c>
      <c r="H7" s="52">
        <f t="shared" si="2"/>
        <v>9.1118902121174052</v>
      </c>
    </row>
    <row r="8" spans="2:8" x14ac:dyDescent="0.25">
      <c r="B8" t="s">
        <v>85</v>
      </c>
      <c r="C8" t="s">
        <v>151</v>
      </c>
      <c r="D8" t="s">
        <v>106</v>
      </c>
      <c r="E8">
        <v>-6.85</v>
      </c>
      <c r="F8" s="52">
        <f t="shared" si="0"/>
        <v>0.67219016875721671</v>
      </c>
      <c r="G8" s="52">
        <f t="shared" si="1"/>
        <v>3.6824901253970292</v>
      </c>
      <c r="H8" s="52">
        <f t="shared" si="2"/>
        <v>7.6618902121174042</v>
      </c>
    </row>
    <row r="9" spans="2:8" x14ac:dyDescent="0.25">
      <c r="B9" t="s">
        <v>85</v>
      </c>
      <c r="C9" t="s">
        <v>152</v>
      </c>
      <c r="D9" t="s">
        <v>106</v>
      </c>
      <c r="E9">
        <v>-6.1</v>
      </c>
      <c r="F9" s="52">
        <f t="shared" si="0"/>
        <v>-7.7809831242783289E-2</v>
      </c>
      <c r="G9" s="52">
        <f t="shared" si="1"/>
        <v>2.9324901253970292</v>
      </c>
      <c r="H9" s="52">
        <f t="shared" si="2"/>
        <v>6.9118902121174042</v>
      </c>
    </row>
    <row r="10" spans="2:8" x14ac:dyDescent="0.25">
      <c r="B10" t="s">
        <v>85</v>
      </c>
      <c r="C10" t="s">
        <v>154</v>
      </c>
      <c r="D10" t="s">
        <v>107</v>
      </c>
      <c r="E10">
        <v>-5.5</v>
      </c>
      <c r="F10" s="52">
        <f t="shared" si="0"/>
        <v>-0.67780983124278293</v>
      </c>
      <c r="G10" s="52">
        <f t="shared" si="1"/>
        <v>2.3324901253970296</v>
      </c>
      <c r="H10" s="52">
        <f t="shared" si="2"/>
        <v>6.3118902121174045</v>
      </c>
    </row>
    <row r="11" spans="2:8" x14ac:dyDescent="0.25">
      <c r="B11" t="s">
        <v>85</v>
      </c>
      <c r="C11" t="s">
        <v>155</v>
      </c>
      <c r="D11" t="s">
        <v>108</v>
      </c>
      <c r="E11">
        <v>-4.9000000000000004</v>
      </c>
      <c r="F11" s="52">
        <f t="shared" si="0"/>
        <v>-1.2778098312427826</v>
      </c>
      <c r="G11" s="52">
        <f t="shared" si="1"/>
        <v>1.73249012539703</v>
      </c>
      <c r="H11" s="52">
        <f t="shared" si="2"/>
        <v>5.7118902121174049</v>
      </c>
    </row>
    <row r="12" spans="2:8" x14ac:dyDescent="0.25">
      <c r="B12" t="s">
        <v>85</v>
      </c>
      <c r="C12" t="s">
        <v>156</v>
      </c>
      <c r="D12" t="s">
        <v>94</v>
      </c>
      <c r="E12">
        <v>-4</v>
      </c>
      <c r="F12" s="52">
        <f t="shared" si="0"/>
        <v>-2.1778098312427829</v>
      </c>
      <c r="G12" s="52">
        <f t="shared" si="1"/>
        <v>0.8324901253970296</v>
      </c>
      <c r="H12" s="52">
        <f t="shared" si="2"/>
        <v>4.8118902121174045</v>
      </c>
    </row>
    <row r="13" spans="2:8" x14ac:dyDescent="0.25">
      <c r="B13" t="s">
        <v>85</v>
      </c>
      <c r="C13" t="s">
        <v>153</v>
      </c>
      <c r="D13" t="s">
        <v>94</v>
      </c>
      <c r="E13">
        <v>-3.72</v>
      </c>
      <c r="F13" s="52">
        <f t="shared" si="0"/>
        <v>-2.4578098312427827</v>
      </c>
      <c r="G13" s="52">
        <f t="shared" si="1"/>
        <v>0.5524901253970298</v>
      </c>
      <c r="H13" s="52">
        <f t="shared" si="2"/>
        <v>4.5318902121174052</v>
      </c>
    </row>
    <row r="14" spans="2:8" x14ac:dyDescent="0.25">
      <c r="B14" t="s">
        <v>85</v>
      </c>
      <c r="C14" t="s">
        <v>132</v>
      </c>
      <c r="D14" t="s">
        <v>103</v>
      </c>
      <c r="E14">
        <v>-2.85</v>
      </c>
      <c r="F14" s="52">
        <f t="shared" si="0"/>
        <v>-3.3278098312427828</v>
      </c>
      <c r="G14" s="52">
        <f t="shared" si="1"/>
        <v>-0.31750987460297031</v>
      </c>
      <c r="H14" s="52">
        <f t="shared" si="2"/>
        <v>3.6618902121174046</v>
      </c>
    </row>
    <row r="15" spans="2:8" x14ac:dyDescent="0.25">
      <c r="B15" t="s">
        <v>85</v>
      </c>
      <c r="C15" t="s">
        <v>139</v>
      </c>
      <c r="D15" t="s">
        <v>107</v>
      </c>
      <c r="E15">
        <v>-2.5</v>
      </c>
      <c r="F15" s="52">
        <f t="shared" si="0"/>
        <v>-3.6778098312427829</v>
      </c>
      <c r="G15" s="52">
        <f t="shared" si="1"/>
        <v>-0.6675098746029704</v>
      </c>
      <c r="H15" s="52">
        <f t="shared" si="2"/>
        <v>3.3118902121174045</v>
      </c>
    </row>
    <row r="16" spans="2:8" x14ac:dyDescent="0.25">
      <c r="B16" t="s">
        <v>85</v>
      </c>
      <c r="C16" t="s">
        <v>140</v>
      </c>
      <c r="D16" t="s">
        <v>108</v>
      </c>
      <c r="E16">
        <v>-2.2400000000000002</v>
      </c>
      <c r="F16" s="52">
        <f t="shared" si="0"/>
        <v>-3.9378098312427827</v>
      </c>
      <c r="G16" s="52">
        <f t="shared" si="1"/>
        <v>-0.92750987460297019</v>
      </c>
      <c r="H16" s="52">
        <f t="shared" si="2"/>
        <v>3.0518902121174047</v>
      </c>
    </row>
    <row r="17" spans="2:8" x14ac:dyDescent="0.25">
      <c r="B17" t="s">
        <v>84</v>
      </c>
      <c r="C17" t="s">
        <v>115</v>
      </c>
      <c r="D17" t="s">
        <v>93</v>
      </c>
      <c r="E17">
        <v>-2.35</v>
      </c>
      <c r="F17" s="52">
        <f t="shared" si="0"/>
        <v>-3.8278098312427828</v>
      </c>
      <c r="G17" s="52">
        <f t="shared" si="1"/>
        <v>-0.81750987460297031</v>
      </c>
      <c r="H17" s="52">
        <f t="shared" si="2"/>
        <v>3.1618902121174046</v>
      </c>
    </row>
    <row r="18" spans="2:8" x14ac:dyDescent="0.25">
      <c r="B18" t="s">
        <v>85</v>
      </c>
      <c r="C18" t="s">
        <v>133</v>
      </c>
      <c r="D18" t="s">
        <v>86</v>
      </c>
      <c r="E18">
        <v>-2.0299999999999998</v>
      </c>
      <c r="F18" s="52">
        <f t="shared" si="0"/>
        <v>-4.1478098312427836</v>
      </c>
      <c r="G18" s="52">
        <f t="shared" si="1"/>
        <v>-1.1375098746029706</v>
      </c>
      <c r="H18" s="52">
        <f t="shared" si="2"/>
        <v>2.8418902121174043</v>
      </c>
    </row>
    <row r="19" spans="2:8" x14ac:dyDescent="0.25">
      <c r="B19" t="s">
        <v>85</v>
      </c>
      <c r="C19" t="s">
        <v>141</v>
      </c>
      <c r="D19" t="s">
        <v>90</v>
      </c>
      <c r="E19">
        <v>-1.46</v>
      </c>
      <c r="F19" s="52">
        <f t="shared" si="0"/>
        <v>-4.717809831242783</v>
      </c>
      <c r="G19" s="52">
        <f t="shared" si="1"/>
        <v>-1.7075098746029704</v>
      </c>
      <c r="H19" s="52">
        <f t="shared" si="2"/>
        <v>2.2718902121174045</v>
      </c>
    </row>
    <row r="20" spans="2:8" x14ac:dyDescent="0.25">
      <c r="B20" t="s">
        <v>84</v>
      </c>
      <c r="C20" t="s">
        <v>116</v>
      </c>
      <c r="D20" t="s">
        <v>94</v>
      </c>
      <c r="E20">
        <v>-1.24</v>
      </c>
      <c r="F20" s="52">
        <f t="shared" si="0"/>
        <v>-4.9378098312427827</v>
      </c>
      <c r="G20" s="52">
        <f t="shared" si="1"/>
        <v>-1.9275098746029704</v>
      </c>
      <c r="H20" s="52">
        <f t="shared" si="2"/>
        <v>2.0518902121174047</v>
      </c>
    </row>
    <row r="21" spans="2:8" x14ac:dyDescent="0.25">
      <c r="B21" t="s">
        <v>84</v>
      </c>
      <c r="C21" t="s">
        <v>117</v>
      </c>
      <c r="D21" t="s">
        <v>95</v>
      </c>
      <c r="E21">
        <v>-0.3</v>
      </c>
      <c r="F21" s="52">
        <f t="shared" si="0"/>
        <v>-5.8778098312427831</v>
      </c>
      <c r="G21" s="52">
        <f t="shared" si="1"/>
        <v>-2.8675098746029706</v>
      </c>
      <c r="H21" s="52">
        <f t="shared" si="2"/>
        <v>1.1118902121174046</v>
      </c>
    </row>
    <row r="22" spans="2:8" x14ac:dyDescent="0.25">
      <c r="B22" t="s">
        <v>85</v>
      </c>
      <c r="C22" t="s">
        <v>134</v>
      </c>
      <c r="D22" t="s">
        <v>104</v>
      </c>
      <c r="E22">
        <v>0.22</v>
      </c>
      <c r="F22" s="52">
        <f t="shared" si="0"/>
        <v>-6.3978098312427827</v>
      </c>
      <c r="G22" s="52">
        <f t="shared" si="1"/>
        <v>-3.3875098746029702</v>
      </c>
      <c r="H22" s="52">
        <f t="shared" si="2"/>
        <v>0.59189021211740456</v>
      </c>
    </row>
    <row r="23" spans="2:8" x14ac:dyDescent="0.25">
      <c r="B23" t="s">
        <v>85</v>
      </c>
      <c r="C23" t="s">
        <v>142</v>
      </c>
      <c r="D23" t="s">
        <v>109</v>
      </c>
      <c r="E23">
        <v>0.6</v>
      </c>
      <c r="F23" s="52">
        <f t="shared" si="0"/>
        <v>-6.7778098312427826</v>
      </c>
      <c r="G23" s="52">
        <f t="shared" si="1"/>
        <v>-3.7675098746029705</v>
      </c>
      <c r="H23" s="52">
        <f t="shared" si="2"/>
        <v>0.21189021211740444</v>
      </c>
    </row>
    <row r="24" spans="2:8" x14ac:dyDescent="0.25">
      <c r="B24" t="s">
        <v>84</v>
      </c>
      <c r="C24" t="s">
        <v>118</v>
      </c>
      <c r="D24" s="53" t="s">
        <v>112</v>
      </c>
      <c r="E24">
        <v>1</v>
      </c>
      <c r="F24" s="52">
        <f t="shared" si="0"/>
        <v>-7.1778098312427829</v>
      </c>
      <c r="G24" s="52">
        <f t="shared" si="1"/>
        <v>-4.1675098746029704</v>
      </c>
      <c r="H24" s="52">
        <f t="shared" si="2"/>
        <v>-0.18810978788259547</v>
      </c>
    </row>
    <row r="25" spans="2:8" x14ac:dyDescent="0.25">
      <c r="B25" t="s">
        <v>85</v>
      </c>
      <c r="C25" t="s">
        <v>135</v>
      </c>
      <c r="D25" t="s">
        <v>105</v>
      </c>
      <c r="E25">
        <v>1.45</v>
      </c>
      <c r="F25" s="52">
        <f t="shared" si="0"/>
        <v>-7.6278098312427831</v>
      </c>
      <c r="G25" s="52">
        <f t="shared" si="1"/>
        <v>-4.6175098746029706</v>
      </c>
      <c r="H25" s="52">
        <f t="shared" si="2"/>
        <v>-0.63810978788259565</v>
      </c>
    </row>
    <row r="26" spans="2:8" x14ac:dyDescent="0.25">
      <c r="B26" t="s">
        <v>85</v>
      </c>
      <c r="C26" t="s">
        <v>143</v>
      </c>
      <c r="D26" t="s">
        <v>110</v>
      </c>
      <c r="E26">
        <v>1.45</v>
      </c>
      <c r="F26" s="52">
        <f t="shared" si="0"/>
        <v>-7.6278098312427831</v>
      </c>
      <c r="G26" s="52">
        <f t="shared" si="1"/>
        <v>-4.6175098746029706</v>
      </c>
      <c r="H26" s="52">
        <f t="shared" si="2"/>
        <v>-0.63810978788259565</v>
      </c>
    </row>
    <row r="27" spans="2:8" x14ac:dyDescent="0.25">
      <c r="B27" t="s">
        <v>84</v>
      </c>
      <c r="C27" t="s">
        <v>119</v>
      </c>
      <c r="D27" t="s">
        <v>96</v>
      </c>
      <c r="E27">
        <v>2.23</v>
      </c>
      <c r="F27" s="52">
        <f t="shared" si="0"/>
        <v>-8.4078098312427834</v>
      </c>
      <c r="G27" s="52">
        <f t="shared" si="1"/>
        <v>-5.3975098746029708</v>
      </c>
      <c r="H27" s="52">
        <f t="shared" si="2"/>
        <v>-1.4181097878825955</v>
      </c>
    </row>
    <row r="28" spans="2:8" x14ac:dyDescent="0.25">
      <c r="B28" t="s">
        <v>84</v>
      </c>
      <c r="C28" t="s">
        <v>120</v>
      </c>
      <c r="D28" t="s">
        <v>97</v>
      </c>
      <c r="E28">
        <v>3.1</v>
      </c>
      <c r="F28" s="52">
        <f t="shared" si="0"/>
        <v>-9.2778098312427826</v>
      </c>
      <c r="G28" s="52">
        <f t="shared" si="1"/>
        <v>-6.26750987460297</v>
      </c>
      <c r="H28" s="52">
        <f t="shared" si="2"/>
        <v>-2.2881097878825951</v>
      </c>
    </row>
    <row r="29" spans="2:8" x14ac:dyDescent="0.25">
      <c r="B29" t="s">
        <v>85</v>
      </c>
      <c r="C29" t="s">
        <v>144</v>
      </c>
      <c r="D29" t="s">
        <v>91</v>
      </c>
      <c r="E29">
        <v>3.66</v>
      </c>
      <c r="F29" s="52">
        <f t="shared" si="0"/>
        <v>-9.8378098312427831</v>
      </c>
      <c r="G29" s="52">
        <f t="shared" si="1"/>
        <v>-6.8275098746029705</v>
      </c>
      <c r="H29" s="52">
        <f t="shared" si="2"/>
        <v>-2.8481097878825956</v>
      </c>
    </row>
    <row r="30" spans="2:8" x14ac:dyDescent="0.25">
      <c r="B30" t="s">
        <v>84</v>
      </c>
      <c r="C30" t="s">
        <v>121</v>
      </c>
      <c r="D30" t="s">
        <v>98</v>
      </c>
      <c r="E30">
        <v>4.03</v>
      </c>
      <c r="F30" s="52">
        <f t="shared" si="0"/>
        <v>-10.207809831242784</v>
      </c>
      <c r="G30" s="52">
        <f t="shared" si="1"/>
        <v>-7.1975098746029706</v>
      </c>
      <c r="H30" s="52">
        <f t="shared" si="2"/>
        <v>-3.2181097878825957</v>
      </c>
    </row>
    <row r="31" spans="2:8" x14ac:dyDescent="0.25">
      <c r="B31" t="s">
        <v>84</v>
      </c>
      <c r="C31" t="s">
        <v>122</v>
      </c>
      <c r="D31" t="s">
        <v>99</v>
      </c>
      <c r="E31">
        <v>4.68</v>
      </c>
      <c r="F31" s="52">
        <f t="shared" si="0"/>
        <v>-10.857809831242783</v>
      </c>
      <c r="G31" s="52">
        <f t="shared" si="1"/>
        <v>-7.8475098746029701</v>
      </c>
      <c r="H31" s="52">
        <f t="shared" si="2"/>
        <v>-3.8681097878825952</v>
      </c>
    </row>
    <row r="32" spans="2:8" x14ac:dyDescent="0.25">
      <c r="B32" t="s">
        <v>84</v>
      </c>
      <c r="C32" t="s">
        <v>123</v>
      </c>
      <c r="D32" t="s">
        <v>100</v>
      </c>
      <c r="E32">
        <v>5.18</v>
      </c>
      <c r="F32" s="52">
        <f t="shared" si="0"/>
        <v>-11.357809831242783</v>
      </c>
      <c r="G32" s="52">
        <f t="shared" si="1"/>
        <v>-8.3475098746029701</v>
      </c>
      <c r="H32" s="52">
        <f t="shared" si="2"/>
        <v>-4.3681097878825952</v>
      </c>
    </row>
    <row r="33" spans="2:8" x14ac:dyDescent="0.25">
      <c r="B33" t="s">
        <v>84</v>
      </c>
      <c r="C33" t="s">
        <v>124</v>
      </c>
      <c r="D33" t="s">
        <v>101</v>
      </c>
      <c r="E33">
        <v>6.2</v>
      </c>
      <c r="F33" s="52">
        <f t="shared" si="0"/>
        <v>-12.377809831242782</v>
      </c>
      <c r="G33" s="52">
        <f t="shared" si="1"/>
        <v>-9.3675098746029697</v>
      </c>
      <c r="H33" s="52">
        <f t="shared" si="2"/>
        <v>-5.3881097878825956</v>
      </c>
    </row>
    <row r="34" spans="2:8" x14ac:dyDescent="0.25">
      <c r="B34" t="s">
        <v>84</v>
      </c>
      <c r="C34" t="s">
        <v>125</v>
      </c>
      <c r="D34" t="s">
        <v>102</v>
      </c>
      <c r="E34">
        <v>6.42</v>
      </c>
      <c r="F34" s="52">
        <f t="shared" si="0"/>
        <v>-12.597809831242783</v>
      </c>
      <c r="G34" s="52">
        <f t="shared" si="1"/>
        <v>-9.5875098746029703</v>
      </c>
      <c r="H34" s="52">
        <f t="shared" si="2"/>
        <v>-5.6081097878825954</v>
      </c>
    </row>
    <row r="35" spans="2:8" x14ac:dyDescent="0.25">
      <c r="B35" t="s">
        <v>85</v>
      </c>
      <c r="C35" t="s">
        <v>145</v>
      </c>
      <c r="D35" t="s">
        <v>109</v>
      </c>
      <c r="E35">
        <v>3.83</v>
      </c>
      <c r="F35" s="52">
        <f t="shared" si="0"/>
        <v>-10.007809831242783</v>
      </c>
      <c r="G35" s="52">
        <f t="shared" si="1"/>
        <v>-6.9975098746029705</v>
      </c>
      <c r="H35" s="52">
        <f t="shared" si="2"/>
        <v>-3.0181097878825955</v>
      </c>
    </row>
    <row r="36" spans="2:8" x14ac:dyDescent="0.25">
      <c r="B36" t="s">
        <v>85</v>
      </c>
      <c r="C36" t="s">
        <v>146</v>
      </c>
      <c r="D36" t="s">
        <v>110</v>
      </c>
      <c r="E36">
        <v>4.71</v>
      </c>
      <c r="F36" s="52">
        <f t="shared" si="0"/>
        <v>-10.887809831242784</v>
      </c>
      <c r="G36" s="52">
        <f t="shared" si="1"/>
        <v>-7.8775098746029704</v>
      </c>
      <c r="H36" s="52">
        <f t="shared" si="2"/>
        <v>-3.8981097878825954</v>
      </c>
    </row>
    <row r="37" spans="2:8" x14ac:dyDescent="0.25">
      <c r="B37" t="s">
        <v>85</v>
      </c>
      <c r="C37" t="s">
        <v>147</v>
      </c>
      <c r="D37" t="s">
        <v>92</v>
      </c>
      <c r="E37">
        <v>5.52</v>
      </c>
      <c r="F37" s="52">
        <f t="shared" si="0"/>
        <v>-11.697809831242783</v>
      </c>
      <c r="G37" s="52">
        <f t="shared" si="1"/>
        <v>-8.68750987460297</v>
      </c>
      <c r="H37" s="52">
        <f t="shared" si="2"/>
        <v>-4.708109787882595</v>
      </c>
    </row>
    <row r="38" spans="2:8" x14ac:dyDescent="0.25">
      <c r="B38" t="s">
        <v>84</v>
      </c>
      <c r="C38" t="s">
        <v>126</v>
      </c>
      <c r="D38" t="s">
        <v>96</v>
      </c>
      <c r="E38">
        <v>5.5</v>
      </c>
      <c r="F38" s="52">
        <f t="shared" si="0"/>
        <v>-11.677809831242783</v>
      </c>
      <c r="G38" s="52">
        <f t="shared" si="1"/>
        <v>-8.6675098746029704</v>
      </c>
      <c r="H38" s="52">
        <f t="shared" si="2"/>
        <v>-4.6881097878825955</v>
      </c>
    </row>
    <row r="39" spans="2:8" x14ac:dyDescent="0.25">
      <c r="B39" t="s">
        <v>85</v>
      </c>
      <c r="C39" t="s">
        <v>136</v>
      </c>
      <c r="D39" t="s">
        <v>87</v>
      </c>
      <c r="E39">
        <v>6.12</v>
      </c>
      <c r="F39" s="52">
        <f t="shared" si="0"/>
        <v>-12.297809831242784</v>
      </c>
      <c r="G39" s="52">
        <f t="shared" si="1"/>
        <v>-9.2875098746029714</v>
      </c>
      <c r="H39" s="52">
        <f t="shared" si="2"/>
        <v>-5.3081097878825956</v>
      </c>
    </row>
    <row r="40" spans="2:8" x14ac:dyDescent="0.25">
      <c r="B40" t="s">
        <v>84</v>
      </c>
      <c r="C40" t="s">
        <v>127</v>
      </c>
      <c r="D40" t="s">
        <v>97</v>
      </c>
      <c r="E40">
        <v>6.62</v>
      </c>
      <c r="F40" s="52">
        <f t="shared" si="0"/>
        <v>-12.797809831242784</v>
      </c>
      <c r="G40" s="52">
        <f t="shared" si="1"/>
        <v>-9.7875098746029714</v>
      </c>
      <c r="H40" s="52">
        <f t="shared" si="2"/>
        <v>-5.8081097878825956</v>
      </c>
    </row>
    <row r="41" spans="2:8" x14ac:dyDescent="0.25">
      <c r="B41" t="s">
        <v>85</v>
      </c>
      <c r="C41" t="s">
        <v>137</v>
      </c>
      <c r="D41" t="s">
        <v>88</v>
      </c>
      <c r="E41">
        <v>7.02</v>
      </c>
      <c r="F41" s="52">
        <f t="shared" si="0"/>
        <v>-13.197809831242783</v>
      </c>
      <c r="G41" s="52">
        <f t="shared" si="1"/>
        <v>-10.18750987460297</v>
      </c>
      <c r="H41" s="52">
        <f t="shared" si="2"/>
        <v>-6.208109787882595</v>
      </c>
    </row>
    <row r="42" spans="2:8" x14ac:dyDescent="0.25">
      <c r="B42" t="s">
        <v>85</v>
      </c>
      <c r="C42" t="s">
        <v>138</v>
      </c>
      <c r="D42" t="s">
        <v>89</v>
      </c>
      <c r="E42">
        <v>7.49</v>
      </c>
      <c r="F42" s="52">
        <f t="shared" si="0"/>
        <v>-13.667809831242783</v>
      </c>
      <c r="G42" s="52">
        <f t="shared" si="1"/>
        <v>-10.657509874602971</v>
      </c>
      <c r="H42" s="52">
        <f t="shared" si="2"/>
        <v>-6.6781097878825957</v>
      </c>
    </row>
    <row r="43" spans="2:8" x14ac:dyDescent="0.25">
      <c r="B43" t="s">
        <v>85</v>
      </c>
      <c r="C43" t="s">
        <v>148</v>
      </c>
      <c r="D43" t="s">
        <v>91</v>
      </c>
      <c r="E43">
        <v>7.54</v>
      </c>
      <c r="F43" s="52">
        <f t="shared" si="0"/>
        <v>-13.717809831242782</v>
      </c>
      <c r="G43" s="52">
        <f t="shared" si="1"/>
        <v>-10.70750987460297</v>
      </c>
      <c r="H43" s="52">
        <f t="shared" si="2"/>
        <v>-6.7281097878825946</v>
      </c>
    </row>
    <row r="44" spans="2:8" x14ac:dyDescent="0.25">
      <c r="B44" t="s">
        <v>84</v>
      </c>
      <c r="C44" t="s">
        <v>128</v>
      </c>
      <c r="D44" t="s">
        <v>98</v>
      </c>
      <c r="E44">
        <v>7.91</v>
      </c>
      <c r="F44" s="52">
        <f t="shared" si="0"/>
        <v>-14.087809831242783</v>
      </c>
      <c r="G44" s="52">
        <f t="shared" si="1"/>
        <v>-11.077509874602971</v>
      </c>
      <c r="H44" s="52">
        <f t="shared" si="2"/>
        <v>-7.0981097878825956</v>
      </c>
    </row>
    <row r="45" spans="2:8" x14ac:dyDescent="0.25">
      <c r="B45" t="s">
        <v>84</v>
      </c>
      <c r="C45" t="s">
        <v>129</v>
      </c>
      <c r="D45" t="s">
        <v>100</v>
      </c>
      <c r="E45">
        <v>9.35</v>
      </c>
      <c r="F45" s="52">
        <f t="shared" si="0"/>
        <v>-15.527809831242783</v>
      </c>
      <c r="G45" s="52">
        <f t="shared" si="1"/>
        <v>-12.51750987460297</v>
      </c>
      <c r="H45" s="52">
        <f t="shared" si="2"/>
        <v>-8.5381097878825951</v>
      </c>
    </row>
    <row r="46" spans="2:8" x14ac:dyDescent="0.25">
      <c r="B46" t="s">
        <v>84</v>
      </c>
      <c r="C46" t="s">
        <v>130</v>
      </c>
      <c r="D46" t="s">
        <v>101</v>
      </c>
      <c r="E46">
        <v>10.69</v>
      </c>
      <c r="F46" s="52">
        <f t="shared" si="0"/>
        <v>-16.867809831242781</v>
      </c>
      <c r="G46" s="52">
        <f t="shared" si="1"/>
        <v>-13.85750987460297</v>
      </c>
      <c r="H46" s="52">
        <f t="shared" si="2"/>
        <v>-9.878109787882595</v>
      </c>
    </row>
    <row r="47" spans="2:8" x14ac:dyDescent="0.25">
      <c r="B47" t="s">
        <v>84</v>
      </c>
      <c r="C47" t="s">
        <v>131</v>
      </c>
      <c r="D47" t="s">
        <v>102</v>
      </c>
      <c r="E47">
        <v>10.98</v>
      </c>
      <c r="F47" s="52">
        <f t="shared" si="0"/>
        <v>-17.157809831242783</v>
      </c>
      <c r="G47" s="52">
        <f t="shared" si="1"/>
        <v>-14.147509874602971</v>
      </c>
      <c r="H47" s="52">
        <f t="shared" si="2"/>
        <v>-10.168109787882596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topLeftCell="A7" workbookViewId="0">
      <selection activeCell="C17" sqref="C17"/>
    </sheetView>
  </sheetViews>
  <sheetFormatPr defaultRowHeight="15" x14ac:dyDescent="0.25"/>
  <cols>
    <col min="3" max="3" width="12.5703125" bestFit="1" customWidth="1"/>
    <col min="4" max="4" width="11.85546875" bestFit="1" customWidth="1"/>
    <col min="6" max="6" width="11.5703125" bestFit="1" customWidth="1"/>
    <col min="7" max="7" width="12.5703125" bestFit="1" customWidth="1"/>
    <col min="8" max="8" width="11.85546875" bestFit="1" customWidth="1"/>
    <col min="12" max="12" width="11.85546875" bestFit="1" customWidth="1"/>
  </cols>
  <sheetData>
    <row r="2" spans="1:14" x14ac:dyDescent="0.25">
      <c r="B2" s="56" t="s">
        <v>52</v>
      </c>
      <c r="C2" s="57"/>
      <c r="D2" s="58"/>
    </row>
    <row r="3" spans="1:14" x14ac:dyDescent="0.25">
      <c r="B3" s="23" t="s">
        <v>38</v>
      </c>
      <c r="C3" s="24">
        <v>299792458</v>
      </c>
      <c r="D3" s="25" t="s">
        <v>39</v>
      </c>
    </row>
    <row r="4" spans="1:14" ht="15.75" thickBot="1" x14ac:dyDescent="0.3">
      <c r="B4" s="26" t="s">
        <v>40</v>
      </c>
      <c r="C4" s="45">
        <v>10.475</v>
      </c>
      <c r="D4" s="27" t="s">
        <v>0</v>
      </c>
    </row>
    <row r="5" spans="1:14" x14ac:dyDescent="0.25">
      <c r="B5" s="28" t="s">
        <v>41</v>
      </c>
      <c r="C5" s="29">
        <f>C3/(C4*1000000000)</f>
        <v>2.8619805059665871E-2</v>
      </c>
      <c r="D5" s="30" t="s">
        <v>3</v>
      </c>
    </row>
    <row r="7" spans="1:14" ht="15.75" thickBot="1" x14ac:dyDescent="0.3">
      <c r="A7" s="59" t="s">
        <v>66</v>
      </c>
      <c r="B7" s="59"/>
      <c r="C7" s="59"/>
      <c r="D7" s="59"/>
      <c r="E7" s="59"/>
      <c r="F7" s="59"/>
      <c r="G7" s="59"/>
      <c r="H7" s="59"/>
    </row>
    <row r="8" spans="1:14" x14ac:dyDescent="0.25">
      <c r="A8" s="40"/>
      <c r="B8" s="60" t="s">
        <v>56</v>
      </c>
      <c r="C8" s="61"/>
      <c r="D8" s="62"/>
      <c r="E8" s="40"/>
      <c r="F8" s="60" t="s">
        <v>56</v>
      </c>
      <c r="G8" s="61"/>
      <c r="H8" s="62"/>
    </row>
    <row r="9" spans="1:14" x14ac:dyDescent="0.25">
      <c r="A9" s="40"/>
      <c r="B9" s="23" t="s">
        <v>57</v>
      </c>
      <c r="C9" s="36">
        <v>1</v>
      </c>
      <c r="D9" s="25" t="s">
        <v>5</v>
      </c>
      <c r="E9" s="40"/>
      <c r="F9" s="23" t="s">
        <v>61</v>
      </c>
      <c r="G9" s="36">
        <v>105</v>
      </c>
      <c r="H9" s="25" t="s">
        <v>15</v>
      </c>
    </row>
    <row r="10" spans="1:14" ht="15.75" thickBot="1" x14ac:dyDescent="0.3">
      <c r="A10" s="40"/>
      <c r="B10" s="26" t="s">
        <v>58</v>
      </c>
      <c r="C10" s="21">
        <v>290</v>
      </c>
      <c r="D10" s="27" t="s">
        <v>15</v>
      </c>
      <c r="E10" s="40"/>
      <c r="F10" s="26" t="s">
        <v>58</v>
      </c>
      <c r="G10" s="21">
        <v>290</v>
      </c>
      <c r="H10" s="27" t="s">
        <v>15</v>
      </c>
    </row>
    <row r="11" spans="1:14" x14ac:dyDescent="0.25">
      <c r="A11" s="40"/>
      <c r="B11" s="34" t="s">
        <v>61</v>
      </c>
      <c r="C11" s="38">
        <f>C10*(POWER(10,C9/10)-1)</f>
        <v>75.08836942030851</v>
      </c>
      <c r="D11" s="30" t="s">
        <v>15</v>
      </c>
      <c r="E11" s="40"/>
      <c r="F11" s="34" t="s">
        <v>57</v>
      </c>
      <c r="G11" s="35">
        <f>10*LOG10(G9/G10+1)</f>
        <v>1.3419909772750414</v>
      </c>
      <c r="H11" s="30" t="s">
        <v>5</v>
      </c>
    </row>
    <row r="12" spans="1:14" x14ac:dyDescent="0.25">
      <c r="A12" s="40"/>
      <c r="B12" s="40"/>
      <c r="C12" s="40"/>
      <c r="D12" s="40"/>
      <c r="E12" s="40"/>
      <c r="F12" s="40"/>
      <c r="G12" s="40"/>
      <c r="H12" s="40"/>
    </row>
    <row r="13" spans="1:14" ht="15.75" thickBot="1" x14ac:dyDescent="0.3">
      <c r="A13" s="59" t="s">
        <v>67</v>
      </c>
      <c r="B13" s="59"/>
      <c r="C13" s="59"/>
      <c r="D13" s="59"/>
      <c r="E13" s="59"/>
      <c r="F13" s="59"/>
      <c r="G13" s="59"/>
      <c r="H13" s="59"/>
    </row>
    <row r="14" spans="1:14" x14ac:dyDescent="0.25">
      <c r="A14" s="40"/>
      <c r="B14" s="40"/>
      <c r="C14" s="40"/>
      <c r="D14" s="40"/>
      <c r="E14" s="40"/>
      <c r="F14" s="40"/>
      <c r="G14" s="40"/>
      <c r="H14" s="40"/>
      <c r="N14">
        <f>39.8+8.1</f>
        <v>47.9</v>
      </c>
    </row>
    <row r="15" spans="1:14" x14ac:dyDescent="0.25">
      <c r="A15" s="40"/>
      <c r="B15" s="56" t="s">
        <v>53</v>
      </c>
      <c r="C15" s="57"/>
      <c r="D15" s="58"/>
      <c r="E15" s="40"/>
      <c r="F15" s="56" t="s">
        <v>54</v>
      </c>
      <c r="G15" s="57"/>
      <c r="H15" s="58"/>
    </row>
    <row r="16" spans="1:14" x14ac:dyDescent="0.25">
      <c r="A16" s="40"/>
      <c r="B16" s="23" t="s">
        <v>42</v>
      </c>
      <c r="C16" s="24">
        <v>2.4</v>
      </c>
      <c r="D16" s="25" t="s">
        <v>3</v>
      </c>
      <c r="E16" s="40"/>
      <c r="F16" s="23" t="s">
        <v>45</v>
      </c>
      <c r="G16" s="39">
        <v>70</v>
      </c>
      <c r="H16" s="25"/>
    </row>
    <row r="17" spans="1:11" x14ac:dyDescent="0.25">
      <c r="A17" s="40"/>
      <c r="B17" s="31" t="s">
        <v>41</v>
      </c>
      <c r="C17" s="32">
        <f>C5</f>
        <v>2.8619805059665871E-2</v>
      </c>
      <c r="D17" s="25" t="s">
        <v>3</v>
      </c>
      <c r="E17" s="40"/>
      <c r="F17" s="31" t="s">
        <v>41</v>
      </c>
      <c r="G17" s="32">
        <f>C5</f>
        <v>2.8619805059665871E-2</v>
      </c>
      <c r="H17" s="25" t="s">
        <v>3</v>
      </c>
    </row>
    <row r="18" spans="1:11" ht="15.75" thickBot="1" x14ac:dyDescent="0.3">
      <c r="A18" s="40"/>
      <c r="B18" s="33" t="s">
        <v>43</v>
      </c>
      <c r="C18" s="22">
        <v>0.55000000000000004</v>
      </c>
      <c r="D18" s="27" t="s">
        <v>47</v>
      </c>
      <c r="E18" s="40"/>
      <c r="F18" s="26" t="s">
        <v>42</v>
      </c>
      <c r="G18" s="22">
        <f>C16</f>
        <v>2.4</v>
      </c>
      <c r="H18" s="27" t="s">
        <v>3</v>
      </c>
    </row>
    <row r="19" spans="1:11" x14ac:dyDescent="0.25">
      <c r="A19" s="40"/>
      <c r="B19" s="34" t="s">
        <v>44</v>
      </c>
      <c r="C19" s="35">
        <f>10*LOG10(POWER(PI()*C16/C17,2)*C18)</f>
        <v>45.817515757265348</v>
      </c>
      <c r="D19" s="30" t="s">
        <v>48</v>
      </c>
      <c r="E19" s="40"/>
      <c r="F19" s="28" t="s">
        <v>46</v>
      </c>
      <c r="G19" s="35">
        <f>G16*G17/G18</f>
        <v>0.83474431424025464</v>
      </c>
      <c r="H19" s="30" t="s">
        <v>49</v>
      </c>
    </row>
    <row r="20" spans="1:11" x14ac:dyDescent="0.25">
      <c r="A20" s="40"/>
      <c r="B20" s="40"/>
      <c r="C20" s="40"/>
      <c r="D20" s="40"/>
      <c r="E20" s="40"/>
      <c r="F20" s="40"/>
      <c r="G20" s="40"/>
      <c r="H20" s="40"/>
    </row>
    <row r="21" spans="1:11" x14ac:dyDescent="0.25">
      <c r="A21" s="40"/>
      <c r="B21" s="56" t="s">
        <v>63</v>
      </c>
      <c r="C21" s="57"/>
      <c r="D21" s="58"/>
      <c r="E21" s="40"/>
      <c r="F21" s="56" t="s">
        <v>64</v>
      </c>
      <c r="G21" s="57"/>
      <c r="H21" s="58"/>
    </row>
    <row r="22" spans="1:11" x14ac:dyDescent="0.25">
      <c r="B22" s="31" t="s">
        <v>45</v>
      </c>
      <c r="C22" s="39">
        <v>70</v>
      </c>
      <c r="D22" s="25"/>
      <c r="F22" s="31" t="s">
        <v>41</v>
      </c>
      <c r="G22" s="32">
        <f>C5</f>
        <v>2.8619805059665871E-2</v>
      </c>
      <c r="H22" s="25" t="s">
        <v>3</v>
      </c>
    </row>
    <row r="23" spans="1:11" x14ac:dyDescent="0.25">
      <c r="B23" s="31" t="s">
        <v>43</v>
      </c>
      <c r="C23" s="24">
        <v>0.55000000000000004</v>
      </c>
      <c r="D23" s="25" t="s">
        <v>47</v>
      </c>
      <c r="F23" s="31" t="s">
        <v>43</v>
      </c>
      <c r="G23" s="24">
        <v>0.55000000000000004</v>
      </c>
      <c r="H23" s="25" t="s">
        <v>47</v>
      </c>
    </row>
    <row r="24" spans="1:11" ht="15.75" thickBot="1" x14ac:dyDescent="0.3">
      <c r="B24" s="26" t="s">
        <v>46</v>
      </c>
      <c r="C24" s="22">
        <v>17.5</v>
      </c>
      <c r="D24" s="27" t="s">
        <v>49</v>
      </c>
      <c r="F24" s="26" t="s">
        <v>44</v>
      </c>
      <c r="G24" s="22">
        <v>26</v>
      </c>
      <c r="H24" s="27" t="s">
        <v>48</v>
      </c>
    </row>
    <row r="25" spans="1:11" x14ac:dyDescent="0.25">
      <c r="B25" s="34" t="s">
        <v>44</v>
      </c>
      <c r="C25" s="35">
        <f>10*LOG10(POWER(PI()*C22/C24,2)*C23)</f>
        <v>19.387824175384363</v>
      </c>
      <c r="D25" s="30" t="s">
        <v>48</v>
      </c>
      <c r="F25" s="34" t="s">
        <v>42</v>
      </c>
      <c r="G25" s="35">
        <f>G22/PI()*SQRT(POWER(10,G24/10)/G23)</f>
        <v>0.24509556560740423</v>
      </c>
      <c r="H25" s="30" t="s">
        <v>3</v>
      </c>
    </row>
    <row r="27" spans="1:11" ht="15.75" thickBot="1" x14ac:dyDescent="0.3">
      <c r="A27" s="59" t="s">
        <v>68</v>
      </c>
      <c r="B27" s="59"/>
      <c r="C27" s="59"/>
      <c r="D27" s="59"/>
      <c r="E27" s="59"/>
      <c r="F27" s="59"/>
      <c r="G27" s="59"/>
      <c r="H27" s="59"/>
    </row>
    <row r="29" spans="1:11" x14ac:dyDescent="0.25">
      <c r="B29" s="56" t="s">
        <v>62</v>
      </c>
      <c r="C29" s="57"/>
      <c r="D29" s="58"/>
      <c r="F29" s="56" t="s">
        <v>55</v>
      </c>
      <c r="G29" s="57"/>
      <c r="H29" s="58"/>
    </row>
    <row r="30" spans="1:11" x14ac:dyDescent="0.25">
      <c r="B30" s="31" t="s">
        <v>43</v>
      </c>
      <c r="C30" s="24">
        <v>0.55000000000000004</v>
      </c>
      <c r="D30" s="25" t="s">
        <v>47</v>
      </c>
      <c r="F30" s="31" t="s">
        <v>43</v>
      </c>
      <c r="G30" s="24">
        <v>0.55000000000000004</v>
      </c>
      <c r="H30" s="25" t="s">
        <v>47</v>
      </c>
      <c r="K30">
        <f>G30*G31</f>
        <v>28888.750000000004</v>
      </c>
    </row>
    <row r="31" spans="1:11" x14ac:dyDescent="0.25">
      <c r="B31" s="31" t="s">
        <v>59</v>
      </c>
      <c r="C31" s="39">
        <v>52525</v>
      </c>
      <c r="D31" s="25" t="s">
        <v>60</v>
      </c>
      <c r="F31" s="31" t="s">
        <v>59</v>
      </c>
      <c r="G31" s="39">
        <v>52525</v>
      </c>
      <c r="H31" s="25" t="s">
        <v>60</v>
      </c>
    </row>
    <row r="32" spans="1:11" ht="15.75" thickBot="1" x14ac:dyDescent="0.3">
      <c r="B32" s="26" t="s">
        <v>44</v>
      </c>
      <c r="C32" s="21">
        <v>20</v>
      </c>
      <c r="D32" s="27" t="s">
        <v>48</v>
      </c>
      <c r="F32" s="23" t="s">
        <v>50</v>
      </c>
      <c r="G32" s="36">
        <v>20</v>
      </c>
      <c r="H32" s="25" t="s">
        <v>49</v>
      </c>
    </row>
    <row r="33" spans="1:12" ht="15.75" thickBot="1" x14ac:dyDescent="0.3">
      <c r="B33" s="34" t="s">
        <v>46</v>
      </c>
      <c r="C33" s="37">
        <f>SQRT(C31*C30/(POWER(10,C32/10)))</f>
        <v>16.99669085439869</v>
      </c>
      <c r="D33" s="30" t="s">
        <v>49</v>
      </c>
      <c r="F33" s="26" t="s">
        <v>51</v>
      </c>
      <c r="G33" s="21">
        <v>20</v>
      </c>
      <c r="H33" s="27" t="s">
        <v>49</v>
      </c>
    </row>
    <row r="34" spans="1:12" x14ac:dyDescent="0.25">
      <c r="F34" s="34" t="s">
        <v>44</v>
      </c>
      <c r="G34" s="37">
        <f>10*LOG10((G31*G30)/(G32*G33))</f>
        <v>18.586687592442715</v>
      </c>
      <c r="H34" s="30" t="s">
        <v>48</v>
      </c>
    </row>
    <row r="36" spans="1:12" ht="15.75" thickBot="1" x14ac:dyDescent="0.3">
      <c r="A36" s="59" t="s">
        <v>69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8" spans="1:12" x14ac:dyDescent="0.25">
      <c r="B38" s="56" t="s">
        <v>69</v>
      </c>
      <c r="C38" s="57"/>
      <c r="D38" s="58"/>
      <c r="F38" s="56" t="s">
        <v>69</v>
      </c>
      <c r="G38" s="57"/>
      <c r="H38" s="58"/>
      <c r="J38" s="56" t="s">
        <v>69</v>
      </c>
      <c r="K38" s="57"/>
      <c r="L38" s="58"/>
    </row>
    <row r="39" spans="1:12" x14ac:dyDescent="0.25">
      <c r="B39" s="31" t="s">
        <v>70</v>
      </c>
      <c r="C39" s="24">
        <v>53</v>
      </c>
      <c r="D39" s="25" t="s">
        <v>71</v>
      </c>
      <c r="F39" s="31" t="s">
        <v>70</v>
      </c>
      <c r="G39" s="24">
        <v>17.27</v>
      </c>
      <c r="H39" s="25" t="s">
        <v>76</v>
      </c>
      <c r="J39" s="31" t="s">
        <v>70</v>
      </c>
      <c r="K39" s="24">
        <v>47.27</v>
      </c>
      <c r="L39" s="25" t="s">
        <v>8</v>
      </c>
    </row>
    <row r="40" spans="1:12" x14ac:dyDescent="0.25">
      <c r="B40" s="31" t="s">
        <v>72</v>
      </c>
      <c r="C40" s="39">
        <v>2</v>
      </c>
      <c r="D40" s="25" t="s">
        <v>73</v>
      </c>
      <c r="F40" s="31" t="s">
        <v>72</v>
      </c>
      <c r="G40" s="39">
        <v>2</v>
      </c>
      <c r="H40" s="25" t="s">
        <v>73</v>
      </c>
      <c r="J40" s="31" t="s">
        <v>72</v>
      </c>
      <c r="K40" s="39">
        <v>2</v>
      </c>
      <c r="L40" s="25" t="s">
        <v>73</v>
      </c>
    </row>
    <row r="41" spans="1:12" x14ac:dyDescent="0.25">
      <c r="B41" s="34" t="s">
        <v>75</v>
      </c>
      <c r="C41" s="37">
        <f>SQRT(C39*30) / C40</f>
        <v>19.937402037376884</v>
      </c>
      <c r="D41" s="30" t="s">
        <v>74</v>
      </c>
      <c r="F41" s="34" t="s">
        <v>75</v>
      </c>
      <c r="G41" s="37">
        <f>SQRT(POWER(10,G39/10)*30) / G40</f>
        <v>20.000029290371444</v>
      </c>
      <c r="H41" s="30" t="s">
        <v>74</v>
      </c>
      <c r="J41" s="34" t="s">
        <v>75</v>
      </c>
      <c r="K41" s="37">
        <f>SQRT(POWER(10,K39/10)/1000*30) / K40</f>
        <v>20.000029290371469</v>
      </c>
      <c r="L41" s="30" t="s">
        <v>74</v>
      </c>
    </row>
  </sheetData>
  <mergeCells count="16">
    <mergeCell ref="B38:D38"/>
    <mergeCell ref="F38:H38"/>
    <mergeCell ref="J38:L38"/>
    <mergeCell ref="A36:L36"/>
    <mergeCell ref="B2:D2"/>
    <mergeCell ref="B15:D15"/>
    <mergeCell ref="F15:H15"/>
    <mergeCell ref="F29:H29"/>
    <mergeCell ref="B8:D8"/>
    <mergeCell ref="F8:H8"/>
    <mergeCell ref="A7:H7"/>
    <mergeCell ref="A13:H13"/>
    <mergeCell ref="A27:H27"/>
    <mergeCell ref="B29:D29"/>
    <mergeCell ref="F21:H21"/>
    <mergeCell ref="B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10W_20dB_1.2m_10MHz</vt:lpstr>
      <vt:lpstr>10W_20dB_1.2m_5MHz</vt:lpstr>
      <vt:lpstr>10W_20dB_1.2m_2MHz</vt:lpstr>
      <vt:lpstr>Margins</vt:lpstr>
      <vt:lpstr>Calculators</vt:lpstr>
      <vt:lpstr>imp_loss</vt:lpstr>
      <vt:lpstr>snr_1</vt:lpstr>
      <vt:lpstr>snr_2</vt:lpstr>
      <vt:lpstr>snr_3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leffke</dc:creator>
  <cp:lastModifiedBy>zleffke</cp:lastModifiedBy>
  <cp:lastPrinted>2016-01-15T20:34:20Z</cp:lastPrinted>
  <dcterms:created xsi:type="dcterms:W3CDTF">2015-04-29T18:50:28Z</dcterms:created>
  <dcterms:modified xsi:type="dcterms:W3CDTF">2016-10-24T15:38:44Z</dcterms:modified>
</cp:coreProperties>
</file>