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095" yWindow="150" windowWidth="10305" windowHeight="7980" activeTab="3"/>
  </bookViews>
  <sheets>
    <sheet name="DESIGN 1" sheetId="1" r:id="rId1"/>
    <sheet name="DESIGN 2" sheetId="3" r:id="rId2"/>
    <sheet name="DESIGN 3" sheetId="6" r:id="rId3"/>
    <sheet name="List of Tables" sheetId="7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" l="1"/>
  <c r="J20" i="3"/>
  <c r="J21" i="3"/>
  <c r="J9" i="3"/>
  <c r="J22" i="3"/>
  <c r="J8" i="3"/>
  <c r="J25" i="3"/>
  <c r="J7" i="3"/>
  <c r="J6" i="3"/>
  <c r="J5" i="3"/>
  <c r="J27" i="3"/>
  <c r="J4" i="3"/>
  <c r="J6" i="1"/>
  <c r="J5" i="1"/>
  <c r="J17" i="1"/>
  <c r="J19" i="1"/>
  <c r="J8" i="1"/>
  <c r="J22" i="1"/>
  <c r="J7" i="1"/>
  <c r="J4" i="1"/>
  <c r="J24" i="1"/>
  <c r="I26" i="6" l="1"/>
  <c r="I28" i="6"/>
  <c r="I30" i="6"/>
  <c r="I34" i="6"/>
  <c r="I32" i="6"/>
  <c r="I8" i="6"/>
  <c r="I7" i="6"/>
  <c r="E59" i="6"/>
  <c r="G14" i="3" l="1"/>
  <c r="E58" i="6" l="1"/>
  <c r="E48" i="6"/>
  <c r="E60" i="6" s="1"/>
  <c r="F17" i="6"/>
  <c r="M35" i="6"/>
  <c r="M33" i="6"/>
  <c r="M31" i="6"/>
  <c r="M27" i="6"/>
  <c r="M25" i="6"/>
  <c r="M23" i="6"/>
  <c r="M20" i="6"/>
  <c r="R9" i="6"/>
  <c r="R10" i="6" s="1"/>
  <c r="R11" i="6" s="1"/>
  <c r="R12" i="6" s="1"/>
  <c r="R13" i="6" s="1"/>
  <c r="R14" i="6" s="1"/>
  <c r="R15" i="6" s="1"/>
  <c r="R5" i="6"/>
  <c r="R6" i="6" s="1"/>
  <c r="N15" i="6"/>
  <c r="N14" i="6"/>
  <c r="N13" i="6"/>
  <c r="N12" i="6"/>
  <c r="N11" i="6"/>
  <c r="N10" i="6"/>
  <c r="N9" i="6"/>
  <c r="F29" i="6" s="1"/>
  <c r="N6" i="6"/>
  <c r="N5" i="6"/>
  <c r="E49" i="6" l="1"/>
  <c r="N39" i="6" s="1"/>
  <c r="E50" i="6" l="1"/>
  <c r="N40" i="6" s="1"/>
  <c r="E51" i="6" s="1"/>
  <c r="O41" i="6" s="1"/>
  <c r="E52" i="6" l="1"/>
  <c r="I27" i="6"/>
  <c r="I25" i="6"/>
  <c r="I23" i="6" s="1"/>
  <c r="I21" i="6" s="1"/>
  <c r="O42" i="6"/>
  <c r="E53" i="6" s="1"/>
  <c r="I24" i="6" l="1"/>
  <c r="O43" i="6"/>
  <c r="O44" i="6"/>
  <c r="E54" i="6" l="1"/>
  <c r="O46" i="6" s="1"/>
  <c r="O45" i="6" l="1"/>
  <c r="E55" i="6" s="1"/>
  <c r="E61" i="6" s="1"/>
  <c r="Q17" i="3"/>
  <c r="Q20" i="3"/>
  <c r="Q22" i="3"/>
  <c r="P9" i="3"/>
  <c r="S88" i="3"/>
  <c r="S87" i="3"/>
  <c r="S85" i="3"/>
  <c r="S78" i="3"/>
  <c r="D52" i="3"/>
  <c r="H39" i="3"/>
  <c r="H38" i="3"/>
  <c r="Q28" i="3"/>
  <c r="Q26" i="3"/>
  <c r="G18" i="3"/>
  <c r="G16" i="3"/>
  <c r="P12" i="3"/>
  <c r="P11" i="3"/>
  <c r="P10" i="3"/>
  <c r="P8" i="3"/>
  <c r="G24" i="3" s="1"/>
  <c r="R7" i="3"/>
  <c r="S89" i="3" s="1"/>
  <c r="P7" i="3"/>
  <c r="I5" i="3"/>
  <c r="I4" i="3" s="1"/>
  <c r="R4" i="3"/>
  <c r="S86" i="3" s="1"/>
  <c r="P4" i="3"/>
  <c r="H57" i="6" l="1"/>
  <c r="E62" i="6"/>
  <c r="J4" i="6" s="1"/>
  <c r="I19" i="6"/>
  <c r="H40" i="3"/>
  <c r="D53" i="3"/>
  <c r="D48" i="3"/>
  <c r="R8" i="3"/>
  <c r="R9" i="3" s="1"/>
  <c r="R7" i="1"/>
  <c r="R8" i="1" s="1"/>
  <c r="R9" i="1" s="1"/>
  <c r="R10" i="1" s="1"/>
  <c r="R11" i="1" s="1"/>
  <c r="J29" i="6" l="1"/>
  <c r="J33" i="6"/>
  <c r="J13" i="6"/>
  <c r="J17" i="6"/>
  <c r="J21" i="6"/>
  <c r="J25" i="6"/>
  <c r="J11" i="6"/>
  <c r="J7" i="6"/>
  <c r="J30" i="6"/>
  <c r="J34" i="6"/>
  <c r="J14" i="6"/>
  <c r="J18" i="6"/>
  <c r="J22" i="6"/>
  <c r="J26" i="6"/>
  <c r="J10" i="6"/>
  <c r="J6" i="6"/>
  <c r="J31" i="6"/>
  <c r="J35" i="6"/>
  <c r="J15" i="6"/>
  <c r="J19" i="6"/>
  <c r="J23" i="6"/>
  <c r="J27" i="6"/>
  <c r="J9" i="6"/>
  <c r="J5" i="6"/>
  <c r="J32" i="6"/>
  <c r="J12" i="6"/>
  <c r="J16" i="6"/>
  <c r="J20" i="6"/>
  <c r="J24" i="6"/>
  <c r="J28" i="6"/>
  <c r="J8" i="6"/>
  <c r="R10" i="3"/>
  <c r="R11" i="3" s="1"/>
  <c r="H47" i="3"/>
  <c r="S79" i="3"/>
  <c r="D85" i="3" s="1"/>
  <c r="S90" i="3"/>
  <c r="S80" i="3"/>
  <c r="H36" i="1"/>
  <c r="H35" i="1"/>
  <c r="R28" i="6" l="1"/>
  <c r="S28" i="6" s="1"/>
  <c r="R24" i="6"/>
  <c r="S24" i="6" s="1"/>
  <c r="R20" i="6"/>
  <c r="S20" i="6" s="1"/>
  <c r="R27" i="6"/>
  <c r="S27" i="6" s="1"/>
  <c r="R23" i="6"/>
  <c r="S23" i="6" s="1"/>
  <c r="R26" i="6"/>
  <c r="S26" i="6" s="1"/>
  <c r="R22" i="6"/>
  <c r="S22" i="6" s="1"/>
  <c r="R19" i="6"/>
  <c r="S19" i="6" s="1"/>
  <c r="R25" i="6"/>
  <c r="S25" i="6" s="1"/>
  <c r="R21" i="6"/>
  <c r="S21" i="6" s="1"/>
  <c r="S91" i="3"/>
  <c r="D54" i="3"/>
  <c r="H37" i="1"/>
  <c r="R12" i="3"/>
  <c r="S93" i="3" s="1"/>
  <c r="S92" i="3"/>
  <c r="G13" i="1"/>
  <c r="F76" i="1" s="1"/>
  <c r="G15" i="1"/>
  <c r="F77" i="1" s="1"/>
  <c r="R4" i="1"/>
  <c r="D45" i="1" s="1"/>
  <c r="S29" i="6" l="1"/>
  <c r="H48" i="3"/>
  <c r="S81" i="3" s="1"/>
  <c r="Q16" i="1"/>
  <c r="Q19" i="1"/>
  <c r="Q23" i="1"/>
  <c r="Q25" i="1"/>
  <c r="S90" i="1"/>
  <c r="S89" i="1"/>
  <c r="S87" i="1"/>
  <c r="P8" i="1"/>
  <c r="G21" i="1" s="1"/>
  <c r="D50" i="1" s="1"/>
  <c r="P9" i="1"/>
  <c r="P10" i="1"/>
  <c r="P11" i="1"/>
  <c r="P7" i="1"/>
  <c r="S86" i="1"/>
  <c r="S88" i="1"/>
  <c r="S85" i="1"/>
  <c r="S84" i="1"/>
  <c r="S82" i="1"/>
  <c r="S75" i="1"/>
  <c r="D49" i="1"/>
  <c r="H49" i="3" l="1"/>
  <c r="H50" i="3" s="1"/>
  <c r="F78" i="1"/>
  <c r="H44" i="1"/>
  <c r="G17" i="1"/>
  <c r="P4" i="1"/>
  <c r="I5" i="1"/>
  <c r="I4" i="1" s="1"/>
  <c r="H55" i="3" l="1"/>
  <c r="Q48" i="3" s="1"/>
  <c r="N49" i="3"/>
  <c r="S76" i="1"/>
  <c r="D82" i="1" s="1"/>
  <c r="S83" i="1"/>
  <c r="N48" i="3" l="1"/>
  <c r="J19" i="3" s="1"/>
  <c r="J10" i="3"/>
  <c r="N55" i="3"/>
  <c r="S77" i="1"/>
  <c r="D51" i="1"/>
  <c r="H45" i="1" s="1"/>
  <c r="N56" i="3" l="1"/>
  <c r="H46" i="1"/>
  <c r="H47" i="1" s="1"/>
  <c r="S78" i="1"/>
  <c r="D89" i="3" l="1"/>
  <c r="D92" i="3" s="1"/>
  <c r="K3" i="3" s="1"/>
  <c r="J11" i="3"/>
  <c r="N45" i="1"/>
  <c r="K27" i="3" l="1"/>
  <c r="K10" i="3"/>
  <c r="K18" i="3"/>
  <c r="K22" i="3"/>
  <c r="K26" i="3"/>
  <c r="K4" i="3"/>
  <c r="K28" i="3"/>
  <c r="K11" i="3"/>
  <c r="K19" i="3"/>
  <c r="K23" i="3"/>
  <c r="K7" i="3"/>
  <c r="K8" i="3"/>
  <c r="K20" i="3"/>
  <c r="K24" i="3"/>
  <c r="K6" i="3"/>
  <c r="K9" i="3"/>
  <c r="K21" i="3"/>
  <c r="K25" i="3"/>
  <c r="K5" i="3"/>
  <c r="N46" i="1"/>
  <c r="J9" i="1" l="1"/>
  <c r="J18" i="1"/>
  <c r="N52" i="1"/>
  <c r="S79" i="1"/>
  <c r="N53" i="1" l="1"/>
  <c r="N54" i="1" l="1"/>
  <c r="J14" i="1" s="1"/>
  <c r="J15" i="1" s="1"/>
  <c r="J10" i="1"/>
  <c r="N55" i="1"/>
  <c r="J13" i="1" s="1"/>
  <c r="J16" i="1" s="1"/>
  <c r="S80" i="1"/>
  <c r="R43" i="1" l="1"/>
  <c r="D86" i="1"/>
  <c r="D66" i="1"/>
  <c r="M87" i="1" s="1"/>
  <c r="M83" i="1" l="1"/>
  <c r="D88" i="1"/>
  <c r="K3" i="1" s="1"/>
  <c r="J11" i="1"/>
  <c r="J12" i="1"/>
  <c r="S33" i="1"/>
  <c r="K25" i="1" l="1"/>
  <c r="K7" i="1"/>
  <c r="K11" i="1"/>
  <c r="K15" i="1"/>
  <c r="K19" i="1"/>
  <c r="K23" i="1"/>
  <c r="K4" i="1"/>
  <c r="K12" i="1"/>
  <c r="K16" i="1"/>
  <c r="K20" i="1"/>
  <c r="K24" i="1"/>
  <c r="K13" i="1"/>
  <c r="K17" i="1"/>
  <c r="K21" i="1"/>
  <c r="K6" i="1"/>
  <c r="K10" i="1"/>
  <c r="K14" i="1"/>
  <c r="K18" i="1"/>
  <c r="K22" i="1"/>
  <c r="K5" i="1"/>
  <c r="K8" i="1"/>
  <c r="K9" i="1"/>
  <c r="S82" i="3"/>
  <c r="N57" i="3" l="1"/>
  <c r="J15" i="3" s="1"/>
  <c r="S83" i="3"/>
  <c r="N58" i="3"/>
  <c r="R46" i="3" s="1"/>
  <c r="J12" i="3" l="1"/>
  <c r="K12" i="3" s="1"/>
  <c r="J14" i="3"/>
  <c r="J13" i="3"/>
  <c r="K13" i="3" s="1"/>
  <c r="J16" i="3"/>
  <c r="K16" i="3" s="1"/>
  <c r="K15" i="3"/>
  <c r="M86" i="3"/>
  <c r="S36" i="3" s="1"/>
  <c r="M90" i="3"/>
  <c r="J17" i="3" l="1"/>
  <c r="K17" i="3" s="1"/>
  <c r="K14" i="3"/>
</calcChain>
</file>

<file path=xl/sharedStrings.xml><?xml version="1.0" encoding="utf-8"?>
<sst xmlns="http://schemas.openxmlformats.org/spreadsheetml/2006/main" count="713" uniqueCount="387">
  <si>
    <t>S.P</t>
  </si>
  <si>
    <t>P (Mpa)</t>
  </si>
  <si>
    <t>H (Kj/Kg)</t>
  </si>
  <si>
    <t>V (m3/kg)</t>
  </si>
  <si>
    <t>S (kJ/kgK)</t>
  </si>
  <si>
    <t>SHV</t>
  </si>
  <si>
    <t>-</t>
  </si>
  <si>
    <t>BOILER</t>
  </si>
  <si>
    <t>RH</t>
  </si>
  <si>
    <t>CFWH4</t>
  </si>
  <si>
    <t>DEAE</t>
  </si>
  <si>
    <t>CFWH2</t>
  </si>
  <si>
    <t>CFWH1</t>
  </si>
  <si>
    <t>COND</t>
  </si>
  <si>
    <t>CFWH3</t>
  </si>
  <si>
    <t>P2a</t>
  </si>
  <si>
    <t>P5a</t>
  </si>
  <si>
    <t>P6a</t>
  </si>
  <si>
    <t>P7a</t>
  </si>
  <si>
    <t>P8a</t>
  </si>
  <si>
    <t>P9a</t>
  </si>
  <si>
    <t>h10+Vf10(P11-P10)</t>
  </si>
  <si>
    <t>hf @ T14</t>
  </si>
  <si>
    <t>Turbine eff</t>
  </si>
  <si>
    <t>T23=T2a-TTD</t>
  </si>
  <si>
    <t>T21=T5a-TTD</t>
  </si>
  <si>
    <t>T17=T7a-TTD</t>
  </si>
  <si>
    <t>T14=T8a-TTD</t>
  </si>
  <si>
    <t>h14</t>
  </si>
  <si>
    <t>hf @ P7a</t>
  </si>
  <si>
    <t>hf @ P8a</t>
  </si>
  <si>
    <t>hf @ P6a</t>
  </si>
  <si>
    <t>h18+Vf18(P19-P18)</t>
  </si>
  <si>
    <t>hf @ P5a</t>
  </si>
  <si>
    <t>hf @ P2a</t>
  </si>
  <si>
    <t>hf @ T17</t>
  </si>
  <si>
    <t>hf @ T21</t>
  </si>
  <si>
    <t>hf @ T23</t>
  </si>
  <si>
    <t>Table 2</t>
  </si>
  <si>
    <t>SET VALUES</t>
  </si>
  <si>
    <t>GIVEN CASE 1</t>
  </si>
  <si>
    <t>FORMULA</t>
  </si>
  <si>
    <t>P2a=P2-P2(0.07)</t>
  </si>
  <si>
    <t>P6a=P6-P6(0.07)</t>
  </si>
  <si>
    <t>P5a=P5-P5(0.07)</t>
  </si>
  <si>
    <t>P7a=P7-P7(0.07)</t>
  </si>
  <si>
    <t>P8a=P8-P8(0.07)</t>
  </si>
  <si>
    <t>P9a=P9-P9(0.07)</t>
  </si>
  <si>
    <t>TTD=2.3</t>
  </si>
  <si>
    <t>MASS BALANCE</t>
  </si>
  <si>
    <t>FOR CFWH 4</t>
  </si>
  <si>
    <t>m2=m22</t>
  </si>
  <si>
    <t>m2</t>
  </si>
  <si>
    <t>FOE CFWH 3</t>
  </si>
  <si>
    <t>m2h2a+m21h21=m22h22+m23h23</t>
  </si>
  <si>
    <t>m22h22+m5h5a+m19h19=m21h21+m20h20</t>
  </si>
  <si>
    <t>m20=m22+m5</t>
  </si>
  <si>
    <t>kg</t>
  </si>
  <si>
    <t>m5</t>
  </si>
  <si>
    <t>m20</t>
  </si>
  <si>
    <t>m2, m22</t>
  </si>
  <si>
    <t>m23, m21</t>
  </si>
  <si>
    <t>m19, m21</t>
  </si>
  <si>
    <t>FOR DEAERATOR</t>
  </si>
  <si>
    <t>m18=m20+m6+m17</t>
  </si>
  <si>
    <t>m17=m23-m2-m5-m6</t>
  </si>
  <si>
    <t>m6h6+m17h17+m20h20=m18h18</t>
  </si>
  <si>
    <t>m6</t>
  </si>
  <si>
    <t>minus m6</t>
  </si>
  <si>
    <t>m17</t>
  </si>
  <si>
    <t>m7h7a+m15h15=m16h16+m17h17</t>
  </si>
  <si>
    <t>m15=m17</t>
  </si>
  <si>
    <t>m16=m7</t>
  </si>
  <si>
    <t>m7</t>
  </si>
  <si>
    <t>m15</t>
  </si>
  <si>
    <t>m16, m7</t>
  </si>
  <si>
    <t>FOR CHWH 2</t>
  </si>
  <si>
    <t>FOR CHWH 1</t>
  </si>
  <si>
    <t>m16h16+m8h8a+m11h11=m12h12+m14h14</t>
  </si>
  <si>
    <t>m12=m16+m8</t>
  </si>
  <si>
    <t>m11=m14</t>
  </si>
  <si>
    <t>m11, m14 = m23-m2-m5-m6-m7-m8</t>
  </si>
  <si>
    <t xml:space="preserve">m11, m14 </t>
  </si>
  <si>
    <t>minus m8</t>
  </si>
  <si>
    <t>m8</t>
  </si>
  <si>
    <t>m12</t>
  </si>
  <si>
    <t>m11</t>
  </si>
  <si>
    <t>FOR COND</t>
  </si>
  <si>
    <t>m9=m10=m11</t>
  </si>
  <si>
    <t>m9, m10</t>
  </si>
  <si>
    <t>WORK TURBINE</t>
  </si>
  <si>
    <t>WT</t>
  </si>
  <si>
    <t>m23(h1-h2a)+(m23-m2)(h2a-h3)+(m23-m2)(h4-h5a)+(m23-m2-mr5)(h5a-h6a)+(m23-m2-m5-m6)(h6a-h7a)+(m23-m2-m5-m6-m7)(h7a-h8a)+(m23-m2-m5-m6-m7-m8)(h8a-h9a)</t>
  </si>
  <si>
    <t>m23</t>
  </si>
  <si>
    <t>FOR TRUBINE WORK</t>
  </si>
  <si>
    <t>h1</t>
  </si>
  <si>
    <t>h2a</t>
  </si>
  <si>
    <t>h3</t>
  </si>
  <si>
    <t>h4</t>
  </si>
  <si>
    <t>h5a</t>
  </si>
  <si>
    <t>h6a</t>
  </si>
  <si>
    <t>h7a</t>
  </si>
  <si>
    <t>h8a</t>
  </si>
  <si>
    <t>h9a</t>
  </si>
  <si>
    <t>KJ/Kg</t>
  </si>
  <si>
    <t>WORK PUMP</t>
  </si>
  <si>
    <t>P1</t>
  </si>
  <si>
    <t>P2</t>
  </si>
  <si>
    <t>P3</t>
  </si>
  <si>
    <t>HEAT ADDED</t>
  </si>
  <si>
    <t>QA</t>
  </si>
  <si>
    <t>HEAT REJECTED</t>
  </si>
  <si>
    <t>QR</t>
  </si>
  <si>
    <t>(m23-m2-m5-m6-m7-m8)(h9a-h10)</t>
  </si>
  <si>
    <t>CYCLE EFFICIENCY</t>
  </si>
  <si>
    <t>n</t>
  </si>
  <si>
    <t>(QA-QR)/QA</t>
  </si>
  <si>
    <t>EFFICIENCY</t>
  </si>
  <si>
    <t>interpolate using P and S</t>
  </si>
  <si>
    <t>s9=sf+xsfg , h9=hf+xhfg</t>
  </si>
  <si>
    <t>hf=h10</t>
  </si>
  <si>
    <t>P at 2.8 Mpa</t>
  </si>
  <si>
    <t>P at 20 Mpa, Vf18 at 1.335275</t>
  </si>
  <si>
    <t xml:space="preserve">FOR BOILER </t>
  </si>
  <si>
    <t>m1 (kg)</t>
  </si>
  <si>
    <t>mblow = nblow(mwater)</t>
  </si>
  <si>
    <t xml:space="preserve">nblowdown </t>
  </si>
  <si>
    <t>mloss = nloss(mwater)</t>
  </si>
  <si>
    <t xml:space="preserve">nloss </t>
  </si>
  <si>
    <t>m23 = mb + m1 + ml</t>
  </si>
  <si>
    <t>mwater (kg)</t>
  </si>
  <si>
    <t>T ©</t>
  </si>
  <si>
    <t>hactual (Kj/kg)</t>
  </si>
  <si>
    <t>Tactual (oC)</t>
  </si>
  <si>
    <t>Pactual (Mpa)</t>
  </si>
  <si>
    <t>Tactual = Tsat @ Pactual</t>
  </si>
  <si>
    <t xml:space="preserve">at Pt. 9 </t>
  </si>
  <si>
    <t>x</t>
  </si>
  <si>
    <t>hactual = hinlet - nturbine (hinlet - houlet)</t>
  </si>
  <si>
    <t>Table 1</t>
  </si>
  <si>
    <t>H</t>
  </si>
  <si>
    <t>Pactual</t>
  </si>
  <si>
    <t>Tacrual</t>
  </si>
  <si>
    <t>hactual</t>
  </si>
  <si>
    <t>MANIPULATED</t>
  </si>
  <si>
    <t>m18</t>
  </si>
  <si>
    <t>SCRATCH SECTION</t>
  </si>
  <si>
    <t>SUMMARY</t>
  </si>
  <si>
    <t>(h1-h23)+(m1-m2)(h4-h3)</t>
  </si>
  <si>
    <t>m1</t>
  </si>
  <si>
    <t>h11-h10</t>
  </si>
  <si>
    <t>h13-h12</t>
  </si>
  <si>
    <t>h19-h18</t>
  </si>
  <si>
    <t>Wt-Wp / Qa</t>
  </si>
  <si>
    <t>using turbine and pump</t>
  </si>
  <si>
    <t>x=</t>
  </si>
  <si>
    <t>@</t>
  </si>
  <si>
    <t>p5</t>
  </si>
  <si>
    <t>p6</t>
  </si>
  <si>
    <t>p7</t>
  </si>
  <si>
    <t>CFWH5</t>
  </si>
  <si>
    <t>h11+Vf11(P12-P11)</t>
  </si>
  <si>
    <t>P10a=P10-P10(0.07)</t>
  </si>
  <si>
    <t>P10a</t>
  </si>
  <si>
    <t>h21+Vf21(P22-P21)</t>
  </si>
  <si>
    <t>s10=sf+xsfg , h10=hf+xhfg</t>
  </si>
  <si>
    <t>hf=h11</t>
  </si>
  <si>
    <t>P at 20 Mpa, Vf21</t>
  </si>
  <si>
    <t>hf @ P9a</t>
  </si>
  <si>
    <t>hf @ T26</t>
  </si>
  <si>
    <t>hf @ T24</t>
  </si>
  <si>
    <t>hf @ T20</t>
  </si>
  <si>
    <t>hf @ T18</t>
  </si>
  <si>
    <t>hf @ T15</t>
  </si>
  <si>
    <t>hf 15</t>
  </si>
  <si>
    <t>T15=T9a-TTD</t>
  </si>
  <si>
    <t>T26=T2a-TTD</t>
  </si>
  <si>
    <t>T24=T5a-TTD</t>
  </si>
  <si>
    <t>T20=T7a-TTD</t>
  </si>
  <si>
    <t>T18=T8a-TTD</t>
  </si>
  <si>
    <t>NOT INCLUDED</t>
  </si>
  <si>
    <t>FOR CFWH 5</t>
  </si>
  <si>
    <t>FOR CFWH 3</t>
  </si>
  <si>
    <t>m2h2a+m24h24=m26h26+m25h25</t>
  </si>
  <si>
    <t>m26, m24</t>
  </si>
  <si>
    <t>m2, m25</t>
  </si>
  <si>
    <t>m25h25+m5h5a+m22h22=m24h24+m23+h23</t>
  </si>
  <si>
    <t>m23=m25+m5</t>
  </si>
  <si>
    <t>m22, m24</t>
  </si>
  <si>
    <t>m21=m23+m6+m20</t>
  </si>
  <si>
    <t>m21</t>
  </si>
  <si>
    <t>m7h7a+m18h18=m20h20+m19h19</t>
  </si>
  <si>
    <t>m7 = m19</t>
  </si>
  <si>
    <t>m20 = m18</t>
  </si>
  <si>
    <t>m20=m26-m2-m5-m6</t>
  </si>
  <si>
    <t>m8h8a+m16h16+m19h19=m18h18+m17h17</t>
  </si>
  <si>
    <t>m17h17+m9h9a+m13h13=m12h12+m15h15</t>
  </si>
  <si>
    <t>m10=m11=m12</t>
  </si>
  <si>
    <t>m10, m11</t>
  </si>
  <si>
    <t>m17=m8+m19</t>
  </si>
  <si>
    <t>m16=m18</t>
  </si>
  <si>
    <t>m16, m18</t>
  </si>
  <si>
    <t xml:space="preserve">m12, m15 </t>
  </si>
  <si>
    <t>m12=m15</t>
  </si>
  <si>
    <t>m13=m17+m9</t>
  </si>
  <si>
    <t>m12, m15 = m26-m2-m5-m6-m7-m8-m9</t>
  </si>
  <si>
    <t>m9</t>
  </si>
  <si>
    <t>m13</t>
  </si>
  <si>
    <t>minus m9</t>
  </si>
  <si>
    <t>(h1-h26)+(m1-m2)(h4-h3)</t>
  </si>
  <si>
    <t>m6h6a+m23h23+m20h20=m21h21</t>
  </si>
  <si>
    <t>(m26-m2-m5-m6-m7-m8-m9)(h10a-h11)</t>
  </si>
  <si>
    <t>P (MPa)</t>
  </si>
  <si>
    <t>T (C)</t>
  </si>
  <si>
    <t>h (kJ/kg)</t>
  </si>
  <si>
    <t>vf</t>
  </si>
  <si>
    <t xml:space="preserve"> S (kJ/kg-K)</t>
  </si>
  <si>
    <t>P3a</t>
  </si>
  <si>
    <t>P11a</t>
  </si>
  <si>
    <t>P2a= P2-P2(0.07)</t>
  </si>
  <si>
    <t>P3a= P3-P3(0.07)</t>
  </si>
  <si>
    <t>P6a= P6-P6(0.07)</t>
  </si>
  <si>
    <t>P7a= P7-P7(0.07)</t>
  </si>
  <si>
    <t>P8a= P8-P8(0.07)</t>
  </si>
  <si>
    <t>P9a= P9-P9(0.07)</t>
  </si>
  <si>
    <t>P10a= P10-P10(0.07)</t>
  </si>
  <si>
    <t>P11a= P11-P11(0.07)</t>
  </si>
  <si>
    <t>hf at P10a</t>
  </si>
  <si>
    <t>hf at P9a</t>
  </si>
  <si>
    <t>hf at P8a</t>
  </si>
  <si>
    <t>hf at P7a</t>
  </si>
  <si>
    <t>hf at P6a</t>
  </si>
  <si>
    <t>hf at P3a</t>
  </si>
  <si>
    <t>hf at P2a</t>
  </si>
  <si>
    <t>_</t>
  </si>
  <si>
    <t>P-actual (Mpa)</t>
  </si>
  <si>
    <t>T-actual (C)</t>
  </si>
  <si>
    <t>T2a</t>
  </si>
  <si>
    <t>T3a</t>
  </si>
  <si>
    <t>T6a</t>
  </si>
  <si>
    <t>T7a</t>
  </si>
  <si>
    <t>T8a</t>
  </si>
  <si>
    <t>T9a</t>
  </si>
  <si>
    <t>T10a</t>
  </si>
  <si>
    <t>T11a</t>
  </si>
  <si>
    <t>h-actual (kJ/kg)</t>
  </si>
  <si>
    <t>Boiler</t>
  </si>
  <si>
    <t>CFWH6</t>
  </si>
  <si>
    <t>Cond.</t>
  </si>
  <si>
    <t>h3a</t>
  </si>
  <si>
    <t>h10a</t>
  </si>
  <si>
    <t>h11a</t>
  </si>
  <si>
    <t>m3</t>
  </si>
  <si>
    <t>m4</t>
  </si>
  <si>
    <t>m1+m2</t>
  </si>
  <si>
    <t>m1+m2+m3</t>
  </si>
  <si>
    <t>1-m1-m2-m3-m4</t>
  </si>
  <si>
    <t>m1+m2+m3+m4+m5</t>
  </si>
  <si>
    <t>m1+m2+m3+m4+m5+m6</t>
  </si>
  <si>
    <t>Qboiler</t>
  </si>
  <si>
    <t>Qreheater</t>
  </si>
  <si>
    <t>Qr</t>
  </si>
  <si>
    <t>Eff</t>
  </si>
  <si>
    <t>Deaerator</t>
  </si>
  <si>
    <t>Mass Balance</t>
  </si>
  <si>
    <t>Equation</t>
  </si>
  <si>
    <t>Qa</t>
  </si>
  <si>
    <t>CFWH7</t>
  </si>
  <si>
    <t>P12a</t>
  </si>
  <si>
    <t>P12a= P12-P12(0.07)</t>
  </si>
  <si>
    <t>T12a</t>
  </si>
  <si>
    <t>h12a</t>
  </si>
  <si>
    <t>h13+vf13(P14-P13)</t>
  </si>
  <si>
    <t>hf at P11a</t>
  </si>
  <si>
    <t>hf at T17</t>
  </si>
  <si>
    <t>Tf at T20</t>
  </si>
  <si>
    <t>Tf at T22</t>
  </si>
  <si>
    <t>Tf at T24</t>
  </si>
  <si>
    <t>h25+vf25(P26-P25)</t>
  </si>
  <si>
    <t>hf at T28</t>
  </si>
  <si>
    <t>hf at T30</t>
  </si>
  <si>
    <t>hf at T32</t>
  </si>
  <si>
    <t>T17=T11a-TTD</t>
  </si>
  <si>
    <t>T20=T10a-TTD</t>
  </si>
  <si>
    <t>T22=T9a-TTD</t>
  </si>
  <si>
    <t>T24=T8a-TTD</t>
  </si>
  <si>
    <t>T32=T2a-TTD</t>
  </si>
  <si>
    <t>T30=T3a-TTD</t>
  </si>
  <si>
    <t>T28=T6a-TTD</t>
  </si>
  <si>
    <t>m1=(h32-h30)/(h2a-h31)</t>
  </si>
  <si>
    <t>m2=(1(h30-h28)+m1(h29-h31))/(h3a-h29)</t>
  </si>
  <si>
    <t>m3=(m26(h28-h26)+m29(h27-h29))/(h6a-h27)</t>
  </si>
  <si>
    <t>m5+m6</t>
  </si>
  <si>
    <t>m1+m2+m3+m4+m5+m6+m7</t>
  </si>
  <si>
    <t>m5+m6+m7</t>
  </si>
  <si>
    <t>m4(h7a-h25)+(m1+m2+m3)(h27-h25)=(1-m1-m2-m3-m4)(h25-h24)</t>
  </si>
  <si>
    <t>m5(h8a-h23)=m22(h24-h22)</t>
  </si>
  <si>
    <t>m6(h9a-h21)+m5(h23-h21)=(1-m1-m2-m3-m4-m5-m6)(h22-h20)</t>
  </si>
  <si>
    <t>m7(h10a-h19)+m21(h21-h19)=(1-m1-m2-m3-m4-m5-m6-m7)(h20-h18)</t>
  </si>
  <si>
    <t>m8(h11a-h15)+m19(h19-h15)=(1-m1-m2-m3-m4-m5-m6-m7-m8)(h17-h14)</t>
  </si>
  <si>
    <t>Qa=Qboiler+Qreheater</t>
  </si>
  <si>
    <t>m(kg)</t>
  </si>
  <si>
    <t>m(kg/s)</t>
  </si>
  <si>
    <t>m (kg/s)</t>
  </si>
  <si>
    <t>Assuming 500 MW</t>
  </si>
  <si>
    <t>500MW/Wnet</t>
  </si>
  <si>
    <t>Wnet</t>
  </si>
  <si>
    <t>m (kg)</t>
  </si>
  <si>
    <t>ms (kg/s)</t>
  </si>
  <si>
    <t>LIST OF TABLES</t>
  </si>
  <si>
    <t>Table No.</t>
  </si>
  <si>
    <t>Title</t>
  </si>
  <si>
    <t>Page No.</t>
  </si>
  <si>
    <t>Comparison of Parameters of the Three Locations</t>
  </si>
  <si>
    <t>Projected Load in MW from 2020-2030</t>
  </si>
  <si>
    <t>Summary of Calculation for Design Option 1</t>
  </si>
  <si>
    <t>Summary of Calculation for Design Option 2</t>
  </si>
  <si>
    <t>Summary of Calculation for Design Option 3</t>
  </si>
  <si>
    <t>Equipment Selection</t>
  </si>
  <si>
    <t>Comparison of Given Equipment</t>
  </si>
  <si>
    <t>Summary of Equipment</t>
  </si>
  <si>
    <t>Actual and Forecast Demand</t>
  </si>
  <si>
    <t>2018 Monthly System Peak Demand in MW</t>
  </si>
  <si>
    <t>2018 Power Generation by Source in GWh</t>
  </si>
  <si>
    <t>Region IV-A Peak Demand</t>
  </si>
  <si>
    <t>Project Costing Summary</t>
  </si>
  <si>
    <t>LIST OF FIGURES</t>
  </si>
  <si>
    <t>Figure No.</t>
  </si>
  <si>
    <t>Organizational Chart</t>
  </si>
  <si>
    <t>Proposed Location of the Coal-Fired Power Plant</t>
  </si>
  <si>
    <t>Plant Location and Target Municipalities</t>
  </si>
  <si>
    <t>Schematic Diagram of Design Option 1</t>
  </si>
  <si>
    <t>T-S Diagram of Design Option 1</t>
  </si>
  <si>
    <t>Schematic Diagram of Design Option 2</t>
  </si>
  <si>
    <t>T-S Diagram of Design Option 2</t>
  </si>
  <si>
    <t>Schematic Diagram of Design Option 3</t>
  </si>
  <si>
    <t>T-S Diagram of Design Option 3</t>
  </si>
  <si>
    <t>STF Turbine, GE</t>
  </si>
  <si>
    <t>Two-Pass Boiler, GE</t>
  </si>
  <si>
    <t>Condenser, GE</t>
  </si>
  <si>
    <t>SPX Heater, Energyen</t>
  </si>
  <si>
    <t>Boiler Feedwater Pump, FLOWSERVE</t>
  </si>
  <si>
    <t>Condensate Extraction Pump, FLOWSERVE</t>
  </si>
  <si>
    <t>Circulating Water Pump, FLOWSERVE</t>
  </si>
  <si>
    <t>Steam Trap, EMERSON</t>
  </si>
  <si>
    <t>Water Cooled Generator, GIGATOP</t>
  </si>
  <si>
    <t>Transport System</t>
  </si>
  <si>
    <t>Water Treatment System Diagram</t>
  </si>
  <si>
    <t xml:space="preserve">Ambient Condition in Brgy. Lumaniag, Lian, </t>
  </si>
  <si>
    <t>Batangas</t>
  </si>
  <si>
    <t>2018 Summary of Power Generation by Grid in</t>
  </si>
  <si>
    <t>GWh</t>
  </si>
  <si>
    <t xml:space="preserve">2018 Electric Generation and Consumption in </t>
  </si>
  <si>
    <t>MWh</t>
  </si>
  <si>
    <t xml:space="preserve">Summary of Calculation for the Three Design </t>
  </si>
  <si>
    <t>Options</t>
  </si>
  <si>
    <t xml:space="preserve">Batangas II Electric Cooperative Inc. </t>
  </si>
  <si>
    <t>(BATELEC II) Supply-Demand</t>
  </si>
  <si>
    <t>Depreciation Cost for Design Option 1</t>
  </si>
  <si>
    <t>Depreciation Cost for Design Option 2</t>
  </si>
  <si>
    <t>Depreciation Cost for Design Option 3</t>
  </si>
  <si>
    <t>Return of Investment for Design Option 1</t>
  </si>
  <si>
    <t>Return of Investment for Design Option 2</t>
  </si>
  <si>
    <t>Return of Investment for Design Option 3</t>
  </si>
  <si>
    <t>Payback Period for Design Option 1</t>
  </si>
  <si>
    <t>Payback Period for Design Option 2</t>
  </si>
  <si>
    <t>Payback Period for Design Option 3</t>
  </si>
  <si>
    <t>Sensitivity Analysis for Design Option 1</t>
  </si>
  <si>
    <t>Sensitivity Analysis for Design Option 2</t>
  </si>
  <si>
    <t>Sensitivity Analysis for Design Option 3</t>
  </si>
  <si>
    <t>System Operating Parameters</t>
  </si>
  <si>
    <t>Luzon Supply Demand Outlook for 2014-2020</t>
  </si>
  <si>
    <t xml:space="preserve">Steam Cycle Operating Conditions for </t>
  </si>
  <si>
    <t>Design Option 1</t>
  </si>
  <si>
    <t>Design Option 2</t>
  </si>
  <si>
    <t>Design Option 3</t>
  </si>
  <si>
    <t xml:space="preserve">Philippines Demand-Supply Outlook </t>
  </si>
  <si>
    <t>for 2016-2040</t>
  </si>
  <si>
    <t>Break-Even Graph (Design Option 1/ Case 1)</t>
  </si>
  <si>
    <t>Break-Even Graph (Design Option 1/ Case 2)</t>
  </si>
  <si>
    <t>Break-Even Graph (Design Option 1/ Case 3)</t>
  </si>
  <si>
    <t>Break-Even Graph (Design Option 2/ Case 1)</t>
  </si>
  <si>
    <t>Break-Even Graph (Design Option 2/ Case 2)</t>
  </si>
  <si>
    <t>Break-Even Graph (Design Option 2/ Case 3)</t>
  </si>
  <si>
    <t>Break-Even Graph (Design Option 3/ Case 1)</t>
  </si>
  <si>
    <t>Break-Even Graph (Design Option 3/ Case 2)</t>
  </si>
  <si>
    <t>Break-Even Graph (Design Option 3/ Case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</si>
</sst>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5CB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1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7" borderId="0" xfId="0" applyFill="1"/>
    <xf numFmtId="0" fontId="0" fillId="2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BFF"/>
      <color rgb="FF05CBB3"/>
      <color rgb="FFFC4436"/>
      <color rgb="FFA521FF"/>
      <color rgb="FF6666FF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176730</xdr:colOff>
      <xdr:row>0</xdr:row>
      <xdr:rowOff>105342</xdr:rowOff>
    </xdr:from>
    <xdr:to>
      <xdr:col>23</xdr:col>
      <xdr:colOff>168856</xdr:colOff>
      <xdr:row>8</xdr:row>
      <xdr:rowOff>155368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88A3369-ECBF-4B9D-B7B0-EFEA477EB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95101" y="105342"/>
          <a:ext cx="3584413" cy="2441915"/>
        </a:xfrm>
        <a:prstGeom prst="rect">
          <a:avLst/>
        </a:prstGeom>
      </xdr:spPr>
    </xdr:pic>
    <xdr:clientData/>
  </xdr:twoCellAnchor>
  <xdr:twoCellAnchor editAs="oneCell">
    <xdr:from>
      <xdr:col>18</xdr:col>
      <xdr:colOff>163215</xdr:colOff>
      <xdr:row>9</xdr:row>
      <xdr:rowOff>61985</xdr:rowOff>
    </xdr:from>
    <xdr:to>
      <xdr:col>23</xdr:col>
      <xdr:colOff>526595</xdr:colOff>
      <xdr:row>17</xdr:row>
      <xdr:rowOff>165110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A7708D2-D843-47AB-9476-D1561062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117840" y="2633735"/>
          <a:ext cx="3863818" cy="2389125"/>
        </a:xfrm>
        <a:prstGeom prst="rect">
          <a:avLst/>
        </a:prstGeom>
      </xdr:spPr>
    </xdr:pic>
    <xdr:clientData/>
  </xdr:twoCellAnchor>
  <xdr:twoCellAnchor editAs="oneCell">
    <xdr:from>
      <xdr:col>8</xdr:col>
      <xdr:colOff>273130</xdr:colOff>
      <xdr:row>33</xdr:row>
      <xdr:rowOff>229591</xdr:rowOff>
    </xdr:from>
    <xdr:to>
      <xdr:col>13</xdr:col>
      <xdr:colOff>658718</xdr:colOff>
      <xdr:row>37</xdr:row>
      <xdr:rowOff>170260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9B13E13-8789-4583-9125-2ED7463B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72003" y="11202391"/>
          <a:ext cx="4785776" cy="110445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479958</xdr:colOff>
      <xdr:row>37</xdr:row>
      <xdr:rowOff>175162</xdr:rowOff>
    </xdr:from>
    <xdr:to>
      <xdr:col>13</xdr:col>
      <xdr:colOff>844154</xdr:colOff>
      <xdr:row>41</xdr:row>
      <xdr:rowOff>115832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72F28C4-7D7F-4249-83B4-63023479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9929" y="11049991"/>
          <a:ext cx="4762025" cy="111632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opLeftCell="H73" zoomScale="70" zoomScaleNormal="70" workbookViewId="0">
      <selection activeCell="L90" sqref="L90"/>
    </sheetView>
  </sheetViews>
  <sheetFormatPr defaultColWidth="8.85546875" defaultRowHeight="23.45" customHeight="1" x14ac:dyDescent="0.25"/>
  <cols>
    <col min="1" max="1" width="26.7109375" style="2" customWidth="1"/>
    <col min="2" max="2" width="8.85546875" style="1"/>
    <col min="3" max="3" width="17.7109375" style="1" customWidth="1"/>
    <col min="4" max="4" width="11.7109375" style="1" customWidth="1"/>
    <col min="5" max="5" width="12.140625" style="2" customWidth="1"/>
    <col min="6" max="6" width="12.85546875" style="1" customWidth="1"/>
    <col min="7" max="7" width="29.140625" style="1" customWidth="1"/>
    <col min="8" max="9" width="12.85546875" style="1" customWidth="1"/>
    <col min="10" max="12" width="12.85546875" style="2" customWidth="1"/>
    <col min="13" max="13" width="12.85546875" style="1" customWidth="1"/>
    <col min="14" max="14" width="18.7109375" style="2" customWidth="1"/>
    <col min="15" max="15" width="4.42578125" style="1" customWidth="1"/>
    <col min="16" max="16" width="14.7109375" style="1" customWidth="1"/>
    <col min="17" max="17" width="15.7109375" style="1" customWidth="1"/>
    <col min="18" max="18" width="19.140625" style="1" customWidth="1"/>
    <col min="19" max="20" width="12.85546875" style="1" customWidth="1"/>
    <col min="21" max="24" width="8.85546875" style="1"/>
    <col min="25" max="25" width="8.85546875" style="7"/>
    <col min="26" max="26" width="8.85546875" style="1"/>
    <col min="27" max="27" width="7.28515625" style="1" customWidth="1"/>
    <col min="28" max="28" width="26.140625" style="1" customWidth="1"/>
    <col min="29" max="29" width="8.7109375" style="1" customWidth="1"/>
    <col min="30" max="30" width="6.42578125" style="1" customWidth="1"/>
    <col min="31" max="31" width="20.28515625" style="1" customWidth="1"/>
    <col min="32" max="32" width="6.28515625" style="1" customWidth="1"/>
    <col min="33" max="33" width="21.28515625" style="1" customWidth="1"/>
    <col min="34" max="16384" width="8.85546875" style="1"/>
  </cols>
  <sheetData>
    <row r="1" spans="1:30" ht="23.45" customHeight="1" x14ac:dyDescent="0.25">
      <c r="K1" s="170" t="s">
        <v>304</v>
      </c>
      <c r="L1" s="170"/>
      <c r="P1" s="3" t="s">
        <v>23</v>
      </c>
    </row>
    <row r="2" spans="1:30" ht="23.45" customHeight="1" x14ac:dyDescent="0.25">
      <c r="C2" s="38" t="s">
        <v>0</v>
      </c>
      <c r="D2" s="211" t="s">
        <v>1</v>
      </c>
      <c r="E2" s="212"/>
      <c r="F2" s="39" t="s">
        <v>131</v>
      </c>
      <c r="G2" s="60" t="s">
        <v>2</v>
      </c>
      <c r="H2" s="40" t="s">
        <v>3</v>
      </c>
      <c r="I2" s="39" t="s">
        <v>4</v>
      </c>
      <c r="J2" s="146" t="s">
        <v>307</v>
      </c>
      <c r="K2" s="146" t="s">
        <v>308</v>
      </c>
      <c r="L2" s="146"/>
      <c r="P2" s="3">
        <v>0.49</v>
      </c>
      <c r="Z2" s="227" t="s">
        <v>146</v>
      </c>
      <c r="AA2" s="228"/>
      <c r="AB2" s="228"/>
      <c r="AC2" s="228"/>
      <c r="AD2" s="229"/>
    </row>
    <row r="3" spans="1:30" ht="23.45" customHeight="1" x14ac:dyDescent="0.25">
      <c r="B3" s="5" t="s">
        <v>7</v>
      </c>
      <c r="C3" s="45">
        <v>1</v>
      </c>
      <c r="D3" s="183">
        <v>20</v>
      </c>
      <c r="E3" s="184"/>
      <c r="F3" s="48">
        <v>540</v>
      </c>
      <c r="G3" s="61">
        <v>3363.5</v>
      </c>
      <c r="H3" s="9" t="s">
        <v>6</v>
      </c>
      <c r="I3" s="10">
        <v>6.2981999999999996</v>
      </c>
      <c r="J3" s="146">
        <v>1</v>
      </c>
      <c r="K3" s="146">
        <f>500000/D88</f>
        <v>664.92212542125867</v>
      </c>
      <c r="L3" s="146"/>
      <c r="P3" s="8" t="s">
        <v>134</v>
      </c>
      <c r="Q3" s="35" t="s">
        <v>133</v>
      </c>
      <c r="R3" s="54" t="s">
        <v>132</v>
      </c>
      <c r="Z3" s="230"/>
      <c r="AA3" s="231"/>
      <c r="AB3" s="231"/>
      <c r="AC3" s="231"/>
      <c r="AD3" s="232"/>
    </row>
    <row r="4" spans="1:30" ht="23.45" customHeight="1" x14ac:dyDescent="0.25">
      <c r="A4" s="52" t="s">
        <v>118</v>
      </c>
      <c r="B4" s="5" t="s">
        <v>9</v>
      </c>
      <c r="C4" s="30">
        <v>2</v>
      </c>
      <c r="D4" s="239">
        <v>11.4</v>
      </c>
      <c r="E4" s="240"/>
      <c r="F4" s="51">
        <v>441.09181139999998</v>
      </c>
      <c r="G4" s="92">
        <v>3192.3662530000001</v>
      </c>
      <c r="H4" s="18" t="s">
        <v>6</v>
      </c>
      <c r="I4" s="13">
        <f>I5</f>
        <v>6.2981999999999996</v>
      </c>
      <c r="J4" s="146">
        <f>J24</f>
        <v>7.7265392979111044E-2</v>
      </c>
      <c r="K4" s="146">
        <f>J4*K3</f>
        <v>51.37546932117931</v>
      </c>
      <c r="L4" s="147"/>
      <c r="M4" s="50" t="s">
        <v>5</v>
      </c>
      <c r="N4" s="57" t="s">
        <v>42</v>
      </c>
      <c r="O4" s="33" t="s">
        <v>15</v>
      </c>
      <c r="P4" s="50">
        <f>D4-D4*0.07</f>
        <v>10.602</v>
      </c>
      <c r="Q4" s="50">
        <v>315.39389999999997</v>
      </c>
      <c r="R4" s="50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30">
        <v>3</v>
      </c>
      <c r="D5" s="237">
        <v>10.199999999999999</v>
      </c>
      <c r="E5" s="238"/>
      <c r="F5" s="51">
        <v>422.91566280000001</v>
      </c>
      <c r="G5" s="92">
        <v>3160.955422</v>
      </c>
      <c r="H5" s="18" t="s">
        <v>6</v>
      </c>
      <c r="I5" s="13">
        <f>I3</f>
        <v>6.2981999999999996</v>
      </c>
      <c r="J5" s="146">
        <f>J3-J4</f>
        <v>0.92273460702088894</v>
      </c>
      <c r="K5" s="146">
        <f>J5*K3</f>
        <v>613.5466561000793</v>
      </c>
      <c r="L5" s="147"/>
      <c r="M5" s="50" t="s">
        <v>5</v>
      </c>
      <c r="N5" s="18"/>
      <c r="O5" s="18"/>
      <c r="P5" s="19"/>
      <c r="Q5" s="18"/>
      <c r="R5" s="13"/>
      <c r="Z5" s="2"/>
      <c r="AA5" s="2"/>
      <c r="AB5" s="2"/>
      <c r="AC5" s="2"/>
    </row>
    <row r="6" spans="1:30" ht="23.45" customHeight="1" x14ac:dyDescent="0.25">
      <c r="A6" s="52" t="s">
        <v>118</v>
      </c>
      <c r="C6" s="29">
        <v>4</v>
      </c>
      <c r="D6" s="237">
        <v>10.199999999999999</v>
      </c>
      <c r="E6" s="238"/>
      <c r="F6" s="37">
        <v>540</v>
      </c>
      <c r="G6" s="30">
        <v>3473.7</v>
      </c>
      <c r="H6" s="18" t="s">
        <v>6</v>
      </c>
      <c r="I6" s="51">
        <v>6.7141999999999999</v>
      </c>
      <c r="J6" s="149">
        <f>J3-J4</f>
        <v>0.92273460702088894</v>
      </c>
      <c r="K6" s="149">
        <f>K$3*J6</f>
        <v>613.5466561000793</v>
      </c>
      <c r="L6" s="148"/>
      <c r="M6" s="50" t="s">
        <v>5</v>
      </c>
      <c r="N6" s="18"/>
      <c r="O6" s="18"/>
      <c r="P6" s="19"/>
      <c r="Q6" s="18"/>
      <c r="R6" s="13"/>
      <c r="Z6" s="2"/>
      <c r="AA6" s="2">
        <v>1</v>
      </c>
      <c r="AB6" s="2"/>
      <c r="AC6" s="2">
        <v>1</v>
      </c>
    </row>
    <row r="7" spans="1:30" ht="23.45" customHeight="1" x14ac:dyDescent="0.25">
      <c r="A7" s="52" t="s">
        <v>118</v>
      </c>
      <c r="B7" s="5" t="s">
        <v>14</v>
      </c>
      <c r="C7" s="29">
        <v>5</v>
      </c>
      <c r="D7" s="245">
        <v>8</v>
      </c>
      <c r="E7" s="246"/>
      <c r="F7" s="51">
        <v>496.97530879999999</v>
      </c>
      <c r="G7" s="93">
        <v>3390.7685190000002</v>
      </c>
      <c r="H7" s="18" t="s">
        <v>6</v>
      </c>
      <c r="I7" s="51">
        <v>6.7141999999999999</v>
      </c>
      <c r="J7" s="149">
        <f>D50</f>
        <v>3.1707734011952468E-2</v>
      </c>
      <c r="K7" s="149">
        <f t="shared" ref="K7:K24" si="0">K$3*J7</f>
        <v>21.083173891519369</v>
      </c>
      <c r="L7" s="148"/>
      <c r="M7" s="50" t="s">
        <v>5</v>
      </c>
      <c r="N7" s="58" t="s">
        <v>44</v>
      </c>
      <c r="O7" s="10" t="s">
        <v>16</v>
      </c>
      <c r="P7" s="65">
        <f>D7-D7*0.07</f>
        <v>7.4399999999999995</v>
      </c>
      <c r="Q7" s="65">
        <v>290.03800000000001</v>
      </c>
      <c r="R7" s="50">
        <f>G6-(P2*(G6-G7))</f>
        <v>3433.0635743100001</v>
      </c>
      <c r="Z7" s="2"/>
      <c r="AA7" s="2">
        <v>2</v>
      </c>
      <c r="AB7" s="2"/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29">
        <v>6</v>
      </c>
      <c r="D8" s="245">
        <v>5.8</v>
      </c>
      <c r="E8" s="246"/>
      <c r="F8" s="51">
        <v>442.9585798</v>
      </c>
      <c r="G8" s="94">
        <v>3287.5893489999999</v>
      </c>
      <c r="H8" s="18" t="s">
        <v>6</v>
      </c>
      <c r="I8" s="51">
        <v>6.7141999999999999</v>
      </c>
      <c r="J8" s="149">
        <f>H45</f>
        <v>3.7051051677359052E-2</v>
      </c>
      <c r="K8" s="149">
        <f t="shared" si="0"/>
        <v>24.636064030402473</v>
      </c>
      <c r="L8" s="148"/>
      <c r="M8" s="50" t="s">
        <v>5</v>
      </c>
      <c r="N8" s="55" t="s">
        <v>43</v>
      </c>
      <c r="O8" s="13" t="s">
        <v>17</v>
      </c>
      <c r="P8" s="65">
        <f t="shared" ref="P8:P11" si="1">D8-D8*0.07</f>
        <v>5.3940000000000001</v>
      </c>
      <c r="Q8" s="65">
        <v>268.76920000000001</v>
      </c>
      <c r="R8" s="50">
        <f>R7-(P2*(R7-G8))</f>
        <v>3361.7812039081</v>
      </c>
      <c r="Z8" s="2"/>
      <c r="AA8" s="2">
        <v>3</v>
      </c>
      <c r="AB8" s="2"/>
      <c r="AC8" s="2">
        <v>3</v>
      </c>
    </row>
    <row r="9" spans="1:30" ht="23.45" customHeight="1" x14ac:dyDescent="0.25">
      <c r="A9" s="52" t="s">
        <v>118</v>
      </c>
      <c r="B9" s="5" t="s">
        <v>11</v>
      </c>
      <c r="C9" s="29">
        <v>7</v>
      </c>
      <c r="D9" s="245">
        <v>4.2</v>
      </c>
      <c r="E9" s="246"/>
      <c r="F9" s="51">
        <v>392.09497199999998</v>
      </c>
      <c r="G9" s="94">
        <v>3191.1069830000001</v>
      </c>
      <c r="H9" s="18" t="s">
        <v>6</v>
      </c>
      <c r="I9" s="51">
        <v>6.7141999999999999</v>
      </c>
      <c r="J9" s="149">
        <f>N46</f>
        <v>3.7756433111390819E-2</v>
      </c>
      <c r="K9" s="149">
        <f t="shared" si="0"/>
        <v>25.105087752751569</v>
      </c>
      <c r="L9" s="148"/>
      <c r="M9" s="50" t="s">
        <v>5</v>
      </c>
      <c r="N9" s="55" t="s">
        <v>45</v>
      </c>
      <c r="O9" s="13" t="s">
        <v>18</v>
      </c>
      <c r="P9" s="94">
        <f t="shared" si="1"/>
        <v>3.9060000000000001</v>
      </c>
      <c r="Q9" s="94">
        <v>249</v>
      </c>
      <c r="R9" s="50">
        <f>R8-(P2*(R8-G9))</f>
        <v>3278.1508356631311</v>
      </c>
      <c r="Z9" s="2"/>
      <c r="AA9" s="2"/>
      <c r="AB9" s="2"/>
      <c r="AC9" s="2"/>
    </row>
    <row r="10" spans="1:30" ht="23.45" customHeight="1" x14ac:dyDescent="0.25">
      <c r="A10" s="52" t="s">
        <v>118</v>
      </c>
      <c r="B10" s="5" t="s">
        <v>12</v>
      </c>
      <c r="C10" s="29">
        <v>8</v>
      </c>
      <c r="D10" s="243">
        <v>2.8</v>
      </c>
      <c r="E10" s="244"/>
      <c r="F10" s="51">
        <v>332.80205640000003</v>
      </c>
      <c r="G10" s="92">
        <v>3079.3128529999999</v>
      </c>
      <c r="H10" s="18" t="s">
        <v>6</v>
      </c>
      <c r="I10" s="51">
        <v>6.7141999999999999</v>
      </c>
      <c r="J10" s="149">
        <f>N53</f>
        <v>0.22053249336707165</v>
      </c>
      <c r="K10" s="149">
        <f t="shared" si="0"/>
        <v>146.63693421408291</v>
      </c>
      <c r="L10" s="148"/>
      <c r="M10" s="50" t="s">
        <v>5</v>
      </c>
      <c r="N10" s="55" t="s">
        <v>46</v>
      </c>
      <c r="O10" s="13" t="s">
        <v>19</v>
      </c>
      <c r="P10" s="50">
        <f t="shared" si="1"/>
        <v>2.6039999999999996</v>
      </c>
      <c r="Q10" s="50">
        <v>226.17160000000001</v>
      </c>
      <c r="R10" s="50">
        <f>R9-(P2*(R9-G10))</f>
        <v>3180.7202241581967</v>
      </c>
      <c r="Z10" s="2"/>
      <c r="AA10" s="2" t="s">
        <v>155</v>
      </c>
      <c r="AB10" s="2"/>
      <c r="AC10" s="2"/>
    </row>
    <row r="11" spans="1:30" ht="23.45" customHeight="1" x14ac:dyDescent="0.25">
      <c r="A11" s="41" t="s">
        <v>119</v>
      </c>
      <c r="B11" s="5" t="s">
        <v>13</v>
      </c>
      <c r="C11" s="31">
        <v>9</v>
      </c>
      <c r="D11" s="241">
        <v>5.4999999999999997E-3</v>
      </c>
      <c r="E11" s="242"/>
      <c r="F11" s="47">
        <v>34.58</v>
      </c>
      <c r="G11" s="92">
        <v>2057.6146229999999</v>
      </c>
      <c r="H11" s="34" t="s">
        <v>6</v>
      </c>
      <c r="I11" s="51">
        <v>6.7141999999999999</v>
      </c>
      <c r="J11" s="149">
        <f>R43</f>
        <v>0.5956868948531151</v>
      </c>
      <c r="K11" s="149">
        <f t="shared" si="0"/>
        <v>396.08539621132314</v>
      </c>
      <c r="L11" s="148"/>
      <c r="M11" s="50" t="s">
        <v>5</v>
      </c>
      <c r="N11" s="59" t="s">
        <v>47</v>
      </c>
      <c r="O11" s="22" t="s">
        <v>20</v>
      </c>
      <c r="P11" s="50">
        <f t="shared" si="1"/>
        <v>5.1149999999999998E-3</v>
      </c>
      <c r="Q11" s="50">
        <v>32.973999999999997</v>
      </c>
      <c r="R11" s="50">
        <f>R10-(P2*(R10-G11))</f>
        <v>2630.3984795906804</v>
      </c>
      <c r="Z11" s="2"/>
      <c r="AA11" s="2"/>
      <c r="AB11" s="2"/>
      <c r="AC11" s="2"/>
    </row>
    <row r="12" spans="1:30" ht="23.45" customHeight="1" x14ac:dyDescent="0.25">
      <c r="A12" s="41" t="s">
        <v>120</v>
      </c>
      <c r="C12" s="50">
        <v>10</v>
      </c>
      <c r="D12" s="185">
        <v>5.4999999999999997E-3</v>
      </c>
      <c r="E12" s="186"/>
      <c r="F12" s="48">
        <v>34.58</v>
      </c>
      <c r="G12" s="50">
        <v>144.94999999999999</v>
      </c>
      <c r="H12" s="32">
        <v>1.0058</v>
      </c>
      <c r="I12" s="33" t="s">
        <v>6</v>
      </c>
      <c r="J12" s="146">
        <f>R43</f>
        <v>0.5956868948531151</v>
      </c>
      <c r="K12" s="149">
        <f t="shared" si="0"/>
        <v>396.08539621132314</v>
      </c>
      <c r="L12" s="146"/>
      <c r="M12" s="2"/>
      <c r="Z12" s="2"/>
      <c r="AA12" s="2"/>
      <c r="AB12" s="2"/>
      <c r="AC12" s="2"/>
    </row>
    <row r="13" spans="1:30" ht="23.45" customHeight="1" x14ac:dyDescent="0.25">
      <c r="A13" s="53" t="s">
        <v>121</v>
      </c>
      <c r="B13" s="2"/>
      <c r="C13" s="29">
        <v>11</v>
      </c>
      <c r="D13" s="177" t="s">
        <v>21</v>
      </c>
      <c r="E13" s="182"/>
      <c r="F13" s="156">
        <v>34.668599999999998</v>
      </c>
      <c r="G13" s="152">
        <f>G12+H12*(2.8-D12)</f>
        <v>147.76070809999999</v>
      </c>
      <c r="J13" s="144">
        <f>N55</f>
        <v>0.5956868948531151</v>
      </c>
      <c r="K13" s="149">
        <f t="shared" si="0"/>
        <v>396.08539621132314</v>
      </c>
      <c r="L13" s="144"/>
      <c r="N13" s="226" t="s">
        <v>135</v>
      </c>
      <c r="O13" s="226"/>
      <c r="P13" s="226"/>
      <c r="Q13" s="226"/>
      <c r="R13" s="226"/>
      <c r="Z13" s="2"/>
      <c r="AA13" s="2"/>
      <c r="AB13" s="2"/>
      <c r="AC13" s="2"/>
    </row>
    <row r="14" spans="1:30" ht="23.45" customHeight="1" x14ac:dyDescent="0.25">
      <c r="B14" s="4" t="s">
        <v>38</v>
      </c>
      <c r="C14" s="29">
        <v>12</v>
      </c>
      <c r="D14" s="180" t="s">
        <v>30</v>
      </c>
      <c r="E14" s="181"/>
      <c r="F14" s="157">
        <v>226.1694</v>
      </c>
      <c r="G14" s="51">
        <v>972.2296</v>
      </c>
      <c r="J14" s="144">
        <f>N54</f>
        <v>0.25828892647846247</v>
      </c>
      <c r="K14" s="149">
        <f t="shared" si="0"/>
        <v>171.74202196683447</v>
      </c>
      <c r="L14" s="144"/>
      <c r="N14" s="226" t="s">
        <v>138</v>
      </c>
      <c r="O14" s="226"/>
      <c r="P14" s="226"/>
      <c r="Q14" s="226"/>
      <c r="R14" s="226"/>
      <c r="Z14" s="2"/>
      <c r="AA14" s="2"/>
      <c r="AB14" s="2"/>
      <c r="AC14" s="2"/>
    </row>
    <row r="15" spans="1:30" ht="23.45" customHeight="1" x14ac:dyDescent="0.25">
      <c r="B15" s="4" t="s">
        <v>38</v>
      </c>
      <c r="C15" s="29">
        <v>13</v>
      </c>
      <c r="D15" s="180" t="s">
        <v>28</v>
      </c>
      <c r="E15" s="181"/>
      <c r="F15" s="157">
        <v>226.17160000000001</v>
      </c>
      <c r="G15" s="2">
        <f>G16</f>
        <v>972.23965599999997</v>
      </c>
      <c r="J15" s="2">
        <f>J14</f>
        <v>0.25828892647846247</v>
      </c>
      <c r="K15" s="149">
        <f t="shared" si="0"/>
        <v>171.74202196683447</v>
      </c>
      <c r="L15" s="146"/>
      <c r="Z15" s="2"/>
      <c r="AA15" s="2"/>
      <c r="AB15" s="2"/>
      <c r="AC15" s="2"/>
    </row>
    <row r="16" spans="1:30" ht="23.45" customHeight="1" x14ac:dyDescent="0.25">
      <c r="B16" s="63" t="s">
        <v>139</v>
      </c>
      <c r="C16" s="29">
        <v>14</v>
      </c>
      <c r="D16" s="180" t="s">
        <v>22</v>
      </c>
      <c r="E16" s="181"/>
      <c r="F16" s="157">
        <v>226.17160000000001</v>
      </c>
      <c r="G16" s="51">
        <v>972.23965599999997</v>
      </c>
      <c r="H16" s="144"/>
      <c r="I16" s="144"/>
      <c r="J16" s="144">
        <f>J13</f>
        <v>0.5956868948531151</v>
      </c>
      <c r="K16" s="149">
        <f t="shared" si="0"/>
        <v>396.08539621132314</v>
      </c>
      <c r="L16" s="144"/>
      <c r="M16" s="144"/>
      <c r="N16" s="66" t="s">
        <v>48</v>
      </c>
      <c r="P16" s="4" t="s">
        <v>27</v>
      </c>
      <c r="Q16" s="1">
        <f>Q10-2.3</f>
        <v>223.8716</v>
      </c>
      <c r="Z16" s="2"/>
      <c r="AA16" s="2"/>
      <c r="AB16" s="2"/>
      <c r="AC16" s="2"/>
    </row>
    <row r="17" spans="1:31" ht="23.45" customHeight="1" x14ac:dyDescent="0.25">
      <c r="B17" s="4" t="s">
        <v>38</v>
      </c>
      <c r="C17" s="29">
        <v>15</v>
      </c>
      <c r="D17" s="168" t="s">
        <v>28</v>
      </c>
      <c r="E17" s="179"/>
      <c r="F17" s="157">
        <v>226.17160000000001</v>
      </c>
      <c r="G17" s="137">
        <f>G16</f>
        <v>972.23965599999997</v>
      </c>
      <c r="J17" s="2">
        <f>J19</f>
        <v>0.85397582133157746</v>
      </c>
      <c r="K17" s="149">
        <f t="shared" si="0"/>
        <v>567.82741817815759</v>
      </c>
      <c r="Z17" s="2"/>
      <c r="AA17" s="2"/>
      <c r="AB17" s="2"/>
      <c r="AC17" s="2"/>
    </row>
    <row r="18" spans="1:31" ht="23.45" customHeight="1" x14ac:dyDescent="0.25">
      <c r="B18" s="4" t="s">
        <v>38</v>
      </c>
      <c r="C18" s="29">
        <v>16</v>
      </c>
      <c r="D18" s="171" t="s">
        <v>29</v>
      </c>
      <c r="E18" s="172"/>
      <c r="F18" s="158">
        <v>249</v>
      </c>
      <c r="G18" s="153">
        <v>1080.4856</v>
      </c>
      <c r="J18" s="2">
        <f>N46</f>
        <v>3.7756433111390819E-2</v>
      </c>
      <c r="K18" s="149">
        <f t="shared" si="0"/>
        <v>25.105087752751569</v>
      </c>
      <c r="Z18" s="2"/>
      <c r="AA18" s="2"/>
      <c r="AB18" s="2"/>
      <c r="AC18" s="2"/>
    </row>
    <row r="19" spans="1:31" ht="23.45" customHeight="1" x14ac:dyDescent="0.25">
      <c r="B19" s="63" t="s">
        <v>139</v>
      </c>
      <c r="C19" s="29">
        <v>17</v>
      </c>
      <c r="D19" s="171" t="s">
        <v>35</v>
      </c>
      <c r="E19" s="172"/>
      <c r="F19" s="158">
        <v>246.7</v>
      </c>
      <c r="G19" s="153">
        <v>1069.404</v>
      </c>
      <c r="H19" s="144"/>
      <c r="I19" s="144"/>
      <c r="J19" s="144">
        <f>H46</f>
        <v>0.85397582133157746</v>
      </c>
      <c r="K19" s="149">
        <f t="shared" si="0"/>
        <v>567.82741817815759</v>
      </c>
      <c r="L19" s="144"/>
      <c r="M19" s="144"/>
      <c r="N19" s="144"/>
      <c r="O19" s="144"/>
      <c r="P19" s="4" t="s">
        <v>26</v>
      </c>
      <c r="Q19" s="64">
        <f>Q9-2.3</f>
        <v>246.7</v>
      </c>
      <c r="Z19" s="2"/>
      <c r="AA19" s="2"/>
      <c r="AB19" s="2"/>
      <c r="AC19" s="2"/>
    </row>
    <row r="20" spans="1:31" ht="23.45" customHeight="1" x14ac:dyDescent="0.25">
      <c r="B20" s="4" t="s">
        <v>38</v>
      </c>
      <c r="C20" s="29">
        <v>18</v>
      </c>
      <c r="D20" s="173" t="s">
        <v>31</v>
      </c>
      <c r="E20" s="174"/>
      <c r="F20" s="157">
        <v>268.76920000000001</v>
      </c>
      <c r="G20" s="154">
        <v>1178.2976000000001</v>
      </c>
      <c r="H20" s="50">
        <v>1.335275</v>
      </c>
      <c r="J20" s="2">
        <v>1</v>
      </c>
      <c r="K20" s="149">
        <f t="shared" si="0"/>
        <v>664.92212542125867</v>
      </c>
      <c r="Z20" s="2"/>
      <c r="AA20" s="2"/>
      <c r="AB20" s="2"/>
      <c r="AC20" s="2"/>
    </row>
    <row r="21" spans="1:31" ht="23.45" customHeight="1" x14ac:dyDescent="0.25">
      <c r="A21" s="53" t="s">
        <v>122</v>
      </c>
      <c r="B21" s="4" t="s">
        <v>38</v>
      </c>
      <c r="C21" s="29">
        <v>19</v>
      </c>
      <c r="D21" s="175" t="s">
        <v>32</v>
      </c>
      <c r="E21" s="176"/>
      <c r="F21" s="157">
        <v>273.19200000000001</v>
      </c>
      <c r="G21" s="152">
        <f>G20+H20*(20-P8)</f>
        <v>1197.8006266500001</v>
      </c>
      <c r="J21" s="2">
        <v>1</v>
      </c>
      <c r="K21" s="149">
        <f t="shared" si="0"/>
        <v>664.92212542125867</v>
      </c>
      <c r="Z21" s="2"/>
      <c r="AA21" s="2"/>
      <c r="AB21" s="2"/>
      <c r="AC21" s="2"/>
    </row>
    <row r="22" spans="1:31" ht="23.45" customHeight="1" x14ac:dyDescent="0.25">
      <c r="B22" s="4" t="s">
        <v>38</v>
      </c>
      <c r="C22" s="29">
        <v>20</v>
      </c>
      <c r="D22" s="173" t="s">
        <v>33</v>
      </c>
      <c r="E22" s="174"/>
      <c r="F22" s="157">
        <v>290.03800000000001</v>
      </c>
      <c r="G22" s="153">
        <v>1289.2619999999999</v>
      </c>
      <c r="J22" s="2">
        <f>D51</f>
        <v>0.10897312699106351</v>
      </c>
      <c r="K22" s="149">
        <f t="shared" si="0"/>
        <v>72.458643212698675</v>
      </c>
      <c r="Z22" s="2"/>
      <c r="AA22" s="2"/>
      <c r="AB22" s="2"/>
      <c r="AC22" s="2"/>
    </row>
    <row r="23" spans="1:31" ht="23.45" customHeight="1" x14ac:dyDescent="0.25">
      <c r="B23" s="63" t="s">
        <v>139</v>
      </c>
      <c r="C23" s="29">
        <v>21</v>
      </c>
      <c r="D23" s="173" t="s">
        <v>36</v>
      </c>
      <c r="E23" s="174"/>
      <c r="F23" s="157">
        <v>287.738</v>
      </c>
      <c r="G23" s="153">
        <v>1276.9083000000001</v>
      </c>
      <c r="H23" s="144"/>
      <c r="I23" s="144"/>
      <c r="J23" s="144">
        <v>1</v>
      </c>
      <c r="K23" s="149">
        <f t="shared" si="0"/>
        <v>664.92212542125867</v>
      </c>
      <c r="L23" s="144"/>
      <c r="M23" s="144"/>
      <c r="N23" s="144"/>
      <c r="O23" s="144"/>
      <c r="P23" s="4" t="s">
        <v>25</v>
      </c>
      <c r="Q23" s="64">
        <f>Q7-2.3</f>
        <v>287.738</v>
      </c>
      <c r="Z23" s="2"/>
      <c r="AA23" s="2"/>
      <c r="AB23" s="2"/>
      <c r="AC23" s="2"/>
    </row>
    <row r="24" spans="1:31" ht="23.45" customHeight="1" x14ac:dyDescent="0.25">
      <c r="B24" s="4" t="s">
        <v>38</v>
      </c>
      <c r="C24" s="29">
        <v>22</v>
      </c>
      <c r="D24" s="177" t="s">
        <v>34</v>
      </c>
      <c r="E24" s="178"/>
      <c r="F24" s="157">
        <v>315.39389999999997</v>
      </c>
      <c r="G24" s="51">
        <v>1433.3444</v>
      </c>
      <c r="J24" s="2">
        <f>D45</f>
        <v>7.7265392979111044E-2</v>
      </c>
      <c r="K24" s="149">
        <f t="shared" si="0"/>
        <v>51.37546932117931</v>
      </c>
      <c r="Z24" s="2"/>
      <c r="AA24" s="2"/>
      <c r="AB24" s="2"/>
      <c r="AC24" s="2"/>
    </row>
    <row r="25" spans="1:31" ht="23.45" customHeight="1" x14ac:dyDescent="0.25">
      <c r="B25" s="63" t="s">
        <v>139</v>
      </c>
      <c r="C25" s="31">
        <v>23</v>
      </c>
      <c r="D25" s="168" t="s">
        <v>37</v>
      </c>
      <c r="E25" s="169"/>
      <c r="F25" s="159">
        <v>313.09389999999996</v>
      </c>
      <c r="G25" s="51">
        <v>1419.5634</v>
      </c>
      <c r="H25" s="144"/>
      <c r="I25" s="144"/>
      <c r="J25" s="144">
        <v>1</v>
      </c>
      <c r="K25" s="149">
        <f>K$3*J25</f>
        <v>664.92212542125867</v>
      </c>
      <c r="L25" s="144"/>
      <c r="M25" s="144"/>
      <c r="N25" s="144"/>
      <c r="O25" s="144"/>
      <c r="P25" s="4" t="s">
        <v>24</v>
      </c>
      <c r="Q25" s="1">
        <f>Q4-2.3</f>
        <v>313.09389999999996</v>
      </c>
      <c r="Z25" s="2"/>
      <c r="AA25" s="2"/>
      <c r="AB25" s="2"/>
      <c r="AC25" s="2"/>
    </row>
    <row r="26" spans="1:31" ht="23.45" customHeight="1" x14ac:dyDescent="0.25">
      <c r="Z26" s="2"/>
      <c r="AA26" s="2"/>
      <c r="AB26" s="2"/>
      <c r="AC26" s="2"/>
    </row>
    <row r="27" spans="1:31" ht="23.45" customHeight="1" x14ac:dyDescent="0.25">
      <c r="C27" s="26" t="s">
        <v>39</v>
      </c>
      <c r="Z27" s="1" t="s">
        <v>157</v>
      </c>
      <c r="AA27" s="1">
        <v>10</v>
      </c>
      <c r="AB27" s="1">
        <v>33.188736599999999</v>
      </c>
      <c r="AC27" s="1" t="s">
        <v>156</v>
      </c>
      <c r="AD27" s="1" t="s">
        <v>158</v>
      </c>
      <c r="AE27" s="1">
        <v>7</v>
      </c>
    </row>
    <row r="28" spans="1:31" ht="23.45" customHeight="1" x14ac:dyDescent="0.25">
      <c r="C28" s="27" t="s">
        <v>40</v>
      </c>
      <c r="G28" s="223" t="s">
        <v>136</v>
      </c>
      <c r="H28" s="224"/>
      <c r="I28" s="225"/>
      <c r="J28" s="145"/>
      <c r="K28" s="145"/>
      <c r="L28" s="145"/>
      <c r="Z28" s="1" t="s">
        <v>157</v>
      </c>
      <c r="AA28" s="1">
        <v>8</v>
      </c>
      <c r="AB28" s="1">
        <v>33.204806159999997</v>
      </c>
      <c r="AC28" s="1" t="s">
        <v>156</v>
      </c>
      <c r="AD28" s="1" t="s">
        <v>158</v>
      </c>
      <c r="AE28" s="1">
        <v>7</v>
      </c>
    </row>
    <row r="29" spans="1:31" ht="23.45" customHeight="1" x14ac:dyDescent="0.25">
      <c r="C29" s="28" t="s">
        <v>41</v>
      </c>
      <c r="G29" s="62" t="s">
        <v>137</v>
      </c>
      <c r="H29" s="222">
        <v>0.7904879414</v>
      </c>
      <c r="I29" s="215"/>
      <c r="J29" s="140"/>
      <c r="K29" s="140"/>
      <c r="L29" s="140"/>
    </row>
    <row r="30" spans="1:31" s="2" customFormat="1" ht="23.45" customHeight="1" x14ac:dyDescent="0.25">
      <c r="C30" s="65" t="s">
        <v>144</v>
      </c>
      <c r="S30" s="233" t="s">
        <v>117</v>
      </c>
      <c r="T30" s="233"/>
      <c r="Y30" s="7"/>
    </row>
    <row r="31" spans="1:31" s="2" customFormat="1" ht="23.45" customHeight="1" x14ac:dyDescent="0.25">
      <c r="S31" s="233"/>
      <c r="T31" s="233"/>
      <c r="Y31" s="7"/>
      <c r="Z31" s="2" t="s">
        <v>157</v>
      </c>
      <c r="AA31" s="2">
        <v>8</v>
      </c>
      <c r="AB31" s="2">
        <v>33.321321249999997</v>
      </c>
      <c r="AC31" s="2" t="s">
        <v>156</v>
      </c>
      <c r="AD31" s="2" t="s">
        <v>158</v>
      </c>
      <c r="AE31" s="2">
        <v>5.8</v>
      </c>
    </row>
    <row r="32" spans="1:31" ht="23.45" customHeight="1" x14ac:dyDescent="0.25">
      <c r="C32" s="6" t="s">
        <v>49</v>
      </c>
      <c r="S32" s="233"/>
      <c r="T32" s="233"/>
      <c r="Z32" s="1" t="s">
        <v>157</v>
      </c>
      <c r="AA32" s="1">
        <v>8</v>
      </c>
      <c r="AB32" s="1">
        <v>33.304183520000002</v>
      </c>
      <c r="AC32" s="1" t="s">
        <v>156</v>
      </c>
      <c r="AD32" s="1" t="s">
        <v>158</v>
      </c>
      <c r="AE32" s="1">
        <v>6</v>
      </c>
    </row>
    <row r="33" spans="3:33" s="2" customFormat="1" ht="23.45" customHeight="1" x14ac:dyDescent="0.25">
      <c r="S33" s="233">
        <f>M83</f>
        <v>33.682512172045321</v>
      </c>
      <c r="T33" s="233"/>
      <c r="Y33" s="7"/>
    </row>
    <row r="34" spans="3:33" s="2" customFormat="1" ht="23.45" customHeight="1" x14ac:dyDescent="0.25">
      <c r="C34" s="6" t="s">
        <v>123</v>
      </c>
      <c r="S34" s="233"/>
      <c r="T34" s="233"/>
      <c r="Y34" s="7"/>
      <c r="Z34" s="1"/>
      <c r="AA34" s="1"/>
    </row>
    <row r="35" spans="3:33" s="2" customFormat="1" ht="23.45" customHeight="1" x14ac:dyDescent="0.25">
      <c r="C35" s="36" t="s">
        <v>124</v>
      </c>
      <c r="D35" s="36">
        <v>1</v>
      </c>
      <c r="E35" s="101"/>
      <c r="G35" s="14" t="s">
        <v>125</v>
      </c>
      <c r="H35" s="7">
        <f>D36*D38</f>
        <v>1.2E-2</v>
      </c>
      <c r="S35" s="233"/>
      <c r="T35" s="233"/>
      <c r="Y35" s="7"/>
      <c r="Z35" s="1"/>
      <c r="AA35" s="1"/>
    </row>
    <row r="36" spans="3:33" s="2" customFormat="1" ht="23.45" customHeight="1" x14ac:dyDescent="0.25">
      <c r="C36" s="36" t="s">
        <v>126</v>
      </c>
      <c r="D36" s="36">
        <v>0.6</v>
      </c>
      <c r="E36" s="101"/>
      <c r="G36" s="14" t="s">
        <v>127</v>
      </c>
      <c r="H36" s="7">
        <f>D37*D38</f>
        <v>8.0000000000000002E-3</v>
      </c>
      <c r="S36" s="233"/>
      <c r="T36" s="233"/>
      <c r="Y36" s="7"/>
      <c r="Z36" s="2" t="s">
        <v>157</v>
      </c>
      <c r="AA36" s="2">
        <v>8</v>
      </c>
      <c r="AD36" s="2" t="s">
        <v>158</v>
      </c>
      <c r="AE36" s="2">
        <v>5.8</v>
      </c>
      <c r="AF36" s="2" t="s">
        <v>159</v>
      </c>
      <c r="AG36" s="2">
        <v>4.2</v>
      </c>
    </row>
    <row r="37" spans="3:33" s="2" customFormat="1" ht="23.45" customHeight="1" x14ac:dyDescent="0.25">
      <c r="C37" s="36" t="s">
        <v>128</v>
      </c>
      <c r="D37" s="36">
        <v>0.4</v>
      </c>
      <c r="E37" s="101"/>
      <c r="G37" s="14" t="s">
        <v>129</v>
      </c>
      <c r="H37" s="7">
        <f>D35+H36+H35</f>
        <v>1.02</v>
      </c>
      <c r="Y37" s="7"/>
      <c r="Z37" s="2" t="s">
        <v>157</v>
      </c>
      <c r="AA37" s="2">
        <v>8</v>
      </c>
      <c r="AB37" s="2">
        <v>33.700492529999998</v>
      </c>
      <c r="AD37" s="2" t="s">
        <v>158</v>
      </c>
      <c r="AE37" s="2">
        <v>5.8</v>
      </c>
      <c r="AF37" s="2" t="s">
        <v>159</v>
      </c>
      <c r="AG37" s="2">
        <v>4.4000000000000004</v>
      </c>
    </row>
    <row r="38" spans="3:33" s="2" customFormat="1" ht="23.45" customHeight="1" x14ac:dyDescent="0.25">
      <c r="C38" s="36" t="s">
        <v>130</v>
      </c>
      <c r="D38" s="36">
        <v>0.02</v>
      </c>
      <c r="E38" s="101"/>
      <c r="Y38" s="7"/>
    </row>
    <row r="39" spans="3:33" s="2" customFormat="1" ht="23.45" customHeight="1" x14ac:dyDescent="0.25">
      <c r="Y39" s="7"/>
    </row>
    <row r="41" spans="3:33" ht="23.45" customHeight="1" x14ac:dyDescent="0.25">
      <c r="C41" s="8" t="s">
        <v>50</v>
      </c>
      <c r="D41" s="9"/>
      <c r="E41" s="139"/>
      <c r="F41" s="10"/>
      <c r="G41" s="8" t="s">
        <v>63</v>
      </c>
      <c r="H41" s="9"/>
      <c r="I41" s="10"/>
      <c r="J41" s="139"/>
      <c r="K41" s="139"/>
      <c r="L41" s="139"/>
      <c r="M41" s="8" t="s">
        <v>76</v>
      </c>
      <c r="N41" s="9"/>
      <c r="O41" s="10"/>
      <c r="Q41" s="8" t="s">
        <v>87</v>
      </c>
      <c r="R41" s="10"/>
    </row>
    <row r="42" spans="3:33" ht="23.45" customHeight="1" x14ac:dyDescent="0.25">
      <c r="C42" s="180" t="s">
        <v>54</v>
      </c>
      <c r="D42" s="187"/>
      <c r="E42" s="187"/>
      <c r="F42" s="181"/>
      <c r="G42" s="188" t="s">
        <v>66</v>
      </c>
      <c r="H42" s="189"/>
      <c r="I42" s="190"/>
      <c r="J42" s="135"/>
      <c r="K42" s="135"/>
      <c r="L42" s="135"/>
      <c r="M42" s="180" t="s">
        <v>70</v>
      </c>
      <c r="N42" s="187"/>
      <c r="O42" s="181"/>
      <c r="Q42" s="23" t="s">
        <v>88</v>
      </c>
      <c r="R42" s="13"/>
    </row>
    <row r="43" spans="3:33" ht="23.45" customHeight="1" x14ac:dyDescent="0.25">
      <c r="C43" s="11" t="s">
        <v>61</v>
      </c>
      <c r="D43" s="12">
        <v>1</v>
      </c>
      <c r="E43" s="12"/>
      <c r="F43" s="13" t="s">
        <v>57</v>
      </c>
      <c r="G43" s="42" t="s">
        <v>64</v>
      </c>
      <c r="H43" s="18"/>
      <c r="I43" s="13"/>
      <c r="J43" s="140"/>
      <c r="K43" s="140"/>
      <c r="L43" s="140"/>
      <c r="M43" s="23" t="s">
        <v>71</v>
      </c>
      <c r="N43" s="24"/>
      <c r="O43" s="25"/>
      <c r="Q43" s="20" t="s">
        <v>89</v>
      </c>
      <c r="R43" s="44">
        <f>N55</f>
        <v>0.5956868948531151</v>
      </c>
    </row>
    <row r="44" spans="3:33" ht="23.45" customHeight="1" x14ac:dyDescent="0.25">
      <c r="C44" s="14" t="s">
        <v>51</v>
      </c>
      <c r="D44" s="15"/>
      <c r="E44" s="15"/>
      <c r="F44" s="16"/>
      <c r="G44" s="42" t="s">
        <v>65</v>
      </c>
      <c r="H44" s="24">
        <f>(D43-D45-D50)</f>
        <v>0.89102687300893646</v>
      </c>
      <c r="I44" s="25" t="s">
        <v>68</v>
      </c>
      <c r="J44" s="134"/>
      <c r="K44" s="134"/>
      <c r="L44" s="134"/>
      <c r="M44" s="23" t="s">
        <v>72</v>
      </c>
      <c r="N44" s="24"/>
      <c r="O44" s="25"/>
    </row>
    <row r="45" spans="3:33" ht="23.45" customHeight="1" x14ac:dyDescent="0.25">
      <c r="C45" s="20" t="s">
        <v>60</v>
      </c>
      <c r="D45" s="21">
        <f>(D43*(G25-G23))/(R4-G24)</f>
        <v>7.7265392979111044E-2</v>
      </c>
      <c r="E45" s="21"/>
      <c r="F45" s="22" t="s">
        <v>57</v>
      </c>
      <c r="G45" s="11" t="s">
        <v>67</v>
      </c>
      <c r="H45" s="12">
        <f>((D43*G20)-(D51*G22)-((D43-D45-D50)*G19))/(R8-G19)</f>
        <v>3.7051051677359052E-2</v>
      </c>
      <c r="I45" s="13"/>
      <c r="J45" s="140"/>
      <c r="K45" s="140"/>
      <c r="L45" s="140"/>
      <c r="M45" s="11" t="s">
        <v>74</v>
      </c>
      <c r="N45" s="12">
        <f>H46</f>
        <v>0.85397582133157746</v>
      </c>
      <c r="O45" s="13"/>
      <c r="AA45" s="2" t="s">
        <v>140</v>
      </c>
      <c r="AB45" s="2" t="s">
        <v>141</v>
      </c>
      <c r="AC45" s="2" t="s">
        <v>142</v>
      </c>
      <c r="AD45" s="2" t="s">
        <v>143</v>
      </c>
    </row>
    <row r="46" spans="3:33" ht="23.45" customHeight="1" x14ac:dyDescent="0.25">
      <c r="C46" s="17" t="s">
        <v>53</v>
      </c>
      <c r="D46" s="18"/>
      <c r="E46" s="140"/>
      <c r="F46" s="13"/>
      <c r="G46" s="20" t="s">
        <v>69</v>
      </c>
      <c r="H46" s="21">
        <f>D43-D45-D50-H45</f>
        <v>0.85397582133157746</v>
      </c>
      <c r="I46" s="22"/>
      <c r="J46" s="140"/>
      <c r="K46" s="140"/>
      <c r="L46" s="140"/>
      <c r="M46" s="11" t="s">
        <v>75</v>
      </c>
      <c r="N46" s="12">
        <f>(N45*(G19-G17))/(R9-G18)</f>
        <v>3.7756433111390819E-2</v>
      </c>
      <c r="O46" s="13"/>
      <c r="Z46" s="1">
        <v>10</v>
      </c>
    </row>
    <row r="47" spans="3:33" ht="23.45" customHeight="1" x14ac:dyDescent="0.25">
      <c r="C47" s="180" t="s">
        <v>55</v>
      </c>
      <c r="D47" s="187"/>
      <c r="E47" s="187"/>
      <c r="F47" s="181"/>
      <c r="G47" s="7" t="s">
        <v>145</v>
      </c>
      <c r="H47" s="7">
        <f>H45+D51+H46</f>
        <v>1</v>
      </c>
      <c r="M47" s="8" t="s">
        <v>77</v>
      </c>
      <c r="N47" s="9"/>
      <c r="O47" s="9"/>
      <c r="P47" s="10"/>
    </row>
    <row r="48" spans="3:33" ht="23.45" customHeight="1" x14ac:dyDescent="0.25">
      <c r="C48" s="14" t="s">
        <v>56</v>
      </c>
      <c r="D48" s="18"/>
      <c r="E48" s="140"/>
      <c r="F48" s="13"/>
      <c r="M48" s="188" t="s">
        <v>78</v>
      </c>
      <c r="N48" s="189"/>
      <c r="O48" s="189"/>
      <c r="P48" s="190"/>
    </row>
    <row r="49" spans="3:19" ht="23.45" customHeight="1" x14ac:dyDescent="0.25">
      <c r="C49" s="11" t="s">
        <v>62</v>
      </c>
      <c r="D49" s="12">
        <f>D43</f>
        <v>1</v>
      </c>
      <c r="E49" s="12"/>
      <c r="F49" s="13" t="s">
        <v>57</v>
      </c>
      <c r="M49" s="23" t="s">
        <v>79</v>
      </c>
      <c r="N49" s="24"/>
      <c r="O49" s="24"/>
      <c r="P49" s="25"/>
    </row>
    <row r="50" spans="3:19" ht="23.45" customHeight="1" x14ac:dyDescent="0.25">
      <c r="C50" s="11" t="s">
        <v>58</v>
      </c>
      <c r="D50" s="12">
        <f>(D45*(G22-G24)+D43*(G23-G21))/(R7-G22)</f>
        <v>3.1707734011952468E-2</v>
      </c>
      <c r="E50" s="12"/>
      <c r="F50" s="13" t="s">
        <v>57</v>
      </c>
      <c r="G50" s="2"/>
      <c r="H50" s="2"/>
      <c r="M50" s="23" t="s">
        <v>80</v>
      </c>
      <c r="N50" s="24"/>
      <c r="O50" s="24"/>
      <c r="P50" s="25"/>
    </row>
    <row r="51" spans="3:19" ht="23.45" customHeight="1" x14ac:dyDescent="0.25">
      <c r="C51" s="20" t="s">
        <v>59</v>
      </c>
      <c r="D51" s="21">
        <f>D50+D45</f>
        <v>0.10897312699106351</v>
      </c>
      <c r="E51" s="21"/>
      <c r="F51" s="22" t="s">
        <v>57</v>
      </c>
      <c r="M51" s="188" t="s">
        <v>81</v>
      </c>
      <c r="N51" s="189"/>
      <c r="O51" s="189"/>
      <c r="P51" s="190"/>
    </row>
    <row r="52" spans="3:19" ht="23.45" customHeight="1" x14ac:dyDescent="0.25">
      <c r="M52" s="23" t="s">
        <v>82</v>
      </c>
      <c r="N52" s="24">
        <f>H44-H45-N46</f>
        <v>0.81621938822018669</v>
      </c>
      <c r="O52" s="187" t="s">
        <v>83</v>
      </c>
      <c r="P52" s="181"/>
    </row>
    <row r="53" spans="3:19" ht="23.45" customHeight="1" x14ac:dyDescent="0.25">
      <c r="M53" s="11" t="s">
        <v>84</v>
      </c>
      <c r="N53" s="12">
        <f>(N46*(G14-G18)+N52*(G16-G13))/(R10-G13-G14+G16)</f>
        <v>0.22053249336707165</v>
      </c>
      <c r="O53" s="12"/>
      <c r="P53" s="43"/>
    </row>
    <row r="54" spans="3:19" ht="23.45" customHeight="1" x14ac:dyDescent="0.25">
      <c r="M54" s="11" t="s">
        <v>85</v>
      </c>
      <c r="N54" s="12">
        <f>N46+N53</f>
        <v>0.25828892647846247</v>
      </c>
      <c r="O54" s="12"/>
      <c r="P54" s="43"/>
    </row>
    <row r="55" spans="3:19" ht="23.45" customHeight="1" x14ac:dyDescent="0.25">
      <c r="M55" s="20" t="s">
        <v>86</v>
      </c>
      <c r="N55" s="21">
        <f>N52-N53</f>
        <v>0.5956868948531151</v>
      </c>
      <c r="O55" s="21"/>
      <c r="P55" s="44"/>
    </row>
    <row r="59" spans="3:19" ht="23.45" customHeight="1" x14ac:dyDescent="0.25">
      <c r="C59" s="8" t="s">
        <v>90</v>
      </c>
    </row>
    <row r="61" spans="3:19" ht="23.45" customHeight="1" x14ac:dyDescent="0.25">
      <c r="C61" s="200" t="s">
        <v>91</v>
      </c>
      <c r="D61" s="203" t="s">
        <v>92</v>
      </c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4"/>
    </row>
    <row r="62" spans="3:19" ht="23.45" customHeight="1" x14ac:dyDescent="0.25">
      <c r="C62" s="201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6"/>
    </row>
    <row r="63" spans="3:19" ht="23.45" customHeight="1" x14ac:dyDescent="0.25">
      <c r="C63" s="201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6"/>
    </row>
    <row r="64" spans="3:19" ht="23.45" customHeight="1" x14ac:dyDescent="0.25">
      <c r="C64" s="201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6"/>
    </row>
    <row r="65" spans="3:25" ht="23.45" customHeight="1" x14ac:dyDescent="0.25">
      <c r="C65" s="202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8"/>
    </row>
    <row r="66" spans="3:25" ht="23.45" customHeight="1" x14ac:dyDescent="0.25">
      <c r="C66" s="191" t="s">
        <v>91</v>
      </c>
      <c r="D66" s="194">
        <f>S75*(S82-S83)+(S75-S76)*(S83-S84)+(S75-S76)*(S85-S86)+(S75-S76-S77)*(S86-S87)+(S75-S76-S77-S78)*(S87-S88)+(S75-S76-S77-S78-S79)*(S88-S89)+(S75-S76-S77-S78-S79-S80)*(S89-S90)</f>
        <v>773.14768413784782</v>
      </c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5"/>
      <c r="T66" s="234" t="s">
        <v>104</v>
      </c>
    </row>
    <row r="67" spans="3:25" ht="23.45" customHeight="1" x14ac:dyDescent="0.25">
      <c r="C67" s="192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7"/>
      <c r="T67" s="235"/>
    </row>
    <row r="68" spans="3:25" ht="23.45" customHeight="1" x14ac:dyDescent="0.25">
      <c r="C68" s="192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7"/>
      <c r="T68" s="235"/>
    </row>
    <row r="69" spans="3:25" ht="23.45" customHeight="1" x14ac:dyDescent="0.25">
      <c r="C69" s="192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7"/>
      <c r="T69" s="235"/>
    </row>
    <row r="70" spans="3:25" ht="23.45" customHeight="1" x14ac:dyDescent="0.25">
      <c r="C70" s="193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9"/>
      <c r="T70" s="236"/>
    </row>
    <row r="72" spans="3:25" ht="23.45" customHeight="1" x14ac:dyDescent="0.25">
      <c r="R72" s="211" t="s">
        <v>147</v>
      </c>
      <c r="S72" s="212"/>
      <c r="T72" s="212"/>
    </row>
    <row r="73" spans="3:25" ht="23.45" customHeight="1" x14ac:dyDescent="0.25">
      <c r="C73" s="8" t="s">
        <v>105</v>
      </c>
      <c r="R73" s="211" t="s">
        <v>94</v>
      </c>
      <c r="S73" s="212"/>
      <c r="T73" s="212"/>
    </row>
    <row r="74" spans="3:25" s="2" customFormat="1" ht="23.45" customHeight="1" x14ac:dyDescent="0.25">
      <c r="C74" s="67"/>
      <c r="R74" s="69" t="s">
        <v>149</v>
      </c>
      <c r="S74" s="220">
        <v>1</v>
      </c>
      <c r="T74" s="219"/>
      <c r="Y74" s="7"/>
    </row>
    <row r="75" spans="3:25" ht="23.45" customHeight="1" x14ac:dyDescent="0.25">
      <c r="R75" s="69" t="s">
        <v>93</v>
      </c>
      <c r="S75" s="220">
        <f>D43</f>
        <v>1</v>
      </c>
      <c r="T75" s="219"/>
    </row>
    <row r="76" spans="3:25" ht="23.45" customHeight="1" x14ac:dyDescent="0.25">
      <c r="C76" s="7" t="s">
        <v>106</v>
      </c>
      <c r="D76" s="56" t="s">
        <v>150</v>
      </c>
      <c r="E76" s="138"/>
      <c r="F76" s="7">
        <f>G13-G12</f>
        <v>2.8107080999999994</v>
      </c>
      <c r="R76" s="70" t="s">
        <v>52</v>
      </c>
      <c r="S76" s="221">
        <f>D45</f>
        <v>7.7265392979111044E-2</v>
      </c>
      <c r="T76" s="210"/>
    </row>
    <row r="77" spans="3:25" ht="23.45" customHeight="1" x14ac:dyDescent="0.25">
      <c r="C77" s="7" t="s">
        <v>107</v>
      </c>
      <c r="D77" s="56" t="s">
        <v>151</v>
      </c>
      <c r="E77" s="138"/>
      <c r="F77" s="7">
        <f>G15-G14</f>
        <v>1.0055999999963205E-2</v>
      </c>
      <c r="R77" s="70" t="s">
        <v>58</v>
      </c>
      <c r="S77" s="221">
        <f>D50</f>
        <v>3.1707734011952468E-2</v>
      </c>
      <c r="T77" s="210"/>
    </row>
    <row r="78" spans="3:25" ht="23.45" customHeight="1" x14ac:dyDescent="0.25">
      <c r="C78" s="7" t="s">
        <v>108</v>
      </c>
      <c r="D78" s="56" t="s">
        <v>152</v>
      </c>
      <c r="E78" s="138"/>
      <c r="F78" s="7">
        <f>G21-G20</f>
        <v>19.503026650000038</v>
      </c>
      <c r="R78" s="70" t="s">
        <v>67</v>
      </c>
      <c r="S78" s="221">
        <f>H45</f>
        <v>3.7051051677359052E-2</v>
      </c>
      <c r="T78" s="210"/>
    </row>
    <row r="79" spans="3:25" ht="23.45" customHeight="1" x14ac:dyDescent="0.25">
      <c r="R79" s="70" t="s">
        <v>73</v>
      </c>
      <c r="S79" s="221">
        <f>N46</f>
        <v>3.7756433111390819E-2</v>
      </c>
      <c r="T79" s="210"/>
    </row>
    <row r="80" spans="3:25" ht="23.45" customHeight="1" x14ac:dyDescent="0.25">
      <c r="C80" s="8" t="s">
        <v>109</v>
      </c>
      <c r="I80" s="211" t="s">
        <v>114</v>
      </c>
      <c r="J80" s="212"/>
      <c r="K80" s="212"/>
      <c r="L80" s="212"/>
      <c r="M80" s="213"/>
      <c r="R80" s="71" t="s">
        <v>84</v>
      </c>
      <c r="S80" s="222">
        <f>N53</f>
        <v>0.22053249336707165</v>
      </c>
      <c r="T80" s="215"/>
    </row>
    <row r="81" spans="3:20" ht="23.45" customHeight="1" x14ac:dyDescent="0.25">
      <c r="C81" s="41" t="s">
        <v>110</v>
      </c>
      <c r="D81" s="216" t="s">
        <v>148</v>
      </c>
      <c r="E81" s="216"/>
      <c r="F81" s="216"/>
      <c r="G81" s="68"/>
      <c r="R81" s="72"/>
      <c r="S81" s="32"/>
      <c r="T81" s="33"/>
    </row>
    <row r="82" spans="3:20" ht="23.45" customHeight="1" x14ac:dyDescent="0.25">
      <c r="C82" s="7" t="s">
        <v>110</v>
      </c>
      <c r="D82" s="7">
        <f>(S82-G25)+(S74-S76)*(S85-S84)</f>
        <v>2232.5168452787434</v>
      </c>
      <c r="E82" s="7"/>
      <c r="G82" s="68"/>
      <c r="I82" s="56" t="s">
        <v>115</v>
      </c>
      <c r="J82" s="138"/>
      <c r="K82" s="138"/>
      <c r="L82" s="138"/>
      <c r="M82" s="56" t="s">
        <v>116</v>
      </c>
      <c r="R82" s="73" t="s">
        <v>95</v>
      </c>
      <c r="S82" s="218">
        <f>G3</f>
        <v>3363.5</v>
      </c>
      <c r="T82" s="219"/>
    </row>
    <row r="83" spans="3:20" ht="23.45" customHeight="1" x14ac:dyDescent="0.25">
      <c r="I83" s="7" t="s">
        <v>115</v>
      </c>
      <c r="J83" s="7"/>
      <c r="K83" s="7"/>
      <c r="L83" s="7"/>
      <c r="M83" s="7">
        <f>((D82-D86)/(D82))*100</f>
        <v>33.682512172045321</v>
      </c>
      <c r="R83" s="74" t="s">
        <v>96</v>
      </c>
      <c r="S83" s="209">
        <f>R4</f>
        <v>3279.6444639700003</v>
      </c>
      <c r="T83" s="210"/>
    </row>
    <row r="84" spans="3:20" ht="23.45" customHeight="1" x14ac:dyDescent="0.25">
      <c r="C84" s="8" t="s">
        <v>111</v>
      </c>
      <c r="R84" s="74" t="s">
        <v>97</v>
      </c>
      <c r="S84" s="209">
        <f>G5</f>
        <v>3160.955422</v>
      </c>
      <c r="T84" s="210"/>
    </row>
    <row r="85" spans="3:20" ht="23.45" customHeight="1" x14ac:dyDescent="0.25">
      <c r="C85" s="41" t="s">
        <v>112</v>
      </c>
      <c r="D85" s="217" t="s">
        <v>113</v>
      </c>
      <c r="E85" s="217"/>
      <c r="F85" s="217"/>
      <c r="G85" s="217"/>
      <c r="I85" s="211" t="s">
        <v>154</v>
      </c>
      <c r="J85" s="212"/>
      <c r="K85" s="212"/>
      <c r="L85" s="212"/>
      <c r="M85" s="213"/>
      <c r="R85" s="74" t="s">
        <v>98</v>
      </c>
      <c r="S85" s="209">
        <f>G6</f>
        <v>3473.7</v>
      </c>
      <c r="T85" s="210"/>
    </row>
    <row r="86" spans="3:20" ht="23.45" customHeight="1" x14ac:dyDescent="0.25">
      <c r="C86" s="7" t="s">
        <v>112</v>
      </c>
      <c r="D86" s="7">
        <f>(S75-S76-S77-S78-S79-S80)*(S90-G12)</f>
        <v>1480.5490871247684</v>
      </c>
      <c r="E86" s="7"/>
      <c r="I86" s="68" t="s">
        <v>115</v>
      </c>
      <c r="J86" s="68"/>
      <c r="K86" s="68"/>
      <c r="L86" s="68"/>
      <c r="M86" s="68" t="s">
        <v>153</v>
      </c>
      <c r="R86" s="74" t="s">
        <v>99</v>
      </c>
      <c r="S86" s="209">
        <f>R7</f>
        <v>3433.0635743100001</v>
      </c>
      <c r="T86" s="210"/>
    </row>
    <row r="87" spans="3:20" ht="23.45" customHeight="1" x14ac:dyDescent="0.25">
      <c r="G87" s="68"/>
      <c r="I87" s="68"/>
      <c r="J87" s="68"/>
      <c r="K87" s="68"/>
      <c r="L87" s="68"/>
      <c r="M87" s="68">
        <f>((D66-F76-F77-F78)/(D82))*100</f>
        <v>33.631275615038092</v>
      </c>
      <c r="R87" s="74" t="s">
        <v>100</v>
      </c>
      <c r="S87" s="209">
        <f>R8</f>
        <v>3361.7812039081</v>
      </c>
      <c r="T87" s="210"/>
    </row>
    <row r="88" spans="3:20" ht="23.45" customHeight="1" x14ac:dyDescent="0.25">
      <c r="C88" s="1" t="s">
        <v>306</v>
      </c>
      <c r="D88" s="1">
        <f>D82-D86</f>
        <v>751.96775815397496</v>
      </c>
      <c r="G88" s="68"/>
      <c r="R88" s="74" t="s">
        <v>101</v>
      </c>
      <c r="S88" s="209">
        <f>R9</f>
        <v>3278.1508356631311</v>
      </c>
      <c r="T88" s="210"/>
    </row>
    <row r="89" spans="3:20" ht="23.45" customHeight="1" x14ac:dyDescent="0.25">
      <c r="R89" s="74" t="s">
        <v>102</v>
      </c>
      <c r="S89" s="209">
        <f>R10</f>
        <v>3180.7202241581967</v>
      </c>
      <c r="T89" s="210"/>
    </row>
    <row r="90" spans="3:20" ht="23.45" customHeight="1" x14ac:dyDescent="0.25">
      <c r="R90" s="75" t="s">
        <v>103</v>
      </c>
      <c r="S90" s="214">
        <f>R11</f>
        <v>2630.3984795906804</v>
      </c>
      <c r="T90" s="215"/>
    </row>
  </sheetData>
  <mergeCells count="66">
    <mergeCell ref="D6:E6"/>
    <mergeCell ref="D5:E5"/>
    <mergeCell ref="D4:E4"/>
    <mergeCell ref="D2:E2"/>
    <mergeCell ref="D11:E11"/>
    <mergeCell ref="D10:E10"/>
    <mergeCell ref="D9:E9"/>
    <mergeCell ref="D8:E8"/>
    <mergeCell ref="D7:E7"/>
    <mergeCell ref="G28:I28"/>
    <mergeCell ref="N14:R14"/>
    <mergeCell ref="Z2:AD3"/>
    <mergeCell ref="R72:T72"/>
    <mergeCell ref="N13:R13"/>
    <mergeCell ref="S33:T36"/>
    <mergeCell ref="S30:T32"/>
    <mergeCell ref="M48:P48"/>
    <mergeCell ref="M51:P51"/>
    <mergeCell ref="O52:P52"/>
    <mergeCell ref="T66:T70"/>
    <mergeCell ref="H29:I29"/>
    <mergeCell ref="S90:T90"/>
    <mergeCell ref="D81:F81"/>
    <mergeCell ref="D85:G85"/>
    <mergeCell ref="I80:M80"/>
    <mergeCell ref="R73:T73"/>
    <mergeCell ref="S82:T82"/>
    <mergeCell ref="S83:T83"/>
    <mergeCell ref="S84:T84"/>
    <mergeCell ref="S85:T85"/>
    <mergeCell ref="S75:T75"/>
    <mergeCell ref="S76:T76"/>
    <mergeCell ref="S77:T77"/>
    <mergeCell ref="S78:T78"/>
    <mergeCell ref="S80:T80"/>
    <mergeCell ref="S79:T79"/>
    <mergeCell ref="S74:T74"/>
    <mergeCell ref="S86:T86"/>
    <mergeCell ref="S87:T87"/>
    <mergeCell ref="S88:T88"/>
    <mergeCell ref="S89:T89"/>
    <mergeCell ref="I85:M85"/>
    <mergeCell ref="C42:F42"/>
    <mergeCell ref="C47:F47"/>
    <mergeCell ref="G42:I42"/>
    <mergeCell ref="M42:O42"/>
    <mergeCell ref="C66:C70"/>
    <mergeCell ref="D66:S70"/>
    <mergeCell ref="C61:C65"/>
    <mergeCell ref="D61:S65"/>
    <mergeCell ref="D25:E25"/>
    <mergeCell ref="K1:L1"/>
    <mergeCell ref="D18:E18"/>
    <mergeCell ref="D19:E19"/>
    <mergeCell ref="D20:E20"/>
    <mergeCell ref="D21:E21"/>
    <mergeCell ref="D22:E22"/>
    <mergeCell ref="D23:E23"/>
    <mergeCell ref="D24:E24"/>
    <mergeCell ref="D17:E17"/>
    <mergeCell ref="D16:E16"/>
    <mergeCell ref="D15:E15"/>
    <mergeCell ref="D14:E14"/>
    <mergeCell ref="D13:E13"/>
    <mergeCell ref="D3:E3"/>
    <mergeCell ref="D12:E12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opLeftCell="D70" zoomScale="70" zoomScaleNormal="70" workbookViewId="0">
      <selection activeCell="F15" sqref="F15:F18"/>
    </sheetView>
  </sheetViews>
  <sheetFormatPr defaultColWidth="8.85546875" defaultRowHeight="23.45" customHeight="1" x14ac:dyDescent="0.25"/>
  <cols>
    <col min="1" max="1" width="29.5703125" style="2" customWidth="1"/>
    <col min="2" max="2" width="8.85546875" style="2"/>
    <col min="3" max="3" width="17.7109375" style="2" customWidth="1"/>
    <col min="4" max="4" width="13.140625" style="2" customWidth="1"/>
    <col min="5" max="6" width="12.85546875" style="2" customWidth="1"/>
    <col min="7" max="7" width="29.140625" style="2" customWidth="1"/>
    <col min="8" max="8" width="19.5703125" style="2" customWidth="1"/>
    <col min="9" max="13" width="12.85546875" style="2" customWidth="1"/>
    <col min="14" max="14" width="23.28515625" style="2" customWidth="1"/>
    <col min="15" max="15" width="11.140625" style="2" customWidth="1"/>
    <col min="16" max="16" width="14.7109375" style="2" customWidth="1"/>
    <col min="17" max="17" width="23" style="2" customWidth="1"/>
    <col min="18" max="18" width="22.85546875" style="2" customWidth="1"/>
    <col min="19" max="20" width="12.85546875" style="2" customWidth="1"/>
    <col min="21" max="24" width="8.85546875" style="2"/>
    <col min="25" max="25" width="8.85546875" style="7"/>
    <col min="26" max="26" width="8.85546875" style="2"/>
    <col min="27" max="27" width="7.28515625" style="2" customWidth="1"/>
    <col min="28" max="28" width="26.140625" style="2" customWidth="1"/>
    <col min="29" max="29" width="8.7109375" style="2" customWidth="1"/>
    <col min="30" max="30" width="6.42578125" style="2" customWidth="1"/>
    <col min="31" max="31" width="20.28515625" style="2" customWidth="1"/>
    <col min="32" max="32" width="6.28515625" style="2" customWidth="1"/>
    <col min="33" max="33" width="21.28515625" style="2" customWidth="1"/>
    <col min="34" max="16384" width="8.85546875" style="2"/>
  </cols>
  <sheetData>
    <row r="1" spans="1:30" ht="23.45" customHeight="1" x14ac:dyDescent="0.25">
      <c r="K1" s="248" t="s">
        <v>304</v>
      </c>
      <c r="L1" s="248"/>
      <c r="P1" s="3" t="s">
        <v>23</v>
      </c>
    </row>
    <row r="2" spans="1:30" ht="23.45" customHeight="1" x14ac:dyDescent="0.25">
      <c r="C2" s="78" t="s">
        <v>0</v>
      </c>
      <c r="D2" s="249" t="s">
        <v>1</v>
      </c>
      <c r="E2" s="250"/>
      <c r="F2" s="100" t="s">
        <v>131</v>
      </c>
      <c r="G2" s="99" t="s">
        <v>2</v>
      </c>
      <c r="H2" s="79" t="s">
        <v>3</v>
      </c>
      <c r="I2" s="84" t="s">
        <v>4</v>
      </c>
      <c r="J2" s="146" t="s">
        <v>307</v>
      </c>
      <c r="K2" s="146" t="s">
        <v>308</v>
      </c>
      <c r="L2" s="146"/>
      <c r="P2" s="3">
        <v>0.49</v>
      </c>
      <c r="Z2" s="227" t="s">
        <v>146</v>
      </c>
      <c r="AA2" s="228"/>
      <c r="AB2" s="228"/>
      <c r="AC2" s="228"/>
      <c r="AD2" s="229"/>
    </row>
    <row r="3" spans="1:30" ht="23.45" customHeight="1" x14ac:dyDescent="0.25">
      <c r="B3" s="5" t="s">
        <v>7</v>
      </c>
      <c r="C3" s="85">
        <v>1</v>
      </c>
      <c r="D3" s="243">
        <v>20</v>
      </c>
      <c r="E3" s="251"/>
      <c r="F3" s="36">
        <v>540</v>
      </c>
      <c r="G3" s="103">
        <v>3363.5</v>
      </c>
      <c r="H3" s="109" t="s">
        <v>6</v>
      </c>
      <c r="I3" s="48">
        <v>6.2981999999999996</v>
      </c>
      <c r="J3" s="146">
        <v>1</v>
      </c>
      <c r="K3" s="146">
        <f>500000/D92</f>
        <v>654.57598418840951</v>
      </c>
      <c r="L3" s="146"/>
      <c r="P3" s="8" t="s">
        <v>134</v>
      </c>
      <c r="Q3" s="54" t="s">
        <v>133</v>
      </c>
      <c r="R3" s="54" t="s">
        <v>132</v>
      </c>
      <c r="Z3" s="230"/>
      <c r="AA3" s="231"/>
      <c r="AB3" s="231"/>
      <c r="AC3" s="231"/>
      <c r="AD3" s="232"/>
    </row>
    <row r="4" spans="1:30" ht="23.45" customHeight="1" x14ac:dyDescent="0.25">
      <c r="A4" s="52" t="s">
        <v>118</v>
      </c>
      <c r="B4" s="5" t="s">
        <v>160</v>
      </c>
      <c r="C4" s="98">
        <v>2</v>
      </c>
      <c r="D4" s="239">
        <v>11.4</v>
      </c>
      <c r="E4" s="253"/>
      <c r="F4" s="36">
        <v>441.09181139999998</v>
      </c>
      <c r="G4" s="27">
        <v>3192.3662530000001</v>
      </c>
      <c r="H4" s="110" t="s">
        <v>6</v>
      </c>
      <c r="I4" s="151">
        <f>I5</f>
        <v>6.2981999999999996</v>
      </c>
      <c r="J4" s="146">
        <f>D48</f>
        <v>7.7265392979111044E-2</v>
      </c>
      <c r="K4" s="146">
        <f>J4*K3</f>
        <v>50.576070653005836</v>
      </c>
      <c r="L4" s="146"/>
      <c r="M4" s="33" t="s">
        <v>5</v>
      </c>
      <c r="N4" s="57" t="s">
        <v>42</v>
      </c>
      <c r="O4" s="33" t="s">
        <v>15</v>
      </c>
      <c r="P4" s="104">
        <f>D4-D4*0.07</f>
        <v>10.602</v>
      </c>
      <c r="Q4" s="104">
        <v>315.39389999999997</v>
      </c>
      <c r="R4" s="104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98">
        <v>3</v>
      </c>
      <c r="D5" s="243">
        <v>10.199999999999999</v>
      </c>
      <c r="E5" s="251"/>
      <c r="F5" s="36">
        <v>422.91566280000001</v>
      </c>
      <c r="G5" s="27">
        <v>3160.955422</v>
      </c>
      <c r="H5" s="110" t="s">
        <v>6</v>
      </c>
      <c r="I5" s="151">
        <f>I3</f>
        <v>6.2981999999999996</v>
      </c>
      <c r="J5" s="146">
        <f>J3-J4</f>
        <v>0.92273460702088894</v>
      </c>
      <c r="K5" s="146">
        <f>K3*J5</f>
        <v>603.99991353540361</v>
      </c>
      <c r="L5" s="146"/>
      <c r="M5" s="33" t="s">
        <v>5</v>
      </c>
      <c r="N5" s="226" t="s">
        <v>135</v>
      </c>
      <c r="O5" s="226"/>
      <c r="P5" s="226"/>
      <c r="Q5" s="226"/>
      <c r="R5" s="226"/>
    </row>
    <row r="6" spans="1:30" ht="23.45" customHeight="1" x14ac:dyDescent="0.25">
      <c r="A6" s="52" t="s">
        <v>118</v>
      </c>
      <c r="C6" s="87">
        <v>4</v>
      </c>
      <c r="D6" s="243">
        <v>10.199999999999999</v>
      </c>
      <c r="E6" s="251"/>
      <c r="F6" s="36">
        <v>540</v>
      </c>
      <c r="G6" s="27">
        <v>3473.7</v>
      </c>
      <c r="H6" s="110" t="s">
        <v>6</v>
      </c>
      <c r="I6" s="101">
        <v>6.7141999999999999</v>
      </c>
      <c r="J6" s="146">
        <f>J3-J4</f>
        <v>0.92273460702088894</v>
      </c>
      <c r="K6" s="146">
        <f>K$3*J6</f>
        <v>603.99991353540361</v>
      </c>
      <c r="L6" s="146"/>
      <c r="M6" s="33" t="s">
        <v>5</v>
      </c>
      <c r="N6" s="226" t="s">
        <v>138</v>
      </c>
      <c r="O6" s="226"/>
      <c r="P6" s="226"/>
      <c r="Q6" s="226"/>
      <c r="R6" s="226"/>
      <c r="AA6" s="2">
        <v>1</v>
      </c>
      <c r="AC6" s="2">
        <v>1</v>
      </c>
    </row>
    <row r="7" spans="1:30" ht="23.45" customHeight="1" x14ac:dyDescent="0.25">
      <c r="A7" s="52" t="s">
        <v>118</v>
      </c>
      <c r="B7" s="5" t="s">
        <v>9</v>
      </c>
      <c r="C7" s="87">
        <v>5</v>
      </c>
      <c r="D7" s="243">
        <v>8</v>
      </c>
      <c r="E7" s="251"/>
      <c r="F7" s="36">
        <v>496.97530879999999</v>
      </c>
      <c r="G7" s="27">
        <v>3390.7685190000002</v>
      </c>
      <c r="H7" s="110" t="s">
        <v>6</v>
      </c>
      <c r="I7" s="101">
        <v>6.7141999999999999</v>
      </c>
      <c r="J7" s="146">
        <f>D53</f>
        <v>3.195554800946341E-2</v>
      </c>
      <c r="K7" s="146">
        <f>K$3*J7</f>
        <v>20.91733428857448</v>
      </c>
      <c r="L7" s="146"/>
      <c r="M7" s="33" t="s">
        <v>5</v>
      </c>
      <c r="N7" s="58" t="s">
        <v>44</v>
      </c>
      <c r="O7" s="86" t="s">
        <v>16</v>
      </c>
      <c r="P7" s="104">
        <f>D7-D7*0.07</f>
        <v>7.4399999999999995</v>
      </c>
      <c r="Q7" s="104">
        <v>290.03800000000001</v>
      </c>
      <c r="R7" s="104">
        <f>G6-(P2*(G6-G7))</f>
        <v>3433.0635743100001</v>
      </c>
      <c r="AA7" s="2">
        <v>2</v>
      </c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87">
        <v>6</v>
      </c>
      <c r="D8" s="243">
        <v>5.8</v>
      </c>
      <c r="E8" s="251"/>
      <c r="F8" s="36">
        <v>442.9585798</v>
      </c>
      <c r="G8" s="27">
        <v>3287.5893489999999</v>
      </c>
      <c r="H8" s="110" t="s">
        <v>6</v>
      </c>
      <c r="I8" s="101">
        <v>6.7141999999999999</v>
      </c>
      <c r="J8" s="146">
        <f>H48</f>
        <v>3.4529360465708002E-2</v>
      </c>
      <c r="K8" s="146">
        <f t="shared" ref="K8:K26" si="0">K$3*J8</f>
        <v>22.602090110237175</v>
      </c>
      <c r="L8" s="146"/>
      <c r="M8" s="33" t="s">
        <v>5</v>
      </c>
      <c r="N8" s="80" t="s">
        <v>43</v>
      </c>
      <c r="O8" s="88" t="s">
        <v>17</v>
      </c>
      <c r="P8" s="104">
        <f t="shared" ref="P8:P12" si="1">D8-D8*0.07</f>
        <v>5.3940000000000001</v>
      </c>
      <c r="Q8" s="104">
        <v>268.76920000000001</v>
      </c>
      <c r="R8" s="104">
        <f>R7-(P2*(R7-G8))</f>
        <v>3361.7812039081</v>
      </c>
      <c r="AA8" s="2">
        <v>3</v>
      </c>
      <c r="AC8" s="2">
        <v>3</v>
      </c>
    </row>
    <row r="9" spans="1:30" ht="23.45" customHeight="1" x14ac:dyDescent="0.25">
      <c r="A9" s="52" t="s">
        <v>118</v>
      </c>
      <c r="B9" s="94" t="s">
        <v>14</v>
      </c>
      <c r="C9" s="87">
        <v>7</v>
      </c>
      <c r="D9" s="245">
        <v>4.3</v>
      </c>
      <c r="E9" s="252"/>
      <c r="F9" s="108">
        <v>395.69444440000001</v>
      </c>
      <c r="G9" s="95">
        <v>3197.9236110000002</v>
      </c>
      <c r="H9" s="110" t="s">
        <v>6</v>
      </c>
      <c r="I9" s="101">
        <v>6.7141999999999999</v>
      </c>
      <c r="J9" s="146">
        <f>H55</f>
        <v>2.6096270742741214E-3</v>
      </c>
      <c r="K9" s="146">
        <f t="shared" si="0"/>
        <v>1.7081992105077026</v>
      </c>
      <c r="L9" s="146"/>
      <c r="M9" s="33" t="s">
        <v>5</v>
      </c>
      <c r="N9" s="80" t="s">
        <v>45</v>
      </c>
      <c r="O9" s="88" t="s">
        <v>18</v>
      </c>
      <c r="P9" s="95">
        <f t="shared" ref="P9" si="2">D9-D9*0.07</f>
        <v>3.9989999999999997</v>
      </c>
      <c r="Q9" s="95">
        <v>250.3852</v>
      </c>
      <c r="R9" s="95">
        <f>R8-(P2*(R8-G9))</f>
        <v>3281.4909833831312</v>
      </c>
    </row>
    <row r="10" spans="1:30" ht="23.45" customHeight="1" x14ac:dyDescent="0.25">
      <c r="A10" s="52" t="s">
        <v>118</v>
      </c>
      <c r="B10" s="5" t="s">
        <v>11</v>
      </c>
      <c r="C10" s="87">
        <v>8</v>
      </c>
      <c r="D10" s="243">
        <v>4.2</v>
      </c>
      <c r="E10" s="251"/>
      <c r="F10" s="36">
        <v>392.09497199999998</v>
      </c>
      <c r="G10" s="27">
        <v>3191.1069830000001</v>
      </c>
      <c r="H10" s="110" t="s">
        <v>6</v>
      </c>
      <c r="I10" s="101">
        <v>6.7141999999999999</v>
      </c>
      <c r="J10" s="146">
        <f>Q48</f>
        <v>3.8567559847309828E-2</v>
      </c>
      <c r="K10" s="146">
        <f t="shared" si="0"/>
        <v>25.245398444798216</v>
      </c>
      <c r="L10" s="146"/>
      <c r="M10" s="33" t="s">
        <v>5</v>
      </c>
      <c r="N10" s="80" t="s">
        <v>46</v>
      </c>
      <c r="O10" s="88" t="s">
        <v>19</v>
      </c>
      <c r="P10" s="104">
        <f t="shared" si="1"/>
        <v>3.9060000000000001</v>
      </c>
      <c r="Q10" s="104">
        <v>249</v>
      </c>
      <c r="R10" s="104">
        <f>R9-(P2*(R9-G10))</f>
        <v>3237.2028231953968</v>
      </c>
    </row>
    <row r="11" spans="1:30" ht="23.45" customHeight="1" x14ac:dyDescent="0.25">
      <c r="A11" s="52" t="s">
        <v>118</v>
      </c>
      <c r="B11" s="5" t="s">
        <v>12</v>
      </c>
      <c r="C11" s="87">
        <v>9</v>
      </c>
      <c r="D11" s="243">
        <v>2.8</v>
      </c>
      <c r="E11" s="251"/>
      <c r="F11" s="36">
        <v>332.80205640000003</v>
      </c>
      <c r="G11" s="27">
        <v>3079.3128529999999</v>
      </c>
      <c r="H11" s="110" t="s">
        <v>6</v>
      </c>
      <c r="I11" s="101">
        <v>6.7141999999999999</v>
      </c>
      <c r="J11" s="146">
        <f>N56</f>
        <v>0.22162462502914587</v>
      </c>
      <c r="K11" s="146">
        <f t="shared" si="0"/>
        <v>145.07015704884037</v>
      </c>
      <c r="L11" s="146"/>
      <c r="M11" s="33" t="s">
        <v>5</v>
      </c>
      <c r="N11" s="59" t="s">
        <v>47</v>
      </c>
      <c r="O11" s="77" t="s">
        <v>20</v>
      </c>
      <c r="P11" s="104">
        <f t="shared" si="1"/>
        <v>2.6039999999999996</v>
      </c>
      <c r="Q11" s="104">
        <v>226.17160000000001</v>
      </c>
      <c r="R11" s="104">
        <f>R10-(P2*(R10-G11))</f>
        <v>3159.8367377996524</v>
      </c>
      <c r="AA11" s="2" t="s">
        <v>155</v>
      </c>
    </row>
    <row r="12" spans="1:30" ht="23.45" customHeight="1" x14ac:dyDescent="0.25">
      <c r="A12" s="83" t="s">
        <v>165</v>
      </c>
      <c r="B12" s="5" t="s">
        <v>13</v>
      </c>
      <c r="C12" s="87">
        <v>10</v>
      </c>
      <c r="D12" s="243">
        <v>5.4999999999999997E-3</v>
      </c>
      <c r="E12" s="251"/>
      <c r="F12" s="46">
        <v>34.58</v>
      </c>
      <c r="G12" s="27">
        <v>2057.6146229999999</v>
      </c>
      <c r="H12" s="111" t="s">
        <v>6</v>
      </c>
      <c r="I12" s="101">
        <v>6.7141999999999999</v>
      </c>
      <c r="J12" s="146">
        <f>R46</f>
        <v>0.59344788659498771</v>
      </c>
      <c r="K12" s="146">
        <f t="shared" si="0"/>
        <v>388.45673443244573</v>
      </c>
      <c r="L12" s="146"/>
      <c r="M12" s="33" t="s">
        <v>5</v>
      </c>
      <c r="N12" s="59" t="s">
        <v>162</v>
      </c>
      <c r="O12" s="77" t="s">
        <v>163</v>
      </c>
      <c r="P12" s="104">
        <f t="shared" si="1"/>
        <v>5.1149999999999998E-3</v>
      </c>
      <c r="Q12" s="104">
        <v>32.973999999999997</v>
      </c>
      <c r="R12" s="104">
        <f>R11-(P2*(R11-G12))</f>
        <v>2619.7479015478229</v>
      </c>
    </row>
    <row r="13" spans="1:30" ht="23.45" customHeight="1" x14ac:dyDescent="0.25">
      <c r="A13" s="83" t="s">
        <v>166</v>
      </c>
      <c r="C13" s="87">
        <v>11</v>
      </c>
      <c r="D13" s="243">
        <v>5.4999999999999997E-3</v>
      </c>
      <c r="E13" s="251"/>
      <c r="F13" s="49">
        <v>34.58</v>
      </c>
      <c r="G13" s="27">
        <v>144.94999999999999</v>
      </c>
      <c r="H13" s="33">
        <v>1.0058</v>
      </c>
      <c r="I13" s="32" t="s">
        <v>6</v>
      </c>
      <c r="J13" s="146">
        <f>R46</f>
        <v>0.59344788659498771</v>
      </c>
      <c r="K13" s="146">
        <f t="shared" si="0"/>
        <v>388.45673443244573</v>
      </c>
      <c r="L13" s="146"/>
    </row>
    <row r="14" spans="1:30" ht="23.45" customHeight="1" x14ac:dyDescent="0.25">
      <c r="A14" s="53" t="s">
        <v>121</v>
      </c>
      <c r="C14" s="136">
        <v>12</v>
      </c>
      <c r="D14" s="247" t="s">
        <v>161</v>
      </c>
      <c r="E14" s="247"/>
      <c r="F14" s="155">
        <v>34.668599999999998</v>
      </c>
      <c r="G14" s="112">
        <f>G13+H13*(2.8-D13)</f>
        <v>147.76070809999999</v>
      </c>
      <c r="J14" s="2">
        <f>R46</f>
        <v>0.59344788659498771</v>
      </c>
      <c r="K14" s="146">
        <f t="shared" si="0"/>
        <v>388.45673443244573</v>
      </c>
      <c r="L14" s="144"/>
      <c r="N14" s="66" t="s">
        <v>48</v>
      </c>
    </row>
    <row r="15" spans="1:30" ht="23.45" customHeight="1" x14ac:dyDescent="0.25">
      <c r="B15" s="4" t="s">
        <v>38</v>
      </c>
      <c r="C15" s="136">
        <v>13</v>
      </c>
      <c r="D15" s="247" t="s">
        <v>168</v>
      </c>
      <c r="E15" s="247"/>
      <c r="F15" s="155">
        <v>226.1694</v>
      </c>
      <c r="G15" s="102">
        <v>972.2296</v>
      </c>
      <c r="J15" s="2">
        <f>N57</f>
        <v>0.26280181195072982</v>
      </c>
      <c r="K15" s="146">
        <f t="shared" si="0"/>
        <v>172.02375470414628</v>
      </c>
      <c r="L15" s="144"/>
    </row>
    <row r="16" spans="1:30" ht="23.45" customHeight="1" x14ac:dyDescent="0.25">
      <c r="B16" s="63" t="s">
        <v>139</v>
      </c>
      <c r="C16" s="136">
        <v>14</v>
      </c>
      <c r="D16" s="247" t="s">
        <v>174</v>
      </c>
      <c r="E16" s="247"/>
      <c r="F16" s="155">
        <v>226.17160000000001</v>
      </c>
      <c r="G16" s="27">
        <f>G17</f>
        <v>972.23965599999997</v>
      </c>
      <c r="J16" s="2">
        <f>J15</f>
        <v>0.26280181195072982</v>
      </c>
      <c r="K16" s="146">
        <f t="shared" si="0"/>
        <v>172.02375470414628</v>
      </c>
      <c r="L16" s="144"/>
    </row>
    <row r="17" spans="1:31" ht="23.45" customHeight="1" x14ac:dyDescent="0.25">
      <c r="B17" s="63" t="s">
        <v>139</v>
      </c>
      <c r="C17" s="136">
        <v>15</v>
      </c>
      <c r="D17" s="247" t="s">
        <v>173</v>
      </c>
      <c r="E17" s="247"/>
      <c r="F17" s="165">
        <v>226.17160000000001</v>
      </c>
      <c r="G17" s="102">
        <v>972.23965599999997</v>
      </c>
      <c r="H17" s="144"/>
      <c r="I17" s="144"/>
      <c r="J17" s="144">
        <f>J14</f>
        <v>0.59344788659498771</v>
      </c>
      <c r="K17" s="146">
        <f t="shared" si="0"/>
        <v>388.45673443244573</v>
      </c>
      <c r="L17" s="144"/>
      <c r="M17" s="144"/>
      <c r="N17" s="144"/>
      <c r="O17" s="144"/>
      <c r="P17" s="4" t="s">
        <v>175</v>
      </c>
      <c r="Q17" s="104">
        <f>Q11-2.3</f>
        <v>223.8716</v>
      </c>
    </row>
    <row r="18" spans="1:31" ht="23.45" customHeight="1" x14ac:dyDescent="0.25">
      <c r="B18" s="63" t="s">
        <v>139</v>
      </c>
      <c r="C18" s="136">
        <v>16</v>
      </c>
      <c r="D18" s="247" t="s">
        <v>174</v>
      </c>
      <c r="E18" s="247"/>
      <c r="F18" s="165">
        <v>226.17160000000001</v>
      </c>
      <c r="G18" s="27">
        <f>G17</f>
        <v>972.23965599999997</v>
      </c>
      <c r="H18" s="144"/>
      <c r="I18" s="144"/>
      <c r="J18" s="144">
        <f>N49</f>
        <v>0.85624969854571753</v>
      </c>
      <c r="K18" s="146">
        <f t="shared" si="0"/>
        <v>560.48048913659204</v>
      </c>
      <c r="L18" s="144"/>
      <c r="M18" s="144"/>
      <c r="N18" s="144"/>
      <c r="O18" s="144"/>
    </row>
    <row r="19" spans="1:31" ht="23.45" customHeight="1" x14ac:dyDescent="0.25">
      <c r="B19" s="4" t="s">
        <v>38</v>
      </c>
      <c r="C19" s="136">
        <v>17</v>
      </c>
      <c r="D19" s="247" t="s">
        <v>30</v>
      </c>
      <c r="E19" s="247"/>
      <c r="F19" s="155">
        <v>249</v>
      </c>
      <c r="G19" s="102">
        <v>1080.4856</v>
      </c>
      <c r="H19" s="144"/>
      <c r="I19" s="144"/>
      <c r="J19" s="144">
        <f>N48</f>
        <v>4.1177186921583953E-2</v>
      </c>
      <c r="K19" s="146">
        <f t="shared" si="0"/>
        <v>26.95359765530592</v>
      </c>
      <c r="L19" s="144"/>
      <c r="M19" s="144"/>
      <c r="N19" s="144"/>
      <c r="O19" s="144"/>
    </row>
    <row r="20" spans="1:31" ht="23.45" customHeight="1" x14ac:dyDescent="0.25">
      <c r="B20" s="63" t="s">
        <v>139</v>
      </c>
      <c r="C20" s="136">
        <v>18</v>
      </c>
      <c r="D20" s="247" t="s">
        <v>172</v>
      </c>
      <c r="E20" s="247"/>
      <c r="F20" s="155">
        <v>246.7</v>
      </c>
      <c r="G20" s="107">
        <v>1069.404</v>
      </c>
      <c r="H20" s="144"/>
      <c r="I20" s="144"/>
      <c r="J20" s="144">
        <f>J22</f>
        <v>0.85624969854571753</v>
      </c>
      <c r="K20" s="146">
        <f t="shared" si="0"/>
        <v>560.48048913659204</v>
      </c>
      <c r="L20" s="144"/>
      <c r="M20" s="144"/>
      <c r="N20" s="144"/>
      <c r="O20" s="144"/>
      <c r="P20" s="4" t="s">
        <v>179</v>
      </c>
      <c r="Q20" s="104">
        <f>Q10-2.3</f>
        <v>246.7</v>
      </c>
    </row>
    <row r="21" spans="1:31" ht="23.45" customHeight="1" x14ac:dyDescent="0.25">
      <c r="B21" s="4" t="s">
        <v>38</v>
      </c>
      <c r="C21" s="136">
        <v>19</v>
      </c>
      <c r="D21" s="247" t="s">
        <v>29</v>
      </c>
      <c r="E21" s="247"/>
      <c r="F21" s="147">
        <v>250.3852</v>
      </c>
      <c r="G21" s="106">
        <v>1087.2374</v>
      </c>
      <c r="H21" s="144"/>
      <c r="I21" s="144"/>
      <c r="J21" s="144">
        <f>J9</f>
        <v>2.6096270742741214E-3</v>
      </c>
      <c r="K21" s="146">
        <f t="shared" si="0"/>
        <v>1.7081992105077026</v>
      </c>
      <c r="L21" s="144"/>
      <c r="M21" s="144"/>
      <c r="N21" s="144"/>
      <c r="O21" s="144"/>
    </row>
    <row r="22" spans="1:31" ht="23.45" customHeight="1" x14ac:dyDescent="0.25">
      <c r="B22" s="63" t="s">
        <v>139</v>
      </c>
      <c r="C22" s="136">
        <v>20</v>
      </c>
      <c r="D22" s="247" t="s">
        <v>171</v>
      </c>
      <c r="E22" s="247"/>
      <c r="F22" s="147">
        <v>248.08519999999999</v>
      </c>
      <c r="G22" s="95">
        <v>1076.091516</v>
      </c>
      <c r="H22" s="144"/>
      <c r="I22" s="144"/>
      <c r="J22" s="144">
        <f>H49</f>
        <v>0.85624969854571753</v>
      </c>
      <c r="K22" s="146">
        <f t="shared" si="0"/>
        <v>560.48048913659204</v>
      </c>
      <c r="L22" s="144"/>
      <c r="M22" s="144"/>
      <c r="N22" s="144"/>
      <c r="O22" s="144"/>
      <c r="P22" s="4" t="s">
        <v>178</v>
      </c>
      <c r="Q22" s="95">
        <f>Q9-2.3</f>
        <v>248.08519999999999</v>
      </c>
    </row>
    <row r="23" spans="1:31" ht="23.45" customHeight="1" x14ac:dyDescent="0.25">
      <c r="B23" s="4" t="s">
        <v>38</v>
      </c>
      <c r="C23" s="136">
        <v>21</v>
      </c>
      <c r="D23" s="247" t="s">
        <v>31</v>
      </c>
      <c r="E23" s="247"/>
      <c r="F23" s="147">
        <v>268.76920000000001</v>
      </c>
      <c r="G23" s="105">
        <v>1178.2976000000001</v>
      </c>
      <c r="H23" s="150">
        <v>1.298902</v>
      </c>
      <c r="I23" s="144"/>
      <c r="J23" s="144">
        <v>1</v>
      </c>
      <c r="K23" s="146">
        <f t="shared" si="0"/>
        <v>654.57598418840951</v>
      </c>
      <c r="L23" s="144"/>
      <c r="M23" s="144"/>
      <c r="N23" s="144"/>
      <c r="O23" s="144"/>
    </row>
    <row r="24" spans="1:31" ht="23.45" customHeight="1" x14ac:dyDescent="0.25">
      <c r="A24" s="53" t="s">
        <v>167</v>
      </c>
      <c r="C24" s="136">
        <v>22</v>
      </c>
      <c r="D24" s="247" t="s">
        <v>164</v>
      </c>
      <c r="E24" s="247"/>
      <c r="F24" s="147">
        <v>273.19200000000001</v>
      </c>
      <c r="G24" s="112">
        <f>G23+H23*(20-P8)</f>
        <v>1197.2693626120001</v>
      </c>
      <c r="H24" s="144"/>
      <c r="I24" s="144"/>
      <c r="J24" s="144">
        <v>1</v>
      </c>
      <c r="K24" s="146">
        <f t="shared" si="0"/>
        <v>654.57598418840951</v>
      </c>
      <c r="L24" s="144"/>
      <c r="M24" s="144"/>
      <c r="N24" s="144"/>
      <c r="O24" s="144"/>
    </row>
    <row r="25" spans="1:31" ht="23.45" customHeight="1" x14ac:dyDescent="0.25">
      <c r="B25" s="4" t="s">
        <v>38</v>
      </c>
      <c r="C25" s="136">
        <v>23</v>
      </c>
      <c r="D25" s="247" t="s">
        <v>33</v>
      </c>
      <c r="E25" s="247"/>
      <c r="F25" s="147">
        <v>290.03800000000001</v>
      </c>
      <c r="G25" s="47">
        <v>1289.2619999999999</v>
      </c>
      <c r="H25" s="144"/>
      <c r="I25" s="144"/>
      <c r="J25" s="144">
        <f>D54</f>
        <v>0.10922094098857446</v>
      </c>
      <c r="K25" s="146">
        <f t="shared" si="0"/>
        <v>71.493404941580323</v>
      </c>
      <c r="L25" s="144"/>
      <c r="M25" s="144"/>
      <c r="N25" s="144"/>
      <c r="O25" s="144"/>
    </row>
    <row r="26" spans="1:31" ht="23.45" customHeight="1" x14ac:dyDescent="0.25">
      <c r="B26" s="63" t="s">
        <v>139</v>
      </c>
      <c r="C26" s="136">
        <v>24</v>
      </c>
      <c r="D26" s="247" t="s">
        <v>170</v>
      </c>
      <c r="E26" s="247"/>
      <c r="F26" s="147">
        <v>287.738</v>
      </c>
      <c r="G26" s="47">
        <v>1276.9083000000001</v>
      </c>
      <c r="H26" s="144"/>
      <c r="I26" s="144"/>
      <c r="J26" s="144">
        <v>1</v>
      </c>
      <c r="K26" s="146">
        <f t="shared" si="0"/>
        <v>654.57598418840951</v>
      </c>
      <c r="L26" s="144"/>
      <c r="M26" s="144"/>
      <c r="N26" s="144"/>
      <c r="O26" s="144"/>
      <c r="P26" s="4" t="s">
        <v>177</v>
      </c>
      <c r="Q26" s="104">
        <f>Q7-2.3</f>
        <v>287.738</v>
      </c>
    </row>
    <row r="27" spans="1:31" ht="23.45" customHeight="1" x14ac:dyDescent="0.25">
      <c r="B27" s="4" t="s">
        <v>38</v>
      </c>
      <c r="C27" s="136">
        <v>25</v>
      </c>
      <c r="D27" s="247" t="s">
        <v>34</v>
      </c>
      <c r="E27" s="247"/>
      <c r="F27" s="147">
        <v>315.39069999999998</v>
      </c>
      <c r="G27" s="47">
        <v>1433.3444</v>
      </c>
      <c r="H27" s="144"/>
      <c r="I27" s="144"/>
      <c r="J27" s="144">
        <f>D48</f>
        <v>7.7265392979111044E-2</v>
      </c>
      <c r="K27" s="146">
        <f>K$3*J27</f>
        <v>50.576070653005836</v>
      </c>
      <c r="L27" s="144"/>
      <c r="M27" s="144"/>
      <c r="N27" s="144"/>
      <c r="O27" s="144"/>
    </row>
    <row r="28" spans="1:31" ht="23.45" customHeight="1" x14ac:dyDescent="0.25">
      <c r="B28" s="63" t="s">
        <v>139</v>
      </c>
      <c r="C28" s="136">
        <v>26</v>
      </c>
      <c r="D28" s="247" t="s">
        <v>169</v>
      </c>
      <c r="E28" s="247"/>
      <c r="F28" s="147">
        <v>313.09389999999996</v>
      </c>
      <c r="G28" s="47">
        <v>1419.5634</v>
      </c>
      <c r="H28" s="144"/>
      <c r="I28" s="144"/>
      <c r="J28" s="144">
        <v>1</v>
      </c>
      <c r="K28" s="146">
        <f>K$3*J28</f>
        <v>654.57598418840951</v>
      </c>
      <c r="L28" s="144"/>
      <c r="M28" s="144"/>
      <c r="N28" s="144"/>
      <c r="O28" s="144"/>
      <c r="P28" s="4" t="s">
        <v>176</v>
      </c>
      <c r="Q28" s="104">
        <f>Q4-2.3</f>
        <v>313.09389999999996</v>
      </c>
    </row>
    <row r="30" spans="1:31" ht="23.45" customHeight="1" x14ac:dyDescent="0.25">
      <c r="C30" s="26" t="s">
        <v>39</v>
      </c>
      <c r="Z30" s="2" t="s">
        <v>157</v>
      </c>
      <c r="AA30" s="2">
        <v>10</v>
      </c>
      <c r="AB30" s="2">
        <v>33.188736599999999</v>
      </c>
      <c r="AC30" s="2" t="s">
        <v>156</v>
      </c>
      <c r="AD30" s="2" t="s">
        <v>158</v>
      </c>
      <c r="AE30" s="2">
        <v>7</v>
      </c>
    </row>
    <row r="31" spans="1:31" ht="23.45" customHeight="1" x14ac:dyDescent="0.25">
      <c r="C31" s="27" t="s">
        <v>40</v>
      </c>
      <c r="G31" s="223" t="s">
        <v>136</v>
      </c>
      <c r="H31" s="224"/>
      <c r="I31" s="225"/>
      <c r="J31" s="145"/>
      <c r="K31" s="145"/>
      <c r="L31" s="145"/>
      <c r="Z31" s="2" t="s">
        <v>157</v>
      </c>
      <c r="AA31" s="2">
        <v>8</v>
      </c>
      <c r="AB31" s="2">
        <v>33.204806159999997</v>
      </c>
      <c r="AC31" s="2" t="s">
        <v>156</v>
      </c>
      <c r="AD31" s="2" t="s">
        <v>158</v>
      </c>
      <c r="AE31" s="2">
        <v>7</v>
      </c>
    </row>
    <row r="32" spans="1:31" ht="23.45" customHeight="1" x14ac:dyDescent="0.25">
      <c r="C32" s="28" t="s">
        <v>41</v>
      </c>
      <c r="G32" s="62" t="s">
        <v>137</v>
      </c>
      <c r="H32" s="222">
        <v>0.7904879414</v>
      </c>
      <c r="I32" s="215"/>
      <c r="J32" s="140"/>
      <c r="K32" s="140"/>
      <c r="L32" s="140"/>
    </row>
    <row r="33" spans="3:33" ht="23.45" customHeight="1" x14ac:dyDescent="0.25">
      <c r="C33" s="95" t="s">
        <v>144</v>
      </c>
      <c r="S33" s="233" t="s">
        <v>117</v>
      </c>
      <c r="T33" s="233"/>
    </row>
    <row r="34" spans="3:33" ht="23.45" customHeight="1" x14ac:dyDescent="0.25">
      <c r="S34" s="233"/>
      <c r="T34" s="233"/>
      <c r="Z34" s="2" t="s">
        <v>157</v>
      </c>
      <c r="AA34" s="2">
        <v>8</v>
      </c>
      <c r="AB34" s="2">
        <v>33.321321249999997</v>
      </c>
      <c r="AC34" s="2" t="s">
        <v>156</v>
      </c>
      <c r="AD34" s="2" t="s">
        <v>158</v>
      </c>
      <c r="AE34" s="2">
        <v>5.8</v>
      </c>
    </row>
    <row r="35" spans="3:33" ht="23.45" customHeight="1" x14ac:dyDescent="0.25">
      <c r="C35" s="6" t="s">
        <v>49</v>
      </c>
      <c r="S35" s="233"/>
      <c r="T35" s="233"/>
      <c r="Z35" s="2" t="s">
        <v>157</v>
      </c>
      <c r="AA35" s="2">
        <v>8</v>
      </c>
      <c r="AB35" s="2">
        <v>33.304183520000002</v>
      </c>
      <c r="AC35" s="2" t="s">
        <v>156</v>
      </c>
      <c r="AD35" s="2" t="s">
        <v>158</v>
      </c>
      <c r="AE35" s="2">
        <v>6</v>
      </c>
    </row>
    <row r="36" spans="3:33" ht="23.45" customHeight="1" x14ac:dyDescent="0.25">
      <c r="S36" s="233">
        <f>M86</f>
        <v>34.214893494346988</v>
      </c>
      <c r="T36" s="233"/>
    </row>
    <row r="37" spans="3:33" ht="23.45" customHeight="1" x14ac:dyDescent="0.25">
      <c r="C37" s="8" t="s">
        <v>123</v>
      </c>
      <c r="D37" s="254" t="s">
        <v>180</v>
      </c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6"/>
      <c r="S37" s="233"/>
      <c r="T37" s="233"/>
    </row>
    <row r="38" spans="3:33" ht="23.45" customHeight="1" x14ac:dyDescent="0.25">
      <c r="C38" s="36" t="s">
        <v>124</v>
      </c>
      <c r="D38" s="36">
        <v>1</v>
      </c>
      <c r="E38" s="101"/>
      <c r="F38" s="90"/>
      <c r="G38" s="14" t="s">
        <v>125</v>
      </c>
      <c r="H38" s="12">
        <f>D39*D41</f>
        <v>1.2E-2</v>
      </c>
      <c r="I38" s="90"/>
      <c r="J38" s="140"/>
      <c r="K38" s="140"/>
      <c r="L38" s="140"/>
      <c r="M38" s="90"/>
      <c r="N38" s="90"/>
      <c r="O38" s="90"/>
      <c r="P38" s="90"/>
      <c r="Q38" s="88"/>
      <c r="S38" s="233"/>
      <c r="T38" s="233"/>
    </row>
    <row r="39" spans="3:33" ht="23.45" customHeight="1" x14ac:dyDescent="0.25">
      <c r="C39" s="36" t="s">
        <v>126</v>
      </c>
      <c r="D39" s="36">
        <v>0.6</v>
      </c>
      <c r="E39" s="101"/>
      <c r="F39" s="90"/>
      <c r="G39" s="14" t="s">
        <v>127</v>
      </c>
      <c r="H39" s="12">
        <f>D40*D41</f>
        <v>8.0000000000000002E-3</v>
      </c>
      <c r="I39" s="90"/>
      <c r="J39" s="140"/>
      <c r="K39" s="140"/>
      <c r="L39" s="140"/>
      <c r="M39" s="90"/>
      <c r="N39" s="90"/>
      <c r="O39" s="90"/>
      <c r="P39" s="90"/>
      <c r="Q39" s="88"/>
      <c r="S39" s="233"/>
      <c r="T39" s="233"/>
      <c r="Z39" s="2" t="s">
        <v>157</v>
      </c>
      <c r="AA39" s="2">
        <v>8</v>
      </c>
      <c r="AD39" s="2" t="s">
        <v>158</v>
      </c>
      <c r="AE39" s="2">
        <v>5.8</v>
      </c>
      <c r="AF39" s="2" t="s">
        <v>159</v>
      </c>
      <c r="AG39" s="2">
        <v>4.2</v>
      </c>
    </row>
    <row r="40" spans="3:33" ht="23.45" customHeight="1" x14ac:dyDescent="0.25">
      <c r="C40" s="36" t="s">
        <v>128</v>
      </c>
      <c r="D40" s="36">
        <v>0.4</v>
      </c>
      <c r="E40" s="101"/>
      <c r="F40" s="90"/>
      <c r="G40" s="14" t="s">
        <v>129</v>
      </c>
      <c r="H40" s="12">
        <f>D38+H39+H38</f>
        <v>1.02</v>
      </c>
      <c r="I40" s="90"/>
      <c r="J40" s="140"/>
      <c r="K40" s="140"/>
      <c r="L40" s="140"/>
      <c r="M40" s="90"/>
      <c r="N40" s="90"/>
      <c r="O40" s="90"/>
      <c r="P40" s="90"/>
      <c r="Q40" s="88"/>
      <c r="Z40" s="2" t="s">
        <v>157</v>
      </c>
      <c r="AA40" s="2">
        <v>8</v>
      </c>
      <c r="AB40" s="2">
        <v>33.700492529999998</v>
      </c>
      <c r="AD40" s="2" t="s">
        <v>158</v>
      </c>
      <c r="AE40" s="2">
        <v>5.8</v>
      </c>
      <c r="AF40" s="2" t="s">
        <v>159</v>
      </c>
      <c r="AG40" s="2">
        <v>4.4000000000000004</v>
      </c>
    </row>
    <row r="41" spans="3:33" ht="23.45" customHeight="1" x14ac:dyDescent="0.25">
      <c r="C41" s="36" t="s">
        <v>130</v>
      </c>
      <c r="D41" s="36">
        <v>0.02</v>
      </c>
      <c r="E41" s="101"/>
      <c r="F41" s="90"/>
      <c r="G41" s="90"/>
      <c r="H41" s="90"/>
      <c r="I41" s="90"/>
      <c r="J41" s="140"/>
      <c r="K41" s="140"/>
      <c r="L41" s="140"/>
      <c r="M41" s="90"/>
      <c r="N41" s="90"/>
      <c r="O41" s="90"/>
      <c r="P41" s="90"/>
      <c r="Q41" s="88"/>
    </row>
    <row r="42" spans="3:33" ht="23.45" customHeight="1" x14ac:dyDescent="0.25">
      <c r="C42" s="91"/>
      <c r="D42" s="76"/>
      <c r="E42" s="141"/>
      <c r="F42" s="76"/>
      <c r="G42" s="76"/>
      <c r="H42" s="76"/>
      <c r="I42" s="76"/>
      <c r="J42" s="141"/>
      <c r="K42" s="141"/>
      <c r="L42" s="141"/>
      <c r="M42" s="76"/>
      <c r="N42" s="76"/>
      <c r="O42" s="76"/>
      <c r="P42" s="76"/>
      <c r="Q42" s="77"/>
    </row>
    <row r="44" spans="3:33" ht="23.45" customHeight="1" x14ac:dyDescent="0.25">
      <c r="C44" s="8" t="s">
        <v>181</v>
      </c>
      <c r="D44" s="89"/>
      <c r="E44" s="139"/>
      <c r="F44" s="86"/>
      <c r="G44" s="8" t="s">
        <v>63</v>
      </c>
      <c r="H44" s="89"/>
      <c r="I44" s="86"/>
      <c r="J44" s="139"/>
      <c r="K44" s="139"/>
      <c r="L44" s="139"/>
      <c r="M44" s="8" t="s">
        <v>76</v>
      </c>
      <c r="N44" s="89"/>
      <c r="O44" s="86"/>
      <c r="Q44" s="8" t="s">
        <v>87</v>
      </c>
      <c r="R44" s="86"/>
    </row>
    <row r="45" spans="3:33" ht="23.45" customHeight="1" x14ac:dyDescent="0.25">
      <c r="C45" s="180" t="s">
        <v>183</v>
      </c>
      <c r="D45" s="187"/>
      <c r="E45" s="187"/>
      <c r="F45" s="181"/>
      <c r="G45" s="188" t="s">
        <v>210</v>
      </c>
      <c r="H45" s="189"/>
      <c r="I45" s="190"/>
      <c r="J45" s="135"/>
      <c r="K45" s="135"/>
      <c r="L45" s="135"/>
      <c r="M45" s="180" t="s">
        <v>195</v>
      </c>
      <c r="N45" s="187"/>
      <c r="O45" s="181"/>
      <c r="Q45" s="96" t="s">
        <v>197</v>
      </c>
      <c r="R45" s="88"/>
    </row>
    <row r="46" spans="3:33" ht="23.45" customHeight="1" x14ac:dyDescent="0.25">
      <c r="C46" s="11" t="s">
        <v>184</v>
      </c>
      <c r="D46" s="117">
        <v>1</v>
      </c>
      <c r="E46" s="118"/>
      <c r="F46" s="33" t="s">
        <v>57</v>
      </c>
      <c r="G46" s="82" t="s">
        <v>189</v>
      </c>
      <c r="H46" s="90"/>
      <c r="I46" s="88"/>
      <c r="J46" s="140"/>
      <c r="K46" s="140"/>
      <c r="L46" s="140"/>
      <c r="M46" s="96" t="s">
        <v>199</v>
      </c>
      <c r="N46" s="80"/>
      <c r="O46" s="81"/>
      <c r="Q46" s="20" t="s">
        <v>198</v>
      </c>
      <c r="R46" s="121">
        <f>N58</f>
        <v>0.59344788659498771</v>
      </c>
      <c r="S46" s="33" t="s">
        <v>57</v>
      </c>
    </row>
    <row r="47" spans="3:33" ht="23.45" customHeight="1" x14ac:dyDescent="0.25">
      <c r="C47" s="14" t="s">
        <v>51</v>
      </c>
      <c r="D47" s="15"/>
      <c r="E47" s="15"/>
      <c r="F47" s="16"/>
      <c r="G47" s="97" t="s">
        <v>194</v>
      </c>
      <c r="H47" s="80">
        <f>(D46-D48-D53)</f>
        <v>0.89077905901142551</v>
      </c>
      <c r="I47" s="81" t="s">
        <v>68</v>
      </c>
      <c r="J47" s="134"/>
      <c r="K47" s="134"/>
      <c r="L47" s="134"/>
      <c r="M47" s="96" t="s">
        <v>200</v>
      </c>
      <c r="N47" s="80"/>
      <c r="O47" s="81"/>
    </row>
    <row r="48" spans="3:33" ht="23.45" customHeight="1" x14ac:dyDescent="0.25">
      <c r="C48" s="20" t="s">
        <v>185</v>
      </c>
      <c r="D48" s="117">
        <f>(D46*(G28-G26))/(R4-G27)</f>
        <v>7.7265392979111044E-2</v>
      </c>
      <c r="E48" s="118"/>
      <c r="F48" s="33" t="s">
        <v>57</v>
      </c>
      <c r="G48" s="11" t="s">
        <v>67</v>
      </c>
      <c r="H48" s="119">
        <f>((D52*(G23))-(D54*G25)-(H47*G22))/(R8-G22)</f>
        <v>3.4529360465708002E-2</v>
      </c>
      <c r="I48" s="114" t="s">
        <v>57</v>
      </c>
      <c r="J48" s="140"/>
      <c r="K48" s="140"/>
      <c r="L48" s="140"/>
      <c r="M48" s="11" t="s">
        <v>69</v>
      </c>
      <c r="N48" s="119">
        <f>Q48+H55</f>
        <v>4.1177186921583953E-2</v>
      </c>
      <c r="O48" s="114" t="s">
        <v>57</v>
      </c>
      <c r="P48" s="117" t="s">
        <v>84</v>
      </c>
      <c r="Q48" s="118">
        <f>(H55*(G19-G21)+H49*(G20-G18))/(R10-G19)</f>
        <v>3.8567559847309828E-2</v>
      </c>
      <c r="R48" s="33" t="s">
        <v>57</v>
      </c>
      <c r="AA48" s="2" t="s">
        <v>140</v>
      </c>
      <c r="AB48" s="2" t="s">
        <v>141</v>
      </c>
      <c r="AC48" s="2" t="s">
        <v>142</v>
      </c>
      <c r="AD48" s="2" t="s">
        <v>143</v>
      </c>
    </row>
    <row r="49" spans="3:26" ht="23.45" customHeight="1" x14ac:dyDescent="0.25">
      <c r="C49" s="17" t="s">
        <v>50</v>
      </c>
      <c r="D49" s="90"/>
      <c r="E49" s="140"/>
      <c r="F49" s="88"/>
      <c r="G49" s="20" t="s">
        <v>59</v>
      </c>
      <c r="H49" s="20">
        <f>D46-D53-D48-H48</f>
        <v>0.85624969854571753</v>
      </c>
      <c r="I49" s="113" t="s">
        <v>57</v>
      </c>
      <c r="J49" s="140"/>
      <c r="K49" s="140"/>
      <c r="L49" s="140"/>
      <c r="M49" s="11" t="s">
        <v>201</v>
      </c>
      <c r="N49" s="20">
        <f>H49</f>
        <v>0.85624969854571753</v>
      </c>
      <c r="O49" s="113" t="s">
        <v>57</v>
      </c>
      <c r="Z49" s="2">
        <v>10</v>
      </c>
    </row>
    <row r="50" spans="3:26" ht="23.45" customHeight="1" x14ac:dyDescent="0.25">
      <c r="C50" s="180" t="s">
        <v>186</v>
      </c>
      <c r="D50" s="187"/>
      <c r="E50" s="187"/>
      <c r="F50" s="181"/>
      <c r="G50" s="121" t="s">
        <v>190</v>
      </c>
      <c r="H50" s="117">
        <f>H48+D54+H49</f>
        <v>1</v>
      </c>
      <c r="I50" s="33" t="s">
        <v>57</v>
      </c>
      <c r="J50" s="139"/>
      <c r="K50" s="139"/>
      <c r="L50" s="139"/>
      <c r="M50" s="8" t="s">
        <v>77</v>
      </c>
      <c r="N50" s="89"/>
      <c r="O50" s="89"/>
      <c r="P50" s="86"/>
    </row>
    <row r="51" spans="3:26" ht="23.45" customHeight="1" x14ac:dyDescent="0.25">
      <c r="C51" s="14" t="s">
        <v>187</v>
      </c>
      <c r="D51" s="90"/>
      <c r="E51" s="140"/>
      <c r="F51" s="88"/>
      <c r="G51" s="17" t="s">
        <v>182</v>
      </c>
      <c r="M51" s="188" t="s">
        <v>196</v>
      </c>
      <c r="N51" s="189"/>
      <c r="O51" s="189"/>
      <c r="P51" s="190"/>
    </row>
    <row r="52" spans="3:26" ht="23.45" customHeight="1" x14ac:dyDescent="0.25">
      <c r="C52" s="11" t="s">
        <v>188</v>
      </c>
      <c r="D52" s="119">
        <f>D46</f>
        <v>1</v>
      </c>
      <c r="E52" s="120"/>
      <c r="F52" s="114" t="s">
        <v>57</v>
      </c>
      <c r="G52" s="188" t="s">
        <v>191</v>
      </c>
      <c r="H52" s="189"/>
      <c r="I52" s="190"/>
      <c r="J52" s="135"/>
      <c r="K52" s="135"/>
      <c r="L52" s="135"/>
      <c r="M52" s="96" t="s">
        <v>204</v>
      </c>
      <c r="N52" s="80"/>
      <c r="O52" s="80"/>
      <c r="P52" s="81"/>
    </row>
    <row r="53" spans="3:26" ht="23.45" customHeight="1" x14ac:dyDescent="0.25">
      <c r="C53" s="11" t="s">
        <v>58</v>
      </c>
      <c r="D53" s="11">
        <f>(D52*(G26-G24)+D48*(G25-G27))/(R7-G25)</f>
        <v>3.195554800946341E-2</v>
      </c>
      <c r="E53" s="12"/>
      <c r="F53" s="115" t="s">
        <v>57</v>
      </c>
      <c r="G53" s="14" t="s">
        <v>192</v>
      </c>
      <c r="M53" s="96" t="s">
        <v>203</v>
      </c>
      <c r="N53" s="80"/>
      <c r="O53" s="80"/>
      <c r="P53" s="81"/>
    </row>
    <row r="54" spans="3:26" ht="23.45" customHeight="1" x14ac:dyDescent="0.25">
      <c r="C54" s="20" t="s">
        <v>93</v>
      </c>
      <c r="D54" s="20">
        <f>D48+D53</f>
        <v>0.10922094098857446</v>
      </c>
      <c r="E54" s="21"/>
      <c r="F54" s="113" t="s">
        <v>57</v>
      </c>
      <c r="G54" s="14" t="s">
        <v>193</v>
      </c>
      <c r="M54" s="188" t="s">
        <v>205</v>
      </c>
      <c r="N54" s="189"/>
      <c r="O54" s="189"/>
      <c r="P54" s="190"/>
      <c r="Q54" s="116"/>
      <c r="R54" s="116"/>
    </row>
    <row r="55" spans="3:26" ht="23.45" customHeight="1" x14ac:dyDescent="0.25">
      <c r="G55" s="117" t="s">
        <v>73</v>
      </c>
      <c r="H55" s="118">
        <f>(H49*(G22-G20))/(R9-G21)</f>
        <v>2.6096270742741214E-3</v>
      </c>
      <c r="I55" s="33" t="s">
        <v>57</v>
      </c>
      <c r="J55" s="140"/>
      <c r="K55" s="140"/>
      <c r="L55" s="140"/>
      <c r="M55" s="96" t="s">
        <v>202</v>
      </c>
      <c r="N55" s="80">
        <f>D46-D48-D53-H48-H55-Q48</f>
        <v>0.81507251162413352</v>
      </c>
      <c r="O55" s="187" t="s">
        <v>208</v>
      </c>
      <c r="P55" s="181"/>
    </row>
    <row r="56" spans="3:26" ht="23.45" customHeight="1" x14ac:dyDescent="0.25">
      <c r="M56" s="11" t="s">
        <v>206</v>
      </c>
      <c r="N56" s="119">
        <f>((N55*(G17-G14)-N48*(G19-G15))/(R11-G15+G17-G14))</f>
        <v>0.22162462502914587</v>
      </c>
      <c r="O56" s="120"/>
      <c r="P56" s="109" t="s">
        <v>57</v>
      </c>
    </row>
    <row r="57" spans="3:26" ht="23.45" customHeight="1" x14ac:dyDescent="0.25">
      <c r="M57" s="11" t="s">
        <v>207</v>
      </c>
      <c r="N57" s="11">
        <f>N56+N48</f>
        <v>0.26280181195072982</v>
      </c>
      <c r="O57" s="12"/>
      <c r="P57" s="110" t="s">
        <v>57</v>
      </c>
    </row>
    <row r="58" spans="3:26" ht="23.45" customHeight="1" x14ac:dyDescent="0.25">
      <c r="M58" s="20" t="s">
        <v>85</v>
      </c>
      <c r="N58" s="20">
        <f>N55-N56</f>
        <v>0.59344788659498771</v>
      </c>
      <c r="O58" s="21"/>
      <c r="P58" s="111" t="s">
        <v>57</v>
      </c>
    </row>
    <row r="62" spans="3:26" ht="23.45" customHeight="1" x14ac:dyDescent="0.25">
      <c r="C62" s="8" t="s">
        <v>90</v>
      </c>
    </row>
    <row r="64" spans="3:26" ht="23.45" customHeight="1" x14ac:dyDescent="0.25">
      <c r="C64" s="200" t="s">
        <v>91</v>
      </c>
      <c r="D64" s="203" t="s">
        <v>92</v>
      </c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4"/>
    </row>
    <row r="65" spans="3:20" ht="23.45" customHeight="1" x14ac:dyDescent="0.25">
      <c r="C65" s="201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6"/>
    </row>
    <row r="66" spans="3:20" ht="23.45" customHeight="1" x14ac:dyDescent="0.25">
      <c r="C66" s="201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6"/>
    </row>
    <row r="67" spans="3:20" ht="23.45" customHeight="1" x14ac:dyDescent="0.25">
      <c r="C67" s="201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6"/>
    </row>
    <row r="68" spans="3:20" ht="23.45" customHeight="1" x14ac:dyDescent="0.25">
      <c r="C68" s="202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8"/>
    </row>
    <row r="69" spans="3:20" ht="23.45" customHeight="1" x14ac:dyDescent="0.25">
      <c r="C69" s="191" t="s">
        <v>91</v>
      </c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5"/>
      <c r="T69" s="234" t="s">
        <v>104</v>
      </c>
    </row>
    <row r="70" spans="3:20" ht="23.45" customHeight="1" x14ac:dyDescent="0.25">
      <c r="C70" s="192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7"/>
      <c r="T70" s="235"/>
    </row>
    <row r="71" spans="3:20" ht="23.45" customHeight="1" x14ac:dyDescent="0.25">
      <c r="C71" s="192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7"/>
      <c r="T71" s="235"/>
    </row>
    <row r="72" spans="3:20" ht="23.45" customHeight="1" x14ac:dyDescent="0.25">
      <c r="C72" s="192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7"/>
      <c r="T72" s="235"/>
    </row>
    <row r="73" spans="3:20" ht="23.45" customHeight="1" x14ac:dyDescent="0.25">
      <c r="C73" s="193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9"/>
      <c r="T73" s="236"/>
    </row>
    <row r="75" spans="3:20" ht="23.45" customHeight="1" x14ac:dyDescent="0.25">
      <c r="R75" s="211" t="s">
        <v>147</v>
      </c>
      <c r="S75" s="212"/>
      <c r="T75" s="212"/>
    </row>
    <row r="76" spans="3:20" ht="23.45" customHeight="1" x14ac:dyDescent="0.25">
      <c r="C76" s="8" t="s">
        <v>105</v>
      </c>
      <c r="R76" s="211" t="s">
        <v>94</v>
      </c>
      <c r="S76" s="212"/>
      <c r="T76" s="212"/>
    </row>
    <row r="77" spans="3:20" ht="23.45" customHeight="1" x14ac:dyDescent="0.25">
      <c r="C77" s="67"/>
      <c r="R77" s="69" t="s">
        <v>149</v>
      </c>
      <c r="S77" s="220">
        <v>1</v>
      </c>
      <c r="T77" s="219"/>
    </row>
    <row r="78" spans="3:20" ht="23.45" customHeight="1" x14ac:dyDescent="0.25">
      <c r="R78" s="69" t="s">
        <v>93</v>
      </c>
      <c r="S78" s="220">
        <f>D46</f>
        <v>1</v>
      </c>
      <c r="T78" s="219"/>
    </row>
    <row r="79" spans="3:20" ht="23.45" customHeight="1" x14ac:dyDescent="0.25">
      <c r="C79" s="7" t="s">
        <v>106</v>
      </c>
      <c r="D79" s="83"/>
      <c r="E79" s="138"/>
      <c r="F79" s="7"/>
      <c r="R79" s="70" t="s">
        <v>52</v>
      </c>
      <c r="S79" s="221">
        <f>D48</f>
        <v>7.7265392979111044E-2</v>
      </c>
      <c r="T79" s="210"/>
    </row>
    <row r="80" spans="3:20" ht="23.45" customHeight="1" x14ac:dyDescent="0.25">
      <c r="C80" s="7" t="s">
        <v>107</v>
      </c>
      <c r="D80" s="83"/>
      <c r="E80" s="138"/>
      <c r="F80" s="7"/>
      <c r="R80" s="70" t="s">
        <v>58</v>
      </c>
      <c r="S80" s="221">
        <f>D53</f>
        <v>3.195554800946341E-2</v>
      </c>
      <c r="T80" s="210"/>
    </row>
    <row r="81" spans="3:20" ht="23.45" customHeight="1" x14ac:dyDescent="0.25">
      <c r="C81" s="7" t="s">
        <v>108</v>
      </c>
      <c r="D81" s="83"/>
      <c r="E81" s="138"/>
      <c r="F81" s="7"/>
      <c r="R81" s="70" t="s">
        <v>67</v>
      </c>
      <c r="S81" s="221">
        <f>H48</f>
        <v>3.4529360465708002E-2</v>
      </c>
      <c r="T81" s="210"/>
    </row>
    <row r="82" spans="3:20" ht="23.45" customHeight="1" x14ac:dyDescent="0.25">
      <c r="R82" s="70" t="s">
        <v>73</v>
      </c>
      <c r="S82" s="221">
        <f>N49</f>
        <v>0.85624969854571753</v>
      </c>
      <c r="T82" s="210"/>
    </row>
    <row r="83" spans="3:20" ht="23.45" customHeight="1" x14ac:dyDescent="0.25">
      <c r="C83" s="8" t="s">
        <v>109</v>
      </c>
      <c r="I83" s="211" t="s">
        <v>114</v>
      </c>
      <c r="J83" s="212"/>
      <c r="K83" s="212"/>
      <c r="L83" s="212"/>
      <c r="M83" s="213"/>
      <c r="R83" s="71" t="s">
        <v>84</v>
      </c>
      <c r="S83" s="222">
        <f>N56</f>
        <v>0.22162462502914587</v>
      </c>
      <c r="T83" s="215"/>
    </row>
    <row r="84" spans="3:20" ht="23.45" customHeight="1" x14ac:dyDescent="0.25">
      <c r="C84" s="83" t="s">
        <v>110</v>
      </c>
      <c r="D84" s="216" t="s">
        <v>209</v>
      </c>
      <c r="E84" s="216"/>
      <c r="F84" s="216"/>
      <c r="G84" s="68"/>
      <c r="R84" s="72"/>
      <c r="S84" s="32"/>
      <c r="T84" s="33"/>
    </row>
    <row r="85" spans="3:20" ht="23.45" customHeight="1" x14ac:dyDescent="0.25">
      <c r="C85" s="7" t="s">
        <v>110</v>
      </c>
      <c r="D85" s="7">
        <f>(S85-G28)+(S77-S79)*(S88-S87)</f>
        <v>2232.5168452787434</v>
      </c>
      <c r="E85" s="7"/>
      <c r="G85" s="68"/>
      <c r="I85" s="83" t="s">
        <v>115</v>
      </c>
      <c r="J85" s="138"/>
      <c r="K85" s="138"/>
      <c r="L85" s="138"/>
      <c r="M85" s="83" t="s">
        <v>116</v>
      </c>
      <c r="R85" s="73" t="s">
        <v>95</v>
      </c>
      <c r="S85" s="218">
        <f>G3</f>
        <v>3363.5</v>
      </c>
      <c r="T85" s="219"/>
    </row>
    <row r="86" spans="3:20" ht="23.45" customHeight="1" x14ac:dyDescent="0.25">
      <c r="I86" s="7" t="s">
        <v>115</v>
      </c>
      <c r="J86" s="7"/>
      <c r="K86" s="7"/>
      <c r="L86" s="7"/>
      <c r="M86" s="7">
        <f>((D85-D89)/D85)*100</f>
        <v>34.214893494346988</v>
      </c>
      <c r="R86" s="74" t="s">
        <v>96</v>
      </c>
      <c r="S86" s="209">
        <f>R4</f>
        <v>3279.6444639700003</v>
      </c>
      <c r="T86" s="210"/>
    </row>
    <row r="87" spans="3:20" ht="23.45" customHeight="1" x14ac:dyDescent="0.25">
      <c r="C87" s="8" t="s">
        <v>111</v>
      </c>
      <c r="R87" s="74" t="s">
        <v>97</v>
      </c>
      <c r="S87" s="209">
        <f>G5</f>
        <v>3160.955422</v>
      </c>
      <c r="T87" s="210"/>
    </row>
    <row r="88" spans="3:20" ht="23.45" customHeight="1" x14ac:dyDescent="0.25">
      <c r="C88" s="83" t="s">
        <v>112</v>
      </c>
      <c r="D88" s="217" t="s">
        <v>211</v>
      </c>
      <c r="E88" s="217"/>
      <c r="F88" s="217"/>
      <c r="G88" s="217"/>
      <c r="I88" s="211" t="s">
        <v>154</v>
      </c>
      <c r="J88" s="212"/>
      <c r="K88" s="212"/>
      <c r="L88" s="212"/>
      <c r="M88" s="213"/>
      <c r="R88" s="74" t="s">
        <v>98</v>
      </c>
      <c r="S88" s="209">
        <f>G6</f>
        <v>3473.7</v>
      </c>
      <c r="T88" s="210"/>
    </row>
    <row r="89" spans="3:20" ht="23.45" customHeight="1" x14ac:dyDescent="0.25">
      <c r="C89" s="7" t="s">
        <v>112</v>
      </c>
      <c r="D89" s="7">
        <f>(D46-D48-D53-H48-H55-Q48-N56)*(R12-G13)</f>
        <v>1468.663584423266</v>
      </c>
      <c r="E89" s="7"/>
      <c r="I89" s="68" t="s">
        <v>115</v>
      </c>
      <c r="J89" s="68"/>
      <c r="K89" s="68"/>
      <c r="L89" s="68"/>
      <c r="M89" s="68" t="s">
        <v>153</v>
      </c>
      <c r="R89" s="74" t="s">
        <v>99</v>
      </c>
      <c r="S89" s="209">
        <f>R7</f>
        <v>3433.0635743100001</v>
      </c>
      <c r="T89" s="210"/>
    </row>
    <row r="90" spans="3:20" ht="23.45" customHeight="1" x14ac:dyDescent="0.25">
      <c r="G90" s="68"/>
      <c r="I90" s="68"/>
      <c r="J90" s="68"/>
      <c r="K90" s="68"/>
      <c r="L90" s="68"/>
      <c r="M90" s="68">
        <f>((D69-F79-F80-F81)/(D85))*100</f>
        <v>0</v>
      </c>
      <c r="R90" s="74" t="s">
        <v>100</v>
      </c>
      <c r="S90" s="209">
        <f>R8</f>
        <v>3361.7812039081</v>
      </c>
      <c r="T90" s="210"/>
    </row>
    <row r="91" spans="3:20" ht="23.45" customHeight="1" x14ac:dyDescent="0.25">
      <c r="G91" s="68"/>
      <c r="R91" s="74" t="s">
        <v>101</v>
      </c>
      <c r="S91" s="209">
        <f>R10</f>
        <v>3237.2028231953968</v>
      </c>
      <c r="T91" s="210"/>
    </row>
    <row r="92" spans="3:20" ht="23.45" customHeight="1" x14ac:dyDescent="0.25">
      <c r="C92" s="2" t="s">
        <v>306</v>
      </c>
      <c r="D92" s="2">
        <f>D85-D89</f>
        <v>763.8532608554774</v>
      </c>
      <c r="R92" s="74" t="s">
        <v>102</v>
      </c>
      <c r="S92" s="209">
        <f>R11</f>
        <v>3159.8367377996524</v>
      </c>
      <c r="T92" s="210"/>
    </row>
    <row r="93" spans="3:20" ht="23.45" customHeight="1" x14ac:dyDescent="0.25">
      <c r="R93" s="75" t="s">
        <v>103</v>
      </c>
      <c r="S93" s="214">
        <f>R12</f>
        <v>2619.7479015478229</v>
      </c>
      <c r="T93" s="215"/>
    </row>
  </sheetData>
  <mergeCells count="71">
    <mergeCell ref="S89:T89"/>
    <mergeCell ref="S90:T90"/>
    <mergeCell ref="S91:T91"/>
    <mergeCell ref="S92:T92"/>
    <mergeCell ref="S93:T93"/>
    <mergeCell ref="G52:I52"/>
    <mergeCell ref="M51:P51"/>
    <mergeCell ref="C50:F50"/>
    <mergeCell ref="G31:I31"/>
    <mergeCell ref="H32:I32"/>
    <mergeCell ref="S85:T85"/>
    <mergeCell ref="S86:T86"/>
    <mergeCell ref="S87:T87"/>
    <mergeCell ref="D88:G88"/>
    <mergeCell ref="I88:M88"/>
    <mergeCell ref="S88:T88"/>
    <mergeCell ref="D84:F84"/>
    <mergeCell ref="T69:T73"/>
    <mergeCell ref="R75:T75"/>
    <mergeCell ref="R76:T76"/>
    <mergeCell ref="S77:T77"/>
    <mergeCell ref="S78:T78"/>
    <mergeCell ref="S79:T79"/>
    <mergeCell ref="S80:T80"/>
    <mergeCell ref="S81:T81"/>
    <mergeCell ref="S82:T82"/>
    <mergeCell ref="I83:M83"/>
    <mergeCell ref="S83:T83"/>
    <mergeCell ref="M54:P54"/>
    <mergeCell ref="O55:P55"/>
    <mergeCell ref="C64:C68"/>
    <mergeCell ref="D64:S68"/>
    <mergeCell ref="C69:C73"/>
    <mergeCell ref="D69:S73"/>
    <mergeCell ref="S33:T35"/>
    <mergeCell ref="S36:T39"/>
    <mergeCell ref="C45:F45"/>
    <mergeCell ref="G45:I45"/>
    <mergeCell ref="M45:O45"/>
    <mergeCell ref="D37:Q37"/>
    <mergeCell ref="Z2:AD3"/>
    <mergeCell ref="N5:R5"/>
    <mergeCell ref="N6:R6"/>
    <mergeCell ref="D18:E18"/>
    <mergeCell ref="D19:E19"/>
    <mergeCell ref="D13:E13"/>
    <mergeCell ref="D12:E12"/>
    <mergeCell ref="D11:E11"/>
    <mergeCell ref="D10:E10"/>
    <mergeCell ref="D9:E9"/>
    <mergeCell ref="D8:E8"/>
    <mergeCell ref="D7:E7"/>
    <mergeCell ref="D6:E6"/>
    <mergeCell ref="D5:E5"/>
    <mergeCell ref="D4:E4"/>
    <mergeCell ref="D3:E3"/>
    <mergeCell ref="D25:E25"/>
    <mergeCell ref="D26:E26"/>
    <mergeCell ref="D27:E27"/>
    <mergeCell ref="D28:E28"/>
    <mergeCell ref="K1:L1"/>
    <mergeCell ref="D14:E14"/>
    <mergeCell ref="D15:E15"/>
    <mergeCell ref="D16:E16"/>
    <mergeCell ref="D17:E17"/>
    <mergeCell ref="D20:E20"/>
    <mergeCell ref="D21:E21"/>
    <mergeCell ref="D22:E22"/>
    <mergeCell ref="D23:E23"/>
    <mergeCell ref="D24:E24"/>
    <mergeCell ref="D2:E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2"/>
  <sheetViews>
    <sheetView topLeftCell="A28" zoomScale="85" zoomScaleNormal="85" workbookViewId="0">
      <selection activeCell="F25" sqref="F25"/>
    </sheetView>
  </sheetViews>
  <sheetFormatPr defaultRowHeight="15" x14ac:dyDescent="0.25"/>
  <cols>
    <col min="1" max="1" width="10.7109375" customWidth="1"/>
    <col min="3" max="4" width="12.7109375" customWidth="1"/>
    <col min="5" max="5" width="11.28515625" customWidth="1"/>
    <col min="6" max="6" width="13.42578125" customWidth="1"/>
    <col min="7" max="7" width="10" customWidth="1"/>
    <col min="8" max="8" width="10.28515625" customWidth="1"/>
    <col min="9" max="9" width="13.28515625" customWidth="1"/>
    <col min="10" max="10" width="10.28515625" customWidth="1"/>
    <col min="12" max="12" width="19.140625" customWidth="1"/>
    <col min="13" max="13" width="13" customWidth="1"/>
    <col min="14" max="14" width="15" hidden="1" customWidth="1"/>
    <col min="15" max="15" width="5.140625" hidden="1" customWidth="1"/>
    <col min="16" max="16" width="0" hidden="1" customWidth="1"/>
    <col min="17" max="17" width="5" customWidth="1"/>
    <col min="18" max="18" width="14.5703125" customWidth="1"/>
  </cols>
  <sheetData>
    <row r="3" spans="1:18" x14ac:dyDescent="0.25">
      <c r="B3" s="129" t="s">
        <v>0</v>
      </c>
      <c r="C3" s="129" t="s">
        <v>212</v>
      </c>
      <c r="D3" s="142"/>
      <c r="E3" s="129" t="s">
        <v>213</v>
      </c>
      <c r="F3" s="129" t="s">
        <v>214</v>
      </c>
      <c r="G3" s="129" t="s">
        <v>215</v>
      </c>
      <c r="H3" s="129" t="s">
        <v>216</v>
      </c>
      <c r="I3" s="132" t="s">
        <v>301</v>
      </c>
      <c r="J3" s="132" t="s">
        <v>302</v>
      </c>
      <c r="L3" s="129" t="s">
        <v>23</v>
      </c>
      <c r="M3">
        <v>0.49</v>
      </c>
    </row>
    <row r="4" spans="1:18" x14ac:dyDescent="0.25">
      <c r="A4" s="129" t="s">
        <v>246</v>
      </c>
      <c r="B4" s="129">
        <v>1</v>
      </c>
      <c r="C4">
        <v>20</v>
      </c>
      <c r="E4" s="160">
        <v>540</v>
      </c>
      <c r="F4" s="126">
        <v>3363.5</v>
      </c>
      <c r="G4" s="128" t="s">
        <v>234</v>
      </c>
      <c r="H4">
        <v>6.2981999999999996</v>
      </c>
      <c r="I4">
        <v>1</v>
      </c>
      <c r="J4">
        <f>500000/E62</f>
        <v>646.41216159509713</v>
      </c>
      <c r="N4" t="s">
        <v>235</v>
      </c>
      <c r="P4" t="s">
        <v>236</v>
      </c>
      <c r="R4" t="s">
        <v>245</v>
      </c>
    </row>
    <row r="5" spans="1:18" x14ac:dyDescent="0.25">
      <c r="A5" s="129" t="s">
        <v>267</v>
      </c>
      <c r="B5" s="129">
        <v>2</v>
      </c>
      <c r="C5">
        <v>12</v>
      </c>
      <c r="E5" s="160">
        <v>449.6116505</v>
      </c>
      <c r="F5" s="126">
        <v>3207.054369</v>
      </c>
      <c r="G5" s="128" t="s">
        <v>234</v>
      </c>
      <c r="H5">
        <v>6.2981999999999996</v>
      </c>
      <c r="I5">
        <v>1.3203114E-2</v>
      </c>
      <c r="J5">
        <f>J4*I5</f>
        <v>8.5346534605264885</v>
      </c>
      <c r="L5" s="122" t="s">
        <v>219</v>
      </c>
      <c r="M5" s="122" t="s">
        <v>15</v>
      </c>
      <c r="N5">
        <f>C5-C5*0.07</f>
        <v>11.16</v>
      </c>
      <c r="O5" s="122" t="s">
        <v>237</v>
      </c>
      <c r="P5">
        <v>319.23</v>
      </c>
      <c r="Q5" s="122" t="s">
        <v>96</v>
      </c>
      <c r="R5">
        <f>F4-M3*(F4-F5)</f>
        <v>3286.8416408100002</v>
      </c>
    </row>
    <row r="6" spans="1:18" x14ac:dyDescent="0.25">
      <c r="A6" s="129" t="s">
        <v>247</v>
      </c>
      <c r="B6" s="129">
        <v>3</v>
      </c>
      <c r="C6">
        <v>11.4</v>
      </c>
      <c r="E6" s="160">
        <v>441.09181139999998</v>
      </c>
      <c r="F6" s="126">
        <v>3192.3662530000001</v>
      </c>
      <c r="G6" s="128" t="s">
        <v>234</v>
      </c>
      <c r="H6">
        <v>6.2981999999999996</v>
      </c>
      <c r="I6">
        <v>7.8765973000000003E-2</v>
      </c>
      <c r="J6">
        <f>J4*I$6</f>
        <v>50.915282867071056</v>
      </c>
      <c r="L6" s="123" t="s">
        <v>220</v>
      </c>
      <c r="M6" s="122" t="s">
        <v>217</v>
      </c>
      <c r="N6">
        <f>C6-C6*0.07</f>
        <v>10.602</v>
      </c>
      <c r="O6" s="122" t="s">
        <v>238</v>
      </c>
      <c r="P6">
        <v>315.39389999999997</v>
      </c>
      <c r="Q6" s="122" t="s">
        <v>249</v>
      </c>
      <c r="R6">
        <f>R5-M3*(R5-F6)</f>
        <v>3240.5487007831002</v>
      </c>
    </row>
    <row r="7" spans="1:18" x14ac:dyDescent="0.25">
      <c r="A7" s="129" t="s">
        <v>8</v>
      </c>
      <c r="B7" s="129">
        <v>4</v>
      </c>
      <c r="C7">
        <v>10.199999999999999</v>
      </c>
      <c r="E7" s="160">
        <v>422.91566280000001</v>
      </c>
      <c r="F7" s="126">
        <v>3160.955422</v>
      </c>
      <c r="G7" s="128" t="s">
        <v>234</v>
      </c>
      <c r="H7">
        <v>6.2981999999999996</v>
      </c>
      <c r="I7">
        <f>I4-I5-I6</f>
        <v>0.90803091300000005</v>
      </c>
      <c r="J7">
        <f>J$4*I7</f>
        <v>586.96222526749966</v>
      </c>
      <c r="L7" s="124"/>
      <c r="M7" s="124"/>
      <c r="O7" s="125"/>
    </row>
    <row r="8" spans="1:18" x14ac:dyDescent="0.25">
      <c r="A8" s="129"/>
      <c r="B8" s="129">
        <v>5</v>
      </c>
      <c r="C8">
        <v>10.199999999999999</v>
      </c>
      <c r="E8" s="160">
        <v>540</v>
      </c>
      <c r="F8" s="126">
        <v>3473.7</v>
      </c>
      <c r="G8" s="128" t="s">
        <v>234</v>
      </c>
      <c r="H8">
        <v>6.7141999999999999</v>
      </c>
      <c r="I8">
        <f>I4-I5-I6</f>
        <v>0.90803091300000005</v>
      </c>
      <c r="J8">
        <f t="shared" ref="J8" si="0">J$4*I8</f>
        <v>586.96222526749966</v>
      </c>
      <c r="L8" s="124"/>
      <c r="M8" s="124"/>
      <c r="O8" s="125"/>
    </row>
    <row r="9" spans="1:18" x14ac:dyDescent="0.25">
      <c r="A9" s="129" t="s">
        <v>160</v>
      </c>
      <c r="B9" s="129">
        <v>6</v>
      </c>
      <c r="C9">
        <v>8</v>
      </c>
      <c r="E9" s="160">
        <v>496.97530879999999</v>
      </c>
      <c r="F9" s="126">
        <v>3390.7685190000002</v>
      </c>
      <c r="G9" s="128" t="s">
        <v>234</v>
      </c>
      <c r="H9">
        <v>6.7141999999999999</v>
      </c>
      <c r="I9">
        <v>3.2206974999999999E-2</v>
      </c>
      <c r="J9">
        <f>J$4*I9</f>
        <v>20.818980328189252</v>
      </c>
      <c r="L9" s="123" t="s">
        <v>221</v>
      </c>
      <c r="M9" s="122" t="s">
        <v>17</v>
      </c>
      <c r="N9">
        <f t="shared" ref="N9:N15" si="1">C9-C9*0.07</f>
        <v>7.4399999999999995</v>
      </c>
      <c r="O9" s="122" t="s">
        <v>239</v>
      </c>
      <c r="P9">
        <v>290.03800000000001</v>
      </c>
      <c r="Q9" s="122" t="s">
        <v>100</v>
      </c>
      <c r="R9">
        <f>F8-M3*(F8-F9)</f>
        <v>3433.0635743100001</v>
      </c>
    </row>
    <row r="10" spans="1:18" x14ac:dyDescent="0.25">
      <c r="A10" s="129" t="s">
        <v>263</v>
      </c>
      <c r="B10" s="129">
        <v>7</v>
      </c>
      <c r="C10">
        <v>5.8</v>
      </c>
      <c r="E10" s="160">
        <v>442.9585798</v>
      </c>
      <c r="F10" s="126">
        <v>3287.5893489999999</v>
      </c>
      <c r="G10" s="128" t="s">
        <v>234</v>
      </c>
      <c r="H10">
        <v>6.7141999999999999</v>
      </c>
      <c r="I10">
        <v>3.31346E-2</v>
      </c>
      <c r="J10">
        <f>J$4*I10</f>
        <v>21.418608409588906</v>
      </c>
      <c r="L10" s="123" t="s">
        <v>222</v>
      </c>
      <c r="M10" s="122" t="s">
        <v>18</v>
      </c>
      <c r="N10">
        <f t="shared" si="1"/>
        <v>5.3940000000000001</v>
      </c>
      <c r="O10" s="122" t="s">
        <v>240</v>
      </c>
      <c r="P10">
        <v>268.76920000000001</v>
      </c>
      <c r="Q10" s="122" t="s">
        <v>101</v>
      </c>
      <c r="R10">
        <f>R9-M3*(R9-F10)</f>
        <v>3361.7812039081</v>
      </c>
    </row>
    <row r="11" spans="1:18" x14ac:dyDescent="0.25">
      <c r="A11" s="129" t="s">
        <v>9</v>
      </c>
      <c r="B11" s="129">
        <v>8</v>
      </c>
      <c r="C11">
        <v>4.3</v>
      </c>
      <c r="E11" s="160">
        <v>395.69444440000001</v>
      </c>
      <c r="F11" s="126">
        <v>3197.9236110000002</v>
      </c>
      <c r="G11" s="128" t="s">
        <v>234</v>
      </c>
      <c r="H11">
        <v>6.7141999999999999</v>
      </c>
      <c r="I11">
        <v>2.568299E-3</v>
      </c>
      <c r="J11">
        <f>J$4*I11</f>
        <v>1.6601797082125265</v>
      </c>
      <c r="L11" s="123" t="s">
        <v>223</v>
      </c>
      <c r="M11" s="122" t="s">
        <v>19</v>
      </c>
      <c r="N11">
        <f t="shared" si="1"/>
        <v>3.9989999999999997</v>
      </c>
      <c r="O11" s="122" t="s">
        <v>241</v>
      </c>
      <c r="P11">
        <v>250.3852</v>
      </c>
      <c r="Q11" s="122" t="s">
        <v>102</v>
      </c>
      <c r="R11">
        <f>R10-M3*(R10-F11)</f>
        <v>3281.4909833831312</v>
      </c>
    </row>
    <row r="12" spans="1:18" x14ac:dyDescent="0.25">
      <c r="A12" s="129" t="s">
        <v>14</v>
      </c>
      <c r="B12" s="129">
        <v>9</v>
      </c>
      <c r="C12">
        <v>4.2</v>
      </c>
      <c r="E12" s="160">
        <v>392.09497199999998</v>
      </c>
      <c r="F12" s="126">
        <v>3191.1069830000001</v>
      </c>
      <c r="G12" s="128" t="s">
        <v>234</v>
      </c>
      <c r="H12">
        <v>6.7141999999999999</v>
      </c>
      <c r="I12">
        <v>3.3825189999999998E-2</v>
      </c>
      <c r="J12">
        <f t="shared" ref="J12:J35" si="2">J$4*I12</f>
        <v>21.865014184264862</v>
      </c>
      <c r="L12" s="123" t="s">
        <v>224</v>
      </c>
      <c r="M12" s="122" t="s">
        <v>20</v>
      </c>
      <c r="N12">
        <f t="shared" si="1"/>
        <v>3.9060000000000001</v>
      </c>
      <c r="O12" s="122" t="s">
        <v>242</v>
      </c>
      <c r="P12">
        <v>249</v>
      </c>
      <c r="Q12" s="122" t="s">
        <v>103</v>
      </c>
      <c r="R12">
        <f>R11-M3*(R11-F12)</f>
        <v>3237.2028231953968</v>
      </c>
    </row>
    <row r="13" spans="1:18" x14ac:dyDescent="0.25">
      <c r="A13" s="129" t="s">
        <v>11</v>
      </c>
      <c r="B13" s="129">
        <v>10</v>
      </c>
      <c r="C13" s="127">
        <v>3</v>
      </c>
      <c r="D13" s="124"/>
      <c r="E13" s="160">
        <v>342.53263709999999</v>
      </c>
      <c r="F13" s="127">
        <v>3097.6023500000001</v>
      </c>
      <c r="G13" s="128" t="s">
        <v>234</v>
      </c>
      <c r="H13">
        <v>6.7141999999999999</v>
      </c>
      <c r="I13">
        <v>4.8681590000000004E-3</v>
      </c>
      <c r="J13">
        <f t="shared" si="2"/>
        <v>3.1468371821786265</v>
      </c>
      <c r="L13" s="123" t="s">
        <v>225</v>
      </c>
      <c r="M13" s="122" t="s">
        <v>163</v>
      </c>
      <c r="N13">
        <f t="shared" si="1"/>
        <v>2.79</v>
      </c>
      <c r="O13" s="127" t="s">
        <v>243</v>
      </c>
      <c r="P13">
        <v>229.90199999999999</v>
      </c>
      <c r="Q13" s="122" t="s">
        <v>250</v>
      </c>
      <c r="R13">
        <f>R12-M3*(R12-F13)</f>
        <v>3168.7985913296525</v>
      </c>
    </row>
    <row r="14" spans="1:18" x14ac:dyDescent="0.25">
      <c r="A14" s="129" t="s">
        <v>12</v>
      </c>
      <c r="B14" s="129">
        <v>11</v>
      </c>
      <c r="C14">
        <v>2.8</v>
      </c>
      <c r="E14" s="160">
        <v>332.80205640000003</v>
      </c>
      <c r="F14" s="126">
        <v>3079.3128529999999</v>
      </c>
      <c r="G14" s="128" t="s">
        <v>234</v>
      </c>
      <c r="H14">
        <v>6.7141999999999999</v>
      </c>
      <c r="I14">
        <v>0.21960837899999999</v>
      </c>
      <c r="J14">
        <f t="shared" si="2"/>
        <v>141.95752697378532</v>
      </c>
      <c r="L14" s="123" t="s">
        <v>226</v>
      </c>
      <c r="M14" s="122" t="s">
        <v>218</v>
      </c>
      <c r="N14">
        <f t="shared" si="1"/>
        <v>2.6039999999999996</v>
      </c>
      <c r="O14" s="122" t="s">
        <v>244</v>
      </c>
      <c r="P14">
        <v>226.17160000000001</v>
      </c>
      <c r="Q14" s="122" t="s">
        <v>251</v>
      </c>
      <c r="R14">
        <f>R13-M3*(R13-F14)</f>
        <v>3124.9505795481227</v>
      </c>
    </row>
    <row r="15" spans="1:18" x14ac:dyDescent="0.25">
      <c r="A15" s="129" t="s">
        <v>248</v>
      </c>
      <c r="B15" s="129">
        <v>12</v>
      </c>
      <c r="C15">
        <v>5.4999999999999997E-3</v>
      </c>
      <c r="E15" s="160">
        <v>34.58</v>
      </c>
      <c r="F15" s="126">
        <v>2057.6146229999999</v>
      </c>
      <c r="G15" s="128" t="s">
        <v>234</v>
      </c>
      <c r="H15">
        <v>6.7141999999999999</v>
      </c>
      <c r="I15">
        <v>0.58181931099999995</v>
      </c>
      <c r="J15">
        <f t="shared" si="2"/>
        <v>376.09507848128004</v>
      </c>
      <c r="L15" s="123" t="s">
        <v>269</v>
      </c>
      <c r="M15" s="122" t="s">
        <v>268</v>
      </c>
      <c r="N15">
        <f t="shared" si="1"/>
        <v>5.1149999999999998E-3</v>
      </c>
      <c r="O15" s="122" t="s">
        <v>270</v>
      </c>
      <c r="P15">
        <v>32.973999999999997</v>
      </c>
      <c r="Q15" s="122" t="s">
        <v>271</v>
      </c>
      <c r="R15">
        <f>R14-M3*(R14-F15)</f>
        <v>2601.9559608395425</v>
      </c>
    </row>
    <row r="16" spans="1:18" x14ac:dyDescent="0.25">
      <c r="B16" s="129">
        <v>13</v>
      </c>
      <c r="C16">
        <v>5.4999999999999997E-3</v>
      </c>
      <c r="E16" s="160">
        <v>34.58</v>
      </c>
      <c r="F16" s="126">
        <v>144.94999999999999</v>
      </c>
      <c r="G16">
        <v>1.0058</v>
      </c>
      <c r="I16">
        <v>0.58181931099999995</v>
      </c>
      <c r="J16">
        <f t="shared" si="2"/>
        <v>376.09507848128004</v>
      </c>
    </row>
    <row r="17" spans="2:19" x14ac:dyDescent="0.25">
      <c r="B17" s="129">
        <v>14</v>
      </c>
      <c r="C17" s="260" t="s">
        <v>272</v>
      </c>
      <c r="D17" s="260"/>
      <c r="E17" s="160">
        <v>34.668599999999998</v>
      </c>
      <c r="F17">
        <f>F16+G16*(C14-C15)</f>
        <v>147.76070809999999</v>
      </c>
      <c r="G17" s="128" t="s">
        <v>234</v>
      </c>
      <c r="I17">
        <v>0.58181931099999995</v>
      </c>
      <c r="J17">
        <f t="shared" si="2"/>
        <v>376.09507848128004</v>
      </c>
      <c r="L17" s="123" t="s">
        <v>304</v>
      </c>
    </row>
    <row r="18" spans="2:19" x14ac:dyDescent="0.25">
      <c r="B18" s="129">
        <v>15</v>
      </c>
      <c r="C18" s="260" t="s">
        <v>273</v>
      </c>
      <c r="D18" s="260"/>
      <c r="E18" s="160">
        <v>226.1694</v>
      </c>
      <c r="F18" s="126">
        <v>972.2296</v>
      </c>
      <c r="G18" s="128" t="s">
        <v>234</v>
      </c>
      <c r="I18">
        <v>0.26087002599999998</v>
      </c>
      <c r="J18">
        <f t="shared" si="2"/>
        <v>168.62955740202918</v>
      </c>
      <c r="L18" s="123" t="s">
        <v>303</v>
      </c>
      <c r="M18" s="122" t="s">
        <v>305</v>
      </c>
    </row>
    <row r="19" spans="2:19" x14ac:dyDescent="0.25">
      <c r="B19" s="129">
        <v>16</v>
      </c>
      <c r="C19" s="260" t="s">
        <v>274</v>
      </c>
      <c r="D19" s="260"/>
      <c r="E19" s="160">
        <v>226.17160000000001</v>
      </c>
      <c r="F19" s="126">
        <v>972.23965599999997</v>
      </c>
      <c r="G19" s="128" t="s">
        <v>234</v>
      </c>
      <c r="I19">
        <f>O46+E55</f>
        <v>0.26014763137783786</v>
      </c>
      <c r="J19">
        <f t="shared" si="2"/>
        <v>168.16259273279269</v>
      </c>
      <c r="R19">
        <f>J35*(F4-R5)</f>
        <v>49552.895668341167</v>
      </c>
      <c r="S19">
        <f>R19/1000</f>
        <v>49.552895668341165</v>
      </c>
    </row>
    <row r="20" spans="2:19" x14ac:dyDescent="0.25">
      <c r="B20" s="129">
        <v>17</v>
      </c>
      <c r="C20" s="260" t="s">
        <v>274</v>
      </c>
      <c r="D20" s="260"/>
      <c r="E20" s="160">
        <v>226.17160000000001</v>
      </c>
      <c r="F20" s="126">
        <v>972.23965599999997</v>
      </c>
      <c r="G20" s="128" t="s">
        <v>234</v>
      </c>
      <c r="I20">
        <v>0.58181931099999995</v>
      </c>
      <c r="J20">
        <f t="shared" si="2"/>
        <v>376.09507848128004</v>
      </c>
      <c r="L20" s="123" t="s">
        <v>282</v>
      </c>
      <c r="M20">
        <f>P14-2.3</f>
        <v>223.8716</v>
      </c>
      <c r="R20">
        <f>(J35-J5)*(R5-R6)</f>
        <v>29529.225228582061</v>
      </c>
      <c r="S20">
        <f t="shared" ref="S20:S28" si="3">R20/1000</f>
        <v>29.52922522858206</v>
      </c>
    </row>
    <row r="21" spans="2:19" x14ac:dyDescent="0.25">
      <c r="B21" s="129">
        <v>18</v>
      </c>
      <c r="C21" s="260" t="s">
        <v>274</v>
      </c>
      <c r="D21" s="260"/>
      <c r="E21" s="160">
        <v>226.17160000000001</v>
      </c>
      <c r="F21" s="126">
        <v>972.23965599999997</v>
      </c>
      <c r="G21" s="128" t="s">
        <v>234</v>
      </c>
      <c r="I21">
        <f>I23</f>
        <v>0.84268933821297876</v>
      </c>
      <c r="J21">
        <f t="shared" si="2"/>
        <v>544.7246366673935</v>
      </c>
      <c r="R21">
        <f>(J35-J5-J6)*(R6-F7)</f>
        <v>46718.248030864983</v>
      </c>
      <c r="S21">
        <f t="shared" si="3"/>
        <v>46.718248030864984</v>
      </c>
    </row>
    <row r="22" spans="2:19" x14ac:dyDescent="0.25">
      <c r="B22" s="129">
        <v>19</v>
      </c>
      <c r="C22" s="261" t="s">
        <v>227</v>
      </c>
      <c r="D22" s="261"/>
      <c r="E22" s="160">
        <v>229.90199999999999</v>
      </c>
      <c r="F22" s="126">
        <v>989.66499999999996</v>
      </c>
      <c r="G22" s="128" t="s">
        <v>234</v>
      </c>
      <c r="I22">
        <v>4.1261646999999999E-2</v>
      </c>
      <c r="J22">
        <f t="shared" si="2"/>
        <v>26.672030428243854</v>
      </c>
      <c r="R22">
        <f>(J35-J5-J6)*(F8-R9)</f>
        <v>23852.046849919596</v>
      </c>
      <c r="S22">
        <f t="shared" si="3"/>
        <v>23.852046849919596</v>
      </c>
    </row>
    <row r="23" spans="2:19" x14ac:dyDescent="0.25">
      <c r="B23" s="129">
        <v>20</v>
      </c>
      <c r="C23" s="261" t="s">
        <v>275</v>
      </c>
      <c r="D23" s="261"/>
      <c r="E23" s="160">
        <v>229.90199999999999</v>
      </c>
      <c r="F23" s="126">
        <v>978.90531999999996</v>
      </c>
      <c r="G23" s="128" t="s">
        <v>234</v>
      </c>
      <c r="I23">
        <f>I25</f>
        <v>0.84268933821297876</v>
      </c>
      <c r="J23">
        <f t="shared" si="2"/>
        <v>544.7246366673935</v>
      </c>
      <c r="L23" s="123" t="s">
        <v>283</v>
      </c>
      <c r="M23">
        <f>P13-2.3</f>
        <v>227.60199999999998</v>
      </c>
      <c r="R23">
        <f>(J35-J5-J6-J9)*(R9-R10)</f>
        <v>40356.032486297612</v>
      </c>
      <c r="S23">
        <f t="shared" si="3"/>
        <v>40.356032486297615</v>
      </c>
    </row>
    <row r="24" spans="2:19" x14ac:dyDescent="0.25">
      <c r="B24" s="129">
        <v>21</v>
      </c>
      <c r="C24" s="260" t="s">
        <v>228</v>
      </c>
      <c r="D24" s="260"/>
      <c r="E24" s="160">
        <v>249</v>
      </c>
      <c r="F24" s="126">
        <v>1080.4856</v>
      </c>
      <c r="G24" s="128" t="s">
        <v>234</v>
      </c>
      <c r="I24">
        <f>E52+E53</f>
        <v>3.6393488428972068E-2</v>
      </c>
      <c r="J24">
        <f t="shared" si="2"/>
        <v>23.525193523357991</v>
      </c>
      <c r="R24">
        <f>(J35-J5-J6-J9-J10)*(R10-R11)</f>
        <v>43736.061192354835</v>
      </c>
      <c r="S24">
        <f t="shared" si="3"/>
        <v>43.736061192354832</v>
      </c>
    </row>
    <row r="25" spans="2:19" x14ac:dyDescent="0.25">
      <c r="B25" s="129">
        <v>22</v>
      </c>
      <c r="C25" s="260" t="s">
        <v>276</v>
      </c>
      <c r="D25" s="260"/>
      <c r="E25" s="160">
        <v>246.7</v>
      </c>
      <c r="F25" s="126">
        <v>1069.404</v>
      </c>
      <c r="G25" s="128" t="s">
        <v>234</v>
      </c>
      <c r="I25">
        <f>O41</f>
        <v>0.84268933821297876</v>
      </c>
      <c r="J25">
        <f t="shared" si="2"/>
        <v>544.7246366673935</v>
      </c>
      <c r="L25" s="123" t="s">
        <v>284</v>
      </c>
      <c r="M25">
        <f>P12-2.3</f>
        <v>246.7</v>
      </c>
      <c r="R25">
        <f>(J35-J5-J6-J9-J10-J11)*(R11-R12)</f>
        <v>24051.325655975914</v>
      </c>
      <c r="S25">
        <f t="shared" si="3"/>
        <v>24.051325655975912</v>
      </c>
    </row>
    <row r="26" spans="2:19" x14ac:dyDescent="0.25">
      <c r="B26" s="129">
        <v>23</v>
      </c>
      <c r="C26" s="260" t="s">
        <v>229</v>
      </c>
      <c r="D26" s="260"/>
      <c r="E26" s="160">
        <v>250.3852</v>
      </c>
      <c r="F26" s="126">
        <v>1087.2374</v>
      </c>
      <c r="G26" s="128" t="s">
        <v>234</v>
      </c>
      <c r="I26">
        <f>I11</f>
        <v>2.568299E-3</v>
      </c>
      <c r="J26">
        <f t="shared" si="2"/>
        <v>1.6601797082125265</v>
      </c>
      <c r="R26">
        <f>(J35-J5-J6-J9-J10-J11-J12)*(R12-R13)</f>
        <v>35652.24752245476</v>
      </c>
      <c r="S26">
        <f t="shared" si="3"/>
        <v>35.652247522454758</v>
      </c>
    </row>
    <row r="27" spans="2:19" x14ac:dyDescent="0.25">
      <c r="B27" s="129">
        <v>24</v>
      </c>
      <c r="C27" s="260" t="s">
        <v>277</v>
      </c>
      <c r="D27" s="260"/>
      <c r="E27" s="160">
        <v>248.08519999999999</v>
      </c>
      <c r="F27" s="126">
        <v>1076.091516</v>
      </c>
      <c r="G27" s="128" t="s">
        <v>234</v>
      </c>
      <c r="I27">
        <f>O41</f>
        <v>0.84268933821297876</v>
      </c>
      <c r="J27">
        <f t="shared" si="2"/>
        <v>544.7246366673935</v>
      </c>
      <c r="L27" s="123" t="s">
        <v>285</v>
      </c>
      <c r="M27">
        <f>P11-2.3</f>
        <v>248.08519999999999</v>
      </c>
      <c r="R27">
        <f>(J35-J5-J6-J9-J10-J11-J12-J13)*(R13-R14)</f>
        <v>22715.576747445892</v>
      </c>
      <c r="S27">
        <f t="shared" si="3"/>
        <v>22.715576747445891</v>
      </c>
    </row>
    <row r="28" spans="2:19" x14ac:dyDescent="0.25">
      <c r="B28" s="129">
        <v>25</v>
      </c>
      <c r="C28" s="260" t="s">
        <v>230</v>
      </c>
      <c r="D28" s="260"/>
      <c r="E28" s="160">
        <v>268.76920000000001</v>
      </c>
      <c r="F28" s="126">
        <v>1178.2976000000001</v>
      </c>
      <c r="G28" s="128">
        <v>1.298902</v>
      </c>
      <c r="I28">
        <f>I10</f>
        <v>3.31346E-2</v>
      </c>
      <c r="J28">
        <f t="shared" si="2"/>
        <v>21.418608409588906</v>
      </c>
      <c r="R28">
        <f>(J35-J5-J6-J9-J10-J11-J12-J13-J14)*(R14-R15)</f>
        <v>196695.70216849065</v>
      </c>
      <c r="S28">
        <f t="shared" si="3"/>
        <v>196.69570216849064</v>
      </c>
    </row>
    <row r="29" spans="2:19" x14ac:dyDescent="0.25">
      <c r="B29" s="129">
        <v>26</v>
      </c>
      <c r="C29" s="260" t="s">
        <v>278</v>
      </c>
      <c r="D29" s="260"/>
      <c r="E29" s="160">
        <v>272.54199999999997</v>
      </c>
      <c r="F29">
        <f>F28+G28*(C4-N9)</f>
        <v>1194.6118091200001</v>
      </c>
      <c r="I29">
        <v>1</v>
      </c>
      <c r="J29">
        <f>J$4*I29</f>
        <v>646.41216159509713</v>
      </c>
      <c r="S29">
        <f>SUM(S19:S28)</f>
        <v>512.8593615507275</v>
      </c>
    </row>
    <row r="30" spans="2:19" x14ac:dyDescent="0.25">
      <c r="B30" s="129">
        <v>27</v>
      </c>
      <c r="C30" s="260" t="s">
        <v>231</v>
      </c>
      <c r="D30" s="260"/>
      <c r="E30" s="160">
        <v>290.03800000000001</v>
      </c>
      <c r="F30" s="126">
        <v>1289.2619999999999</v>
      </c>
      <c r="G30" s="128" t="s">
        <v>234</v>
      </c>
      <c r="I30">
        <f>I5+I6+I9</f>
        <v>0.124176062</v>
      </c>
      <c r="J30">
        <f t="shared" si="2"/>
        <v>80.268916655786796</v>
      </c>
    </row>
    <row r="31" spans="2:19" x14ac:dyDescent="0.25">
      <c r="B31" s="129">
        <v>28</v>
      </c>
      <c r="C31" s="260" t="s">
        <v>279</v>
      </c>
      <c r="D31" s="260"/>
      <c r="E31" s="160">
        <v>287.738</v>
      </c>
      <c r="F31" s="126">
        <v>1276.9083000000001</v>
      </c>
      <c r="G31" s="128" t="s">
        <v>234</v>
      </c>
      <c r="I31">
        <v>1</v>
      </c>
      <c r="J31">
        <f t="shared" si="2"/>
        <v>646.41216159509713</v>
      </c>
      <c r="L31" s="123" t="s">
        <v>288</v>
      </c>
      <c r="M31">
        <f>P9-2.3</f>
        <v>287.738</v>
      </c>
    </row>
    <row r="32" spans="2:19" x14ac:dyDescent="0.25">
      <c r="B32" s="129">
        <v>29</v>
      </c>
      <c r="C32" s="260" t="s">
        <v>232</v>
      </c>
      <c r="D32" s="260"/>
      <c r="E32" s="160">
        <v>315.39389999999997</v>
      </c>
      <c r="F32" s="126">
        <v>1433.3444</v>
      </c>
      <c r="G32" s="128" t="s">
        <v>234</v>
      </c>
      <c r="I32">
        <f>I5+I6</f>
        <v>9.1969087000000005E-2</v>
      </c>
      <c r="J32">
        <f t="shared" si="2"/>
        <v>59.449936327597548</v>
      </c>
    </row>
    <row r="33" spans="2:16" x14ac:dyDescent="0.25">
      <c r="B33" s="129">
        <v>30</v>
      </c>
      <c r="C33" s="260" t="s">
        <v>280</v>
      </c>
      <c r="D33" s="260"/>
      <c r="E33" s="160">
        <v>313.09389999999996</v>
      </c>
      <c r="F33" s="126">
        <v>1419.5634</v>
      </c>
      <c r="G33" s="128" t="s">
        <v>234</v>
      </c>
      <c r="I33">
        <v>1</v>
      </c>
      <c r="J33">
        <f t="shared" si="2"/>
        <v>646.41216159509713</v>
      </c>
      <c r="L33" s="123" t="s">
        <v>287</v>
      </c>
      <c r="M33">
        <f>P6-2.3</f>
        <v>313.09389999999996</v>
      </c>
    </row>
    <row r="34" spans="2:16" x14ac:dyDescent="0.25">
      <c r="B34" s="129">
        <v>31</v>
      </c>
      <c r="C34" s="260" t="s">
        <v>233</v>
      </c>
      <c r="D34" s="260"/>
      <c r="E34" s="160">
        <v>319.23</v>
      </c>
      <c r="F34" s="126">
        <v>1456.74</v>
      </c>
      <c r="G34" s="128" t="s">
        <v>234</v>
      </c>
      <c r="I34">
        <f>I32-I6</f>
        <v>1.3203114000000002E-2</v>
      </c>
      <c r="J34">
        <f t="shared" si="2"/>
        <v>8.5346534605264903</v>
      </c>
    </row>
    <row r="35" spans="2:16" x14ac:dyDescent="0.25">
      <c r="B35" s="129">
        <v>32</v>
      </c>
      <c r="C35" s="260" t="s">
        <v>281</v>
      </c>
      <c r="D35" s="260"/>
      <c r="E35" s="160">
        <v>316.93</v>
      </c>
      <c r="F35" s="126">
        <v>1442.673</v>
      </c>
      <c r="G35" s="128" t="s">
        <v>234</v>
      </c>
      <c r="I35">
        <v>1</v>
      </c>
      <c r="J35">
        <f t="shared" si="2"/>
        <v>646.41216159509713</v>
      </c>
      <c r="L35" s="123" t="s">
        <v>286</v>
      </c>
      <c r="M35">
        <f>P5-2.3</f>
        <v>316.93</v>
      </c>
    </row>
    <row r="37" spans="2:16" hidden="1" x14ac:dyDescent="0.25"/>
    <row r="38" spans="2:16" hidden="1" x14ac:dyDescent="0.25">
      <c r="C38" t="s">
        <v>264</v>
      </c>
      <c r="E38" s="259" t="s">
        <v>265</v>
      </c>
      <c r="F38" s="259"/>
      <c r="G38" s="259"/>
      <c r="H38" s="259"/>
      <c r="I38" s="259"/>
      <c r="J38" s="259"/>
      <c r="K38" s="259"/>
      <c r="L38" s="259"/>
    </row>
    <row r="39" spans="2:16" hidden="1" x14ac:dyDescent="0.25">
      <c r="C39" s="122" t="s">
        <v>149</v>
      </c>
      <c r="D39" s="122"/>
      <c r="E39" s="259" t="s">
        <v>289</v>
      </c>
      <c r="F39" s="259"/>
      <c r="G39" s="259"/>
      <c r="H39" s="259"/>
      <c r="I39" s="259"/>
      <c r="J39" s="259"/>
      <c r="K39" s="259"/>
      <c r="L39" s="259"/>
      <c r="M39" s="123" t="s">
        <v>254</v>
      </c>
      <c r="N39">
        <f>E48+E49</f>
        <v>9.196908695159671E-2</v>
      </c>
    </row>
    <row r="40" spans="2:16" hidden="1" x14ac:dyDescent="0.25">
      <c r="C40" s="122" t="s">
        <v>52</v>
      </c>
      <c r="D40" s="122"/>
      <c r="E40" s="259" t="s">
        <v>290</v>
      </c>
      <c r="F40" s="259"/>
      <c r="G40" s="259"/>
      <c r="H40" s="259"/>
      <c r="I40" s="259"/>
      <c r="J40" s="259"/>
      <c r="K40" s="259"/>
      <c r="L40" s="259"/>
      <c r="M40" s="123" t="s">
        <v>255</v>
      </c>
      <c r="N40">
        <f>E48+E49+E50</f>
        <v>0.12417606213698812</v>
      </c>
    </row>
    <row r="41" spans="2:16" hidden="1" x14ac:dyDescent="0.25">
      <c r="C41" s="122" t="s">
        <v>252</v>
      </c>
      <c r="D41" s="122"/>
      <c r="E41" s="259" t="s">
        <v>291</v>
      </c>
      <c r="F41" s="259"/>
      <c r="G41" s="259"/>
      <c r="H41" s="259"/>
      <c r="I41" s="259"/>
      <c r="J41" s="259"/>
      <c r="K41" s="259"/>
      <c r="L41" s="259"/>
      <c r="M41" s="260" t="s">
        <v>256</v>
      </c>
      <c r="N41" s="260"/>
      <c r="O41" s="259">
        <f>1-E48-E49-E50-E51</f>
        <v>0.84268933821297876</v>
      </c>
      <c r="P41" s="259"/>
    </row>
    <row r="42" spans="2:16" hidden="1" x14ac:dyDescent="0.25">
      <c r="C42" s="122" t="s">
        <v>253</v>
      </c>
      <c r="D42" s="122"/>
      <c r="E42" s="259" t="s">
        <v>295</v>
      </c>
      <c r="F42" s="259"/>
      <c r="G42" s="259"/>
      <c r="H42" s="259"/>
      <c r="I42" s="259"/>
      <c r="J42" s="259"/>
      <c r="K42" s="259"/>
      <c r="L42" s="259"/>
      <c r="M42" s="260" t="s">
        <v>257</v>
      </c>
      <c r="N42" s="260"/>
      <c r="O42" s="259">
        <f>E48+E49+E50+E51+E52</f>
        <v>0.15987896039890731</v>
      </c>
      <c r="P42" s="259"/>
    </row>
    <row r="43" spans="2:16" hidden="1" x14ac:dyDescent="0.25">
      <c r="C43" s="122" t="s">
        <v>58</v>
      </c>
      <c r="D43" s="122"/>
      <c r="E43" s="259" t="s">
        <v>296</v>
      </c>
      <c r="F43" s="259"/>
      <c r="G43" s="259"/>
      <c r="H43" s="259"/>
      <c r="I43" s="259"/>
      <c r="J43" s="259"/>
      <c r="K43" s="259"/>
      <c r="L43" s="259"/>
      <c r="M43" s="260" t="s">
        <v>258</v>
      </c>
      <c r="N43" s="260"/>
      <c r="O43" s="259">
        <f>E48+E49+E50+E51+E52+E53</f>
        <v>0.19370415021599341</v>
      </c>
      <c r="P43" s="259"/>
    </row>
    <row r="44" spans="2:16" hidden="1" x14ac:dyDescent="0.25">
      <c r="C44" s="122" t="s">
        <v>67</v>
      </c>
      <c r="D44" s="122"/>
      <c r="E44" s="259" t="s">
        <v>297</v>
      </c>
      <c r="F44" s="259"/>
      <c r="G44" s="259"/>
      <c r="H44" s="259"/>
      <c r="I44" s="259"/>
      <c r="J44" s="259"/>
      <c r="K44" s="259"/>
      <c r="L44" s="259"/>
      <c r="M44" s="260" t="s">
        <v>292</v>
      </c>
      <c r="N44" s="260"/>
      <c r="O44" s="259">
        <f>E52+E53</f>
        <v>3.6393488428972068E-2</v>
      </c>
      <c r="P44" s="259"/>
    </row>
    <row r="45" spans="2:16" hidden="1" x14ac:dyDescent="0.25">
      <c r="C45" s="122" t="s">
        <v>73</v>
      </c>
      <c r="D45" s="122"/>
      <c r="E45" s="259" t="s">
        <v>298</v>
      </c>
      <c r="F45" s="259"/>
      <c r="G45" s="259"/>
      <c r="H45" s="259"/>
      <c r="I45" s="259"/>
      <c r="J45" s="259"/>
      <c r="K45" s="259"/>
      <c r="L45" s="259"/>
      <c r="M45" s="260" t="s">
        <v>293</v>
      </c>
      <c r="N45" s="260"/>
      <c r="O45" s="259">
        <f>E48+E49+E50+E51+E52+E53+E54</f>
        <v>0.19465081480973273</v>
      </c>
      <c r="P45" s="259"/>
    </row>
    <row r="46" spans="2:16" hidden="1" x14ac:dyDescent="0.25">
      <c r="C46" s="122" t="s">
        <v>84</v>
      </c>
      <c r="D46" s="122"/>
      <c r="E46" s="259" t="s">
        <v>299</v>
      </c>
      <c r="F46" s="259"/>
      <c r="G46" s="259"/>
      <c r="H46" s="259"/>
      <c r="I46" s="259"/>
      <c r="J46" s="259"/>
      <c r="K46" s="259"/>
      <c r="L46" s="259"/>
      <c r="M46" s="260" t="s">
        <v>294</v>
      </c>
      <c r="N46" s="260"/>
      <c r="O46" s="259">
        <f>E52+E53+E54</f>
        <v>3.7340153022711389E-2</v>
      </c>
      <c r="P46" s="259"/>
    </row>
    <row r="48" spans="2:16" x14ac:dyDescent="0.25">
      <c r="C48" s="122" t="s">
        <v>149</v>
      </c>
      <c r="D48" s="122"/>
      <c r="E48" s="259">
        <f>(F35-F33)/(F5-F34)</f>
        <v>1.320311391444676E-2</v>
      </c>
      <c r="F48" s="259"/>
    </row>
    <row r="49" spans="3:11" x14ac:dyDescent="0.25">
      <c r="C49" s="122" t="s">
        <v>52</v>
      </c>
      <c r="D49" s="122"/>
      <c r="E49" s="259">
        <f>((F33-F31)+(E48*(F32-F34)))/(R6-F32)</f>
        <v>7.8765973037149953E-2</v>
      </c>
      <c r="F49" s="259"/>
    </row>
    <row r="50" spans="3:11" x14ac:dyDescent="0.25">
      <c r="C50" s="122" t="s">
        <v>252</v>
      </c>
      <c r="D50" s="122"/>
      <c r="E50" s="259">
        <f>((F31-F29)+(N39*(F30-F32)))/(R9-F30)</f>
        <v>3.2206975185391409E-2</v>
      </c>
      <c r="F50" s="259"/>
    </row>
    <row r="51" spans="3:11" x14ac:dyDescent="0.25">
      <c r="C51" s="122" t="s">
        <v>253</v>
      </c>
      <c r="D51" s="122"/>
      <c r="E51" s="259">
        <f>(((N40*(F27-F28))+(N40*(F28-F30))+(F28-F27))/(R10-F27))</f>
        <v>3.3134599650033236E-2</v>
      </c>
      <c r="F51" s="259"/>
    </row>
    <row r="52" spans="3:11" x14ac:dyDescent="0.25">
      <c r="C52" s="122" t="s">
        <v>58</v>
      </c>
      <c r="D52" s="122"/>
      <c r="E52" s="259">
        <f>((O41*(F27-F25))/(R11-F26))</f>
        <v>2.5682986118859522E-3</v>
      </c>
      <c r="F52" s="259"/>
    </row>
    <row r="53" spans="3:11" x14ac:dyDescent="0.25">
      <c r="C53" s="122" t="s">
        <v>67</v>
      </c>
      <c r="D53" s="122"/>
      <c r="E53" s="259">
        <f>(((E52*(F24-F26))+(F25-F23)+(O42*(F23-F25)))/(R12+F25-F24-F23))</f>
        <v>3.3825189817086113E-2</v>
      </c>
      <c r="F53" s="259"/>
    </row>
    <row r="54" spans="3:11" x14ac:dyDescent="0.25">
      <c r="C54" s="122" t="s">
        <v>73</v>
      </c>
      <c r="D54" s="122"/>
      <c r="E54" s="259">
        <f>(((O44*(F22-F24))+(F23-F21)+(O43*(F21-F23)))/(R13+F23-F22-F21))</f>
        <v>9.466645937393197E-4</v>
      </c>
      <c r="F54" s="259"/>
    </row>
    <row r="55" spans="3:11" x14ac:dyDescent="0.25">
      <c r="C55" s="122" t="s">
        <v>84</v>
      </c>
      <c r="D55" s="122"/>
      <c r="E55" s="259">
        <f>(((O46*(F18-F22))+(F20-F17)+(O45*(F17-F20)))/(R14+F20-F18-F17))</f>
        <v>0.22280747835512649</v>
      </c>
      <c r="F55" s="259"/>
    </row>
    <row r="57" spans="3:11" x14ac:dyDescent="0.25">
      <c r="C57" s="257" t="s">
        <v>300</v>
      </c>
      <c r="D57" s="257"/>
      <c r="E57" s="257"/>
      <c r="G57" s="122" t="s">
        <v>262</v>
      </c>
      <c r="H57" s="258">
        <f>(E60-E61)/(E60)</f>
        <v>0.35082421567664585</v>
      </c>
      <c r="I57" s="258"/>
      <c r="J57" s="258"/>
      <c r="K57" s="258"/>
    </row>
    <row r="58" spans="3:11" x14ac:dyDescent="0.25">
      <c r="C58" s="131" t="s">
        <v>259</v>
      </c>
      <c r="D58" s="131"/>
      <c r="E58">
        <f>F4-F35</f>
        <v>1920.827</v>
      </c>
    </row>
    <row r="59" spans="3:11" x14ac:dyDescent="0.25">
      <c r="C59" s="131" t="s">
        <v>260</v>
      </c>
      <c r="D59" s="131"/>
      <c r="E59">
        <f>(1-E48-E49)*(F8-F7)</f>
        <v>283.98174471227742</v>
      </c>
    </row>
    <row r="60" spans="3:11" x14ac:dyDescent="0.25">
      <c r="C60" s="130" t="s">
        <v>266</v>
      </c>
      <c r="D60" s="143"/>
      <c r="E60">
        <f>E58+E59</f>
        <v>2204.8087447122775</v>
      </c>
    </row>
    <row r="61" spans="3:11" x14ac:dyDescent="0.25">
      <c r="C61" s="130" t="s">
        <v>261</v>
      </c>
      <c r="D61" s="143"/>
      <c r="E61">
        <f>(1-E48-E49-E50-E51-E52-E53-E54-E55)*(R15-F16)</f>
        <v>1431.3084461315827</v>
      </c>
    </row>
    <row r="62" spans="3:11" x14ac:dyDescent="0.25">
      <c r="C62" s="133" t="s">
        <v>306</v>
      </c>
      <c r="D62" s="143"/>
      <c r="E62">
        <f>E60-E61</f>
        <v>773.50029858069479</v>
      </c>
    </row>
  </sheetData>
  <mergeCells count="50">
    <mergeCell ref="C22:D22"/>
    <mergeCell ref="C17:D17"/>
    <mergeCell ref="C19:D19"/>
    <mergeCell ref="C18:D18"/>
    <mergeCell ref="C20:D20"/>
    <mergeCell ref="C21:D21"/>
    <mergeCell ref="E38:L38"/>
    <mergeCell ref="C23:D23"/>
    <mergeCell ref="C24:D24"/>
    <mergeCell ref="C25:D25"/>
    <mergeCell ref="C26:D26"/>
    <mergeCell ref="C32:D32"/>
    <mergeCell ref="C33:D33"/>
    <mergeCell ref="C34:D34"/>
    <mergeCell ref="C35:D35"/>
    <mergeCell ref="C27:D27"/>
    <mergeCell ref="C28:D28"/>
    <mergeCell ref="C29:D29"/>
    <mergeCell ref="C30:D30"/>
    <mergeCell ref="C31:D31"/>
    <mergeCell ref="E48:F48"/>
    <mergeCell ref="E49:F49"/>
    <mergeCell ref="E50:F50"/>
    <mergeCell ref="E39:L39"/>
    <mergeCell ref="E40:L40"/>
    <mergeCell ref="E41:L41"/>
    <mergeCell ref="E42:L42"/>
    <mergeCell ref="E43:L43"/>
    <mergeCell ref="O45:P45"/>
    <mergeCell ref="M46:N46"/>
    <mergeCell ref="E44:L44"/>
    <mergeCell ref="E45:L45"/>
    <mergeCell ref="E46:L46"/>
    <mergeCell ref="O46:P46"/>
    <mergeCell ref="C57:E57"/>
    <mergeCell ref="H57:K57"/>
    <mergeCell ref="O41:P41"/>
    <mergeCell ref="M42:N42"/>
    <mergeCell ref="O42:P42"/>
    <mergeCell ref="M43:N43"/>
    <mergeCell ref="O43:P43"/>
    <mergeCell ref="M44:N44"/>
    <mergeCell ref="O44:P44"/>
    <mergeCell ref="E51:F51"/>
    <mergeCell ref="E52:F52"/>
    <mergeCell ref="E53:F53"/>
    <mergeCell ref="E54:F54"/>
    <mergeCell ref="E55:F55"/>
    <mergeCell ref="M41:N41"/>
    <mergeCell ref="M45:N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82" zoomScale="70" zoomScaleNormal="70" workbookViewId="0">
      <selection activeCell="F90" sqref="F90"/>
    </sheetView>
  </sheetViews>
  <sheetFormatPr defaultRowHeight="15" x14ac:dyDescent="0.25"/>
  <cols>
    <col min="1" max="1" width="13.5703125" style="161" customWidth="1"/>
    <col min="2" max="2" width="48.5703125" style="164" customWidth="1"/>
    <col min="3" max="3" width="13.85546875" style="161" customWidth="1"/>
    <col min="4" max="16384" width="9.140625" style="161"/>
  </cols>
  <sheetData>
    <row r="1" spans="1:3" ht="17.25" customHeight="1" x14ac:dyDescent="0.25">
      <c r="A1" s="262" t="s">
        <v>309</v>
      </c>
      <c r="B1" s="262"/>
      <c r="C1" s="262"/>
    </row>
    <row r="2" spans="1:3" ht="12" customHeight="1" x14ac:dyDescent="0.25">
      <c r="A2" s="162"/>
      <c r="B2" s="163"/>
      <c r="C2" s="162"/>
    </row>
    <row r="3" spans="1:3" ht="17.25" customHeight="1" x14ac:dyDescent="0.25">
      <c r="A3" s="162" t="s">
        <v>310</v>
      </c>
      <c r="B3" s="163" t="s">
        <v>311</v>
      </c>
      <c r="C3" s="162" t="s">
        <v>312</v>
      </c>
    </row>
    <row r="4" spans="1:3" ht="12.75" customHeight="1" x14ac:dyDescent="0.25"/>
    <row r="5" spans="1:3" ht="23.1" customHeight="1" x14ac:dyDescent="0.25">
      <c r="A5" s="161">
        <v>1</v>
      </c>
      <c r="B5" s="166" t="s">
        <v>313</v>
      </c>
    </row>
    <row r="6" spans="1:3" ht="23.1" customHeight="1" x14ac:dyDescent="0.25">
      <c r="A6" s="161">
        <v>2</v>
      </c>
      <c r="B6" s="167" t="s">
        <v>314</v>
      </c>
    </row>
    <row r="7" spans="1:3" ht="19.5" customHeight="1" x14ac:dyDescent="0.25">
      <c r="A7" s="164">
        <v>3</v>
      </c>
      <c r="B7" s="166" t="s">
        <v>348</v>
      </c>
    </row>
    <row r="8" spans="1:3" ht="17.25" customHeight="1" x14ac:dyDescent="0.25">
      <c r="A8" s="164"/>
      <c r="B8" s="166" t="s">
        <v>349</v>
      </c>
    </row>
    <row r="9" spans="1:3" ht="19.5" customHeight="1" x14ac:dyDescent="0.25">
      <c r="A9" s="164">
        <v>4</v>
      </c>
      <c r="B9" s="166" t="s">
        <v>370</v>
      </c>
    </row>
    <row r="10" spans="1:3" ht="19.5" customHeight="1" x14ac:dyDescent="0.25">
      <c r="A10" s="164">
        <v>5</v>
      </c>
      <c r="B10" s="166" t="s">
        <v>372</v>
      </c>
    </row>
    <row r="11" spans="1:3" ht="19.5" customHeight="1" x14ac:dyDescent="0.25">
      <c r="A11" s="164"/>
      <c r="B11" s="166" t="s">
        <v>373</v>
      </c>
    </row>
    <row r="12" spans="1:3" ht="19.5" customHeight="1" x14ac:dyDescent="0.25">
      <c r="A12" s="164">
        <v>6</v>
      </c>
      <c r="B12" s="166" t="s">
        <v>372</v>
      </c>
    </row>
    <row r="13" spans="1:3" ht="19.5" customHeight="1" x14ac:dyDescent="0.25">
      <c r="A13" s="164"/>
      <c r="B13" s="166" t="s">
        <v>374</v>
      </c>
    </row>
    <row r="14" spans="1:3" ht="19.5" customHeight="1" x14ac:dyDescent="0.25">
      <c r="A14" s="164">
        <v>7</v>
      </c>
      <c r="B14" s="166" t="s">
        <v>372</v>
      </c>
    </row>
    <row r="15" spans="1:3" ht="19.5" customHeight="1" x14ac:dyDescent="0.25">
      <c r="A15" s="164"/>
      <c r="B15" s="166" t="s">
        <v>375</v>
      </c>
    </row>
    <row r="16" spans="1:3" ht="23.1" customHeight="1" x14ac:dyDescent="0.25">
      <c r="A16" s="161">
        <v>8</v>
      </c>
      <c r="B16" s="166" t="s">
        <v>315</v>
      </c>
    </row>
    <row r="17" spans="1:2" ht="23.1" customHeight="1" x14ac:dyDescent="0.25">
      <c r="A17" s="164">
        <v>9</v>
      </c>
      <c r="B17" s="166" t="s">
        <v>316</v>
      </c>
    </row>
    <row r="18" spans="1:2" ht="23.1" customHeight="1" x14ac:dyDescent="0.25">
      <c r="A18" s="161">
        <v>10</v>
      </c>
      <c r="B18" s="166" t="s">
        <v>317</v>
      </c>
    </row>
    <row r="19" spans="1:2" ht="18" customHeight="1" x14ac:dyDescent="0.25">
      <c r="A19" s="164">
        <v>11</v>
      </c>
      <c r="B19" s="166" t="s">
        <v>354</v>
      </c>
    </row>
    <row r="20" spans="1:2" ht="18" customHeight="1" x14ac:dyDescent="0.25">
      <c r="B20" s="166" t="s">
        <v>355</v>
      </c>
    </row>
    <row r="21" spans="1:2" ht="23.1" customHeight="1" x14ac:dyDescent="0.25">
      <c r="A21" s="161">
        <v>12</v>
      </c>
      <c r="B21" s="166" t="s">
        <v>318</v>
      </c>
    </row>
    <row r="22" spans="1:2" ht="23.1" customHeight="1" x14ac:dyDescent="0.25">
      <c r="A22" s="161">
        <v>13</v>
      </c>
      <c r="B22" s="166" t="s">
        <v>319</v>
      </c>
    </row>
    <row r="23" spans="1:2" ht="23.1" customHeight="1" x14ac:dyDescent="0.25">
      <c r="A23" s="161">
        <v>14</v>
      </c>
      <c r="B23" s="166" t="s">
        <v>320</v>
      </c>
    </row>
    <row r="24" spans="1:2" ht="23.1" customHeight="1" x14ac:dyDescent="0.25">
      <c r="A24" s="161">
        <v>15</v>
      </c>
      <c r="B24" s="166" t="s">
        <v>321</v>
      </c>
    </row>
    <row r="25" spans="1:2" ht="18" customHeight="1" x14ac:dyDescent="0.25">
      <c r="A25" s="161">
        <v>16</v>
      </c>
      <c r="B25" s="166" t="s">
        <v>352</v>
      </c>
    </row>
    <row r="26" spans="1:2" ht="18" customHeight="1" x14ac:dyDescent="0.25">
      <c r="B26" s="166" t="s">
        <v>353</v>
      </c>
    </row>
    <row r="27" spans="1:2" ht="23.1" customHeight="1" x14ac:dyDescent="0.25">
      <c r="A27" s="161">
        <v>17</v>
      </c>
      <c r="B27" s="166" t="s">
        <v>322</v>
      </c>
    </row>
    <row r="28" spans="1:2" ht="23.1" customHeight="1" x14ac:dyDescent="0.25">
      <c r="A28" s="161">
        <v>18</v>
      </c>
      <c r="B28" s="166" t="s">
        <v>323</v>
      </c>
    </row>
    <row r="29" spans="1:2" ht="18" customHeight="1" x14ac:dyDescent="0.25">
      <c r="A29" s="161">
        <v>19</v>
      </c>
      <c r="B29" s="166" t="s">
        <v>350</v>
      </c>
    </row>
    <row r="30" spans="1:2" ht="18" customHeight="1" x14ac:dyDescent="0.25">
      <c r="B30" s="166" t="s">
        <v>351</v>
      </c>
    </row>
    <row r="31" spans="1:2" ht="23.1" customHeight="1" x14ac:dyDescent="0.25">
      <c r="A31" s="161">
        <v>20</v>
      </c>
      <c r="B31" s="166" t="s">
        <v>324</v>
      </c>
    </row>
    <row r="32" spans="1:2" ht="23.1" customHeight="1" x14ac:dyDescent="0.25">
      <c r="A32" s="161">
        <v>21</v>
      </c>
      <c r="B32" s="166" t="s">
        <v>325</v>
      </c>
    </row>
    <row r="33" spans="1:2" ht="23.1" customHeight="1" x14ac:dyDescent="0.25">
      <c r="A33" s="161">
        <v>22</v>
      </c>
      <c r="B33" s="166" t="s">
        <v>358</v>
      </c>
    </row>
    <row r="34" spans="1:2" ht="23.1" customHeight="1" x14ac:dyDescent="0.25">
      <c r="A34" s="161">
        <v>23</v>
      </c>
      <c r="B34" s="166" t="s">
        <v>359</v>
      </c>
    </row>
    <row r="35" spans="1:2" ht="23.1" customHeight="1" x14ac:dyDescent="0.25">
      <c r="A35" s="161">
        <v>24</v>
      </c>
      <c r="B35" s="166" t="s">
        <v>360</v>
      </c>
    </row>
    <row r="36" spans="1:2" ht="23.1" customHeight="1" x14ac:dyDescent="0.25">
      <c r="A36" s="161">
        <v>25</v>
      </c>
      <c r="B36" s="166" t="s">
        <v>361</v>
      </c>
    </row>
    <row r="37" spans="1:2" ht="23.1" customHeight="1" x14ac:dyDescent="0.25">
      <c r="A37" s="161">
        <v>26</v>
      </c>
      <c r="B37" s="166" t="s">
        <v>362</v>
      </c>
    </row>
    <row r="38" spans="1:2" ht="23.1" customHeight="1" x14ac:dyDescent="0.25">
      <c r="A38" s="161">
        <v>27</v>
      </c>
      <c r="B38" s="166" t="s">
        <v>363</v>
      </c>
    </row>
    <row r="39" spans="1:2" ht="23.1" customHeight="1" x14ac:dyDescent="0.25">
      <c r="A39" s="161">
        <v>28</v>
      </c>
      <c r="B39" s="166" t="s">
        <v>364</v>
      </c>
    </row>
    <row r="40" spans="1:2" ht="22.5" customHeight="1" x14ac:dyDescent="0.25">
      <c r="A40" s="161">
        <v>29</v>
      </c>
      <c r="B40" s="166" t="s">
        <v>365</v>
      </c>
    </row>
    <row r="41" spans="1:2" ht="22.5" customHeight="1" x14ac:dyDescent="0.25">
      <c r="A41" s="161">
        <v>30</v>
      </c>
      <c r="B41" s="166" t="s">
        <v>366</v>
      </c>
    </row>
    <row r="42" spans="1:2" ht="22.5" customHeight="1" x14ac:dyDescent="0.25">
      <c r="A42" s="161">
        <v>31</v>
      </c>
      <c r="B42" s="166" t="s">
        <v>367</v>
      </c>
    </row>
    <row r="43" spans="1:2" ht="22.5" customHeight="1" x14ac:dyDescent="0.25">
      <c r="A43" s="161">
        <v>32</v>
      </c>
      <c r="B43" s="166" t="s">
        <v>368</v>
      </c>
    </row>
    <row r="44" spans="1:2" ht="22.5" customHeight="1" x14ac:dyDescent="0.25">
      <c r="A44" s="161">
        <v>33</v>
      </c>
      <c r="B44" s="166" t="s">
        <v>369</v>
      </c>
    </row>
    <row r="46" spans="1:2" x14ac:dyDescent="0.25">
      <c r="B46" s="161"/>
    </row>
    <row r="47" spans="1:2" ht="10.5" customHeight="1" x14ac:dyDescent="0.25">
      <c r="B47" s="161"/>
    </row>
    <row r="48" spans="1:2" x14ac:dyDescent="0.25">
      <c r="B48" s="161"/>
    </row>
    <row r="49" spans="2:2" ht="6.75" customHeight="1" x14ac:dyDescent="0.25">
      <c r="B49" s="161"/>
    </row>
    <row r="50" spans="2:2" ht="23.1" customHeight="1" x14ac:dyDescent="0.25">
      <c r="B50" s="161"/>
    </row>
    <row r="51" spans="2:2" ht="23.1" customHeight="1" x14ac:dyDescent="0.25">
      <c r="B51" s="161"/>
    </row>
    <row r="52" spans="2:2" ht="23.1" customHeight="1" x14ac:dyDescent="0.25">
      <c r="B52" s="161"/>
    </row>
    <row r="53" spans="2:2" ht="23.1" customHeight="1" x14ac:dyDescent="0.25">
      <c r="B53" s="161"/>
    </row>
    <row r="54" spans="2:2" ht="23.1" customHeight="1" x14ac:dyDescent="0.25">
      <c r="B54" s="161"/>
    </row>
    <row r="55" spans="2:2" ht="23.1" customHeight="1" x14ac:dyDescent="0.25">
      <c r="B55" s="161"/>
    </row>
    <row r="56" spans="2:2" ht="23.1" customHeight="1" x14ac:dyDescent="0.25">
      <c r="B56" s="161"/>
    </row>
    <row r="57" spans="2:2" ht="23.1" customHeight="1" x14ac:dyDescent="0.25">
      <c r="B57" s="161"/>
    </row>
    <row r="58" spans="2:2" ht="23.1" customHeight="1" x14ac:dyDescent="0.25">
      <c r="B58" s="161"/>
    </row>
    <row r="59" spans="2:2" ht="23.1" customHeight="1" x14ac:dyDescent="0.25">
      <c r="B59" s="161"/>
    </row>
    <row r="60" spans="2:2" ht="23.1" customHeight="1" x14ac:dyDescent="0.25">
      <c r="B60" s="161"/>
    </row>
    <row r="61" spans="2:2" ht="23.1" customHeight="1" x14ac:dyDescent="0.25">
      <c r="B61" s="161"/>
    </row>
    <row r="62" spans="2:2" ht="23.1" customHeight="1" x14ac:dyDescent="0.25">
      <c r="B62" s="161"/>
    </row>
    <row r="63" spans="2:2" ht="23.1" customHeight="1" x14ac:dyDescent="0.25">
      <c r="B63" s="161"/>
    </row>
    <row r="64" spans="2:2" ht="23.1" customHeight="1" x14ac:dyDescent="0.25">
      <c r="B64" s="161"/>
    </row>
    <row r="65" spans="1:3" ht="18" customHeight="1" x14ac:dyDescent="0.25">
      <c r="A65" s="262" t="s">
        <v>326</v>
      </c>
      <c r="B65" s="262"/>
      <c r="C65" s="262"/>
    </row>
    <row r="66" spans="1:3" ht="18" customHeight="1" x14ac:dyDescent="0.25">
      <c r="A66" s="162"/>
      <c r="B66" s="163"/>
      <c r="C66" s="162"/>
    </row>
    <row r="67" spans="1:3" ht="15.75" x14ac:dyDescent="0.25">
      <c r="A67" s="162" t="s">
        <v>327</v>
      </c>
      <c r="B67" s="163" t="s">
        <v>311</v>
      </c>
      <c r="C67" s="162" t="s">
        <v>312</v>
      </c>
    </row>
    <row r="68" spans="1:3" x14ac:dyDescent="0.25">
      <c r="B68" s="166"/>
    </row>
    <row r="69" spans="1:3" ht="22.5" customHeight="1" x14ac:dyDescent="0.25">
      <c r="A69" s="161">
        <v>1</v>
      </c>
      <c r="B69" s="166" t="s">
        <v>328</v>
      </c>
    </row>
    <row r="70" spans="1:3" ht="22.5" customHeight="1" x14ac:dyDescent="0.25">
      <c r="A70" s="161">
        <v>2</v>
      </c>
      <c r="B70" s="166" t="s">
        <v>329</v>
      </c>
    </row>
    <row r="71" spans="1:3" ht="22.5" customHeight="1" x14ac:dyDescent="0.25">
      <c r="A71" s="161">
        <v>3</v>
      </c>
      <c r="B71" s="166" t="s">
        <v>330</v>
      </c>
    </row>
    <row r="72" spans="1:3" ht="22.5" customHeight="1" x14ac:dyDescent="0.25">
      <c r="A72" s="161">
        <v>4</v>
      </c>
      <c r="B72" s="166" t="s">
        <v>331</v>
      </c>
    </row>
    <row r="73" spans="1:3" ht="22.5" customHeight="1" x14ac:dyDescent="0.25">
      <c r="A73" s="161">
        <v>5</v>
      </c>
      <c r="B73" s="166" t="s">
        <v>332</v>
      </c>
    </row>
    <row r="74" spans="1:3" ht="22.5" customHeight="1" x14ac:dyDescent="0.25">
      <c r="A74" s="161">
        <v>6</v>
      </c>
      <c r="B74" s="166" t="s">
        <v>333</v>
      </c>
    </row>
    <row r="75" spans="1:3" ht="22.5" customHeight="1" x14ac:dyDescent="0.25">
      <c r="A75" s="161">
        <v>7</v>
      </c>
      <c r="B75" s="166" t="s">
        <v>334</v>
      </c>
    </row>
    <row r="76" spans="1:3" ht="22.5" customHeight="1" x14ac:dyDescent="0.25">
      <c r="A76" s="161">
        <v>8</v>
      </c>
      <c r="B76" s="166" t="s">
        <v>335</v>
      </c>
    </row>
    <row r="77" spans="1:3" ht="22.5" customHeight="1" x14ac:dyDescent="0.25">
      <c r="A77" s="161">
        <v>9</v>
      </c>
      <c r="B77" s="166" t="s">
        <v>336</v>
      </c>
    </row>
    <row r="78" spans="1:3" ht="22.5" customHeight="1" x14ac:dyDescent="0.25">
      <c r="A78" s="161">
        <v>10</v>
      </c>
      <c r="B78" s="166" t="s">
        <v>337</v>
      </c>
    </row>
    <row r="79" spans="1:3" ht="22.5" customHeight="1" x14ac:dyDescent="0.25">
      <c r="A79" s="161">
        <v>11</v>
      </c>
      <c r="B79" s="166" t="s">
        <v>338</v>
      </c>
    </row>
    <row r="80" spans="1:3" ht="22.5" customHeight="1" x14ac:dyDescent="0.25">
      <c r="A80" s="161">
        <v>12</v>
      </c>
      <c r="B80" s="166" t="s">
        <v>339</v>
      </c>
    </row>
    <row r="81" spans="1:2" ht="22.5" customHeight="1" x14ac:dyDescent="0.25">
      <c r="A81" s="161">
        <v>13</v>
      </c>
      <c r="B81" s="166" t="s">
        <v>340</v>
      </c>
    </row>
    <row r="82" spans="1:2" ht="22.5" customHeight="1" x14ac:dyDescent="0.25">
      <c r="A82" s="161">
        <v>14</v>
      </c>
      <c r="B82" s="166" t="s">
        <v>341</v>
      </c>
    </row>
    <row r="83" spans="1:2" ht="22.5" customHeight="1" x14ac:dyDescent="0.25">
      <c r="A83" s="161">
        <v>15</v>
      </c>
      <c r="B83" s="166" t="s">
        <v>342</v>
      </c>
    </row>
    <row r="84" spans="1:2" ht="22.5" customHeight="1" x14ac:dyDescent="0.25">
      <c r="A84" s="161">
        <v>16</v>
      </c>
      <c r="B84" s="166" t="s">
        <v>343</v>
      </c>
    </row>
    <row r="85" spans="1:2" ht="22.5" customHeight="1" x14ac:dyDescent="0.25">
      <c r="A85" s="161">
        <v>17</v>
      </c>
      <c r="B85" s="166" t="s">
        <v>344</v>
      </c>
    </row>
    <row r="86" spans="1:2" ht="22.5" customHeight="1" x14ac:dyDescent="0.25">
      <c r="A86" s="161">
        <v>18</v>
      </c>
      <c r="B86" s="166" t="s">
        <v>345</v>
      </c>
    </row>
    <row r="87" spans="1:2" ht="22.5" customHeight="1" x14ac:dyDescent="0.25">
      <c r="A87" s="161">
        <v>19</v>
      </c>
      <c r="B87" s="166" t="s">
        <v>346</v>
      </c>
    </row>
    <row r="88" spans="1:2" ht="22.5" customHeight="1" x14ac:dyDescent="0.25">
      <c r="A88" s="161">
        <v>20</v>
      </c>
      <c r="B88" s="166" t="s">
        <v>347</v>
      </c>
    </row>
    <row r="89" spans="1:2" ht="22.5" customHeight="1" x14ac:dyDescent="0.25">
      <c r="A89" s="161">
        <v>21</v>
      </c>
      <c r="B89" s="166" t="s">
        <v>356</v>
      </c>
    </row>
    <row r="90" spans="1:2" ht="22.5" customHeight="1" x14ac:dyDescent="0.25">
      <c r="B90" s="166" t="s">
        <v>357</v>
      </c>
    </row>
    <row r="91" spans="1:2" ht="19.5" customHeight="1" x14ac:dyDescent="0.25">
      <c r="A91" s="161">
        <v>22</v>
      </c>
      <c r="B91" s="166" t="s">
        <v>371</v>
      </c>
    </row>
    <row r="92" spans="1:2" ht="19.5" customHeight="1" x14ac:dyDescent="0.25">
      <c r="A92" s="161">
        <v>23</v>
      </c>
      <c r="B92" s="166" t="s">
        <v>376</v>
      </c>
    </row>
    <row r="93" spans="1:2" ht="19.5" customHeight="1" x14ac:dyDescent="0.25">
      <c r="B93" s="166" t="s">
        <v>377</v>
      </c>
    </row>
    <row r="94" spans="1:2" ht="19.5" customHeight="1" x14ac:dyDescent="0.25">
      <c r="A94" s="161">
        <v>24</v>
      </c>
      <c r="B94" s="166" t="s">
        <v>378</v>
      </c>
    </row>
    <row r="95" spans="1:2" ht="19.5" customHeight="1" x14ac:dyDescent="0.25">
      <c r="A95" s="161">
        <v>25</v>
      </c>
      <c r="B95" s="166" t="s">
        <v>379</v>
      </c>
    </row>
    <row r="96" spans="1:2" ht="19.5" customHeight="1" x14ac:dyDescent="0.25">
      <c r="A96" s="161">
        <v>26</v>
      </c>
      <c r="B96" s="166" t="s">
        <v>380</v>
      </c>
    </row>
    <row r="97" spans="1:2" ht="19.5" customHeight="1" x14ac:dyDescent="0.25">
      <c r="A97" s="161">
        <v>27</v>
      </c>
      <c r="B97" s="166" t="s">
        <v>381</v>
      </c>
    </row>
    <row r="98" spans="1:2" ht="19.5" customHeight="1" x14ac:dyDescent="0.25">
      <c r="A98" s="161">
        <v>28</v>
      </c>
      <c r="B98" s="166" t="s">
        <v>382</v>
      </c>
    </row>
    <row r="99" spans="1:2" ht="19.5" customHeight="1" x14ac:dyDescent="0.25">
      <c r="A99" s="161">
        <v>29</v>
      </c>
      <c r="B99" s="166" t="s">
        <v>383</v>
      </c>
    </row>
    <row r="100" spans="1:2" ht="19.5" customHeight="1" x14ac:dyDescent="0.25">
      <c r="A100" s="161">
        <v>30</v>
      </c>
      <c r="B100" s="166" t="s">
        <v>384</v>
      </c>
    </row>
    <row r="101" spans="1:2" ht="19.5" customHeight="1" x14ac:dyDescent="0.25">
      <c r="A101" s="161">
        <v>31</v>
      </c>
      <c r="B101" s="166" t="s">
        <v>385</v>
      </c>
    </row>
    <row r="102" spans="1:2" ht="19.5" customHeight="1" x14ac:dyDescent="0.25">
      <c r="A102" s="161">
        <v>32</v>
      </c>
      <c r="B102" s="166" t="s">
        <v>386</v>
      </c>
    </row>
  </sheetData>
  <mergeCells count="2">
    <mergeCell ref="A1:C1"/>
    <mergeCell ref="A65:C65"/>
  </mergeCells>
  <pageMargins left="1.5" right="1" top="1" bottom="1" header="0" footer="0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1</vt:lpstr>
      <vt:lpstr>DESIGN 2</vt:lpstr>
      <vt:lpstr>DESIGN 3</vt:lpstr>
      <vt:lpstr>List of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2020-05-24T09:45:29Z</cp:lastPrinted>
  <dcterms:created xsi:type="dcterms:W3CDTF">2020-03-28T13:01:45Z</dcterms:created>
  <dcterms:modified xsi:type="dcterms:W3CDTF">2020-05-24T09:45:35Z</dcterms:modified>
</cp:coreProperties>
</file>