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90" yWindow="75" windowWidth="10815" windowHeight="8040" tabRatio="704" firstSheet="1" activeTab="9"/>
  </bookViews>
  <sheets>
    <sheet name="RELATIVE COST O&amp;M" sheetId="2" r:id="rId1"/>
    <sheet name="CASE 1" sheetId="5" r:id="rId2"/>
    <sheet name="CASE 1 Graph" sheetId="13" r:id="rId3"/>
    <sheet name="CASE 2" sheetId="6" r:id="rId4"/>
    <sheet name="CASE 2 Graph" sheetId="14" r:id="rId5"/>
    <sheet name="CASE 3 US" sheetId="9" r:id="rId6"/>
    <sheet name="CASE 3 CHI" sheetId="10" r:id="rId7"/>
    <sheet name="CASE 3 EU" sheetId="1" r:id="rId8"/>
    <sheet name="CASE 3 Graph" sheetId="15" r:id="rId9"/>
    <sheet name="SELECTION" sheetId="11" r:id="rId10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Y100" i="15"/>
  <c r="C127" i="15" s="1"/>
  <c r="U100" i="15"/>
  <c r="C123" i="15" s="1"/>
  <c r="Q100" i="15"/>
  <c r="C119" i="15" s="1"/>
  <c r="I100" i="15"/>
  <c r="C111" i="15" s="1"/>
  <c r="E100" i="15"/>
  <c r="C107" i="15" s="1"/>
  <c r="Z99" i="15"/>
  <c r="Z100" i="15" s="1"/>
  <c r="C128" i="15" s="1"/>
  <c r="Y99" i="15"/>
  <c r="X99" i="15"/>
  <c r="X100" i="15" s="1"/>
  <c r="C126" i="15" s="1"/>
  <c r="W99" i="15"/>
  <c r="W100" i="15" s="1"/>
  <c r="C125" i="15" s="1"/>
  <c r="V99" i="15"/>
  <c r="V100" i="15" s="1"/>
  <c r="C124" i="15" s="1"/>
  <c r="U99" i="15"/>
  <c r="T99" i="15"/>
  <c r="T100" i="15" s="1"/>
  <c r="C122" i="15" s="1"/>
  <c r="S99" i="15"/>
  <c r="S100" i="15" s="1"/>
  <c r="C121" i="15" s="1"/>
  <c r="R99" i="15"/>
  <c r="R100" i="15" s="1"/>
  <c r="C120" i="15" s="1"/>
  <c r="Q99" i="15"/>
  <c r="P99" i="15"/>
  <c r="P100" i="15" s="1"/>
  <c r="C118" i="15" s="1"/>
  <c r="O99" i="15"/>
  <c r="O100" i="15" s="1"/>
  <c r="C117" i="15" s="1"/>
  <c r="N99" i="15"/>
  <c r="N100" i="15" s="1"/>
  <c r="C116" i="15" s="1"/>
  <c r="M99" i="15"/>
  <c r="M100" i="15" s="1"/>
  <c r="C115" i="15" s="1"/>
  <c r="L99" i="15"/>
  <c r="L100" i="15" s="1"/>
  <c r="C114" i="15" s="1"/>
  <c r="K99" i="15"/>
  <c r="K100" i="15" s="1"/>
  <c r="C113" i="15" s="1"/>
  <c r="J99" i="15"/>
  <c r="J100" i="15" s="1"/>
  <c r="C112" i="15" s="1"/>
  <c r="I99" i="15"/>
  <c r="H99" i="15"/>
  <c r="H100" i="15" s="1"/>
  <c r="C110" i="15" s="1"/>
  <c r="G99" i="15"/>
  <c r="G100" i="15" s="1"/>
  <c r="C109" i="15" s="1"/>
  <c r="F99" i="15"/>
  <c r="F100" i="15" s="1"/>
  <c r="C108" i="15" s="1"/>
  <c r="E99" i="15"/>
  <c r="D99" i="15"/>
  <c r="D100" i="15" s="1"/>
  <c r="C106" i="15" s="1"/>
  <c r="C99" i="15"/>
  <c r="C100" i="15" s="1"/>
  <c r="C105" i="15" s="1"/>
  <c r="B99" i="15"/>
  <c r="B100" i="15" s="1"/>
  <c r="C104" i="15" s="1"/>
  <c r="X97" i="15"/>
  <c r="D126" i="15" s="1"/>
  <c r="W97" i="15"/>
  <c r="D125" i="15" s="1"/>
  <c r="S97" i="15"/>
  <c r="D121" i="15" s="1"/>
  <c r="P97" i="15"/>
  <c r="D118" i="15" s="1"/>
  <c r="O97" i="15"/>
  <c r="D117" i="15" s="1"/>
  <c r="K97" i="15"/>
  <c r="D113" i="15" s="1"/>
  <c r="H97" i="15"/>
  <c r="D110" i="15" s="1"/>
  <c r="G97" i="15"/>
  <c r="D109" i="15" s="1"/>
  <c r="C97" i="15"/>
  <c r="D105" i="15" s="1"/>
  <c r="Z96" i="15"/>
  <c r="Y96" i="15"/>
  <c r="X96" i="15"/>
  <c r="W96" i="15"/>
  <c r="V96" i="15"/>
  <c r="U96" i="15"/>
  <c r="T96" i="15"/>
  <c r="T97" i="15" s="1"/>
  <c r="D122" i="15" s="1"/>
  <c r="S96" i="15"/>
  <c r="R96" i="15"/>
  <c r="Q96" i="15"/>
  <c r="P96" i="15"/>
  <c r="O96" i="15"/>
  <c r="N96" i="15"/>
  <c r="M96" i="15"/>
  <c r="L96" i="15"/>
  <c r="L97" i="15" s="1"/>
  <c r="D114" i="15" s="1"/>
  <c r="K96" i="15"/>
  <c r="J96" i="15"/>
  <c r="I96" i="15"/>
  <c r="H96" i="15"/>
  <c r="G96" i="15"/>
  <c r="F96" i="15"/>
  <c r="E96" i="15"/>
  <c r="D96" i="15"/>
  <c r="D97" i="15" s="1"/>
  <c r="D106" i="15" s="1"/>
  <c r="C96" i="15"/>
  <c r="B96" i="15"/>
  <c r="Z95" i="15"/>
  <c r="Z97" i="15" s="1"/>
  <c r="D128" i="15" s="1"/>
  <c r="Y95" i="15"/>
  <c r="Y97" i="15" s="1"/>
  <c r="D127" i="15" s="1"/>
  <c r="X95" i="15"/>
  <c r="W95" i="15"/>
  <c r="V95" i="15"/>
  <c r="V97" i="15" s="1"/>
  <c r="D124" i="15" s="1"/>
  <c r="U95" i="15"/>
  <c r="U97" i="15" s="1"/>
  <c r="D123" i="15" s="1"/>
  <c r="T95" i="15"/>
  <c r="S95" i="15"/>
  <c r="R95" i="15"/>
  <c r="R97" i="15" s="1"/>
  <c r="D120" i="15" s="1"/>
  <c r="Q95" i="15"/>
  <c r="Q97" i="15" s="1"/>
  <c r="D119" i="15" s="1"/>
  <c r="P95" i="15"/>
  <c r="O95" i="15"/>
  <c r="N95" i="15"/>
  <c r="N97" i="15" s="1"/>
  <c r="D116" i="15" s="1"/>
  <c r="M95" i="15"/>
  <c r="M97" i="15" s="1"/>
  <c r="D115" i="15" s="1"/>
  <c r="L95" i="15"/>
  <c r="K95" i="15"/>
  <c r="J95" i="15"/>
  <c r="J97" i="15" s="1"/>
  <c r="D112" i="15" s="1"/>
  <c r="I95" i="15"/>
  <c r="I97" i="15" s="1"/>
  <c r="D111" i="15" s="1"/>
  <c r="H95" i="15"/>
  <c r="G95" i="15"/>
  <c r="F95" i="15"/>
  <c r="F97" i="15" s="1"/>
  <c r="D108" i="15" s="1"/>
  <c r="E95" i="15"/>
  <c r="E97" i="15" s="1"/>
  <c r="D107" i="15" s="1"/>
  <c r="D95" i="15"/>
  <c r="C95" i="15"/>
  <c r="B95" i="15"/>
  <c r="B97" i="15" s="1"/>
  <c r="D104" i="15" s="1"/>
  <c r="T56" i="15"/>
  <c r="C78" i="15" s="1"/>
  <c r="L56" i="15"/>
  <c r="C70" i="15" s="1"/>
  <c r="D56" i="15"/>
  <c r="C62" i="15" s="1"/>
  <c r="Z55" i="15"/>
  <c r="Z56" i="15" s="1"/>
  <c r="C84" i="15" s="1"/>
  <c r="Y55" i="15"/>
  <c r="Y56" i="15" s="1"/>
  <c r="C83" i="15" s="1"/>
  <c r="X55" i="15"/>
  <c r="X56" i="15" s="1"/>
  <c r="C82" i="15" s="1"/>
  <c r="W55" i="15"/>
  <c r="W56" i="15" s="1"/>
  <c r="C81" i="15" s="1"/>
  <c r="V55" i="15"/>
  <c r="V56" i="15" s="1"/>
  <c r="C80" i="15" s="1"/>
  <c r="U55" i="15"/>
  <c r="U56" i="15" s="1"/>
  <c r="C79" i="15" s="1"/>
  <c r="T55" i="15"/>
  <c r="S55" i="15"/>
  <c r="S56" i="15" s="1"/>
  <c r="C77" i="15" s="1"/>
  <c r="R55" i="15"/>
  <c r="R56" i="15" s="1"/>
  <c r="C76" i="15" s="1"/>
  <c r="Q55" i="15"/>
  <c r="Q56" i="15" s="1"/>
  <c r="C75" i="15" s="1"/>
  <c r="P55" i="15"/>
  <c r="P56" i="15" s="1"/>
  <c r="C74" i="15" s="1"/>
  <c r="O55" i="15"/>
  <c r="O56" i="15" s="1"/>
  <c r="C73" i="15" s="1"/>
  <c r="N55" i="15"/>
  <c r="N56" i="15" s="1"/>
  <c r="C72" i="15" s="1"/>
  <c r="M55" i="15"/>
  <c r="M56" i="15" s="1"/>
  <c r="C71" i="15" s="1"/>
  <c r="L55" i="15"/>
  <c r="K55" i="15"/>
  <c r="K56" i="15" s="1"/>
  <c r="C69" i="15" s="1"/>
  <c r="J55" i="15"/>
  <c r="J56" i="15" s="1"/>
  <c r="C68" i="15" s="1"/>
  <c r="I55" i="15"/>
  <c r="I56" i="15" s="1"/>
  <c r="C67" i="15" s="1"/>
  <c r="H55" i="15"/>
  <c r="H56" i="15" s="1"/>
  <c r="C66" i="15" s="1"/>
  <c r="G55" i="15"/>
  <c r="G56" i="15" s="1"/>
  <c r="C65" i="15" s="1"/>
  <c r="F55" i="15"/>
  <c r="F56" i="15" s="1"/>
  <c r="C64" i="15" s="1"/>
  <c r="E55" i="15"/>
  <c r="E56" i="15" s="1"/>
  <c r="C63" i="15" s="1"/>
  <c r="D55" i="15"/>
  <c r="C55" i="15"/>
  <c r="C56" i="15" s="1"/>
  <c r="C61" i="15" s="1"/>
  <c r="B55" i="15"/>
  <c r="B56" i="15" s="1"/>
  <c r="C60" i="15" s="1"/>
  <c r="Z53" i="15"/>
  <c r="D84" i="15" s="1"/>
  <c r="V53" i="15"/>
  <c r="D80" i="15" s="1"/>
  <c r="R53" i="15"/>
  <c r="D76" i="15" s="1"/>
  <c r="N53" i="15"/>
  <c r="D72" i="15" s="1"/>
  <c r="J53" i="15"/>
  <c r="D68" i="15" s="1"/>
  <c r="F53" i="15"/>
  <c r="D64" i="15" s="1"/>
  <c r="B53" i="15"/>
  <c r="D60" i="15" s="1"/>
  <c r="Z52" i="15"/>
  <c r="Y52" i="15"/>
  <c r="X52" i="15"/>
  <c r="W52" i="15"/>
  <c r="W53" i="15" s="1"/>
  <c r="D81" i="15" s="1"/>
  <c r="V52" i="15"/>
  <c r="U52" i="15"/>
  <c r="T52" i="15"/>
  <c r="S52" i="15"/>
  <c r="S53" i="15" s="1"/>
  <c r="D77" i="15" s="1"/>
  <c r="R52" i="15"/>
  <c r="Q52" i="15"/>
  <c r="P52" i="15"/>
  <c r="O52" i="15"/>
  <c r="O53" i="15" s="1"/>
  <c r="D73" i="15" s="1"/>
  <c r="N52" i="15"/>
  <c r="M52" i="15"/>
  <c r="L52" i="15"/>
  <c r="K52" i="15"/>
  <c r="K53" i="15" s="1"/>
  <c r="D69" i="15" s="1"/>
  <c r="J52" i="15"/>
  <c r="I52" i="15"/>
  <c r="H52" i="15"/>
  <c r="G52" i="15"/>
  <c r="G53" i="15" s="1"/>
  <c r="D65" i="15" s="1"/>
  <c r="F52" i="15"/>
  <c r="E52" i="15"/>
  <c r="D52" i="15"/>
  <c r="C52" i="15"/>
  <c r="C53" i="15" s="1"/>
  <c r="D61" i="15" s="1"/>
  <c r="B52" i="15"/>
  <c r="Z51" i="15"/>
  <c r="Y51" i="15"/>
  <c r="Y53" i="15" s="1"/>
  <c r="D83" i="15" s="1"/>
  <c r="X51" i="15"/>
  <c r="X53" i="15" s="1"/>
  <c r="D82" i="15" s="1"/>
  <c r="W51" i="15"/>
  <c r="V51" i="15"/>
  <c r="U51" i="15"/>
  <c r="U53" i="15" s="1"/>
  <c r="D79" i="15" s="1"/>
  <c r="T51" i="15"/>
  <c r="T53" i="15" s="1"/>
  <c r="D78" i="15" s="1"/>
  <c r="S51" i="15"/>
  <c r="R51" i="15"/>
  <c r="Q51" i="15"/>
  <c r="Q53" i="15" s="1"/>
  <c r="D75" i="15" s="1"/>
  <c r="P51" i="15"/>
  <c r="P53" i="15" s="1"/>
  <c r="D74" i="15" s="1"/>
  <c r="O51" i="15"/>
  <c r="N51" i="15"/>
  <c r="M51" i="15"/>
  <c r="M53" i="15" s="1"/>
  <c r="D71" i="15" s="1"/>
  <c r="L51" i="15"/>
  <c r="L53" i="15" s="1"/>
  <c r="D70" i="15" s="1"/>
  <c r="K51" i="15"/>
  <c r="J51" i="15"/>
  <c r="I51" i="15"/>
  <c r="I53" i="15" s="1"/>
  <c r="D67" i="15" s="1"/>
  <c r="H51" i="15"/>
  <c r="H53" i="15" s="1"/>
  <c r="D66" i="15" s="1"/>
  <c r="G51" i="15"/>
  <c r="F51" i="15"/>
  <c r="E51" i="15"/>
  <c r="E53" i="15" s="1"/>
  <c r="D63" i="15" s="1"/>
  <c r="D51" i="15"/>
  <c r="D53" i="15" s="1"/>
  <c r="D62" i="15" s="1"/>
  <c r="C51" i="15"/>
  <c r="B51" i="15"/>
  <c r="W13" i="15"/>
  <c r="C38" i="15" s="1"/>
  <c r="O13" i="15"/>
  <c r="C30" i="15" s="1"/>
  <c r="G13" i="15"/>
  <c r="C22" i="15" s="1"/>
  <c r="Z12" i="15"/>
  <c r="Z13" i="15" s="1"/>
  <c r="C41" i="15" s="1"/>
  <c r="Y12" i="15"/>
  <c r="Y13" i="15" s="1"/>
  <c r="C40" i="15" s="1"/>
  <c r="X12" i="15"/>
  <c r="X13" i="15" s="1"/>
  <c r="C39" i="15" s="1"/>
  <c r="W12" i="15"/>
  <c r="V12" i="15"/>
  <c r="V13" i="15" s="1"/>
  <c r="C37" i="15" s="1"/>
  <c r="U12" i="15"/>
  <c r="U13" i="15" s="1"/>
  <c r="C36" i="15" s="1"/>
  <c r="T12" i="15"/>
  <c r="T13" i="15" s="1"/>
  <c r="C35" i="15" s="1"/>
  <c r="S12" i="15"/>
  <c r="S13" i="15" s="1"/>
  <c r="C34" i="15" s="1"/>
  <c r="R12" i="15"/>
  <c r="R13" i="15" s="1"/>
  <c r="C33" i="15" s="1"/>
  <c r="Q12" i="15"/>
  <c r="Q13" i="15" s="1"/>
  <c r="C32" i="15" s="1"/>
  <c r="P12" i="15"/>
  <c r="P13" i="15" s="1"/>
  <c r="C31" i="15" s="1"/>
  <c r="O12" i="15"/>
  <c r="N12" i="15"/>
  <c r="N13" i="15" s="1"/>
  <c r="C29" i="15" s="1"/>
  <c r="M12" i="15"/>
  <c r="M13" i="15" s="1"/>
  <c r="C28" i="15" s="1"/>
  <c r="L12" i="15"/>
  <c r="L13" i="15" s="1"/>
  <c r="C27" i="15" s="1"/>
  <c r="K12" i="15"/>
  <c r="K13" i="15" s="1"/>
  <c r="C26" i="15" s="1"/>
  <c r="J12" i="15"/>
  <c r="J13" i="15" s="1"/>
  <c r="C25" i="15" s="1"/>
  <c r="I12" i="15"/>
  <c r="I13" i="15" s="1"/>
  <c r="C24" i="15" s="1"/>
  <c r="H12" i="15"/>
  <c r="H13" i="15" s="1"/>
  <c r="C23" i="15" s="1"/>
  <c r="G12" i="15"/>
  <c r="F12" i="15"/>
  <c r="F13" i="15" s="1"/>
  <c r="C21" i="15" s="1"/>
  <c r="E12" i="15"/>
  <c r="E13" i="15" s="1"/>
  <c r="C20" i="15" s="1"/>
  <c r="D12" i="15"/>
  <c r="D13" i="15" s="1"/>
  <c r="C19" i="15" s="1"/>
  <c r="C12" i="15"/>
  <c r="C13" i="15" s="1"/>
  <c r="C18" i="15" s="1"/>
  <c r="B12" i="15"/>
  <c r="B13" i="15" s="1"/>
  <c r="C17" i="15" s="1"/>
  <c r="Y10" i="15"/>
  <c r="D40" i="15" s="1"/>
  <c r="V10" i="15"/>
  <c r="D37" i="15" s="1"/>
  <c r="U10" i="15"/>
  <c r="D36" i="15" s="1"/>
  <c r="Q10" i="15"/>
  <c r="D32" i="15" s="1"/>
  <c r="N10" i="15"/>
  <c r="D29" i="15" s="1"/>
  <c r="M10" i="15"/>
  <c r="D28" i="15" s="1"/>
  <c r="I10" i="15"/>
  <c r="D24" i="15" s="1"/>
  <c r="F10" i="15"/>
  <c r="D21" i="15" s="1"/>
  <c r="E10" i="15"/>
  <c r="D20" i="15" s="1"/>
  <c r="Z9" i="15"/>
  <c r="Z10" i="15" s="1"/>
  <c r="D41" i="15" s="1"/>
  <c r="Y9" i="15"/>
  <c r="X9" i="15"/>
  <c r="W9" i="15"/>
  <c r="V9" i="15"/>
  <c r="U9" i="15"/>
  <c r="T9" i="15"/>
  <c r="S9" i="15"/>
  <c r="R9" i="15"/>
  <c r="R10" i="15" s="1"/>
  <c r="D33" i="15" s="1"/>
  <c r="Q9" i="15"/>
  <c r="P9" i="15"/>
  <c r="O9" i="15"/>
  <c r="N9" i="15"/>
  <c r="M9" i="15"/>
  <c r="L9" i="15"/>
  <c r="K9" i="15"/>
  <c r="J9" i="15"/>
  <c r="J10" i="15" s="1"/>
  <c r="D25" i="15" s="1"/>
  <c r="I9" i="15"/>
  <c r="H9" i="15"/>
  <c r="G9" i="15"/>
  <c r="F9" i="15"/>
  <c r="E9" i="15"/>
  <c r="D9" i="15"/>
  <c r="C9" i="15"/>
  <c r="B9" i="15"/>
  <c r="B10" i="15" s="1"/>
  <c r="D17" i="15" s="1"/>
  <c r="Z8" i="15"/>
  <c r="Y8" i="15"/>
  <c r="X8" i="15"/>
  <c r="X10" i="15" s="1"/>
  <c r="D39" i="15" s="1"/>
  <c r="W8" i="15"/>
  <c r="W10" i="15" s="1"/>
  <c r="D38" i="15" s="1"/>
  <c r="V8" i="15"/>
  <c r="U8" i="15"/>
  <c r="T8" i="15"/>
  <c r="T10" i="15" s="1"/>
  <c r="D35" i="15" s="1"/>
  <c r="S8" i="15"/>
  <c r="S10" i="15" s="1"/>
  <c r="D34" i="15" s="1"/>
  <c r="R8" i="15"/>
  <c r="Q8" i="15"/>
  <c r="P8" i="15"/>
  <c r="P10" i="15" s="1"/>
  <c r="D31" i="15" s="1"/>
  <c r="O8" i="15"/>
  <c r="O10" i="15" s="1"/>
  <c r="D30" i="15" s="1"/>
  <c r="N8" i="15"/>
  <c r="M8" i="15"/>
  <c r="L8" i="15"/>
  <c r="L10" i="15" s="1"/>
  <c r="D27" i="15" s="1"/>
  <c r="K8" i="15"/>
  <c r="K10" i="15" s="1"/>
  <c r="D26" i="15" s="1"/>
  <c r="J8" i="15"/>
  <c r="I8" i="15"/>
  <c r="H8" i="15"/>
  <c r="H10" i="15" s="1"/>
  <c r="D23" i="15" s="1"/>
  <c r="G8" i="15"/>
  <c r="G10" i="15" s="1"/>
  <c r="D22" i="15" s="1"/>
  <c r="F8" i="15"/>
  <c r="E8" i="15"/>
  <c r="D8" i="15"/>
  <c r="D10" i="15" s="1"/>
  <c r="D19" i="15" s="1"/>
  <c r="C8" i="15"/>
  <c r="C10" i="15" s="1"/>
  <c r="D18" i="15" s="1"/>
  <c r="B8" i="15"/>
  <c r="I25" i="6"/>
  <c r="I24" i="6"/>
  <c r="I23" i="6"/>
  <c r="I22" i="6"/>
  <c r="I21" i="6"/>
  <c r="Z9" i="14"/>
  <c r="C9" i="14"/>
  <c r="D9" i="14"/>
  <c r="D10" i="14" s="1"/>
  <c r="D19" i="14" s="1"/>
  <c r="E9" i="14"/>
  <c r="F9" i="14"/>
  <c r="G9" i="14"/>
  <c r="H9" i="14"/>
  <c r="I9" i="14"/>
  <c r="J9" i="14"/>
  <c r="J10" i="14" s="1"/>
  <c r="D25" i="14" s="1"/>
  <c r="K9" i="14"/>
  <c r="L9" i="14"/>
  <c r="M9" i="14"/>
  <c r="N9" i="14"/>
  <c r="O9" i="14"/>
  <c r="O10" i="14" s="1"/>
  <c r="D30" i="14" s="1"/>
  <c r="P9" i="14"/>
  <c r="Q9" i="14"/>
  <c r="R9" i="14"/>
  <c r="S9" i="14"/>
  <c r="T9" i="14"/>
  <c r="U9" i="14"/>
  <c r="V9" i="14"/>
  <c r="W9" i="14"/>
  <c r="X9" i="14"/>
  <c r="Y9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S10" i="14" s="1"/>
  <c r="D34" i="14" s="1"/>
  <c r="T8" i="14"/>
  <c r="U8" i="14"/>
  <c r="V8" i="14"/>
  <c r="W8" i="14"/>
  <c r="X8" i="14"/>
  <c r="Y8" i="14"/>
  <c r="Z8" i="14"/>
  <c r="C8" i="14"/>
  <c r="C10" i="14" s="1"/>
  <c r="D18" i="14" s="1"/>
  <c r="D8" i="14"/>
  <c r="E8" i="14"/>
  <c r="F8" i="14"/>
  <c r="B9" i="14"/>
  <c r="B8" i="14"/>
  <c r="K100" i="14"/>
  <c r="C113" i="14" s="1"/>
  <c r="Z99" i="14"/>
  <c r="Z100" i="14" s="1"/>
  <c r="C128" i="14" s="1"/>
  <c r="Y99" i="14"/>
  <c r="Y100" i="14" s="1"/>
  <c r="C127" i="14" s="1"/>
  <c r="X99" i="14"/>
  <c r="X100" i="14" s="1"/>
  <c r="C126" i="14" s="1"/>
  <c r="W99" i="14"/>
  <c r="W100" i="14" s="1"/>
  <c r="C125" i="14" s="1"/>
  <c r="V99" i="14"/>
  <c r="V100" i="14" s="1"/>
  <c r="C124" i="14" s="1"/>
  <c r="U99" i="14"/>
  <c r="U100" i="14" s="1"/>
  <c r="C123" i="14" s="1"/>
  <c r="T99" i="14"/>
  <c r="T100" i="14" s="1"/>
  <c r="C122" i="14" s="1"/>
  <c r="S99" i="14"/>
  <c r="S100" i="14" s="1"/>
  <c r="C121" i="14" s="1"/>
  <c r="R99" i="14"/>
  <c r="R100" i="14" s="1"/>
  <c r="C120" i="14" s="1"/>
  <c r="Q99" i="14"/>
  <c r="Q100" i="14" s="1"/>
  <c r="C119" i="14" s="1"/>
  <c r="P99" i="14"/>
  <c r="P100" i="14" s="1"/>
  <c r="C118" i="14" s="1"/>
  <c r="O99" i="14"/>
  <c r="O100" i="14" s="1"/>
  <c r="C117" i="14" s="1"/>
  <c r="N99" i="14"/>
  <c r="N100" i="14" s="1"/>
  <c r="C116" i="14" s="1"/>
  <c r="M99" i="14"/>
  <c r="M100" i="14" s="1"/>
  <c r="C115" i="14" s="1"/>
  <c r="L99" i="14"/>
  <c r="L100" i="14" s="1"/>
  <c r="C114" i="14" s="1"/>
  <c r="K99" i="14"/>
  <c r="J99" i="14"/>
  <c r="J100" i="14" s="1"/>
  <c r="C112" i="14" s="1"/>
  <c r="I99" i="14"/>
  <c r="I100" i="14" s="1"/>
  <c r="C111" i="14" s="1"/>
  <c r="H99" i="14"/>
  <c r="H100" i="14" s="1"/>
  <c r="C110" i="14" s="1"/>
  <c r="G99" i="14"/>
  <c r="G100" i="14" s="1"/>
  <c r="C109" i="14" s="1"/>
  <c r="F99" i="14"/>
  <c r="F100" i="14" s="1"/>
  <c r="C108" i="14" s="1"/>
  <c r="E99" i="14"/>
  <c r="E100" i="14" s="1"/>
  <c r="C107" i="14" s="1"/>
  <c r="D99" i="14"/>
  <c r="D100" i="14" s="1"/>
  <c r="C106" i="14" s="1"/>
  <c r="C99" i="14"/>
  <c r="C100" i="14" s="1"/>
  <c r="C105" i="14" s="1"/>
  <c r="B99" i="14"/>
  <c r="B100" i="14" s="1"/>
  <c r="C104" i="14" s="1"/>
  <c r="Z97" i="14"/>
  <c r="D128" i="14" s="1"/>
  <c r="Y97" i="14"/>
  <c r="D127" i="14" s="1"/>
  <c r="V97" i="14"/>
  <c r="D124" i="14" s="1"/>
  <c r="U97" i="14"/>
  <c r="D123" i="14" s="1"/>
  <c r="R97" i="14"/>
  <c r="D120" i="14" s="1"/>
  <c r="Q97" i="14"/>
  <c r="D119" i="14" s="1"/>
  <c r="N97" i="14"/>
  <c r="D116" i="14" s="1"/>
  <c r="M97" i="14"/>
  <c r="D115" i="14" s="1"/>
  <c r="J97" i="14"/>
  <c r="D112" i="14" s="1"/>
  <c r="I97" i="14"/>
  <c r="D111" i="14" s="1"/>
  <c r="F97" i="14"/>
  <c r="D108" i="14" s="1"/>
  <c r="E97" i="14"/>
  <c r="D107" i="14" s="1"/>
  <c r="B97" i="14"/>
  <c r="D104" i="14" s="1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Z95" i="14"/>
  <c r="Y95" i="14"/>
  <c r="X95" i="14"/>
  <c r="X97" i="14" s="1"/>
  <c r="D126" i="14" s="1"/>
  <c r="W95" i="14"/>
  <c r="V95" i="14"/>
  <c r="U95" i="14"/>
  <c r="T95" i="14"/>
  <c r="T97" i="14" s="1"/>
  <c r="D122" i="14" s="1"/>
  <c r="S95" i="14"/>
  <c r="R95" i="14"/>
  <c r="Q95" i="14"/>
  <c r="P95" i="14"/>
  <c r="P97" i="14" s="1"/>
  <c r="D118" i="14" s="1"/>
  <c r="O95" i="14"/>
  <c r="N95" i="14"/>
  <c r="M95" i="14"/>
  <c r="L95" i="14"/>
  <c r="L97" i="14" s="1"/>
  <c r="D114" i="14" s="1"/>
  <c r="K95" i="14"/>
  <c r="J95" i="14"/>
  <c r="I95" i="14"/>
  <c r="H95" i="14"/>
  <c r="H97" i="14" s="1"/>
  <c r="D110" i="14" s="1"/>
  <c r="G95" i="14"/>
  <c r="F95" i="14"/>
  <c r="E95" i="14"/>
  <c r="D95" i="14"/>
  <c r="D97" i="14" s="1"/>
  <c r="D106" i="14" s="1"/>
  <c r="C95" i="14"/>
  <c r="B95" i="14"/>
  <c r="Z56" i="14"/>
  <c r="C84" i="14" s="1"/>
  <c r="S56" i="14"/>
  <c r="C77" i="14" s="1"/>
  <c r="N56" i="14"/>
  <c r="C72" i="14" s="1"/>
  <c r="C56" i="14"/>
  <c r="C61" i="14" s="1"/>
  <c r="Z55" i="14"/>
  <c r="Y55" i="14"/>
  <c r="Y56" i="14" s="1"/>
  <c r="C83" i="14" s="1"/>
  <c r="X55" i="14"/>
  <c r="X56" i="14" s="1"/>
  <c r="C82" i="14" s="1"/>
  <c r="W55" i="14"/>
  <c r="W56" i="14" s="1"/>
  <c r="C81" i="14" s="1"/>
  <c r="V55" i="14"/>
  <c r="V56" i="14" s="1"/>
  <c r="C80" i="14" s="1"/>
  <c r="U55" i="14"/>
  <c r="U56" i="14" s="1"/>
  <c r="C79" i="14" s="1"/>
  <c r="T55" i="14"/>
  <c r="T56" i="14" s="1"/>
  <c r="C78" i="14" s="1"/>
  <c r="S55" i="14"/>
  <c r="R55" i="14"/>
  <c r="R56" i="14" s="1"/>
  <c r="C76" i="14" s="1"/>
  <c r="Q55" i="14"/>
  <c r="Q56" i="14" s="1"/>
  <c r="C75" i="14" s="1"/>
  <c r="P55" i="14"/>
  <c r="P56" i="14" s="1"/>
  <c r="C74" i="14" s="1"/>
  <c r="O55" i="14"/>
  <c r="O56" i="14" s="1"/>
  <c r="C73" i="14" s="1"/>
  <c r="N55" i="14"/>
  <c r="M55" i="14"/>
  <c r="M56" i="14" s="1"/>
  <c r="C71" i="14" s="1"/>
  <c r="L55" i="14"/>
  <c r="L56" i="14" s="1"/>
  <c r="C70" i="14" s="1"/>
  <c r="K55" i="14"/>
  <c r="K56" i="14" s="1"/>
  <c r="C69" i="14" s="1"/>
  <c r="J55" i="14"/>
  <c r="J56" i="14" s="1"/>
  <c r="C68" i="14" s="1"/>
  <c r="I55" i="14"/>
  <c r="I56" i="14" s="1"/>
  <c r="C67" i="14" s="1"/>
  <c r="H55" i="14"/>
  <c r="H56" i="14" s="1"/>
  <c r="C66" i="14" s="1"/>
  <c r="G55" i="14"/>
  <c r="G56" i="14" s="1"/>
  <c r="C65" i="14" s="1"/>
  <c r="F55" i="14"/>
  <c r="F56" i="14" s="1"/>
  <c r="C64" i="14" s="1"/>
  <c r="E55" i="14"/>
  <c r="E56" i="14" s="1"/>
  <c r="C63" i="14" s="1"/>
  <c r="D55" i="14"/>
  <c r="D56" i="14" s="1"/>
  <c r="C62" i="14" s="1"/>
  <c r="C55" i="14"/>
  <c r="B55" i="14"/>
  <c r="B56" i="14" s="1"/>
  <c r="C60" i="14" s="1"/>
  <c r="X53" i="14"/>
  <c r="D82" i="14" s="1"/>
  <c r="T53" i="14"/>
  <c r="D78" i="14" s="1"/>
  <c r="P53" i="14"/>
  <c r="D74" i="14" s="1"/>
  <c r="L53" i="14"/>
  <c r="D70" i="14" s="1"/>
  <c r="H53" i="14"/>
  <c r="D66" i="14" s="1"/>
  <c r="D53" i="14"/>
  <c r="D62" i="14" s="1"/>
  <c r="Z52" i="14"/>
  <c r="Y52" i="14"/>
  <c r="Y53" i="14" s="1"/>
  <c r="D83" i="14" s="1"/>
  <c r="X52" i="14"/>
  <c r="W52" i="14"/>
  <c r="V52" i="14"/>
  <c r="U52" i="14"/>
  <c r="U53" i="14" s="1"/>
  <c r="D79" i="14" s="1"/>
  <c r="T52" i="14"/>
  <c r="S52" i="14"/>
  <c r="R52" i="14"/>
  <c r="Q52" i="14"/>
  <c r="Q53" i="14" s="1"/>
  <c r="D75" i="14" s="1"/>
  <c r="P52" i="14"/>
  <c r="O52" i="14"/>
  <c r="N52" i="14"/>
  <c r="M52" i="14"/>
  <c r="M53" i="14" s="1"/>
  <c r="D71" i="14" s="1"/>
  <c r="L52" i="14"/>
  <c r="K52" i="14"/>
  <c r="J52" i="14"/>
  <c r="I52" i="14"/>
  <c r="I53" i="14" s="1"/>
  <c r="D67" i="14" s="1"/>
  <c r="H52" i="14"/>
  <c r="G52" i="14"/>
  <c r="F52" i="14"/>
  <c r="E52" i="14"/>
  <c r="E53" i="14" s="1"/>
  <c r="D63" i="14" s="1"/>
  <c r="D52" i="14"/>
  <c r="C52" i="14"/>
  <c r="B52" i="14"/>
  <c r="Z51" i="14"/>
  <c r="Z53" i="14" s="1"/>
  <c r="D84" i="14" s="1"/>
  <c r="Y51" i="14"/>
  <c r="X51" i="14"/>
  <c r="W51" i="14"/>
  <c r="W53" i="14" s="1"/>
  <c r="D81" i="14" s="1"/>
  <c r="V51" i="14"/>
  <c r="V53" i="14" s="1"/>
  <c r="D80" i="14" s="1"/>
  <c r="U51" i="14"/>
  <c r="T51" i="14"/>
  <c r="S51" i="14"/>
  <c r="S53" i="14" s="1"/>
  <c r="D77" i="14" s="1"/>
  <c r="R51" i="14"/>
  <c r="R53" i="14" s="1"/>
  <c r="D76" i="14" s="1"/>
  <c r="Q51" i="14"/>
  <c r="P51" i="14"/>
  <c r="O51" i="14"/>
  <c r="O53" i="14" s="1"/>
  <c r="D73" i="14" s="1"/>
  <c r="N51" i="14"/>
  <c r="N53" i="14" s="1"/>
  <c r="D72" i="14" s="1"/>
  <c r="M51" i="14"/>
  <c r="L51" i="14"/>
  <c r="K51" i="14"/>
  <c r="K53" i="14" s="1"/>
  <c r="D69" i="14" s="1"/>
  <c r="J51" i="14"/>
  <c r="J53" i="14" s="1"/>
  <c r="D68" i="14" s="1"/>
  <c r="I51" i="14"/>
  <c r="H51" i="14"/>
  <c r="G51" i="14"/>
  <c r="G53" i="14" s="1"/>
  <c r="D65" i="14" s="1"/>
  <c r="F51" i="14"/>
  <c r="F53" i="14" s="1"/>
  <c r="D64" i="14" s="1"/>
  <c r="E51" i="14"/>
  <c r="D51" i="14"/>
  <c r="C51" i="14"/>
  <c r="C53" i="14" s="1"/>
  <c r="D61" i="14" s="1"/>
  <c r="B51" i="14"/>
  <c r="B53" i="14" s="1"/>
  <c r="D60" i="14" s="1"/>
  <c r="C18" i="14"/>
  <c r="Z13" i="14"/>
  <c r="C41" i="14" s="1"/>
  <c r="V13" i="14"/>
  <c r="C37" i="14" s="1"/>
  <c r="U13" i="14"/>
  <c r="C36" i="14" s="1"/>
  <c r="R13" i="14"/>
  <c r="C33" i="14" s="1"/>
  <c r="N13" i="14"/>
  <c r="C29" i="14" s="1"/>
  <c r="M13" i="14"/>
  <c r="C28" i="14" s="1"/>
  <c r="J13" i="14"/>
  <c r="C25" i="14" s="1"/>
  <c r="F13" i="14"/>
  <c r="C21" i="14" s="1"/>
  <c r="E13" i="14"/>
  <c r="C20" i="14" s="1"/>
  <c r="B13" i="14"/>
  <c r="C17" i="14" s="1"/>
  <c r="Z12" i="14"/>
  <c r="Y12" i="14"/>
  <c r="Y13" i="14" s="1"/>
  <c r="C40" i="14" s="1"/>
  <c r="X12" i="14"/>
  <c r="X13" i="14" s="1"/>
  <c r="C39" i="14" s="1"/>
  <c r="W12" i="14"/>
  <c r="W13" i="14" s="1"/>
  <c r="C38" i="14" s="1"/>
  <c r="V12" i="14"/>
  <c r="U12" i="14"/>
  <c r="T12" i="14"/>
  <c r="T13" i="14" s="1"/>
  <c r="C35" i="14" s="1"/>
  <c r="S12" i="14"/>
  <c r="S13" i="14" s="1"/>
  <c r="C34" i="14" s="1"/>
  <c r="R12" i="14"/>
  <c r="Q12" i="14"/>
  <c r="Q13" i="14" s="1"/>
  <c r="C32" i="14" s="1"/>
  <c r="P12" i="14"/>
  <c r="P13" i="14" s="1"/>
  <c r="C31" i="14" s="1"/>
  <c r="O12" i="14"/>
  <c r="O13" i="14" s="1"/>
  <c r="C30" i="14" s="1"/>
  <c r="N12" i="14"/>
  <c r="M12" i="14"/>
  <c r="L12" i="14"/>
  <c r="L13" i="14" s="1"/>
  <c r="C27" i="14" s="1"/>
  <c r="K12" i="14"/>
  <c r="K13" i="14" s="1"/>
  <c r="C26" i="14" s="1"/>
  <c r="J12" i="14"/>
  <c r="I12" i="14"/>
  <c r="I13" i="14" s="1"/>
  <c r="C24" i="14" s="1"/>
  <c r="H12" i="14"/>
  <c r="H13" i="14" s="1"/>
  <c r="C23" i="14" s="1"/>
  <c r="G12" i="14"/>
  <c r="G13" i="14" s="1"/>
  <c r="C22" i="14" s="1"/>
  <c r="F12" i="14"/>
  <c r="E12" i="14"/>
  <c r="D12" i="14"/>
  <c r="D13" i="14" s="1"/>
  <c r="C19" i="14" s="1"/>
  <c r="C12" i="14"/>
  <c r="C13" i="14" s="1"/>
  <c r="B12" i="14"/>
  <c r="W10" i="14"/>
  <c r="D38" i="14" s="1"/>
  <c r="K10" i="14"/>
  <c r="D26" i="14" s="1"/>
  <c r="G10" i="14"/>
  <c r="D22" i="14" s="1"/>
  <c r="Z10" i="14"/>
  <c r="D41" i="14" s="1"/>
  <c r="V10" i="14"/>
  <c r="D37" i="14" s="1"/>
  <c r="N10" i="14"/>
  <c r="D29" i="14" s="1"/>
  <c r="C100" i="13"/>
  <c r="D100" i="13"/>
  <c r="E100" i="13"/>
  <c r="F100" i="13"/>
  <c r="C108" i="13" s="1"/>
  <c r="G100" i="13"/>
  <c r="H100" i="13"/>
  <c r="I100" i="13"/>
  <c r="J100" i="13"/>
  <c r="K100" i="13"/>
  <c r="L100" i="13"/>
  <c r="M100" i="13"/>
  <c r="N100" i="13"/>
  <c r="C116" i="13" s="1"/>
  <c r="O100" i="13"/>
  <c r="P100" i="13"/>
  <c r="Q100" i="13"/>
  <c r="R100" i="13"/>
  <c r="S100" i="13"/>
  <c r="T100" i="13"/>
  <c r="U100" i="13"/>
  <c r="V100" i="13"/>
  <c r="C124" i="13" s="1"/>
  <c r="W100" i="13"/>
  <c r="X100" i="13"/>
  <c r="Y100" i="13"/>
  <c r="Z100" i="13"/>
  <c r="C99" i="13"/>
  <c r="D99" i="13"/>
  <c r="E99" i="13"/>
  <c r="F99" i="13"/>
  <c r="G99" i="13"/>
  <c r="H99" i="13"/>
  <c r="C110" i="13" s="1"/>
  <c r="I99" i="13"/>
  <c r="J99" i="13"/>
  <c r="C112" i="13" s="1"/>
  <c r="K99" i="13"/>
  <c r="L99" i="13"/>
  <c r="M99" i="13"/>
  <c r="N99" i="13"/>
  <c r="O99" i="13"/>
  <c r="P99" i="13"/>
  <c r="C118" i="13" s="1"/>
  <c r="Q99" i="13"/>
  <c r="R99" i="13"/>
  <c r="C120" i="13" s="1"/>
  <c r="S99" i="13"/>
  <c r="T99" i="13"/>
  <c r="U99" i="13"/>
  <c r="V99" i="13"/>
  <c r="W99" i="13"/>
  <c r="X99" i="13"/>
  <c r="C126" i="13" s="1"/>
  <c r="Y99" i="13"/>
  <c r="Z99" i="13"/>
  <c r="C128" i="13" s="1"/>
  <c r="C97" i="13"/>
  <c r="D97" i="13"/>
  <c r="E97" i="13"/>
  <c r="F97" i="13"/>
  <c r="G97" i="13"/>
  <c r="D109" i="13" s="1"/>
  <c r="H97" i="13"/>
  <c r="I97" i="13"/>
  <c r="J97" i="13"/>
  <c r="K97" i="13"/>
  <c r="L97" i="13"/>
  <c r="M97" i="13"/>
  <c r="N97" i="13"/>
  <c r="O97" i="13"/>
  <c r="P97" i="13"/>
  <c r="Q97" i="13"/>
  <c r="D119" i="13" s="1"/>
  <c r="R97" i="13"/>
  <c r="S97" i="13"/>
  <c r="T97" i="13"/>
  <c r="U97" i="13"/>
  <c r="V97" i="13"/>
  <c r="W97" i="13"/>
  <c r="X97" i="13"/>
  <c r="Y97" i="13"/>
  <c r="Z97" i="13"/>
  <c r="C96" i="13"/>
  <c r="D105" i="13" s="1"/>
  <c r="D96" i="13"/>
  <c r="E96" i="13"/>
  <c r="F96" i="13"/>
  <c r="G96" i="13"/>
  <c r="H96" i="13"/>
  <c r="I96" i="13"/>
  <c r="J96" i="13"/>
  <c r="K96" i="13"/>
  <c r="D113" i="13" s="1"/>
  <c r="L96" i="13"/>
  <c r="M96" i="13"/>
  <c r="N96" i="13"/>
  <c r="O96" i="13"/>
  <c r="P96" i="13"/>
  <c r="Q96" i="13"/>
  <c r="R96" i="13"/>
  <c r="S96" i="13"/>
  <c r="D121" i="13" s="1"/>
  <c r="T96" i="13"/>
  <c r="U96" i="13"/>
  <c r="V96" i="13"/>
  <c r="W96" i="13"/>
  <c r="X96" i="13"/>
  <c r="Y96" i="13"/>
  <c r="Z96" i="13"/>
  <c r="C95" i="13"/>
  <c r="D95" i="13"/>
  <c r="D106" i="13" s="1"/>
  <c r="E95" i="13"/>
  <c r="F95" i="13"/>
  <c r="D108" i="13" s="1"/>
  <c r="G95" i="13"/>
  <c r="H95" i="13"/>
  <c r="D110" i="13" s="1"/>
  <c r="I95" i="13"/>
  <c r="J95" i="13"/>
  <c r="D112" i="13" s="1"/>
  <c r="K95" i="13"/>
  <c r="L95" i="13"/>
  <c r="D114" i="13" s="1"/>
  <c r="M95" i="13"/>
  <c r="N95" i="13"/>
  <c r="D116" i="13" s="1"/>
  <c r="O95" i="13"/>
  <c r="P95" i="13"/>
  <c r="D118" i="13" s="1"/>
  <c r="Q95" i="13"/>
  <c r="R95" i="13"/>
  <c r="D120" i="13" s="1"/>
  <c r="S95" i="13"/>
  <c r="T95" i="13"/>
  <c r="D122" i="13" s="1"/>
  <c r="U95" i="13"/>
  <c r="V95" i="13"/>
  <c r="W95" i="13"/>
  <c r="X95" i="13"/>
  <c r="D126" i="13" s="1"/>
  <c r="Y95" i="13"/>
  <c r="Z95" i="13"/>
  <c r="D128" i="13" s="1"/>
  <c r="B100" i="13"/>
  <c r="C104" i="13" s="1"/>
  <c r="B99" i="13"/>
  <c r="B96" i="13"/>
  <c r="B95" i="13"/>
  <c r="B97" i="13" s="1"/>
  <c r="D104" i="13" s="1"/>
  <c r="I26" i="5"/>
  <c r="I25" i="5"/>
  <c r="C122" i="13"/>
  <c r="C114" i="13"/>
  <c r="C106" i="13"/>
  <c r="C127" i="13"/>
  <c r="C125" i="13"/>
  <c r="C123" i="13"/>
  <c r="C121" i="13"/>
  <c r="C119" i="13"/>
  <c r="C117" i="13"/>
  <c r="C115" i="13"/>
  <c r="C113" i="13"/>
  <c r="C111" i="13"/>
  <c r="C109" i="13"/>
  <c r="C107" i="13"/>
  <c r="C105" i="13"/>
  <c r="D127" i="13"/>
  <c r="D125" i="13"/>
  <c r="D123" i="13"/>
  <c r="D117" i="13"/>
  <c r="D115" i="13"/>
  <c r="D111" i="13"/>
  <c r="D107" i="13"/>
  <c r="C56" i="13"/>
  <c r="D56" i="13"/>
  <c r="E56" i="13"/>
  <c r="F56" i="13"/>
  <c r="G56" i="13"/>
  <c r="H56" i="13"/>
  <c r="C66" i="13" s="1"/>
  <c r="I56" i="13"/>
  <c r="J56" i="13"/>
  <c r="K56" i="13"/>
  <c r="L56" i="13"/>
  <c r="C70" i="13" s="1"/>
  <c r="M56" i="13"/>
  <c r="N56" i="13"/>
  <c r="O56" i="13"/>
  <c r="C73" i="13" s="1"/>
  <c r="P56" i="13"/>
  <c r="Q56" i="13"/>
  <c r="R56" i="13"/>
  <c r="S56" i="13"/>
  <c r="T56" i="13"/>
  <c r="C78" i="13" s="1"/>
  <c r="U56" i="13"/>
  <c r="V56" i="13"/>
  <c r="W56" i="13"/>
  <c r="X56" i="13"/>
  <c r="C82" i="13" s="1"/>
  <c r="Y56" i="13"/>
  <c r="Z56" i="13"/>
  <c r="C55" i="13"/>
  <c r="C61" i="13" s="1"/>
  <c r="D55" i="13"/>
  <c r="E55" i="13"/>
  <c r="C63" i="13" s="1"/>
  <c r="F55" i="13"/>
  <c r="C64" i="13" s="1"/>
  <c r="G55" i="13"/>
  <c r="H55" i="13"/>
  <c r="I55" i="13"/>
  <c r="J55" i="13"/>
  <c r="K55" i="13"/>
  <c r="C69" i="13" s="1"/>
  <c r="L55" i="13"/>
  <c r="M55" i="13"/>
  <c r="C71" i="13" s="1"/>
  <c r="N55" i="13"/>
  <c r="C72" i="13" s="1"/>
  <c r="O55" i="13"/>
  <c r="P55" i="13"/>
  <c r="Q55" i="13"/>
  <c r="R55" i="13"/>
  <c r="S55" i="13"/>
  <c r="C77" i="13" s="1"/>
  <c r="T55" i="13"/>
  <c r="U55" i="13"/>
  <c r="C79" i="13" s="1"/>
  <c r="V55" i="13"/>
  <c r="C80" i="13" s="1"/>
  <c r="W55" i="13"/>
  <c r="X55" i="13"/>
  <c r="Y55" i="13"/>
  <c r="Z55" i="13"/>
  <c r="C53" i="13"/>
  <c r="D53" i="13"/>
  <c r="E53" i="13"/>
  <c r="F53" i="13"/>
  <c r="G53" i="13"/>
  <c r="D65" i="13" s="1"/>
  <c r="H53" i="13"/>
  <c r="I53" i="13"/>
  <c r="J53" i="13"/>
  <c r="K53" i="13"/>
  <c r="L53" i="13"/>
  <c r="M53" i="13"/>
  <c r="D71" i="13" s="1"/>
  <c r="N53" i="13"/>
  <c r="O53" i="13"/>
  <c r="D73" i="13" s="1"/>
  <c r="P53" i="13"/>
  <c r="Q53" i="13"/>
  <c r="R53" i="13"/>
  <c r="S53" i="13"/>
  <c r="T53" i="13"/>
  <c r="U53" i="13"/>
  <c r="V53" i="13"/>
  <c r="W53" i="13"/>
  <c r="X53" i="13"/>
  <c r="Y53" i="13"/>
  <c r="Z53" i="13"/>
  <c r="C52" i="13"/>
  <c r="D61" i="13" s="1"/>
  <c r="D52" i="13"/>
  <c r="D62" i="13" s="1"/>
  <c r="E52" i="13"/>
  <c r="F52" i="13"/>
  <c r="G52" i="13"/>
  <c r="H52" i="13"/>
  <c r="D66" i="13" s="1"/>
  <c r="I52" i="13"/>
  <c r="J52" i="13"/>
  <c r="K52" i="13"/>
  <c r="D69" i="13" s="1"/>
  <c r="L52" i="13"/>
  <c r="D70" i="13" s="1"/>
  <c r="M52" i="13"/>
  <c r="N52" i="13"/>
  <c r="O52" i="13"/>
  <c r="P52" i="13"/>
  <c r="D74" i="13" s="1"/>
  <c r="Q52" i="13"/>
  <c r="R52" i="13"/>
  <c r="S52" i="13"/>
  <c r="D77" i="13" s="1"/>
  <c r="T52" i="13"/>
  <c r="D78" i="13" s="1"/>
  <c r="U52" i="13"/>
  <c r="V52" i="13"/>
  <c r="W52" i="13"/>
  <c r="X52" i="13"/>
  <c r="D82" i="13" s="1"/>
  <c r="Y52" i="13"/>
  <c r="Z52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D75" i="13" s="1"/>
  <c r="R51" i="13"/>
  <c r="S51" i="13"/>
  <c r="T51" i="13"/>
  <c r="U51" i="13"/>
  <c r="V51" i="13"/>
  <c r="W51" i="13"/>
  <c r="X51" i="13"/>
  <c r="Y51" i="13"/>
  <c r="Z51" i="13"/>
  <c r="B56" i="13"/>
  <c r="B55" i="13"/>
  <c r="C60" i="13" s="1"/>
  <c r="B52" i="13"/>
  <c r="B51" i="13"/>
  <c r="I24" i="5"/>
  <c r="I23" i="5"/>
  <c r="I22" i="5"/>
  <c r="C83" i="13"/>
  <c r="C81" i="13"/>
  <c r="C75" i="13"/>
  <c r="C67" i="13"/>
  <c r="C65" i="13"/>
  <c r="C84" i="13"/>
  <c r="C76" i="13"/>
  <c r="C74" i="13"/>
  <c r="C68" i="13"/>
  <c r="C62" i="13"/>
  <c r="D83" i="13"/>
  <c r="D79" i="13"/>
  <c r="D67" i="13"/>
  <c r="D63" i="13"/>
  <c r="D81" i="13"/>
  <c r="L22" i="5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C12" i="13"/>
  <c r="C13" i="13" s="1"/>
  <c r="E10" i="13"/>
  <c r="D20" i="13" s="1"/>
  <c r="I10" i="13"/>
  <c r="D24" i="13" s="1"/>
  <c r="M10" i="13"/>
  <c r="D28" i="13" s="1"/>
  <c r="Q10" i="13"/>
  <c r="D32" i="13" s="1"/>
  <c r="U10" i="13"/>
  <c r="D36" i="13" s="1"/>
  <c r="Y10" i="13"/>
  <c r="D40" i="13" s="1"/>
  <c r="E9" i="13"/>
  <c r="F9" i="13"/>
  <c r="G9" i="13"/>
  <c r="H9" i="13"/>
  <c r="H10" i="13" s="1"/>
  <c r="D23" i="13" s="1"/>
  <c r="I9" i="13"/>
  <c r="J9" i="13"/>
  <c r="K9" i="13"/>
  <c r="L9" i="13"/>
  <c r="M9" i="13"/>
  <c r="N9" i="13"/>
  <c r="N10" i="13" s="1"/>
  <c r="D29" i="13" s="1"/>
  <c r="O9" i="13"/>
  <c r="P9" i="13"/>
  <c r="Q9" i="13"/>
  <c r="R9" i="13"/>
  <c r="R10" i="13" s="1"/>
  <c r="D33" i="13" s="1"/>
  <c r="S9" i="13"/>
  <c r="T9" i="13"/>
  <c r="U9" i="13"/>
  <c r="V9" i="13"/>
  <c r="V10" i="13" s="1"/>
  <c r="D37" i="13" s="1"/>
  <c r="W9" i="13"/>
  <c r="X9" i="13"/>
  <c r="Y9" i="13"/>
  <c r="Z9" i="13"/>
  <c r="Z10" i="13" s="1"/>
  <c r="D41" i="13" s="1"/>
  <c r="L8" i="13"/>
  <c r="L10" i="13" s="1"/>
  <c r="D27" i="13" s="1"/>
  <c r="M8" i="13"/>
  <c r="N8" i="13"/>
  <c r="O8" i="13"/>
  <c r="O10" i="13" s="1"/>
  <c r="D30" i="13" s="1"/>
  <c r="P8" i="13"/>
  <c r="P10" i="13" s="1"/>
  <c r="D31" i="13" s="1"/>
  <c r="Q8" i="13"/>
  <c r="R8" i="13"/>
  <c r="S8" i="13"/>
  <c r="S10" i="13" s="1"/>
  <c r="D34" i="13" s="1"/>
  <c r="T8" i="13"/>
  <c r="T10" i="13" s="1"/>
  <c r="D35" i="13" s="1"/>
  <c r="U8" i="13"/>
  <c r="V8" i="13"/>
  <c r="W8" i="13"/>
  <c r="W10" i="13" s="1"/>
  <c r="D38" i="13" s="1"/>
  <c r="X8" i="13"/>
  <c r="X10" i="13" s="1"/>
  <c r="D39" i="13" s="1"/>
  <c r="Y8" i="13"/>
  <c r="Z8" i="13"/>
  <c r="E8" i="13"/>
  <c r="F8" i="13"/>
  <c r="F10" i="13" s="1"/>
  <c r="D21" i="13" s="1"/>
  <c r="G8" i="13"/>
  <c r="G10" i="13" s="1"/>
  <c r="D22" i="13" s="1"/>
  <c r="H8" i="13"/>
  <c r="I8" i="13"/>
  <c r="J8" i="13"/>
  <c r="J10" i="13" s="1"/>
  <c r="D25" i="13" s="1"/>
  <c r="K8" i="13"/>
  <c r="K10" i="13" s="1"/>
  <c r="D26" i="13" s="1"/>
  <c r="D8" i="13"/>
  <c r="C8" i="13"/>
  <c r="D9" i="13"/>
  <c r="D10" i="13" s="1"/>
  <c r="D19" i="13" s="1"/>
  <c r="C9" i="13"/>
  <c r="B13" i="13"/>
  <c r="B12" i="13"/>
  <c r="B10" i="13"/>
  <c r="D17" i="13" s="1"/>
  <c r="B9" i="13"/>
  <c r="B8" i="13"/>
  <c r="F10" i="14" l="1"/>
  <c r="D21" i="14" s="1"/>
  <c r="R10" i="14"/>
  <c r="D33" i="14" s="1"/>
  <c r="X10" i="14"/>
  <c r="D39" i="14" s="1"/>
  <c r="P10" i="14"/>
  <c r="D31" i="14" s="1"/>
  <c r="H10" i="14"/>
  <c r="D23" i="14" s="1"/>
  <c r="L10" i="14"/>
  <c r="D27" i="14" s="1"/>
  <c r="T10" i="14"/>
  <c r="D35" i="14" s="1"/>
  <c r="B10" i="14"/>
  <c r="D17" i="14" s="1"/>
  <c r="C97" i="14"/>
  <c r="D105" i="14" s="1"/>
  <c r="G97" i="14"/>
  <c r="D109" i="14" s="1"/>
  <c r="K97" i="14"/>
  <c r="D113" i="14" s="1"/>
  <c r="O97" i="14"/>
  <c r="D117" i="14" s="1"/>
  <c r="S97" i="14"/>
  <c r="D121" i="14" s="1"/>
  <c r="W97" i="14"/>
  <c r="D125" i="14" s="1"/>
  <c r="E10" i="14"/>
  <c r="D20" i="14" s="1"/>
  <c r="I10" i="14"/>
  <c r="D24" i="14" s="1"/>
  <c r="M10" i="14"/>
  <c r="D28" i="14" s="1"/>
  <c r="Q10" i="14"/>
  <c r="D32" i="14" s="1"/>
  <c r="U10" i="14"/>
  <c r="D36" i="14" s="1"/>
  <c r="Y10" i="14"/>
  <c r="D40" i="14" s="1"/>
  <c r="D124" i="13"/>
  <c r="D64" i="13"/>
  <c r="D68" i="13"/>
  <c r="D72" i="13"/>
  <c r="D76" i="13"/>
  <c r="D80" i="13"/>
  <c r="D84" i="13"/>
  <c r="B53" i="13"/>
  <c r="D60" i="13" s="1"/>
  <c r="C10" i="13"/>
  <c r="D18" i="13" s="1"/>
  <c r="H52" i="11"/>
  <c r="F52" i="11"/>
  <c r="D52" i="11"/>
  <c r="Z17" i="1"/>
  <c r="Z16" i="1"/>
  <c r="Z15" i="1"/>
  <c r="Z14" i="1"/>
  <c r="Z13" i="1"/>
  <c r="Z12" i="1"/>
  <c r="H51" i="11"/>
  <c r="F51" i="11"/>
  <c r="D51" i="11"/>
  <c r="H50" i="11"/>
  <c r="F50" i="11"/>
  <c r="D50" i="11"/>
  <c r="H49" i="11"/>
  <c r="D49" i="11"/>
  <c r="F49" i="11"/>
  <c r="H47" i="11"/>
  <c r="D47" i="11"/>
  <c r="F47" i="11"/>
  <c r="H48" i="11"/>
  <c r="D48" i="11"/>
  <c r="F48" i="11"/>
  <c r="H46" i="11"/>
  <c r="D46" i="11"/>
  <c r="F46" i="11"/>
  <c r="H40" i="11"/>
  <c r="H39" i="11"/>
  <c r="H38" i="11"/>
  <c r="C40" i="11"/>
  <c r="C39" i="11"/>
  <c r="C38" i="11"/>
  <c r="T26" i="5" l="1"/>
  <c r="AF20" i="1" l="1"/>
  <c r="AE20" i="10"/>
  <c r="AD20" i="9"/>
  <c r="AD19" i="9"/>
  <c r="AE19" i="10"/>
  <c r="AF19" i="1"/>
  <c r="AF18" i="1"/>
  <c r="AD18" i="9"/>
  <c r="AE18" i="10"/>
  <c r="AF12" i="1"/>
  <c r="AF11" i="1"/>
  <c r="AF10" i="1"/>
  <c r="AF9" i="1"/>
  <c r="D32" i="11"/>
  <c r="D30" i="11"/>
  <c r="D26" i="11"/>
  <c r="L19" i="1" l="1"/>
  <c r="O3" i="10" l="1"/>
  <c r="E12" i="10"/>
  <c r="O3" i="9"/>
  <c r="AB20" i="10"/>
  <c r="H18" i="10"/>
  <c r="L17" i="10"/>
  <c r="AC3" i="10" s="1"/>
  <c r="H16" i="10"/>
  <c r="H15" i="10"/>
  <c r="L14" i="10"/>
  <c r="D11" i="10"/>
  <c r="E11" i="10" s="1"/>
  <c r="D10" i="10"/>
  <c r="E10" i="10" s="1"/>
  <c r="L9" i="10"/>
  <c r="L12" i="10" s="1"/>
  <c r="D9" i="10"/>
  <c r="E9" i="10" s="1"/>
  <c r="D8" i="10"/>
  <c r="E8" i="10" s="1"/>
  <c r="D7" i="10"/>
  <c r="E7" i="10" s="1"/>
  <c r="I6" i="10"/>
  <c r="D6" i="10"/>
  <c r="E6" i="10" s="1"/>
  <c r="D5" i="10"/>
  <c r="E5" i="10" s="1"/>
  <c r="D4" i="10"/>
  <c r="E4" i="10" s="1"/>
  <c r="AB3" i="10"/>
  <c r="D3" i="10"/>
  <c r="E3" i="10" s="1"/>
  <c r="AB20" i="9"/>
  <c r="L18" i="9"/>
  <c r="H18" i="9"/>
  <c r="L17" i="9"/>
  <c r="AC3" i="9" s="1"/>
  <c r="H16" i="9"/>
  <c r="H15" i="9"/>
  <c r="L14" i="9"/>
  <c r="E11" i="9"/>
  <c r="D11" i="9"/>
  <c r="D10" i="9"/>
  <c r="E10" i="9" s="1"/>
  <c r="L9" i="9"/>
  <c r="L12" i="9" s="1"/>
  <c r="E9" i="9"/>
  <c r="D9" i="9"/>
  <c r="E8" i="9"/>
  <c r="D8" i="9"/>
  <c r="D7" i="9"/>
  <c r="E7" i="9" s="1"/>
  <c r="I6" i="9"/>
  <c r="D6" i="9"/>
  <c r="E6" i="9" s="1"/>
  <c r="E5" i="9"/>
  <c r="D5" i="9"/>
  <c r="D4" i="9"/>
  <c r="E4" i="9" s="1"/>
  <c r="AB3" i="9"/>
  <c r="D3" i="9"/>
  <c r="E3" i="9" s="1"/>
  <c r="E12" i="9" s="1"/>
  <c r="R4" i="5"/>
  <c r="R5" i="5"/>
  <c r="R6" i="5"/>
  <c r="R7" i="5"/>
  <c r="R3" i="5"/>
  <c r="R4" i="6"/>
  <c r="R5" i="6"/>
  <c r="R6" i="6"/>
  <c r="R7" i="6"/>
  <c r="R3" i="6"/>
  <c r="AD3" i="10" l="1"/>
  <c r="L16" i="10"/>
  <c r="L18" i="10"/>
  <c r="AD16" i="10"/>
  <c r="I2" i="9"/>
  <c r="L16" i="9"/>
  <c r="AD3" i="9"/>
  <c r="AD16" i="9"/>
  <c r="L9" i="1"/>
  <c r="L9" i="6"/>
  <c r="L9" i="5"/>
  <c r="I13" i="10" l="1"/>
  <c r="I2" i="10"/>
  <c r="I8" i="9"/>
  <c r="O4" i="9" s="1"/>
  <c r="I5" i="9"/>
  <c r="I4" i="9"/>
  <c r="I3" i="9"/>
  <c r="O7" i="9" s="1"/>
  <c r="I13" i="9"/>
  <c r="R3" i="9"/>
  <c r="V3" i="9"/>
  <c r="AB20" i="6"/>
  <c r="H18" i="6"/>
  <c r="L17" i="6"/>
  <c r="AD16" i="6" s="1"/>
  <c r="H16" i="6"/>
  <c r="H15" i="6"/>
  <c r="L14" i="6"/>
  <c r="E11" i="6"/>
  <c r="D11" i="6"/>
  <c r="D10" i="6"/>
  <c r="E10" i="6" s="1"/>
  <c r="L12" i="6"/>
  <c r="L16" i="6" s="1"/>
  <c r="D9" i="6"/>
  <c r="E9" i="6" s="1"/>
  <c r="E8" i="6"/>
  <c r="D8" i="6"/>
  <c r="D7" i="6"/>
  <c r="E7" i="6" s="1"/>
  <c r="I6" i="6"/>
  <c r="D6" i="6"/>
  <c r="E6" i="6" s="1"/>
  <c r="E5" i="6"/>
  <c r="D5" i="6"/>
  <c r="D4" i="6"/>
  <c r="E4" i="6" s="1"/>
  <c r="AC3" i="6"/>
  <c r="AD3" i="6" s="1"/>
  <c r="AB3" i="6"/>
  <c r="D3" i="6"/>
  <c r="E3" i="6" s="1"/>
  <c r="AB20" i="5"/>
  <c r="H18" i="5"/>
  <c r="L17" i="5"/>
  <c r="L18" i="5" s="1"/>
  <c r="H16" i="5"/>
  <c r="H15" i="5"/>
  <c r="L14" i="5"/>
  <c r="D11" i="5"/>
  <c r="E11" i="5" s="1"/>
  <c r="D10" i="5"/>
  <c r="E10" i="5" s="1"/>
  <c r="L12" i="5"/>
  <c r="D9" i="5"/>
  <c r="E9" i="5" s="1"/>
  <c r="D8" i="5"/>
  <c r="E8" i="5" s="1"/>
  <c r="D7" i="5"/>
  <c r="E7" i="5" s="1"/>
  <c r="I6" i="5"/>
  <c r="D6" i="5"/>
  <c r="E6" i="5" s="1"/>
  <c r="D5" i="5"/>
  <c r="E5" i="5" s="1"/>
  <c r="D4" i="5"/>
  <c r="E4" i="5" s="1"/>
  <c r="AB3" i="5"/>
  <c r="D3" i="5"/>
  <c r="E3" i="5" s="1"/>
  <c r="AD20" i="1"/>
  <c r="AD3" i="1" s="1"/>
  <c r="D8" i="2"/>
  <c r="E8" i="2" s="1"/>
  <c r="E5" i="2"/>
  <c r="E12" i="2"/>
  <c r="L14" i="1"/>
  <c r="L12" i="1"/>
  <c r="L16" i="1" s="1"/>
  <c r="L17" i="1"/>
  <c r="D4" i="2"/>
  <c r="E4" i="2" s="1"/>
  <c r="J4" i="2"/>
  <c r="K4" i="2" s="1"/>
  <c r="P4" i="2"/>
  <c r="Q4" i="2" s="1"/>
  <c r="D5" i="2"/>
  <c r="J5" i="2"/>
  <c r="K5" i="2" s="1"/>
  <c r="P5" i="2"/>
  <c r="Q5" i="2" s="1"/>
  <c r="D6" i="2"/>
  <c r="E6" i="2" s="1"/>
  <c r="J6" i="2"/>
  <c r="K6" i="2" s="1"/>
  <c r="P6" i="2"/>
  <c r="Q6" i="2" s="1"/>
  <c r="D7" i="2"/>
  <c r="E7" i="2" s="1"/>
  <c r="J7" i="2"/>
  <c r="K7" i="2" s="1"/>
  <c r="P7" i="2"/>
  <c r="Q7" i="2" s="1"/>
  <c r="J8" i="2"/>
  <c r="K8" i="2" s="1"/>
  <c r="P8" i="2"/>
  <c r="Q8" i="2" s="1"/>
  <c r="D9" i="2"/>
  <c r="E9" i="2" s="1"/>
  <c r="J9" i="2"/>
  <c r="K9" i="2" s="1"/>
  <c r="P9" i="2"/>
  <c r="Q9" i="2" s="1"/>
  <c r="D10" i="2"/>
  <c r="E10" i="2" s="1"/>
  <c r="J10" i="2"/>
  <c r="K10" i="2" s="1"/>
  <c r="P10" i="2"/>
  <c r="Q10" i="2" s="1"/>
  <c r="D11" i="2"/>
  <c r="E11" i="2" s="1"/>
  <c r="J11" i="2"/>
  <c r="K11" i="2" s="1"/>
  <c r="P11" i="2"/>
  <c r="Q11" i="2" s="1"/>
  <c r="D12" i="2"/>
  <c r="J12" i="2"/>
  <c r="K12" i="2" s="1"/>
  <c r="P12" i="2"/>
  <c r="Q12" i="2" s="1"/>
  <c r="E19" i="2"/>
  <c r="K19" i="2"/>
  <c r="Q19" i="2"/>
  <c r="R3" i="10" l="1"/>
  <c r="V3" i="10"/>
  <c r="I8" i="10"/>
  <c r="O4" i="10" s="1"/>
  <c r="I5" i="10"/>
  <c r="I4" i="10"/>
  <c r="I3" i="10"/>
  <c r="O7" i="10" s="1"/>
  <c r="I17" i="10"/>
  <c r="I14" i="10"/>
  <c r="I18" i="10"/>
  <c r="R4" i="9"/>
  <c r="V4" i="9"/>
  <c r="AA16" i="9"/>
  <c r="I17" i="9"/>
  <c r="I14" i="9"/>
  <c r="I18" i="9"/>
  <c r="R7" i="9"/>
  <c r="V7" i="9"/>
  <c r="I9" i="9"/>
  <c r="L16" i="5"/>
  <c r="I13" i="5" s="1"/>
  <c r="I13" i="6"/>
  <c r="I18" i="6"/>
  <c r="E12" i="6"/>
  <c r="L18" i="6"/>
  <c r="E12" i="5"/>
  <c r="AD16" i="5"/>
  <c r="AC3" i="5"/>
  <c r="Q13" i="2"/>
  <c r="Q15" i="2" s="1"/>
  <c r="K13" i="2"/>
  <c r="K15" i="2" s="1"/>
  <c r="E13" i="2"/>
  <c r="E15" i="2" s="1"/>
  <c r="AF16" i="1"/>
  <c r="AA16" i="10" l="1"/>
  <c r="I15" i="10"/>
  <c r="L2" i="10" s="1"/>
  <c r="O5" i="10" s="1"/>
  <c r="I16" i="10"/>
  <c r="L3" i="10" s="1"/>
  <c r="R4" i="10"/>
  <c r="V4" i="10" s="1"/>
  <c r="R7" i="10"/>
  <c r="V7" i="10"/>
  <c r="I9" i="10"/>
  <c r="S12" i="9"/>
  <c r="L19" i="9"/>
  <c r="AB4" i="9" s="1"/>
  <c r="AB5" i="9" s="1"/>
  <c r="AC10" i="9" s="1"/>
  <c r="AD10" i="9" s="1"/>
  <c r="AE10" i="9" s="1"/>
  <c r="O6" i="9"/>
  <c r="I16" i="9"/>
  <c r="L3" i="9"/>
  <c r="I15" i="9"/>
  <c r="I17" i="6"/>
  <c r="I14" i="6"/>
  <c r="O3" i="6"/>
  <c r="I2" i="6"/>
  <c r="AD3" i="5"/>
  <c r="I2" i="5"/>
  <c r="O3" i="5"/>
  <c r="I17" i="5"/>
  <c r="I14" i="5"/>
  <c r="I18" i="5"/>
  <c r="E17" i="2"/>
  <c r="E16" i="2"/>
  <c r="E21" i="2"/>
  <c r="E18" i="2"/>
  <c r="K18" i="2"/>
  <c r="K21" i="2"/>
  <c r="K17" i="2"/>
  <c r="K16" i="2"/>
  <c r="Q17" i="2"/>
  <c r="Q16" i="2"/>
  <c r="Q18" i="2"/>
  <c r="Q21" i="2"/>
  <c r="AE3" i="1"/>
  <c r="L19" i="10" l="1"/>
  <c r="AB4" i="10" s="1"/>
  <c r="AB5" i="10" s="1"/>
  <c r="AC10" i="10" s="1"/>
  <c r="AD10" i="10" s="1"/>
  <c r="AE10" i="10" s="1"/>
  <c r="S12" i="10"/>
  <c r="O6" i="10"/>
  <c r="V5" i="10"/>
  <c r="R5" i="10"/>
  <c r="AD4" i="10"/>
  <c r="AD5" i="10" s="1"/>
  <c r="AC12" i="10" s="1"/>
  <c r="AD12" i="10" s="1"/>
  <c r="AE12" i="10" s="1"/>
  <c r="AC4" i="10"/>
  <c r="AC5" i="10" s="1"/>
  <c r="AC11" i="10" s="1"/>
  <c r="AD11" i="10" s="1"/>
  <c r="AE11" i="10" s="1"/>
  <c r="I19" i="10"/>
  <c r="L2" i="9"/>
  <c r="O5" i="9" s="1"/>
  <c r="I19" i="9"/>
  <c r="V6" i="9"/>
  <c r="AB16" i="9" s="1"/>
  <c r="AC16" i="9" s="1"/>
  <c r="AE16" i="9" s="1"/>
  <c r="R6" i="9"/>
  <c r="T21" i="9"/>
  <c r="AD4" i="9"/>
  <c r="AD5" i="9" s="1"/>
  <c r="AC12" i="9" s="1"/>
  <c r="AD12" i="9" s="1"/>
  <c r="AE12" i="9" s="1"/>
  <c r="AC4" i="9"/>
  <c r="AC5" i="9" s="1"/>
  <c r="AC11" i="9" s="1"/>
  <c r="AD11" i="9" s="1"/>
  <c r="AE11" i="9" s="1"/>
  <c r="V3" i="6"/>
  <c r="AA16" i="6" s="1"/>
  <c r="I16" i="6"/>
  <c r="L3" i="6" s="1"/>
  <c r="I15" i="6"/>
  <c r="I8" i="6"/>
  <c r="O4" i="6" s="1"/>
  <c r="I5" i="6"/>
  <c r="I4" i="6"/>
  <c r="I3" i="6"/>
  <c r="O7" i="6" s="1"/>
  <c r="V3" i="5"/>
  <c r="I15" i="5"/>
  <c r="I16" i="5"/>
  <c r="L3" i="5"/>
  <c r="I8" i="5"/>
  <c r="O4" i="5" s="1"/>
  <c r="I5" i="5"/>
  <c r="I4" i="5"/>
  <c r="I3" i="5"/>
  <c r="O7" i="5" s="1"/>
  <c r="E22" i="2"/>
  <c r="K22" i="2"/>
  <c r="Q22" i="2"/>
  <c r="AF3" i="1"/>
  <c r="L18" i="1"/>
  <c r="H18" i="1"/>
  <c r="V12" i="10" l="1"/>
  <c r="AC9" i="10"/>
  <c r="AD9" i="10" s="1"/>
  <c r="AE9" i="10" s="1"/>
  <c r="R6" i="10"/>
  <c r="V6" i="10" s="1"/>
  <c r="V8" i="10" s="1"/>
  <c r="S13" i="10"/>
  <c r="T21" i="10"/>
  <c r="V12" i="9"/>
  <c r="AC9" i="9"/>
  <c r="AD9" i="9" s="1"/>
  <c r="AE9" i="9" s="1"/>
  <c r="R5" i="9"/>
  <c r="V5" i="9" s="1"/>
  <c r="V8" i="9" s="1"/>
  <c r="V21" i="9" s="1"/>
  <c r="L2" i="5"/>
  <c r="O5" i="5" s="1"/>
  <c r="I19" i="5"/>
  <c r="V12" i="5" s="1"/>
  <c r="AD4" i="6"/>
  <c r="AD5" i="6" s="1"/>
  <c r="AC12" i="6" s="1"/>
  <c r="AD12" i="6" s="1"/>
  <c r="AC4" i="6"/>
  <c r="AC5" i="6" s="1"/>
  <c r="AC11" i="6" s="1"/>
  <c r="AD11" i="6" s="1"/>
  <c r="L2" i="6"/>
  <c r="O5" i="6" s="1"/>
  <c r="I19" i="6"/>
  <c r="V4" i="6"/>
  <c r="V7" i="6"/>
  <c r="I9" i="6"/>
  <c r="AA16" i="5"/>
  <c r="V4" i="5"/>
  <c r="V5" i="5"/>
  <c r="V7" i="5"/>
  <c r="I9" i="5"/>
  <c r="AD4" i="5"/>
  <c r="AD5" i="5" s="1"/>
  <c r="AC12" i="5" s="1"/>
  <c r="AD12" i="5" s="1"/>
  <c r="AE12" i="5" s="1"/>
  <c r="AC4" i="5"/>
  <c r="AC5" i="5" s="1"/>
  <c r="AC11" i="5" s="1"/>
  <c r="AD11" i="5" s="1"/>
  <c r="I13" i="1"/>
  <c r="D5" i="1"/>
  <c r="E5" i="1" s="1"/>
  <c r="D6" i="1"/>
  <c r="E6" i="1" s="1"/>
  <c r="V21" i="10" l="1"/>
  <c r="AB16" i="10"/>
  <c r="AC16" i="10" s="1"/>
  <c r="AE16" i="10" s="1"/>
  <c r="V16" i="10"/>
  <c r="V15" i="10"/>
  <c r="Y12" i="10"/>
  <c r="P21" i="10"/>
  <c r="V14" i="10"/>
  <c r="V13" i="10"/>
  <c r="Y13" i="10" s="1"/>
  <c r="V22" i="9"/>
  <c r="V23" i="9" s="1"/>
  <c r="V24" i="9" s="1"/>
  <c r="V13" i="9"/>
  <c r="Y13" i="9" s="1"/>
  <c r="V15" i="9"/>
  <c r="Y12" i="9"/>
  <c r="V14" i="9"/>
  <c r="P21" i="9"/>
  <c r="V16" i="9"/>
  <c r="S13" i="9"/>
  <c r="AE11" i="5"/>
  <c r="AC9" i="5"/>
  <c r="AD9" i="5" s="1"/>
  <c r="AE9" i="5" s="1"/>
  <c r="AC9" i="6"/>
  <c r="AD9" i="6" s="1"/>
  <c r="AE9" i="6" s="1"/>
  <c r="V12" i="6"/>
  <c r="L19" i="6"/>
  <c r="AB4" i="6" s="1"/>
  <c r="AB5" i="6" s="1"/>
  <c r="AC10" i="6" s="1"/>
  <c r="AD10" i="6" s="1"/>
  <c r="AE10" i="6" s="1"/>
  <c r="O6" i="6"/>
  <c r="S12" i="6"/>
  <c r="AE12" i="6"/>
  <c r="V5" i="6"/>
  <c r="AE11" i="6"/>
  <c r="P21" i="5"/>
  <c r="V16" i="5"/>
  <c r="V13" i="5"/>
  <c r="V15" i="5"/>
  <c r="V14" i="5"/>
  <c r="O6" i="5"/>
  <c r="L19" i="5"/>
  <c r="AB4" i="5" s="1"/>
  <c r="AB5" i="5" s="1"/>
  <c r="AC10" i="5" s="1"/>
  <c r="AD10" i="5" s="1"/>
  <c r="AE10" i="5" s="1"/>
  <c r="S12" i="5"/>
  <c r="D11" i="1"/>
  <c r="E11" i="1" s="1"/>
  <c r="D10" i="1"/>
  <c r="E10" i="1" s="1"/>
  <c r="D9" i="1"/>
  <c r="E9" i="1" s="1"/>
  <c r="D8" i="1"/>
  <c r="E8" i="1" s="1"/>
  <c r="D7" i="1"/>
  <c r="E7" i="1" s="1"/>
  <c r="D4" i="1"/>
  <c r="E4" i="1" s="1"/>
  <c r="D3" i="1"/>
  <c r="E3" i="1" s="1"/>
  <c r="I18" i="1"/>
  <c r="I17" i="1"/>
  <c r="H16" i="1"/>
  <c r="H15" i="1"/>
  <c r="I14" i="1"/>
  <c r="I6" i="1"/>
  <c r="P22" i="10" l="1"/>
  <c r="T22" i="10" s="1"/>
  <c r="P25" i="10"/>
  <c r="P23" i="10"/>
  <c r="P24" i="10"/>
  <c r="S14" i="10"/>
  <c r="S15" i="10" s="1"/>
  <c r="S16" i="10" s="1"/>
  <c r="Y16" i="10" s="1"/>
  <c r="V25" i="10"/>
  <c r="V22" i="10"/>
  <c r="V23" i="10" s="1"/>
  <c r="V24" i="10" s="1"/>
  <c r="T26" i="10"/>
  <c r="P22" i="9"/>
  <c r="T22" i="9" s="1"/>
  <c r="P23" i="9"/>
  <c r="P24" i="9"/>
  <c r="T26" i="9"/>
  <c r="Y14" i="9"/>
  <c r="Y16" i="9"/>
  <c r="S14" i="9"/>
  <c r="S15" i="9" s="1"/>
  <c r="S16" i="9" s="1"/>
  <c r="V25" i="9"/>
  <c r="V15" i="6"/>
  <c r="Y12" i="6"/>
  <c r="V14" i="6"/>
  <c r="P21" i="6"/>
  <c r="V16" i="6"/>
  <c r="V13" i="6"/>
  <c r="S13" i="6"/>
  <c r="S14" i="6" s="1"/>
  <c r="S15" i="6" s="1"/>
  <c r="S16" i="6" s="1"/>
  <c r="T21" i="6"/>
  <c r="S13" i="5"/>
  <c r="S14" i="5" s="1"/>
  <c r="S15" i="5" s="1"/>
  <c r="S16" i="5" s="1"/>
  <c r="Y16" i="5" s="1"/>
  <c r="T21" i="5"/>
  <c r="Y12" i="5"/>
  <c r="P22" i="5"/>
  <c r="P24" i="5"/>
  <c r="P25" i="5" s="1"/>
  <c r="P23" i="5"/>
  <c r="I16" i="1"/>
  <c r="L3" i="1" s="1"/>
  <c r="I15" i="1"/>
  <c r="L2" i="1" s="1"/>
  <c r="O5" i="1" s="1"/>
  <c r="E12" i="1"/>
  <c r="T23" i="10" l="1"/>
  <c r="T24" i="10" s="1"/>
  <c r="T25" i="10"/>
  <c r="Y14" i="10"/>
  <c r="Y15" i="10"/>
  <c r="T23" i="9"/>
  <c r="T24" i="9" s="1"/>
  <c r="T25" i="9"/>
  <c r="R5" i="1"/>
  <c r="V5" i="1" s="1"/>
  <c r="P25" i="9"/>
  <c r="Y15" i="9"/>
  <c r="Y17" i="9" s="1"/>
  <c r="T26" i="6"/>
  <c r="V6" i="6"/>
  <c r="V8" i="6" s="1"/>
  <c r="V21" i="6" s="1"/>
  <c r="P22" i="6"/>
  <c r="T22" i="6" s="1"/>
  <c r="P23" i="6"/>
  <c r="P25" i="6" s="1"/>
  <c r="P24" i="6"/>
  <c r="Y14" i="6"/>
  <c r="Y13" i="6"/>
  <c r="Y16" i="6"/>
  <c r="Y15" i="6"/>
  <c r="Y15" i="5"/>
  <c r="V6" i="5"/>
  <c r="V8" i="5" s="1"/>
  <c r="V21" i="5" s="1"/>
  <c r="Y14" i="5"/>
  <c r="T22" i="5"/>
  <c r="T23" i="5" s="1"/>
  <c r="T24" i="5" s="1"/>
  <c r="Y13" i="5"/>
  <c r="Y17" i="5" s="1"/>
  <c r="AF4" i="1"/>
  <c r="AF5" i="1" s="1"/>
  <c r="AE12" i="1" s="1"/>
  <c r="I19" i="1"/>
  <c r="AE4" i="1"/>
  <c r="AE5" i="1" s="1"/>
  <c r="AE11" i="1" s="1"/>
  <c r="I2" i="1"/>
  <c r="I8" i="1" s="1"/>
  <c r="O4" i="1" s="1"/>
  <c r="O3" i="1"/>
  <c r="R3" i="1" s="1"/>
  <c r="Y17" i="10" l="1"/>
  <c r="R4" i="1"/>
  <c r="V4" i="1" s="1"/>
  <c r="V12" i="1"/>
  <c r="AE9" i="1"/>
  <c r="Y17" i="6"/>
  <c r="T23" i="6"/>
  <c r="T24" i="6" s="1"/>
  <c r="T25" i="6"/>
  <c r="V22" i="6"/>
  <c r="V23" i="6" s="1"/>
  <c r="V24" i="6" s="1"/>
  <c r="AB16" i="6"/>
  <c r="AC16" i="6" s="1"/>
  <c r="AE16" i="6" s="1"/>
  <c r="V22" i="5"/>
  <c r="V23" i="5" s="1"/>
  <c r="V24" i="5" s="1"/>
  <c r="T25" i="5"/>
  <c r="AB16" i="5"/>
  <c r="AC16" i="5" s="1"/>
  <c r="AE16" i="5" s="1"/>
  <c r="I3" i="1"/>
  <c r="O7" i="1" s="1"/>
  <c r="I4" i="1"/>
  <c r="I5" i="1"/>
  <c r="I9" i="1" s="1"/>
  <c r="V3" i="1"/>
  <c r="R7" i="1" l="1"/>
  <c r="V7" i="1" s="1"/>
  <c r="V25" i="5"/>
  <c r="V25" i="6"/>
  <c r="V15" i="1"/>
  <c r="V14" i="1"/>
  <c r="V13" i="1"/>
  <c r="P21" i="1"/>
  <c r="V16" i="1"/>
  <c r="O6" i="1"/>
  <c r="R6" i="1" s="1"/>
  <c r="S12" i="1"/>
  <c r="AG12" i="1"/>
  <c r="AG9" i="1"/>
  <c r="AD4" i="1"/>
  <c r="AD5" i="1" s="1"/>
  <c r="AE10" i="1" s="1"/>
  <c r="AG10" i="1" s="1"/>
  <c r="AG11" i="1"/>
  <c r="AC16" i="1"/>
  <c r="P22" i="1" l="1"/>
  <c r="P24" i="1"/>
  <c r="P25" i="1" s="1"/>
  <c r="P23" i="1"/>
  <c r="T21" i="1"/>
  <c r="Y12" i="1"/>
  <c r="S13" i="1"/>
  <c r="V6" i="1"/>
  <c r="V8" i="1" s="1"/>
  <c r="V21" i="1" l="1"/>
  <c r="T22" i="1"/>
  <c r="T23" i="1" s="1"/>
  <c r="T24" i="1" s="1"/>
  <c r="T26" i="1"/>
  <c r="AD16" i="1"/>
  <c r="AE16" i="1" s="1"/>
  <c r="AG16" i="1" s="1"/>
  <c r="S14" i="1"/>
  <c r="Y13" i="1"/>
  <c r="T25" i="1" l="1"/>
  <c r="Y14" i="1"/>
  <c r="S15" i="1"/>
  <c r="Y15" i="1" s="1"/>
  <c r="V22" i="1"/>
  <c r="V23" i="1" s="1"/>
  <c r="V24" i="1" s="1"/>
  <c r="S16" i="1" l="1"/>
  <c r="Y16" i="1" s="1"/>
  <c r="Y17" i="1" s="1"/>
  <c r="V25" i="1"/>
</calcChain>
</file>

<file path=xl/sharedStrings.xml><?xml version="1.0" encoding="utf-8"?>
<sst xmlns="http://schemas.openxmlformats.org/spreadsheetml/2006/main" count="799" uniqueCount="161">
  <si>
    <t>Boiler</t>
  </si>
  <si>
    <t>Condenser</t>
  </si>
  <si>
    <t>Pump</t>
  </si>
  <si>
    <t>Generator</t>
  </si>
  <si>
    <t>unit</t>
  </si>
  <si>
    <t>total</t>
  </si>
  <si>
    <t>price ($)</t>
  </si>
  <si>
    <t>price (Php)</t>
  </si>
  <si>
    <t>Capital Expenditures</t>
  </si>
  <si>
    <t>Equipment Cost</t>
  </si>
  <si>
    <t>Miscellaneous Cost</t>
  </si>
  <si>
    <t>Building Cost</t>
  </si>
  <si>
    <t>Electrical Cost</t>
  </si>
  <si>
    <t>Excavation and Foundation Cost</t>
  </si>
  <si>
    <t>Instrumentation and Control</t>
  </si>
  <si>
    <t>Annual Operating Expenditures</t>
  </si>
  <si>
    <t>Fuel Cost</t>
  </si>
  <si>
    <t>Labor</t>
  </si>
  <si>
    <t>Maintenance and Repair</t>
  </si>
  <si>
    <t>Supervision</t>
  </si>
  <si>
    <t>Supplies</t>
  </si>
  <si>
    <t>Operating Taxes</t>
  </si>
  <si>
    <t>service facilities cost</t>
  </si>
  <si>
    <t>auxilliary cost</t>
  </si>
  <si>
    <t>Heat rate KJ/MW-hr</t>
  </si>
  <si>
    <t>Low Pressure Turbine</t>
  </si>
  <si>
    <t>High Pressure Turbine</t>
  </si>
  <si>
    <t>Double Flow Turbine</t>
  </si>
  <si>
    <t>Equipment</t>
  </si>
  <si>
    <r>
      <t xml:space="preserve">Land Cost </t>
    </r>
    <r>
      <rPr>
        <b/>
        <sz val="11"/>
        <color theme="1"/>
        <rFont val="Avenir Next LT Pro"/>
        <family val="2"/>
      </rPr>
      <t>(1250/m2)</t>
    </r>
  </si>
  <si>
    <t>HHV kJ/kg</t>
  </si>
  <si>
    <t>Annual Revenue</t>
  </si>
  <si>
    <t>Revenue</t>
  </si>
  <si>
    <t>Annual Depreciation</t>
  </si>
  <si>
    <t>Coal price ($)</t>
  </si>
  <si>
    <t>Coal price (Php)</t>
  </si>
  <si>
    <t>BookValue</t>
  </si>
  <si>
    <t>Salvage Value</t>
  </si>
  <si>
    <t>Service Life</t>
  </si>
  <si>
    <t>Depreciation</t>
  </si>
  <si>
    <t>Service Facilities</t>
    <phoneticPr fontId="2" type="noConversion"/>
  </si>
  <si>
    <t>Total</t>
  </si>
  <si>
    <t>Instrumentation &amp; Cost</t>
  </si>
  <si>
    <t>Capital Cost</t>
  </si>
  <si>
    <t>Miscellaneous</t>
  </si>
  <si>
    <t>Year</t>
  </si>
  <si>
    <t>Period</t>
  </si>
  <si>
    <t>TCL</t>
  </si>
  <si>
    <t>Net Income After Tax</t>
  </si>
  <si>
    <t>ROI</t>
  </si>
  <si>
    <t>Average</t>
    <phoneticPr fontId="2" type="noConversion"/>
  </si>
  <si>
    <t>Average</t>
  </si>
  <si>
    <t>Payback Period</t>
  </si>
  <si>
    <t>Sensitivity Analysis</t>
    <phoneticPr fontId="2" type="noConversion"/>
  </si>
  <si>
    <t>Power Generation -10%</t>
  </si>
  <si>
    <t>Increase Fuel Price 10%</t>
  </si>
  <si>
    <t>Decrease Fuel Price 10%</t>
  </si>
  <si>
    <t>For Power Generation - 10%</t>
  </si>
  <si>
    <t>Design</t>
    <phoneticPr fontId="2" type="noConversion"/>
  </si>
  <si>
    <t>Operating Cost</t>
  </si>
  <si>
    <t>Total Revenue</t>
  </si>
  <si>
    <t>Particular</t>
  </si>
  <si>
    <t>Change</t>
  </si>
  <si>
    <t>ENPV</t>
  </si>
  <si>
    <t>EIRR</t>
  </si>
  <si>
    <t>Base Case</t>
  </si>
  <si>
    <t>PHP</t>
  </si>
  <si>
    <t>%</t>
  </si>
  <si>
    <t>Construction Delay</t>
    <phoneticPr fontId="2" type="noConversion"/>
  </si>
  <si>
    <t xml:space="preserve">1 year </t>
    <phoneticPr fontId="2" type="noConversion"/>
  </si>
  <si>
    <t>Reduce of Power Generation by 10%</t>
  </si>
  <si>
    <t>Increase of Fuel Price by 10%</t>
  </si>
  <si>
    <t>Drop of Fuel Price by 10%</t>
  </si>
  <si>
    <t>Break Even</t>
    <phoneticPr fontId="2" type="noConversion"/>
  </si>
  <si>
    <t>Annual Equipment Cost</t>
  </si>
  <si>
    <t>Annual Capital Cost</t>
  </si>
  <si>
    <t>Equivalent Total Annual Cost</t>
  </si>
  <si>
    <t>Equivalent Total Annual Benefit</t>
  </si>
  <si>
    <t>Unit Generated To Break Even (MW)</t>
  </si>
  <si>
    <t>Relative Capital Cost</t>
  </si>
  <si>
    <t>instrumentation and control</t>
  </si>
  <si>
    <t>Land Cost (1250/m2)</t>
  </si>
  <si>
    <t>Excavation and Foundation</t>
  </si>
  <si>
    <t xml:space="preserve">Electrical Cost </t>
  </si>
  <si>
    <t>Total equipment cost</t>
  </si>
  <si>
    <t>Total Equipment Cost</t>
  </si>
  <si>
    <t>Closed FW Heater</t>
  </si>
  <si>
    <t>Deaerator</t>
  </si>
  <si>
    <t>Php/kW</t>
  </si>
  <si>
    <t>Total Cost Php</t>
  </si>
  <si>
    <t>Total Cost $</t>
  </si>
  <si>
    <t>Unit</t>
  </si>
  <si>
    <t>Cost</t>
  </si>
  <si>
    <t>Europe</t>
  </si>
  <si>
    <t>China</t>
  </si>
  <si>
    <t>US</t>
  </si>
  <si>
    <t>Equipment (EU)</t>
  </si>
  <si>
    <t>Capacity (kW)</t>
  </si>
  <si>
    <t>Electricity cost per kWh</t>
  </si>
  <si>
    <t>heat rate (kJ/kWh)</t>
  </si>
  <si>
    <t>Note</t>
  </si>
  <si>
    <t>Depreciation Rate</t>
  </si>
  <si>
    <t>Equipment (US)</t>
  </si>
  <si>
    <t>Equipment (CHI)</t>
  </si>
  <si>
    <t>Installed Capacity</t>
  </si>
  <si>
    <t>MW</t>
  </si>
  <si>
    <t>Capacity Factor</t>
  </si>
  <si>
    <t>Energy</t>
  </si>
  <si>
    <t>GWh/year</t>
  </si>
  <si>
    <t>Cost/KW</t>
  </si>
  <si>
    <t>Php</t>
  </si>
  <si>
    <t>Life</t>
  </si>
  <si>
    <t>Years</t>
  </si>
  <si>
    <t>Discount Rate</t>
  </si>
  <si>
    <t>Capital Recovery Factor</t>
  </si>
  <si>
    <t>Annual Capacity Cost</t>
  </si>
  <si>
    <t>Fixed O&amp;M</t>
  </si>
  <si>
    <t>Total Fixed Cost</t>
  </si>
  <si>
    <t>Fixed Cost/kWh</t>
  </si>
  <si>
    <t>Php/kWh</t>
  </si>
  <si>
    <t>Variable Cost/kWh</t>
  </si>
  <si>
    <t>LCOE</t>
  </si>
  <si>
    <t>DESIGN 3</t>
  </si>
  <si>
    <t>total equity</t>
  </si>
  <si>
    <t>total loan</t>
  </si>
  <si>
    <t>DSCR</t>
  </si>
  <si>
    <t>Total loan</t>
  </si>
  <si>
    <t>Total equity</t>
  </si>
  <si>
    <t>Quantiity</t>
  </si>
  <si>
    <t>US Equipment</t>
  </si>
  <si>
    <t>European Equipment</t>
  </si>
  <si>
    <t>Unit Price</t>
  </si>
  <si>
    <t>US$</t>
  </si>
  <si>
    <t>TOTAL</t>
  </si>
  <si>
    <t>Chinese Equipment</t>
  </si>
  <si>
    <t>EQUIPMENT SELECTION</t>
  </si>
  <si>
    <t>Ave. Efficiency</t>
  </si>
  <si>
    <t>T1 years</t>
  </si>
  <si>
    <t>T2 years</t>
  </si>
  <si>
    <t>O&amp;M</t>
  </si>
  <si>
    <t>US equipment</t>
  </si>
  <si>
    <t>European equipment</t>
  </si>
  <si>
    <t>(Equipment/Model)</t>
  </si>
  <si>
    <t>total capital cost</t>
  </si>
  <si>
    <t>average generation</t>
  </si>
  <si>
    <t>GWh</t>
  </si>
  <si>
    <t>DSCR, first year</t>
  </si>
  <si>
    <t>[   ]</t>
  </si>
  <si>
    <t>FIRR,</t>
  </si>
  <si>
    <t>Units</t>
  </si>
  <si>
    <t>n =</t>
  </si>
  <si>
    <t>roi</t>
  </si>
  <si>
    <t>Operating Expenditures</t>
  </si>
  <si>
    <t>Future Revenue</t>
  </si>
  <si>
    <t>Future Cash Flow</t>
  </si>
  <si>
    <t>Initial Cost</t>
  </si>
  <si>
    <t>Total Capital Cost</t>
  </si>
  <si>
    <t>CASE 1. REDUCTION OF POWER GENERATION BY 10%</t>
  </si>
  <si>
    <t>CASE 2. INCREASE OF FUEL PRICE BY 10%</t>
  </si>
  <si>
    <t>CASE 2. DROP OF FUEL PRICE BY 10%</t>
  </si>
  <si>
    <t>CASE 3. DROP OF FUEL PRICE BY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</si>
</sst>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₱-3409]* #,##0.00_-;\-[$₱-3409]* #,##0.00_-;_-[$₱-3409]* &quot;-&quot;??_-;_-@_-"/>
    <numFmt numFmtId="165" formatCode="_([$$-409]* #,##0.00_);_([$$-409]* \(#,##0.00\);_([$$-409]* &quot;-&quot;??_);_(@_)"/>
    <numFmt numFmtId="166" formatCode="0.000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43" fontId="2" fillId="0" borderId="0" xfId="1" applyFont="1" applyAlignment="1">
      <alignment horizontal="left" vertical="center"/>
    </xf>
    <xf numFmtId="43" fontId="2" fillId="0" borderId="1" xfId="1" applyFont="1" applyBorder="1" applyAlignment="1">
      <alignment horizontal="left" vertical="center"/>
    </xf>
    <xf numFmtId="43" fontId="2" fillId="0" borderId="0" xfId="1" applyFont="1" applyBorder="1" applyAlignment="1">
      <alignment horizontal="left" vertical="center"/>
    </xf>
    <xf numFmtId="43" fontId="3" fillId="0" borderId="0" xfId="1" applyFont="1" applyBorder="1" applyAlignment="1">
      <alignment horizontal="center" vertical="center"/>
    </xf>
    <xf numFmtId="43" fontId="3" fillId="0" borderId="1" xfId="1" applyFont="1" applyBorder="1" applyAlignment="1">
      <alignment horizontal="left" vertical="center"/>
    </xf>
    <xf numFmtId="43" fontId="5" fillId="0" borderId="0" xfId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43" fontId="5" fillId="0" borderId="0" xfId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43" fontId="2" fillId="2" borderId="1" xfId="1" applyFont="1" applyFill="1" applyBorder="1" applyAlignment="1">
      <alignment horizontal="left" vertical="center"/>
    </xf>
    <xf numFmtId="10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left" vertical="center"/>
    </xf>
    <xf numFmtId="164" fontId="5" fillId="0" borderId="1" xfId="3" applyNumberFormat="1" applyFont="1" applyBorder="1" applyAlignment="1">
      <alignment horizontal="left" vertical="center"/>
    </xf>
    <xf numFmtId="43" fontId="2" fillId="0" borderId="1" xfId="1" applyFont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2" fillId="0" borderId="1" xfId="2" applyNumberFormat="1" applyFont="1" applyBorder="1" applyAlignment="1">
      <alignment horizontal="left" vertical="center"/>
    </xf>
    <xf numFmtId="43" fontId="2" fillId="0" borderId="1" xfId="1" applyNumberFormat="1" applyFont="1" applyBorder="1" applyAlignment="1">
      <alignment horizontal="center" vertical="center"/>
    </xf>
    <xf numFmtId="43" fontId="3" fillId="0" borderId="0" xfId="1" applyFont="1" applyAlignment="1">
      <alignment horizontal="left" vertical="center"/>
    </xf>
    <xf numFmtId="43" fontId="2" fillId="0" borderId="22" xfId="1" applyFont="1" applyBorder="1"/>
    <xf numFmtId="43" fontId="2" fillId="0" borderId="1" xfId="1" applyFont="1" applyBorder="1"/>
    <xf numFmtId="44" fontId="2" fillId="0" borderId="22" xfId="2" applyFont="1" applyBorder="1"/>
    <xf numFmtId="44" fontId="2" fillId="0" borderId="1" xfId="2" applyFont="1" applyBorder="1"/>
    <xf numFmtId="0" fontId="2" fillId="0" borderId="2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5" borderId="0" xfId="1" applyFont="1" applyFill="1"/>
    <xf numFmtId="43" fontId="2" fillId="0" borderId="0" xfId="1" applyFont="1"/>
    <xf numFmtId="43" fontId="2" fillId="3" borderId="0" xfId="1" applyFont="1" applyFill="1"/>
    <xf numFmtId="43" fontId="2" fillId="0" borderId="25" xfId="1" applyFont="1" applyBorder="1"/>
    <xf numFmtId="43" fontId="2" fillId="0" borderId="24" xfId="1" applyFont="1" applyBorder="1"/>
    <xf numFmtId="43" fontId="2" fillId="0" borderId="23" xfId="1" applyFont="1" applyBorder="1"/>
    <xf numFmtId="43" fontId="2" fillId="0" borderId="5" xfId="1" applyFont="1" applyBorder="1"/>
    <xf numFmtId="43" fontId="2" fillId="0" borderId="21" xfId="1" applyFont="1" applyBorder="1"/>
    <xf numFmtId="43" fontId="2" fillId="4" borderId="19" xfId="1" applyFont="1" applyFill="1" applyBorder="1"/>
    <xf numFmtId="43" fontId="2" fillId="0" borderId="17" xfId="1" applyFont="1" applyBorder="1"/>
    <xf numFmtId="43" fontId="2" fillId="4" borderId="20" xfId="1" applyFont="1" applyFill="1" applyBorder="1"/>
    <xf numFmtId="43" fontId="2" fillId="4" borderId="18" xfId="1" applyFont="1" applyFill="1" applyBorder="1"/>
    <xf numFmtId="43" fontId="2" fillId="0" borderId="16" xfId="1" applyFont="1" applyBorder="1"/>
    <xf numFmtId="43" fontId="2" fillId="4" borderId="0" xfId="1" applyFont="1" applyFill="1"/>
    <xf numFmtId="43" fontId="2" fillId="0" borderId="15" xfId="1" applyFont="1" applyBorder="1"/>
    <xf numFmtId="43" fontId="2" fillId="4" borderId="13" xfId="1" applyFont="1" applyFill="1" applyBorder="1"/>
    <xf numFmtId="43" fontId="2" fillId="4" borderId="12" xfId="1" applyFont="1" applyFill="1" applyBorder="1"/>
    <xf numFmtId="43" fontId="2" fillId="0" borderId="14" xfId="1" applyFont="1" applyBorder="1"/>
    <xf numFmtId="43" fontId="2" fillId="4" borderId="9" xfId="1" applyFont="1" applyFill="1" applyBorder="1"/>
    <xf numFmtId="43" fontId="2" fillId="0" borderId="11" xfId="1" applyFont="1" applyBorder="1"/>
    <xf numFmtId="164" fontId="2" fillId="0" borderId="22" xfId="1" applyNumberFormat="1" applyFont="1" applyBorder="1"/>
    <xf numFmtId="164" fontId="2" fillId="0" borderId="1" xfId="1" applyNumberFormat="1" applyFont="1" applyBorder="1"/>
    <xf numFmtId="164" fontId="2" fillId="0" borderId="5" xfId="1" applyNumberFormat="1" applyFont="1" applyBorder="1"/>
    <xf numFmtId="164" fontId="2" fillId="0" borderId="17" xfId="1" applyNumberFormat="1" applyFont="1" applyBorder="1"/>
    <xf numFmtId="164" fontId="2" fillId="0" borderId="15" xfId="1" applyNumberFormat="1" applyFont="1" applyBorder="1"/>
    <xf numFmtId="164" fontId="2" fillId="0" borderId="11" xfId="1" applyNumberFormat="1" applyFont="1" applyBorder="1"/>
    <xf numFmtId="16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43" fontId="4" fillId="6" borderId="0" xfId="1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3" fontId="4" fillId="5" borderId="0" xfId="1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43" fontId="3" fillId="7" borderId="1" xfId="1" applyFont="1" applyFill="1" applyBorder="1" applyAlignment="1">
      <alignment horizontal="center" vertical="center"/>
    </xf>
    <xf numFmtId="43" fontId="4" fillId="7" borderId="0" xfId="1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 wrapText="1"/>
    </xf>
    <xf numFmtId="43" fontId="0" fillId="0" borderId="1" xfId="0" applyNumberFormat="1" applyBorder="1"/>
    <xf numFmtId="2" fontId="0" fillId="0" borderId="1" xfId="0" applyNumberFormat="1" applyBorder="1"/>
    <xf numFmtId="43" fontId="0" fillId="0" borderId="0" xfId="1" applyFont="1"/>
    <xf numFmtId="10" fontId="5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0" fontId="6" fillId="0" borderId="0" xfId="0" applyFont="1"/>
    <xf numFmtId="43" fontId="6" fillId="0" borderId="0" xfId="1" applyFont="1"/>
    <xf numFmtId="0" fontId="6" fillId="0" borderId="25" xfId="0" applyFont="1" applyBorder="1"/>
    <xf numFmtId="0" fontId="6" fillId="0" borderId="23" xfId="0" applyFont="1" applyBorder="1"/>
    <xf numFmtId="43" fontId="6" fillId="0" borderId="0" xfId="0" applyNumberFormat="1" applyFont="1"/>
    <xf numFmtId="0" fontId="7" fillId="0" borderId="0" xfId="0" applyFont="1" applyAlignment="1"/>
    <xf numFmtId="2" fontId="6" fillId="0" borderId="0" xfId="0" applyNumberFormat="1" applyFont="1"/>
    <xf numFmtId="43" fontId="2" fillId="0" borderId="8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2" fillId="0" borderId="10" xfId="1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3" fontId="3" fillId="6" borderId="2" xfId="1" applyFont="1" applyFill="1" applyBorder="1" applyAlignment="1">
      <alignment horizontal="center" vertical="center"/>
    </xf>
    <xf numFmtId="43" fontId="3" fillId="6" borderId="3" xfId="1" applyFont="1" applyFill="1" applyBorder="1" applyAlignment="1">
      <alignment horizontal="center" vertical="center"/>
    </xf>
    <xf numFmtId="43" fontId="3" fillId="6" borderId="4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 wrapText="1"/>
    </xf>
    <xf numFmtId="43" fontId="4" fillId="6" borderId="0" xfId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43" fontId="3" fillId="6" borderId="1" xfId="1" applyFont="1" applyFill="1" applyBorder="1" applyAlignment="1">
      <alignment horizontal="center" vertical="center"/>
    </xf>
    <xf numFmtId="43" fontId="3" fillId="5" borderId="2" xfId="1" applyFont="1" applyFill="1" applyBorder="1" applyAlignment="1">
      <alignment horizontal="center" vertical="center"/>
    </xf>
    <xf numFmtId="43" fontId="3" fillId="5" borderId="3" xfId="1" applyFont="1" applyFill="1" applyBorder="1" applyAlignment="1">
      <alignment horizontal="center" vertical="center"/>
    </xf>
    <xf numFmtId="43" fontId="3" fillId="5" borderId="4" xfId="1" applyFont="1" applyFill="1" applyBorder="1" applyAlignment="1">
      <alignment horizontal="center" vertical="center"/>
    </xf>
    <xf numFmtId="43" fontId="3" fillId="5" borderId="1" xfId="1" applyFont="1" applyFill="1" applyBorder="1" applyAlignment="1">
      <alignment horizontal="center" vertical="center"/>
    </xf>
    <xf numFmtId="43" fontId="4" fillId="5" borderId="0" xfId="1" applyFont="1" applyFill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2" fontId="5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3" fontId="3" fillId="7" borderId="2" xfId="1" applyFont="1" applyFill="1" applyBorder="1" applyAlignment="1">
      <alignment horizontal="center" vertical="center"/>
    </xf>
    <xf numFmtId="43" fontId="3" fillId="7" borderId="3" xfId="1" applyFont="1" applyFill="1" applyBorder="1" applyAlignment="1">
      <alignment horizontal="center" vertical="center"/>
    </xf>
    <xf numFmtId="43" fontId="3" fillId="7" borderId="4" xfId="1" applyFont="1" applyFill="1" applyBorder="1" applyAlignment="1">
      <alignment horizontal="center" vertical="center"/>
    </xf>
    <xf numFmtId="43" fontId="3" fillId="7" borderId="1" xfId="1" applyFont="1" applyFill="1" applyBorder="1" applyAlignment="1">
      <alignment horizontal="center" vertical="center"/>
    </xf>
    <xf numFmtId="43" fontId="4" fillId="7" borderId="0" xfId="1" applyFont="1" applyFill="1" applyAlignment="1">
      <alignment horizontal="left" vertical="center"/>
    </xf>
    <xf numFmtId="43" fontId="4" fillId="6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Cash Outflow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'CASE 1 Graph'!$B$17:$B$41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1 Graph'!$C$17:$C$41</c:f>
              <c:numCache>
                <c:formatCode>_(* #,##0.00_);_(* \(#,##0.00\);_(* "-"??_);_(@_)</c:formatCode>
                <c:ptCount val="25"/>
                <c:pt idx="0">
                  <c:v>146634561399.6792</c:v>
                </c:pt>
                <c:pt idx="1">
                  <c:v>157970131585.06781</c:v>
                </c:pt>
                <c:pt idx="2">
                  <c:v>168869718301.7876</c:v>
                </c:pt>
                <c:pt idx="3">
                  <c:v>179350090144.78748</c:v>
                </c:pt>
                <c:pt idx="4">
                  <c:v>189427370763.05658</c:v>
                </c:pt>
                <c:pt idx="5">
                  <c:v>199117063665.23837</c:v>
                </c:pt>
                <c:pt idx="6">
                  <c:v>208434076071.18237</c:v>
                </c:pt>
                <c:pt idx="7">
                  <c:v>217392741846.1286</c:v>
                </c:pt>
                <c:pt idx="8">
                  <c:v>226006843552.80768</c:v>
                </c:pt>
                <c:pt idx="9">
                  <c:v>234289633655.38364</c:v>
                </c:pt>
                <c:pt idx="10">
                  <c:v>242253854907.86053</c:v>
                </c:pt>
                <c:pt idx="11">
                  <c:v>249911759958.31915</c:v>
                </c:pt>
                <c:pt idx="12">
                  <c:v>257275130199.14468</c:v>
                </c:pt>
                <c:pt idx="13">
                  <c:v>264355293892.24615</c:v>
                </c:pt>
                <c:pt idx="14">
                  <c:v>271163143597.15143</c:v>
                </c:pt>
                <c:pt idx="15">
                  <c:v>277709152928.79114</c:v>
                </c:pt>
                <c:pt idx="16">
                  <c:v>284003392670.75238</c:v>
                </c:pt>
                <c:pt idx="17">
                  <c:v>290055546268.79199</c:v>
                </c:pt>
                <c:pt idx="18">
                  <c:v>295874924728.44556</c:v>
                </c:pt>
                <c:pt idx="19">
                  <c:v>301470480939.65088</c:v>
                </c:pt>
                <c:pt idx="20">
                  <c:v>306850823450.42517</c:v>
                </c:pt>
                <c:pt idx="21">
                  <c:v>312024229710.78516</c:v>
                </c:pt>
                <c:pt idx="22">
                  <c:v>316998658807.28503</c:v>
                </c:pt>
                <c:pt idx="23">
                  <c:v>321781763707.76575</c:v>
                </c:pt>
                <c:pt idx="24">
                  <c:v>326380903035.15106</c:v>
                </c:pt>
              </c:numCache>
            </c:numRef>
          </c:val>
          <c:smooth val="0"/>
        </c:ser>
        <c:ser>
          <c:idx val="2"/>
          <c:order val="1"/>
          <c:tx>
            <c:v>Cash Inflow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'CASE 1 Graph'!$B$17:$B$41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1 Graph'!$D$17:$D$41</c:f>
              <c:numCache>
                <c:formatCode>_(* #,##0.00_);_(* \(#,##0.00\);_(* "-"??_);_(@_)</c:formatCode>
                <c:ptCount val="25"/>
                <c:pt idx="0">
                  <c:v>74291538461.538544</c:v>
                </c:pt>
                <c:pt idx="1">
                  <c:v>108579940828.40247</c:v>
                </c:pt>
                <c:pt idx="2">
                  <c:v>141549558488.84845</c:v>
                </c:pt>
                <c:pt idx="3">
                  <c:v>173251113931.58514</c:v>
                </c:pt>
                <c:pt idx="4">
                  <c:v>203733378780.37045</c:v>
                </c:pt>
                <c:pt idx="5">
                  <c:v>233043248827.27924</c:v>
                </c:pt>
                <c:pt idx="6">
                  <c:v>261225816180.07608</c:v>
                </c:pt>
                <c:pt idx="7">
                  <c:v>288324438634.68872</c:v>
                </c:pt>
                <c:pt idx="8">
                  <c:v>314380806379.50848</c:v>
                </c:pt>
                <c:pt idx="9">
                  <c:v>339435006134.14276</c:v>
                </c:pt>
                <c:pt idx="10">
                  <c:v>363525582821.29102</c:v>
                </c:pt>
                <c:pt idx="11">
                  <c:v>386689598866.62616</c:v>
                </c:pt>
                <c:pt idx="12">
                  <c:v>408962691217.90973</c:v>
                </c:pt>
                <c:pt idx="13">
                  <c:v>430379126171.06702</c:v>
                </c:pt>
                <c:pt idx="14">
                  <c:v>450971852087.56451</c:v>
                </c:pt>
                <c:pt idx="15">
                  <c:v>470772550084.19672</c:v>
                </c:pt>
                <c:pt idx="16">
                  <c:v>489811682773.26611</c:v>
                </c:pt>
                <c:pt idx="17">
                  <c:v>508118541128.1405</c:v>
                </c:pt>
                <c:pt idx="18">
                  <c:v>525721289546.28888</c:v>
                </c:pt>
                <c:pt idx="19">
                  <c:v>542647009179.12396</c:v>
                </c:pt>
                <c:pt idx="20">
                  <c:v>558921739595.31165</c:v>
                </c:pt>
                <c:pt idx="21">
                  <c:v>574570518841.64575</c:v>
                </c:pt>
                <c:pt idx="22">
                  <c:v>589617421963.12085</c:v>
                </c:pt>
                <c:pt idx="23">
                  <c:v>604085598041.4624</c:v>
                </c:pt>
                <c:pt idx="24">
                  <c:v>617997305809.09851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23648"/>
        <c:axId val="247329536"/>
      </c:lineChart>
      <c:catAx>
        <c:axId val="2473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329536"/>
        <c:crosses val="autoZero"/>
        <c:auto val="1"/>
        <c:lblAlgn val="ctr"/>
        <c:lblOffset val="100"/>
        <c:noMultiLvlLbl val="0"/>
      </c:catAx>
      <c:valAx>
        <c:axId val="24732953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473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Cash Outflow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'CASE 1 Graph'!$B$60:$B$84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1 Graph'!$C$60:$C$84</c:f>
              <c:numCache>
                <c:formatCode>_(* #,##0.00_);_(* \(#,##0.00\);_(* "-"??_);_(@_)</c:formatCode>
                <c:ptCount val="25"/>
                <c:pt idx="0">
                  <c:v>147289505454.83496</c:v>
                </c:pt>
                <c:pt idx="1">
                  <c:v>159254829539.41187</c:v>
                </c:pt>
                <c:pt idx="2">
                  <c:v>170759948851.50497</c:v>
                </c:pt>
                <c:pt idx="3">
                  <c:v>181822563574.67151</c:v>
                </c:pt>
                <c:pt idx="4">
                  <c:v>192459693116.1778</c:v>
                </c:pt>
                <c:pt idx="5">
                  <c:v>202687702290.703</c:v>
                </c:pt>
                <c:pt idx="6">
                  <c:v>212522326496.97723</c:v>
                </c:pt>
                <c:pt idx="7">
                  <c:v>221978695926.08713</c:v>
                </c:pt>
                <c:pt idx="8">
                  <c:v>231071358838.69281</c:v>
                </c:pt>
                <c:pt idx="9">
                  <c:v>239814303946.96747</c:v>
                </c:pt>
                <c:pt idx="10">
                  <c:v>248220981935.69305</c:v>
                </c:pt>
                <c:pt idx="11">
                  <c:v>256304326155.62158</c:v>
                </c:pt>
                <c:pt idx="12">
                  <c:v>264076772520.93744</c:v>
                </c:pt>
                <c:pt idx="13">
                  <c:v>271550278641.43341</c:v>
                </c:pt>
                <c:pt idx="14">
                  <c:v>278736342218.8335</c:v>
                </c:pt>
                <c:pt idx="15">
                  <c:v>285646018735.56427</c:v>
                </c:pt>
                <c:pt idx="16">
                  <c:v>292289938463.19006</c:v>
                </c:pt>
                <c:pt idx="17">
                  <c:v>298678322816.67627</c:v>
                </c:pt>
                <c:pt idx="18">
                  <c:v>304821000079.64392</c:v>
                </c:pt>
                <c:pt idx="19">
                  <c:v>310727420524.80505</c:v>
                </c:pt>
                <c:pt idx="20">
                  <c:v>316406670952.84467</c:v>
                </c:pt>
                <c:pt idx="21">
                  <c:v>321867488672.11346</c:v>
                </c:pt>
                <c:pt idx="22">
                  <c:v>327118274940.64111</c:v>
                </c:pt>
                <c:pt idx="23">
                  <c:v>332167107891.14856</c:v>
                </c:pt>
                <c:pt idx="24">
                  <c:v>337021754958.94421</c:v>
                </c:pt>
              </c:numCache>
            </c:numRef>
          </c:val>
          <c:smooth val="0"/>
        </c:ser>
        <c:ser>
          <c:idx val="0"/>
          <c:order val="1"/>
          <c:tx>
            <c:v>Cash Inflow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'CASE 1 Graph'!$B$60:$B$84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1 Graph'!$D$60:$D$84</c:f>
              <c:numCache>
                <c:formatCode>_(* #,##0.00_);_(* \(#,##0.00\);_(* "-"??_);_(@_)</c:formatCode>
                <c:ptCount val="25"/>
                <c:pt idx="0">
                  <c:v>82546153846.153931</c:v>
                </c:pt>
                <c:pt idx="1">
                  <c:v>120644378698.22496</c:v>
                </c:pt>
                <c:pt idx="2">
                  <c:v>157277287209.8316</c:v>
                </c:pt>
                <c:pt idx="3">
                  <c:v>192501237701.76129</c:v>
                </c:pt>
                <c:pt idx="4">
                  <c:v>226370420867.07831</c:v>
                </c:pt>
                <c:pt idx="5">
                  <c:v>258936943141.42139</c:v>
                </c:pt>
                <c:pt idx="6">
                  <c:v>290250906866.75122</c:v>
                </c:pt>
                <c:pt idx="7">
                  <c:v>320360487371.87628</c:v>
                </c:pt>
                <c:pt idx="8">
                  <c:v>349312007088.34277</c:v>
                </c:pt>
                <c:pt idx="9">
                  <c:v>377150006815.71417</c:v>
                </c:pt>
                <c:pt idx="10">
                  <c:v>403917314245.87891</c:v>
                </c:pt>
                <c:pt idx="11">
                  <c:v>429655109851.80688</c:v>
                </c:pt>
                <c:pt idx="12">
                  <c:v>454402990242.12195</c:v>
                </c:pt>
                <c:pt idx="13">
                  <c:v>478199029078.96338</c:v>
                </c:pt>
                <c:pt idx="14">
                  <c:v>501079835652.84943</c:v>
                </c:pt>
                <c:pt idx="15">
                  <c:v>523080611204.66302</c:v>
                </c:pt>
                <c:pt idx="16">
                  <c:v>544235203081.4068</c:v>
                </c:pt>
                <c:pt idx="17">
                  <c:v>564576156809.04492</c:v>
                </c:pt>
                <c:pt idx="18">
                  <c:v>584134766162.54321</c:v>
                </c:pt>
                <c:pt idx="19">
                  <c:v>602941121310.1377</c:v>
                </c:pt>
                <c:pt idx="20">
                  <c:v>621024155105.90186</c:v>
                </c:pt>
                <c:pt idx="21">
                  <c:v>638411687601.82861</c:v>
                </c:pt>
                <c:pt idx="22">
                  <c:v>655130468847.91211</c:v>
                </c:pt>
                <c:pt idx="23">
                  <c:v>671206220046.06934</c:v>
                </c:pt>
                <c:pt idx="24">
                  <c:v>686663673121.22058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28224"/>
        <c:axId val="247429760"/>
      </c:lineChart>
      <c:catAx>
        <c:axId val="2474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429760"/>
        <c:crosses val="autoZero"/>
        <c:auto val="1"/>
        <c:lblAlgn val="ctr"/>
        <c:lblOffset val="100"/>
        <c:noMultiLvlLbl val="0"/>
      </c:catAx>
      <c:valAx>
        <c:axId val="2474297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474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Cash Outflow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'CASE 1 Graph'!$B$104:$B$128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1 Graph'!$C$104:$C$128</c:f>
              <c:numCache>
                <c:formatCode>_(* #,##0.00_);_(* \(#,##0.00\);_(* "-"??_);_(@_)</c:formatCode>
                <c:ptCount val="25"/>
                <c:pt idx="0">
                  <c:v>145979617344.52341</c:v>
                </c:pt>
                <c:pt idx="1">
                  <c:v>156685433630.72375</c:v>
                </c:pt>
                <c:pt idx="2">
                  <c:v>166979487752.07025</c:v>
                </c:pt>
                <c:pt idx="3">
                  <c:v>176877616714.90344</c:v>
                </c:pt>
                <c:pt idx="4">
                  <c:v>186395048409.93536</c:v>
                </c:pt>
                <c:pt idx="5">
                  <c:v>195546425039.77374</c:v>
                </c:pt>
                <c:pt idx="6">
                  <c:v>204345825645.38751</c:v>
                </c:pt>
                <c:pt idx="7">
                  <c:v>212806787766.17004</c:v>
                </c:pt>
                <c:pt idx="8">
                  <c:v>220942328266.92249</c:v>
                </c:pt>
                <c:pt idx="9">
                  <c:v>228764963363.7998</c:v>
                </c:pt>
                <c:pt idx="10">
                  <c:v>236286727880.02798</c:v>
                </c:pt>
                <c:pt idx="11">
                  <c:v>243519193761.01666</c:v>
                </c:pt>
                <c:pt idx="12">
                  <c:v>250473487877.35193</c:v>
                </c:pt>
                <c:pt idx="13">
                  <c:v>257160309143.05884</c:v>
                </c:pt>
                <c:pt idx="14">
                  <c:v>263589944975.46942</c:v>
                </c:pt>
                <c:pt idx="15">
                  <c:v>269772287122.01801</c:v>
                </c:pt>
                <c:pt idx="16">
                  <c:v>275716846878.31476</c:v>
                </c:pt>
                <c:pt idx="17">
                  <c:v>281432769720.90771</c:v>
                </c:pt>
                <c:pt idx="18">
                  <c:v>286928849377.24719</c:v>
                </c:pt>
                <c:pt idx="19">
                  <c:v>292213541354.49658</c:v>
                </c:pt>
                <c:pt idx="20">
                  <c:v>297294975948.00574</c:v>
                </c:pt>
                <c:pt idx="21">
                  <c:v>302180970749.45679</c:v>
                </c:pt>
                <c:pt idx="22">
                  <c:v>306879042673.92889</c:v>
                </c:pt>
                <c:pt idx="23">
                  <c:v>311396419524.38293</c:v>
                </c:pt>
                <c:pt idx="24">
                  <c:v>315740051111.35791</c:v>
                </c:pt>
              </c:numCache>
            </c:numRef>
          </c:val>
          <c:smooth val="0"/>
        </c:ser>
        <c:ser>
          <c:idx val="1"/>
          <c:order val="1"/>
          <c:tx>
            <c:v>Cash Inflow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'CASE 1 Graph'!$B$104:$B$128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1 Graph'!$D$104:$D$128</c:f>
              <c:numCache>
                <c:formatCode>_(* #,##0.00_);_(* \(#,##0.00\);_(* "-"??_);_(@_)</c:formatCode>
                <c:ptCount val="25"/>
                <c:pt idx="0">
                  <c:v>82546153846.153931</c:v>
                </c:pt>
                <c:pt idx="1">
                  <c:v>120644378698.22496</c:v>
                </c:pt>
                <c:pt idx="2">
                  <c:v>157277287209.8316</c:v>
                </c:pt>
                <c:pt idx="3">
                  <c:v>192501237701.76129</c:v>
                </c:pt>
                <c:pt idx="4">
                  <c:v>226370420867.07831</c:v>
                </c:pt>
                <c:pt idx="5">
                  <c:v>258936943141.42139</c:v>
                </c:pt>
                <c:pt idx="6">
                  <c:v>290250906866.75122</c:v>
                </c:pt>
                <c:pt idx="7">
                  <c:v>320360487371.87628</c:v>
                </c:pt>
                <c:pt idx="8">
                  <c:v>349312007088.34277</c:v>
                </c:pt>
                <c:pt idx="9">
                  <c:v>377150006815.71417</c:v>
                </c:pt>
                <c:pt idx="10">
                  <c:v>403917314245.87891</c:v>
                </c:pt>
                <c:pt idx="11">
                  <c:v>429655109851.80688</c:v>
                </c:pt>
                <c:pt idx="12">
                  <c:v>454402990242.12195</c:v>
                </c:pt>
                <c:pt idx="13">
                  <c:v>478199029078.96338</c:v>
                </c:pt>
                <c:pt idx="14">
                  <c:v>501079835652.84943</c:v>
                </c:pt>
                <c:pt idx="15">
                  <c:v>523080611204.66302</c:v>
                </c:pt>
                <c:pt idx="16">
                  <c:v>544235203081.4068</c:v>
                </c:pt>
                <c:pt idx="17">
                  <c:v>564576156809.04492</c:v>
                </c:pt>
                <c:pt idx="18">
                  <c:v>584134766162.54321</c:v>
                </c:pt>
                <c:pt idx="19">
                  <c:v>602941121310.1377</c:v>
                </c:pt>
                <c:pt idx="20">
                  <c:v>621024155105.90186</c:v>
                </c:pt>
                <c:pt idx="21">
                  <c:v>638411687601.82861</c:v>
                </c:pt>
                <c:pt idx="22">
                  <c:v>655130468847.91211</c:v>
                </c:pt>
                <c:pt idx="23">
                  <c:v>671206220046.06934</c:v>
                </c:pt>
                <c:pt idx="24">
                  <c:v>686663673121.22058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38336"/>
        <c:axId val="247460608"/>
      </c:lineChart>
      <c:catAx>
        <c:axId val="2474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460608"/>
        <c:crosses val="autoZero"/>
        <c:auto val="1"/>
        <c:lblAlgn val="ctr"/>
        <c:lblOffset val="100"/>
        <c:noMultiLvlLbl val="0"/>
      </c:catAx>
      <c:valAx>
        <c:axId val="2474606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4743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Cash Outflow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'CASE 2 Graph'!$B$17:$B$41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2 Graph'!$C$17:$C$41</c:f>
              <c:numCache>
                <c:formatCode>_(* #,##0.00_);_(* \(#,##0.00\);_(* "-"??_);_(@_)</c:formatCode>
                <c:ptCount val="25"/>
                <c:pt idx="0">
                  <c:v>147294036421.10309</c:v>
                </c:pt>
                <c:pt idx="1">
                  <c:v>158453226040.55313</c:v>
                </c:pt>
                <c:pt idx="2">
                  <c:v>169183216059.2551</c:v>
                </c:pt>
                <c:pt idx="3">
                  <c:v>179500514154.16086</c:v>
                </c:pt>
                <c:pt idx="4">
                  <c:v>189420993091.57025</c:v>
                </c:pt>
                <c:pt idx="5">
                  <c:v>198959915146.77158</c:v>
                </c:pt>
                <c:pt idx="6">
                  <c:v>208131955584.46509</c:v>
                </c:pt>
                <c:pt idx="7">
                  <c:v>216951225236.0936</c:v>
                </c:pt>
                <c:pt idx="8">
                  <c:v>225431292208.81329</c:v>
                </c:pt>
                <c:pt idx="9">
                  <c:v>233585202759.50525</c:v>
                </c:pt>
                <c:pt idx="10">
                  <c:v>241425501365.93982</c:v>
                </c:pt>
                <c:pt idx="11">
                  <c:v>248964250025.97308</c:v>
                </c:pt>
                <c:pt idx="12">
                  <c:v>256213046814.46661</c:v>
                </c:pt>
                <c:pt idx="13">
                  <c:v>263183043726.47958</c:v>
                </c:pt>
                <c:pt idx="14">
                  <c:v>269884963834.18442</c:v>
                </c:pt>
                <c:pt idx="15">
                  <c:v>276329117783.90063</c:v>
                </c:pt>
                <c:pt idx="16">
                  <c:v>282525419658.62769</c:v>
                </c:pt>
                <c:pt idx="17">
                  <c:v>288483402230.48059</c:v>
                </c:pt>
                <c:pt idx="18">
                  <c:v>294212231626.49304</c:v>
                </c:pt>
                <c:pt idx="19">
                  <c:v>299720721430.3512</c:v>
                </c:pt>
                <c:pt idx="20">
                  <c:v>305017346241.7533</c:v>
                </c:pt>
                <c:pt idx="21">
                  <c:v>310110254714.25525</c:v>
                </c:pt>
                <c:pt idx="22">
                  <c:v>315007282091.66095</c:v>
                </c:pt>
                <c:pt idx="23">
                  <c:v>319715962262.24341</c:v>
                </c:pt>
                <c:pt idx="24">
                  <c:v>324243539349.34192</c:v>
                </c:pt>
              </c:numCache>
            </c:numRef>
          </c:val>
          <c:smooth val="0"/>
        </c:ser>
        <c:ser>
          <c:idx val="2"/>
          <c:order val="1"/>
          <c:tx>
            <c:v>Cash Inflow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'CASE 2 Graph'!$B$17:$B$41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2 Graph'!$D$17:$D$41</c:f>
              <c:numCache>
                <c:formatCode>_(* #,##0.00_);_(* \(#,##0.00\);_(* "-"??_);_(@_)</c:formatCode>
                <c:ptCount val="25"/>
                <c:pt idx="0">
                  <c:v>74291538461.538544</c:v>
                </c:pt>
                <c:pt idx="1">
                  <c:v>108579940828.40247</c:v>
                </c:pt>
                <c:pt idx="2">
                  <c:v>141549558488.84845</c:v>
                </c:pt>
                <c:pt idx="3">
                  <c:v>173251113931.58514</c:v>
                </c:pt>
                <c:pt idx="4">
                  <c:v>203733378780.37045</c:v>
                </c:pt>
                <c:pt idx="5">
                  <c:v>233043248827.27924</c:v>
                </c:pt>
                <c:pt idx="6">
                  <c:v>261225816180.07608</c:v>
                </c:pt>
                <c:pt idx="7">
                  <c:v>288324438634.68872</c:v>
                </c:pt>
                <c:pt idx="8">
                  <c:v>314380806379.50848</c:v>
                </c:pt>
                <c:pt idx="9">
                  <c:v>339435006134.14276</c:v>
                </c:pt>
                <c:pt idx="10">
                  <c:v>363525582821.29102</c:v>
                </c:pt>
                <c:pt idx="11">
                  <c:v>386689598866.62616</c:v>
                </c:pt>
                <c:pt idx="12">
                  <c:v>408962691217.90973</c:v>
                </c:pt>
                <c:pt idx="13">
                  <c:v>430379126171.06702</c:v>
                </c:pt>
                <c:pt idx="14">
                  <c:v>450971852087.56451</c:v>
                </c:pt>
                <c:pt idx="15">
                  <c:v>470772550084.19672</c:v>
                </c:pt>
                <c:pt idx="16">
                  <c:v>489811682773.26611</c:v>
                </c:pt>
                <c:pt idx="17">
                  <c:v>508118541128.1405</c:v>
                </c:pt>
                <c:pt idx="18">
                  <c:v>525721289546.28888</c:v>
                </c:pt>
                <c:pt idx="19">
                  <c:v>542647009179.12396</c:v>
                </c:pt>
                <c:pt idx="20">
                  <c:v>558921739595.31165</c:v>
                </c:pt>
                <c:pt idx="21">
                  <c:v>574570518841.64575</c:v>
                </c:pt>
                <c:pt idx="22">
                  <c:v>589617421963.12085</c:v>
                </c:pt>
                <c:pt idx="23">
                  <c:v>604085598041.4624</c:v>
                </c:pt>
                <c:pt idx="24">
                  <c:v>617997305809.09851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25184"/>
        <c:axId val="248926976"/>
      </c:lineChart>
      <c:catAx>
        <c:axId val="2489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926976"/>
        <c:crosses val="autoZero"/>
        <c:auto val="1"/>
        <c:lblAlgn val="ctr"/>
        <c:lblOffset val="100"/>
        <c:noMultiLvlLbl val="0"/>
      </c:catAx>
      <c:valAx>
        <c:axId val="24892697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4892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Cash Outflow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'CASE 2 Graph'!$B$60:$B$84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2 Graph'!$C$60:$C$84</c:f>
              <c:numCache>
                <c:formatCode>_(* #,##0.00_);_(* \(#,##0.00\);_(* "-"??_);_(@_)</c:formatCode>
                <c:ptCount val="25"/>
                <c:pt idx="0">
                  <c:v>147938789599.11575</c:v>
                </c:pt>
                <c:pt idx="1">
                  <c:v>159717934197.42416</c:v>
                </c:pt>
                <c:pt idx="2">
                  <c:v>171044034772.72064</c:v>
                </c:pt>
                <c:pt idx="3">
                  <c:v>181934516095.12122</c:v>
                </c:pt>
                <c:pt idx="4">
                  <c:v>192406132751.27557</c:v>
                </c:pt>
                <c:pt idx="5">
                  <c:v>202474994920.65472</c:v>
                </c:pt>
                <c:pt idx="6">
                  <c:v>212156593160.44235</c:v>
                </c:pt>
                <c:pt idx="7">
                  <c:v>221465822237.16132</c:v>
                </c:pt>
                <c:pt idx="8">
                  <c:v>230417004041.69873</c:v>
                </c:pt>
                <c:pt idx="9">
                  <c:v>239023909622.98471</c:v>
                </c:pt>
                <c:pt idx="10">
                  <c:v>247299780374.22119</c:v>
                </c:pt>
                <c:pt idx="11">
                  <c:v>255257348404.25635</c:v>
                </c:pt>
                <c:pt idx="12">
                  <c:v>262908856125.44397</c:v>
                </c:pt>
                <c:pt idx="13">
                  <c:v>270266075088.12433</c:v>
                </c:pt>
                <c:pt idx="14">
                  <c:v>277340324090.70166</c:v>
                </c:pt>
                <c:pt idx="15">
                  <c:v>284142486593.17981</c:v>
                </c:pt>
                <c:pt idx="16">
                  <c:v>290683027460.94727</c:v>
                </c:pt>
                <c:pt idx="17">
                  <c:v>296972009064.56982</c:v>
                </c:pt>
                <c:pt idx="18">
                  <c:v>303019106760.36078</c:v>
                </c:pt>
                <c:pt idx="19">
                  <c:v>308833623775.54431</c:v>
                </c:pt>
                <c:pt idx="20">
                  <c:v>314424505520.91321</c:v>
                </c:pt>
                <c:pt idx="21">
                  <c:v>319800353352.99866</c:v>
                </c:pt>
                <c:pt idx="22">
                  <c:v>324969437806.92688</c:v>
                </c:pt>
                <c:pt idx="23">
                  <c:v>329939711320.31946</c:v>
                </c:pt>
                <c:pt idx="24">
                  <c:v>334718820467.81238</c:v>
                </c:pt>
              </c:numCache>
            </c:numRef>
          </c:val>
          <c:smooth val="0"/>
        </c:ser>
        <c:ser>
          <c:idx val="0"/>
          <c:order val="1"/>
          <c:tx>
            <c:v>Cash Inflow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'CASE 2 Graph'!$B$60:$B$84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2 Graph'!$D$60:$D$84</c:f>
              <c:numCache>
                <c:formatCode>_(* #,##0.00_);_(* \(#,##0.00\);_(* "-"??_);_(@_)</c:formatCode>
                <c:ptCount val="25"/>
                <c:pt idx="0">
                  <c:v>82546153846.153931</c:v>
                </c:pt>
                <c:pt idx="1">
                  <c:v>120644378698.22496</c:v>
                </c:pt>
                <c:pt idx="2">
                  <c:v>157277287209.8316</c:v>
                </c:pt>
                <c:pt idx="3">
                  <c:v>192501237701.76129</c:v>
                </c:pt>
                <c:pt idx="4">
                  <c:v>226370420867.07831</c:v>
                </c:pt>
                <c:pt idx="5">
                  <c:v>258936943141.42139</c:v>
                </c:pt>
                <c:pt idx="6">
                  <c:v>290250906866.75122</c:v>
                </c:pt>
                <c:pt idx="7">
                  <c:v>320360487371.87628</c:v>
                </c:pt>
                <c:pt idx="8">
                  <c:v>349312007088.34277</c:v>
                </c:pt>
                <c:pt idx="9">
                  <c:v>377150006815.71417</c:v>
                </c:pt>
                <c:pt idx="10">
                  <c:v>403917314245.87891</c:v>
                </c:pt>
                <c:pt idx="11">
                  <c:v>429655109851.80688</c:v>
                </c:pt>
                <c:pt idx="12">
                  <c:v>454402990242.12195</c:v>
                </c:pt>
                <c:pt idx="13">
                  <c:v>478199029078.96338</c:v>
                </c:pt>
                <c:pt idx="14">
                  <c:v>501079835652.84943</c:v>
                </c:pt>
                <c:pt idx="15">
                  <c:v>523080611204.66302</c:v>
                </c:pt>
                <c:pt idx="16">
                  <c:v>544235203081.4068</c:v>
                </c:pt>
                <c:pt idx="17">
                  <c:v>564576156809.04492</c:v>
                </c:pt>
                <c:pt idx="18">
                  <c:v>584134766162.54321</c:v>
                </c:pt>
                <c:pt idx="19">
                  <c:v>602941121310.1377</c:v>
                </c:pt>
                <c:pt idx="20">
                  <c:v>621024155105.90186</c:v>
                </c:pt>
                <c:pt idx="21">
                  <c:v>638411687601.82861</c:v>
                </c:pt>
                <c:pt idx="22">
                  <c:v>655130468847.91211</c:v>
                </c:pt>
                <c:pt idx="23">
                  <c:v>671206220046.06934</c:v>
                </c:pt>
                <c:pt idx="24">
                  <c:v>686663673121.22058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87072"/>
        <c:axId val="248388608"/>
      </c:lineChart>
      <c:catAx>
        <c:axId val="2483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388608"/>
        <c:crosses val="autoZero"/>
        <c:auto val="1"/>
        <c:lblAlgn val="ctr"/>
        <c:lblOffset val="100"/>
        <c:noMultiLvlLbl val="0"/>
      </c:catAx>
      <c:valAx>
        <c:axId val="2483886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483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Cash Outflow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'CASE 2 Graph'!$B$104:$B$128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2 Graph'!$C$104:$C$128</c:f>
              <c:numCache>
                <c:formatCode>_(* #,##0.00_);_(* \(#,##0.00\);_(* "-"??_);_(@_)</c:formatCode>
                <c:ptCount val="25"/>
                <c:pt idx="0">
                  <c:v>146649283243.09039</c:v>
                </c:pt>
                <c:pt idx="1">
                  <c:v>157188517883.68213</c:v>
                </c:pt>
                <c:pt idx="2">
                  <c:v>167322397345.78952</c:v>
                </c:pt>
                <c:pt idx="3">
                  <c:v>177066512213.20053</c:v>
                </c:pt>
                <c:pt idx="4">
                  <c:v>186435853431.86499</c:v>
                </c:pt>
                <c:pt idx="5">
                  <c:v>195444835372.88843</c:v>
                </c:pt>
                <c:pt idx="6">
                  <c:v>204107318008.48788</c:v>
                </c:pt>
                <c:pt idx="7">
                  <c:v>212436628235.02588</c:v>
                </c:pt>
                <c:pt idx="8">
                  <c:v>220445580375.9278</c:v>
                </c:pt>
                <c:pt idx="9">
                  <c:v>228146495896.02576</c:v>
                </c:pt>
                <c:pt idx="10">
                  <c:v>235551222357.65842</c:v>
                </c:pt>
                <c:pt idx="11">
                  <c:v>242671151647.68988</c:v>
                </c:pt>
                <c:pt idx="12">
                  <c:v>249517237503.48932</c:v>
                </c:pt>
                <c:pt idx="13">
                  <c:v>256100012364.8349</c:v>
                </c:pt>
                <c:pt idx="14">
                  <c:v>262429603577.66724</c:v>
                </c:pt>
                <c:pt idx="15">
                  <c:v>268515748974.6214</c:v>
                </c:pt>
                <c:pt idx="16">
                  <c:v>274367811856.30807</c:v>
                </c:pt>
                <c:pt idx="17">
                  <c:v>279994795396.39142</c:v>
                </c:pt>
                <c:pt idx="18">
                  <c:v>285405356492.62537</c:v>
                </c:pt>
                <c:pt idx="19">
                  <c:v>290607819085.15808</c:v>
                </c:pt>
                <c:pt idx="20">
                  <c:v>295610186962.59338</c:v>
                </c:pt>
                <c:pt idx="21">
                  <c:v>300420156075.5119</c:v>
                </c:pt>
                <c:pt idx="22">
                  <c:v>305045126376.39508</c:v>
                </c:pt>
                <c:pt idx="23">
                  <c:v>309492213204.16742</c:v>
                </c:pt>
                <c:pt idx="24">
                  <c:v>313768258230.87158</c:v>
                </c:pt>
              </c:numCache>
            </c:numRef>
          </c:val>
          <c:smooth val="0"/>
        </c:ser>
        <c:ser>
          <c:idx val="1"/>
          <c:order val="1"/>
          <c:tx>
            <c:v>Cash Inflow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'CASE 2 Graph'!$B$104:$B$128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2 Graph'!$D$104:$D$128</c:f>
              <c:numCache>
                <c:formatCode>_(* #,##0.00_);_(* \(#,##0.00\);_(* "-"??_);_(@_)</c:formatCode>
                <c:ptCount val="25"/>
                <c:pt idx="0">
                  <c:v>82546153846.153931</c:v>
                </c:pt>
                <c:pt idx="1">
                  <c:v>120644378698.22496</c:v>
                </c:pt>
                <c:pt idx="2">
                  <c:v>157277287209.8316</c:v>
                </c:pt>
                <c:pt idx="3">
                  <c:v>192501237701.76129</c:v>
                </c:pt>
                <c:pt idx="4">
                  <c:v>226370420867.07831</c:v>
                </c:pt>
                <c:pt idx="5">
                  <c:v>258936943141.42139</c:v>
                </c:pt>
                <c:pt idx="6">
                  <c:v>290250906866.75122</c:v>
                </c:pt>
                <c:pt idx="7">
                  <c:v>320360487371.87628</c:v>
                </c:pt>
                <c:pt idx="8">
                  <c:v>349312007088.34277</c:v>
                </c:pt>
                <c:pt idx="9">
                  <c:v>377150006815.71417</c:v>
                </c:pt>
                <c:pt idx="10">
                  <c:v>403917314245.87891</c:v>
                </c:pt>
                <c:pt idx="11">
                  <c:v>429655109851.80688</c:v>
                </c:pt>
                <c:pt idx="12">
                  <c:v>454402990242.12195</c:v>
                </c:pt>
                <c:pt idx="13">
                  <c:v>478199029078.96338</c:v>
                </c:pt>
                <c:pt idx="14">
                  <c:v>501079835652.84943</c:v>
                </c:pt>
                <c:pt idx="15">
                  <c:v>523080611204.66302</c:v>
                </c:pt>
                <c:pt idx="16">
                  <c:v>544235203081.4068</c:v>
                </c:pt>
                <c:pt idx="17">
                  <c:v>564576156809.04492</c:v>
                </c:pt>
                <c:pt idx="18">
                  <c:v>584134766162.54321</c:v>
                </c:pt>
                <c:pt idx="19">
                  <c:v>602941121310.1377</c:v>
                </c:pt>
                <c:pt idx="20">
                  <c:v>621024155105.90186</c:v>
                </c:pt>
                <c:pt idx="21">
                  <c:v>638411687601.82861</c:v>
                </c:pt>
                <c:pt idx="22">
                  <c:v>655130468847.91211</c:v>
                </c:pt>
                <c:pt idx="23">
                  <c:v>671206220046.06934</c:v>
                </c:pt>
                <c:pt idx="24">
                  <c:v>686663673121.22058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97184"/>
        <c:axId val="248407168"/>
      </c:lineChart>
      <c:catAx>
        <c:axId val="2483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407168"/>
        <c:crosses val="autoZero"/>
        <c:auto val="1"/>
        <c:lblAlgn val="ctr"/>
        <c:lblOffset val="100"/>
        <c:noMultiLvlLbl val="0"/>
      </c:catAx>
      <c:valAx>
        <c:axId val="2484071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483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Cash Outflow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'CASE 3 Graph'!$B$17:$B$41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3 Graph'!$C$17:$C$41</c:f>
              <c:numCache>
                <c:formatCode>_(* #,##0.00_);_(* \(#,##0.00\);_(* "-"??_);_(@_)</c:formatCode>
                <c:ptCount val="25"/>
                <c:pt idx="0">
                  <c:v>148692872356.1239</c:v>
                </c:pt>
                <c:pt idx="1">
                  <c:v>159576114201.55554</c:v>
                </c:pt>
                <c:pt idx="2">
                  <c:v>170040769822.16284</c:v>
                </c:pt>
                <c:pt idx="3">
                  <c:v>180102938688.13147</c:v>
                </c:pt>
                <c:pt idx="4">
                  <c:v>189778101059.25516</c:v>
                </c:pt>
                <c:pt idx="5">
                  <c:v>199081141800.72018</c:v>
                </c:pt>
                <c:pt idx="6">
                  <c:v>208026373282.89807</c:v>
                </c:pt>
                <c:pt idx="7">
                  <c:v>216627557400.37689</c:v>
                </c:pt>
                <c:pt idx="8">
                  <c:v>224897926744.10651</c:v>
                </c:pt>
                <c:pt idx="9">
                  <c:v>232850204959.23111</c:v>
                </c:pt>
                <c:pt idx="10">
                  <c:v>240496626319.92783</c:v>
                </c:pt>
                <c:pt idx="11">
                  <c:v>247848954551.36703</c:v>
                </c:pt>
                <c:pt idx="12">
                  <c:v>254918500927.75085</c:v>
                </c:pt>
                <c:pt idx="13">
                  <c:v>261716141674.27374</c:v>
                </c:pt>
                <c:pt idx="14">
                  <c:v>268252334699.77655</c:v>
                </c:pt>
                <c:pt idx="15">
                  <c:v>274537135685.83691</c:v>
                </c:pt>
                <c:pt idx="16">
                  <c:v>280580213557.04883</c:v>
                </c:pt>
                <c:pt idx="17">
                  <c:v>286390865356.29102</c:v>
                </c:pt>
                <c:pt idx="18">
                  <c:v>291978030547.87012</c:v>
                </c:pt>
                <c:pt idx="19">
                  <c:v>297350304770.54224</c:v>
                </c:pt>
                <c:pt idx="20">
                  <c:v>302515953061.57324</c:v>
                </c:pt>
                <c:pt idx="21">
                  <c:v>307482922572.17981</c:v>
                </c:pt>
                <c:pt idx="22">
                  <c:v>312258854793.91699</c:v>
                </c:pt>
                <c:pt idx="23">
                  <c:v>316851097314.81812</c:v>
                </c:pt>
                <c:pt idx="24">
                  <c:v>321266715123.37695</c:v>
                </c:pt>
              </c:numCache>
            </c:numRef>
          </c:val>
          <c:smooth val="0"/>
        </c:ser>
        <c:ser>
          <c:idx val="2"/>
          <c:order val="1"/>
          <c:tx>
            <c:v>Cash Inflow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'CASE 3 Graph'!$B$17:$B$41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3 Graph'!$D$17:$D$41</c:f>
              <c:numCache>
                <c:formatCode>_(* #,##0.00_);_(* \(#,##0.00\);_(* "-"??_);_(@_)</c:formatCode>
                <c:ptCount val="25"/>
                <c:pt idx="0">
                  <c:v>74291538461.538544</c:v>
                </c:pt>
                <c:pt idx="1">
                  <c:v>108579940828.40247</c:v>
                </c:pt>
                <c:pt idx="2">
                  <c:v>141549558488.84845</c:v>
                </c:pt>
                <c:pt idx="3">
                  <c:v>173251113931.58514</c:v>
                </c:pt>
                <c:pt idx="4">
                  <c:v>203733378780.37045</c:v>
                </c:pt>
                <c:pt idx="5">
                  <c:v>233043248827.27924</c:v>
                </c:pt>
                <c:pt idx="6">
                  <c:v>261225816180.07608</c:v>
                </c:pt>
                <c:pt idx="7">
                  <c:v>288324438634.68872</c:v>
                </c:pt>
                <c:pt idx="8">
                  <c:v>314380806379.50848</c:v>
                </c:pt>
                <c:pt idx="9">
                  <c:v>339435006134.14276</c:v>
                </c:pt>
                <c:pt idx="10">
                  <c:v>363525582821.29102</c:v>
                </c:pt>
                <c:pt idx="11">
                  <c:v>386689598866.62616</c:v>
                </c:pt>
                <c:pt idx="12">
                  <c:v>408962691217.90973</c:v>
                </c:pt>
                <c:pt idx="13">
                  <c:v>430379126171.06702</c:v>
                </c:pt>
                <c:pt idx="14">
                  <c:v>450971852087.56451</c:v>
                </c:pt>
                <c:pt idx="15">
                  <c:v>470772550084.19672</c:v>
                </c:pt>
                <c:pt idx="16">
                  <c:v>489811682773.26611</c:v>
                </c:pt>
                <c:pt idx="17">
                  <c:v>508118541128.1405</c:v>
                </c:pt>
                <c:pt idx="18">
                  <c:v>525721289546.28888</c:v>
                </c:pt>
                <c:pt idx="19">
                  <c:v>542647009179.12396</c:v>
                </c:pt>
                <c:pt idx="20">
                  <c:v>558921739595.31165</c:v>
                </c:pt>
                <c:pt idx="21">
                  <c:v>574570518841.64575</c:v>
                </c:pt>
                <c:pt idx="22">
                  <c:v>589617421963.12085</c:v>
                </c:pt>
                <c:pt idx="23">
                  <c:v>604085598041.4624</c:v>
                </c:pt>
                <c:pt idx="24">
                  <c:v>617997305809.09851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10656"/>
        <c:axId val="248712192"/>
      </c:lineChart>
      <c:catAx>
        <c:axId val="2487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712192"/>
        <c:crosses val="autoZero"/>
        <c:auto val="1"/>
        <c:lblAlgn val="ctr"/>
        <c:lblOffset val="100"/>
        <c:noMultiLvlLbl val="0"/>
      </c:catAx>
      <c:valAx>
        <c:axId val="24871219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4871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Cash Outflow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'CASE 3 Graph'!$B$60:$B$84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3 Graph'!$C$60:$C$84</c:f>
              <c:numCache>
                <c:formatCode>_(* #,##0.00_);_(* \(#,##0.00\);_(* "-"??_);_(@_)</c:formatCode>
                <c:ptCount val="25"/>
                <c:pt idx="0">
                  <c:v>149321681884.97107</c:v>
                </c:pt>
                <c:pt idx="1">
                  <c:v>160809548277.37112</c:v>
                </c:pt>
                <c:pt idx="2">
                  <c:v>171855573654.67883</c:v>
                </c:pt>
                <c:pt idx="3">
                  <c:v>182476751902.09018</c:v>
                </c:pt>
                <c:pt idx="4">
                  <c:v>192689423293.83185</c:v>
                </c:pt>
                <c:pt idx="5">
                  <c:v>202509299632.04492</c:v>
                </c:pt>
                <c:pt idx="6">
                  <c:v>211951488418.78824</c:v>
                </c:pt>
                <c:pt idx="7">
                  <c:v>221030516098.34921</c:v>
                </c:pt>
                <c:pt idx="8">
                  <c:v>229760350405.61938</c:v>
                </c:pt>
                <c:pt idx="9">
                  <c:v>238154421854.91754</c:v>
                </c:pt>
                <c:pt idx="10">
                  <c:v>246225644402.31964</c:v>
                </c:pt>
                <c:pt idx="11">
                  <c:v>253986435313.28326</c:v>
                </c:pt>
                <c:pt idx="12">
                  <c:v>261448734266.13284</c:v>
                </c:pt>
                <c:pt idx="13">
                  <c:v>268624021720.7959</c:v>
                </c:pt>
                <c:pt idx="14">
                  <c:v>275523336581.04883</c:v>
                </c:pt>
                <c:pt idx="15">
                  <c:v>282157293177.44592</c:v>
                </c:pt>
                <c:pt idx="16">
                  <c:v>288536097597.05847</c:v>
                </c:pt>
                <c:pt idx="17">
                  <c:v>294669563385.14746</c:v>
                </c:pt>
                <c:pt idx="18">
                  <c:v>300567126642.92535</c:v>
                </c:pt>
                <c:pt idx="19">
                  <c:v>306237860544.63489</c:v>
                </c:pt>
                <c:pt idx="20">
                  <c:v>311690489296.27869</c:v>
                </c:pt>
                <c:pt idx="21">
                  <c:v>316933401557.47455</c:v>
                </c:pt>
                <c:pt idx="22">
                  <c:v>321974663347.086</c:v>
                </c:pt>
                <c:pt idx="23">
                  <c:v>326822030452.48169</c:v>
                </c:pt>
                <c:pt idx="24">
                  <c:v>331482960361.51593</c:v>
                </c:pt>
              </c:numCache>
            </c:numRef>
          </c:val>
          <c:smooth val="0"/>
        </c:ser>
        <c:ser>
          <c:idx val="0"/>
          <c:order val="1"/>
          <c:tx>
            <c:v>Cash Inflow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'CASE 3 Graph'!$B$60:$B$84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3 Graph'!$D$60:$D$84</c:f>
              <c:numCache>
                <c:formatCode>_(* #,##0.00_);_(* \(#,##0.00\);_(* "-"??_);_(@_)</c:formatCode>
                <c:ptCount val="25"/>
                <c:pt idx="0">
                  <c:v>82546153846.153931</c:v>
                </c:pt>
                <c:pt idx="1">
                  <c:v>120644378698.22496</c:v>
                </c:pt>
                <c:pt idx="2">
                  <c:v>157277287209.8316</c:v>
                </c:pt>
                <c:pt idx="3">
                  <c:v>192501237701.76129</c:v>
                </c:pt>
                <c:pt idx="4">
                  <c:v>226370420867.07831</c:v>
                </c:pt>
                <c:pt idx="5">
                  <c:v>258936943141.42139</c:v>
                </c:pt>
                <c:pt idx="6">
                  <c:v>290250906866.75122</c:v>
                </c:pt>
                <c:pt idx="7">
                  <c:v>320360487371.87628</c:v>
                </c:pt>
                <c:pt idx="8">
                  <c:v>349312007088.34277</c:v>
                </c:pt>
                <c:pt idx="9">
                  <c:v>377150006815.71417</c:v>
                </c:pt>
                <c:pt idx="10">
                  <c:v>403917314245.87891</c:v>
                </c:pt>
                <c:pt idx="11">
                  <c:v>429655109851.80688</c:v>
                </c:pt>
                <c:pt idx="12">
                  <c:v>454402990242.12195</c:v>
                </c:pt>
                <c:pt idx="13">
                  <c:v>478199029078.96338</c:v>
                </c:pt>
                <c:pt idx="14">
                  <c:v>501079835652.84943</c:v>
                </c:pt>
                <c:pt idx="15">
                  <c:v>523080611204.66302</c:v>
                </c:pt>
                <c:pt idx="16">
                  <c:v>544235203081.4068</c:v>
                </c:pt>
                <c:pt idx="17">
                  <c:v>564576156809.04492</c:v>
                </c:pt>
                <c:pt idx="18">
                  <c:v>584134766162.54321</c:v>
                </c:pt>
                <c:pt idx="19">
                  <c:v>602941121310.1377</c:v>
                </c:pt>
                <c:pt idx="20">
                  <c:v>621024155105.90186</c:v>
                </c:pt>
                <c:pt idx="21">
                  <c:v>638411687601.82861</c:v>
                </c:pt>
                <c:pt idx="22">
                  <c:v>655130468847.91211</c:v>
                </c:pt>
                <c:pt idx="23">
                  <c:v>671206220046.06934</c:v>
                </c:pt>
                <c:pt idx="24">
                  <c:v>686663673121.22058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40576"/>
        <c:axId val="247242112"/>
      </c:lineChart>
      <c:catAx>
        <c:axId val="2472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242112"/>
        <c:crosses val="autoZero"/>
        <c:auto val="1"/>
        <c:lblAlgn val="ctr"/>
        <c:lblOffset val="100"/>
        <c:noMultiLvlLbl val="0"/>
      </c:catAx>
      <c:valAx>
        <c:axId val="24724211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4724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Cash Outflow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'CASE 3 Graph'!$B$104:$B$128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3 Graph'!$C$104:$C$128</c:f>
              <c:numCache>
                <c:formatCode>_(* #,##0.00_);_(* \(#,##0.00\);_(* "-"??_);_(@_)</c:formatCode>
                <c:ptCount val="25"/>
                <c:pt idx="0">
                  <c:v>148064062827.27676</c:v>
                </c:pt>
                <c:pt idx="1">
                  <c:v>158342680125.73996</c:v>
                </c:pt>
                <c:pt idx="2">
                  <c:v>168225965989.64685</c:v>
                </c:pt>
                <c:pt idx="3">
                  <c:v>177729125474.17279</c:v>
                </c:pt>
                <c:pt idx="4">
                  <c:v>186866778824.67847</c:v>
                </c:pt>
                <c:pt idx="5">
                  <c:v>195652983969.39545</c:v>
                </c:pt>
                <c:pt idx="6">
                  <c:v>204101258147.0079</c:v>
                </c:pt>
                <c:pt idx="7">
                  <c:v>212224598702.40454</c:v>
                </c:pt>
                <c:pt idx="8">
                  <c:v>220035503082.59366</c:v>
                </c:pt>
                <c:pt idx="9">
                  <c:v>227545988063.54468</c:v>
                </c:pt>
                <c:pt idx="10">
                  <c:v>234767608237.53601</c:v>
                </c:pt>
                <c:pt idx="11">
                  <c:v>241711473789.45081</c:v>
                </c:pt>
                <c:pt idx="12">
                  <c:v>248388267589.36887</c:v>
                </c:pt>
                <c:pt idx="13">
                  <c:v>254808261627.75159</c:v>
                </c:pt>
                <c:pt idx="14">
                  <c:v>260981332818.50421</c:v>
                </c:pt>
                <c:pt idx="15">
                  <c:v>266916978194.22794</c:v>
                </c:pt>
                <c:pt idx="16">
                  <c:v>272624329517.03918</c:v>
                </c:pt>
                <c:pt idx="17">
                  <c:v>278112167327.43457</c:v>
                </c:pt>
                <c:pt idx="18">
                  <c:v>283388934452.81482</c:v>
                </c:pt>
                <c:pt idx="19">
                  <c:v>288462748996.44958</c:v>
                </c:pt>
                <c:pt idx="20">
                  <c:v>293341416826.86774</c:v>
                </c:pt>
                <c:pt idx="21">
                  <c:v>298032443586.88513</c:v>
                </c:pt>
                <c:pt idx="22">
                  <c:v>302543046240.74799</c:v>
                </c:pt>
                <c:pt idx="23">
                  <c:v>306880164177.15466</c:v>
                </c:pt>
                <c:pt idx="24">
                  <c:v>311050469885.23792</c:v>
                </c:pt>
              </c:numCache>
            </c:numRef>
          </c:val>
          <c:smooth val="0"/>
        </c:ser>
        <c:ser>
          <c:idx val="1"/>
          <c:order val="1"/>
          <c:tx>
            <c:v>Cash Inflow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'CASE 3 Graph'!$B$104:$B$128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'CASE 3 Graph'!$D$104:$D$128</c:f>
              <c:numCache>
                <c:formatCode>_(* #,##0.00_);_(* \(#,##0.00\);_(* "-"??_);_(@_)</c:formatCode>
                <c:ptCount val="25"/>
                <c:pt idx="0">
                  <c:v>82546153846.153931</c:v>
                </c:pt>
                <c:pt idx="1">
                  <c:v>120644378698.22496</c:v>
                </c:pt>
                <c:pt idx="2">
                  <c:v>157277287209.8316</c:v>
                </c:pt>
                <c:pt idx="3">
                  <c:v>192501237701.76129</c:v>
                </c:pt>
                <c:pt idx="4">
                  <c:v>226370420867.07831</c:v>
                </c:pt>
                <c:pt idx="5">
                  <c:v>258936943141.42139</c:v>
                </c:pt>
                <c:pt idx="6">
                  <c:v>290250906866.75122</c:v>
                </c:pt>
                <c:pt idx="7">
                  <c:v>320360487371.87628</c:v>
                </c:pt>
                <c:pt idx="8">
                  <c:v>349312007088.34277</c:v>
                </c:pt>
                <c:pt idx="9">
                  <c:v>377150006815.71417</c:v>
                </c:pt>
                <c:pt idx="10">
                  <c:v>403917314245.87891</c:v>
                </c:pt>
                <c:pt idx="11">
                  <c:v>429655109851.80688</c:v>
                </c:pt>
                <c:pt idx="12">
                  <c:v>454402990242.12195</c:v>
                </c:pt>
                <c:pt idx="13">
                  <c:v>478199029078.96338</c:v>
                </c:pt>
                <c:pt idx="14">
                  <c:v>501079835652.84943</c:v>
                </c:pt>
                <c:pt idx="15">
                  <c:v>523080611204.66302</c:v>
                </c:pt>
                <c:pt idx="16">
                  <c:v>544235203081.4068</c:v>
                </c:pt>
                <c:pt idx="17">
                  <c:v>564576156809.04492</c:v>
                </c:pt>
                <c:pt idx="18">
                  <c:v>584134766162.54321</c:v>
                </c:pt>
                <c:pt idx="19">
                  <c:v>602941121310.1377</c:v>
                </c:pt>
                <c:pt idx="20">
                  <c:v>621024155105.90186</c:v>
                </c:pt>
                <c:pt idx="21">
                  <c:v>638411687601.82861</c:v>
                </c:pt>
                <c:pt idx="22">
                  <c:v>655130468847.91211</c:v>
                </c:pt>
                <c:pt idx="23">
                  <c:v>671206220046.06934</c:v>
                </c:pt>
                <c:pt idx="24">
                  <c:v>686663673121.22058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65824"/>
        <c:axId val="248771712"/>
      </c:lineChart>
      <c:catAx>
        <c:axId val="2487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771712"/>
        <c:crosses val="autoZero"/>
        <c:auto val="1"/>
        <c:lblAlgn val="ctr"/>
        <c:lblOffset val="100"/>
        <c:noMultiLvlLbl val="0"/>
      </c:catAx>
      <c:valAx>
        <c:axId val="24877171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4876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1056553</xdr:colOff>
      <xdr:row>16</xdr:row>
      <xdr:rowOff>73558</xdr:rowOff>
    </xdr:from>
    <xdr:to>
      <xdr:col>11</xdr:col>
      <xdr:colOff>628650</xdr:colOff>
      <xdr:row>34</xdr:row>
      <xdr:rowOff>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</xdr:colOff>
      <xdr:row>62</xdr:row>
      <xdr:rowOff>131389</xdr:rowOff>
    </xdr:from>
    <xdr:to>
      <xdr:col>11</xdr:col>
      <xdr:colOff>585108</xdr:colOff>
      <xdr:row>80</xdr:row>
      <xdr:rowOff>64714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</xdr:colOff>
      <xdr:row>106</xdr:row>
      <xdr:rowOff>131388</xdr:rowOff>
    </xdr:from>
    <xdr:to>
      <xdr:col>11</xdr:col>
      <xdr:colOff>625930</xdr:colOff>
      <xdr:row>125</xdr:row>
      <xdr:rowOff>132521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1056552</xdr:colOff>
      <xdr:row>16</xdr:row>
      <xdr:rowOff>73558</xdr:rowOff>
    </xdr:from>
    <xdr:to>
      <xdr:col>11</xdr:col>
      <xdr:colOff>476249</xdr:colOff>
      <xdr:row>34</xdr:row>
      <xdr:rowOff>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</xdr:colOff>
      <xdr:row>62</xdr:row>
      <xdr:rowOff>131389</xdr:rowOff>
    </xdr:from>
    <xdr:to>
      <xdr:col>11</xdr:col>
      <xdr:colOff>515471</xdr:colOff>
      <xdr:row>80</xdr:row>
      <xdr:rowOff>64714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1999</xdr:colOff>
      <xdr:row>106</xdr:row>
      <xdr:rowOff>131389</xdr:rowOff>
    </xdr:from>
    <xdr:to>
      <xdr:col>11</xdr:col>
      <xdr:colOff>347382</xdr:colOff>
      <xdr:row>124</xdr:row>
      <xdr:rowOff>64714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1056553</xdr:colOff>
      <xdr:row>16</xdr:row>
      <xdr:rowOff>73558</xdr:rowOff>
    </xdr:from>
    <xdr:to>
      <xdr:col>11</xdr:col>
      <xdr:colOff>504825</xdr:colOff>
      <xdr:row>34</xdr:row>
      <xdr:rowOff>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1999</xdr:colOff>
      <xdr:row>62</xdr:row>
      <xdr:rowOff>131389</xdr:rowOff>
    </xdr:from>
    <xdr:to>
      <xdr:col>11</xdr:col>
      <xdr:colOff>495300</xdr:colOff>
      <xdr:row>80</xdr:row>
      <xdr:rowOff>64714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1999</xdr:colOff>
      <xdr:row>106</xdr:row>
      <xdr:rowOff>131389</xdr:rowOff>
    </xdr:from>
    <xdr:to>
      <xdr:col>11</xdr:col>
      <xdr:colOff>676275</xdr:colOff>
      <xdr:row>124</xdr:row>
      <xdr:rowOff>64714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22"/>
  <sheetViews>
    <sheetView zoomScale="55" zoomScaleNormal="55" workbookViewId="0">
      <selection activeCell="G7" sqref="G7"/>
    </sheetView>
  </sheetViews>
  <sheetFormatPr defaultColWidth="8.85546875" defaultRowHeight="14.25"/>
  <cols>
    <col min="1" max="1" width="29.28515625" style="36" customWidth="1"/>
    <col min="2" max="2" width="17.140625" style="36" bestFit="1" customWidth="1"/>
    <col min="3" max="3" width="6.5703125" style="36" bestFit="1" customWidth="1"/>
    <col min="4" max="4" width="17.140625" style="36" bestFit="1" customWidth="1"/>
    <col min="5" max="5" width="21" style="36" customWidth="1"/>
    <col min="6" max="6" width="3.140625" style="37" customWidth="1"/>
    <col min="7" max="7" width="28.7109375" style="36" customWidth="1"/>
    <col min="8" max="8" width="17.5703125" style="36" customWidth="1"/>
    <col min="9" max="9" width="6.5703125" style="36" bestFit="1" customWidth="1"/>
    <col min="10" max="10" width="17.140625" style="36" bestFit="1" customWidth="1"/>
    <col min="11" max="11" width="21.28515625" style="36" bestFit="1" customWidth="1"/>
    <col min="12" max="12" width="3.140625" style="37" customWidth="1"/>
    <col min="13" max="13" width="27.28515625" style="36" customWidth="1"/>
    <col min="14" max="14" width="18.5703125" style="36" bestFit="1" customWidth="1"/>
    <col min="15" max="15" width="6.5703125" style="36" bestFit="1" customWidth="1"/>
    <col min="16" max="16" width="18.42578125" style="36" bestFit="1" customWidth="1"/>
    <col min="17" max="17" width="22.85546875" style="36" bestFit="1" customWidth="1"/>
    <col min="18" max="16384" width="8.85546875" style="36"/>
  </cols>
  <sheetData>
    <row r="2" spans="1:17" ht="15" thickBot="1">
      <c r="A2" s="35" t="s">
        <v>95</v>
      </c>
      <c r="B2" s="36">
        <v>50.75</v>
      </c>
      <c r="G2" s="35" t="s">
        <v>94</v>
      </c>
      <c r="M2" s="35" t="s">
        <v>93</v>
      </c>
    </row>
    <row r="3" spans="1:17" ht="15" thickBot="1">
      <c r="A3" s="38" t="s">
        <v>28</v>
      </c>
      <c r="B3" s="39" t="s">
        <v>92</v>
      </c>
      <c r="C3" s="39" t="s">
        <v>91</v>
      </c>
      <c r="D3" s="39" t="s">
        <v>90</v>
      </c>
      <c r="E3" s="40" t="s">
        <v>89</v>
      </c>
      <c r="G3" s="38" t="s">
        <v>28</v>
      </c>
      <c r="H3" s="39" t="s">
        <v>92</v>
      </c>
      <c r="I3" s="39" t="s">
        <v>91</v>
      </c>
      <c r="J3" s="39" t="s">
        <v>90</v>
      </c>
      <c r="K3" s="40" t="s">
        <v>89</v>
      </c>
      <c r="M3" s="38" t="s">
        <v>28</v>
      </c>
      <c r="N3" s="39" t="s">
        <v>92</v>
      </c>
      <c r="O3" s="39" t="s">
        <v>91</v>
      </c>
      <c r="P3" s="39" t="s">
        <v>90</v>
      </c>
      <c r="Q3" s="40" t="s">
        <v>89</v>
      </c>
    </row>
    <row r="4" spans="1:17">
      <c r="A4" s="29" t="s">
        <v>0</v>
      </c>
      <c r="B4" s="29">
        <v>699000000</v>
      </c>
      <c r="C4" s="29">
        <v>1</v>
      </c>
      <c r="D4" s="29">
        <f t="shared" ref="D4:D12" si="0">B4*C4</f>
        <v>699000000</v>
      </c>
      <c r="E4" s="29">
        <f>D4*B2</f>
        <v>35474250000</v>
      </c>
      <c r="G4" s="29" t="s">
        <v>0</v>
      </c>
      <c r="H4" s="29">
        <v>699700000</v>
      </c>
      <c r="I4" s="29">
        <v>1</v>
      </c>
      <c r="J4" s="29">
        <f t="shared" ref="J4:J12" si="1">H4*I4</f>
        <v>699700000</v>
      </c>
      <c r="K4" s="29">
        <f>J4*B2</f>
        <v>35509775000</v>
      </c>
      <c r="M4" s="29" t="s">
        <v>0</v>
      </c>
      <c r="N4" s="31">
        <v>700586000</v>
      </c>
      <c r="O4" s="29">
        <v>1</v>
      </c>
      <c r="P4" s="31">
        <f t="shared" ref="P4:P12" si="2">N4*O4</f>
        <v>700586000</v>
      </c>
      <c r="Q4" s="55">
        <f>P4*B2</f>
        <v>35554739500</v>
      </c>
    </row>
    <row r="5" spans="1:17">
      <c r="A5" s="29" t="s">
        <v>25</v>
      </c>
      <c r="B5" s="29">
        <v>88040000</v>
      </c>
      <c r="C5" s="29">
        <v>1</v>
      </c>
      <c r="D5" s="29">
        <f t="shared" si="0"/>
        <v>88040000</v>
      </c>
      <c r="E5" s="29">
        <f>D5*B2</f>
        <v>4468030000</v>
      </c>
      <c r="G5" s="29" t="s">
        <v>25</v>
      </c>
      <c r="H5" s="29">
        <v>87060000</v>
      </c>
      <c r="I5" s="29">
        <v>1</v>
      </c>
      <c r="J5" s="29">
        <f t="shared" si="1"/>
        <v>87060000</v>
      </c>
      <c r="K5" s="29">
        <f>J5*B2</f>
        <v>4418295000</v>
      </c>
      <c r="M5" s="29" t="s">
        <v>25</v>
      </c>
      <c r="N5" s="31">
        <v>90700000</v>
      </c>
      <c r="O5" s="29">
        <v>1</v>
      </c>
      <c r="P5" s="31">
        <f t="shared" si="2"/>
        <v>90700000</v>
      </c>
      <c r="Q5" s="55">
        <f>P5*B2</f>
        <v>4603025000</v>
      </c>
    </row>
    <row r="6" spans="1:17">
      <c r="A6" s="30" t="s">
        <v>26</v>
      </c>
      <c r="B6" s="30">
        <v>81486200</v>
      </c>
      <c r="C6" s="30">
        <v>1</v>
      </c>
      <c r="D6" s="29">
        <f t="shared" si="0"/>
        <v>81486200</v>
      </c>
      <c r="E6" s="30">
        <f>D6*B2</f>
        <v>4135424650</v>
      </c>
      <c r="G6" s="30" t="s">
        <v>26</v>
      </c>
      <c r="H6" s="30">
        <v>80000000</v>
      </c>
      <c r="I6" s="30">
        <v>1</v>
      </c>
      <c r="J6" s="29">
        <f t="shared" si="1"/>
        <v>80000000</v>
      </c>
      <c r="K6" s="30">
        <f>J6*B2</f>
        <v>4060000000</v>
      </c>
      <c r="M6" s="30" t="s">
        <v>26</v>
      </c>
      <c r="N6" s="32">
        <v>80920000</v>
      </c>
      <c r="O6" s="30">
        <v>1</v>
      </c>
      <c r="P6" s="31">
        <f t="shared" si="2"/>
        <v>80920000</v>
      </c>
      <c r="Q6" s="56">
        <f>P6*B2</f>
        <v>4106690000</v>
      </c>
    </row>
    <row r="7" spans="1:17">
      <c r="A7" s="30" t="s">
        <v>27</v>
      </c>
      <c r="B7" s="30">
        <v>276269530</v>
      </c>
      <c r="C7" s="30">
        <v>1</v>
      </c>
      <c r="D7" s="29">
        <f t="shared" si="0"/>
        <v>276269530</v>
      </c>
      <c r="E7" s="30">
        <f>D7*B2</f>
        <v>14020678647.5</v>
      </c>
      <c r="G7" s="30" t="s">
        <v>27</v>
      </c>
      <c r="H7" s="30">
        <v>280560000</v>
      </c>
      <c r="I7" s="30">
        <v>1</v>
      </c>
      <c r="J7" s="29">
        <f t="shared" si="1"/>
        <v>280560000</v>
      </c>
      <c r="K7" s="30">
        <f>J7*B2</f>
        <v>14238420000</v>
      </c>
      <c r="M7" s="30" t="s">
        <v>27</v>
      </c>
      <c r="N7" s="32">
        <v>280750000</v>
      </c>
      <c r="O7" s="30">
        <v>1</v>
      </c>
      <c r="P7" s="31">
        <f t="shared" si="2"/>
        <v>280750000</v>
      </c>
      <c r="Q7" s="56">
        <f>P7*B2</f>
        <v>14248062500</v>
      </c>
    </row>
    <row r="8" spans="1:17">
      <c r="A8" s="30" t="s">
        <v>1</v>
      </c>
      <c r="B8" s="30">
        <v>154000000</v>
      </c>
      <c r="C8" s="30">
        <v>1</v>
      </c>
      <c r="D8" s="29">
        <f t="shared" si="0"/>
        <v>154000000</v>
      </c>
      <c r="E8" s="30">
        <f>B2*D8</f>
        <v>7815500000</v>
      </c>
      <c r="G8" s="30" t="s">
        <v>1</v>
      </c>
      <c r="H8" s="30">
        <v>150200000</v>
      </c>
      <c r="I8" s="30">
        <v>1</v>
      </c>
      <c r="J8" s="29">
        <f t="shared" si="1"/>
        <v>150200000</v>
      </c>
      <c r="K8" s="30">
        <f>J8*B2</f>
        <v>7622650000</v>
      </c>
      <c r="M8" s="30" t="s">
        <v>1</v>
      </c>
      <c r="N8" s="32">
        <v>150500000</v>
      </c>
      <c r="O8" s="30">
        <v>1</v>
      </c>
      <c r="P8" s="31">
        <f t="shared" si="2"/>
        <v>150500000</v>
      </c>
      <c r="Q8" s="56">
        <f>P8*B2</f>
        <v>7637875000</v>
      </c>
    </row>
    <row r="9" spans="1:17">
      <c r="A9" s="30" t="s">
        <v>87</v>
      </c>
      <c r="B9" s="30">
        <v>10902000</v>
      </c>
      <c r="C9" s="30">
        <v>1</v>
      </c>
      <c r="D9" s="29">
        <f t="shared" si="0"/>
        <v>10902000</v>
      </c>
      <c r="E9" s="30">
        <f>D9*B2</f>
        <v>553276500</v>
      </c>
      <c r="G9" s="30" t="s">
        <v>87</v>
      </c>
      <c r="H9" s="30">
        <v>10800000</v>
      </c>
      <c r="I9" s="30">
        <v>1</v>
      </c>
      <c r="J9" s="29">
        <f t="shared" si="1"/>
        <v>10800000</v>
      </c>
      <c r="K9" s="30">
        <f>J9*B2</f>
        <v>548100000</v>
      </c>
      <c r="M9" s="30" t="s">
        <v>87</v>
      </c>
      <c r="N9" s="32">
        <v>11056000</v>
      </c>
      <c r="O9" s="30">
        <v>1</v>
      </c>
      <c r="P9" s="31">
        <f t="shared" si="2"/>
        <v>11056000</v>
      </c>
      <c r="Q9" s="56">
        <f>P9*B2</f>
        <v>561092000</v>
      </c>
    </row>
    <row r="10" spans="1:17">
      <c r="A10" s="30" t="s">
        <v>86</v>
      </c>
      <c r="B10" s="30">
        <v>9508000</v>
      </c>
      <c r="C10" s="30">
        <v>7</v>
      </c>
      <c r="D10" s="29">
        <f t="shared" si="0"/>
        <v>66556000</v>
      </c>
      <c r="E10" s="30">
        <f>D10*B2</f>
        <v>3377717000</v>
      </c>
      <c r="G10" s="30" t="s">
        <v>86</v>
      </c>
      <c r="H10" s="30">
        <v>9050000</v>
      </c>
      <c r="I10" s="30">
        <v>7</v>
      </c>
      <c r="J10" s="29">
        <f t="shared" si="1"/>
        <v>63350000</v>
      </c>
      <c r="K10" s="30">
        <f>J10*B2</f>
        <v>3215012500</v>
      </c>
      <c r="M10" s="30" t="s">
        <v>86</v>
      </c>
      <c r="N10" s="32">
        <v>9076000</v>
      </c>
      <c r="O10" s="30">
        <v>7</v>
      </c>
      <c r="P10" s="31">
        <f t="shared" si="2"/>
        <v>63532000</v>
      </c>
      <c r="Q10" s="56">
        <f>P10*B2</f>
        <v>3224249000</v>
      </c>
    </row>
    <row r="11" spans="1:17">
      <c r="A11" s="30" t="s">
        <v>2</v>
      </c>
      <c r="B11" s="30">
        <v>15000000</v>
      </c>
      <c r="C11" s="30">
        <v>3</v>
      </c>
      <c r="D11" s="29">
        <f t="shared" si="0"/>
        <v>45000000</v>
      </c>
      <c r="E11" s="30">
        <f>D11*B2</f>
        <v>2283750000</v>
      </c>
      <c r="G11" s="30" t="s">
        <v>2</v>
      </c>
      <c r="H11" s="30">
        <v>14900000</v>
      </c>
      <c r="I11" s="30">
        <v>3</v>
      </c>
      <c r="J11" s="29">
        <f t="shared" si="1"/>
        <v>44700000</v>
      </c>
      <c r="K11" s="30">
        <f>J11*B2</f>
        <v>2268525000</v>
      </c>
      <c r="M11" s="30" t="s">
        <v>2</v>
      </c>
      <c r="N11" s="32">
        <v>15500000</v>
      </c>
      <c r="O11" s="30">
        <v>3</v>
      </c>
      <c r="P11" s="31">
        <f t="shared" si="2"/>
        <v>46500000</v>
      </c>
      <c r="Q11" s="56">
        <f>P11*B2</f>
        <v>2359875000</v>
      </c>
    </row>
    <row r="12" spans="1:17" ht="15" thickBot="1">
      <c r="A12" s="30" t="s">
        <v>3</v>
      </c>
      <c r="B12" s="30">
        <v>48800600</v>
      </c>
      <c r="C12" s="30">
        <v>1</v>
      </c>
      <c r="D12" s="29">
        <f t="shared" si="0"/>
        <v>48800600</v>
      </c>
      <c r="E12" s="30">
        <f>D12*B2</f>
        <v>2476630450</v>
      </c>
      <c r="G12" s="30" t="s">
        <v>3</v>
      </c>
      <c r="H12" s="30">
        <v>48146000</v>
      </c>
      <c r="I12" s="30">
        <v>1</v>
      </c>
      <c r="J12" s="29">
        <f t="shared" si="1"/>
        <v>48146000</v>
      </c>
      <c r="K12" s="30">
        <f>J12*B2</f>
        <v>2443409500</v>
      </c>
      <c r="M12" s="30" t="s">
        <v>3</v>
      </c>
      <c r="N12" s="32">
        <v>48400000</v>
      </c>
      <c r="O12" s="30">
        <v>1</v>
      </c>
      <c r="P12" s="31">
        <f t="shared" si="2"/>
        <v>48400000</v>
      </c>
      <c r="Q12" s="56">
        <f>P12*B2</f>
        <v>2456300000</v>
      </c>
    </row>
    <row r="13" spans="1:17" ht="15" thickBot="1">
      <c r="B13" s="97" t="s">
        <v>84</v>
      </c>
      <c r="C13" s="98"/>
      <c r="D13" s="98"/>
      <c r="E13" s="41">
        <f>SUM(E4:E12)</f>
        <v>74605257247.5</v>
      </c>
      <c r="H13" s="97" t="s">
        <v>85</v>
      </c>
      <c r="I13" s="98"/>
      <c r="J13" s="98"/>
      <c r="K13" s="41">
        <f>SUM(K4:K12)</f>
        <v>74324187000</v>
      </c>
      <c r="N13" s="97" t="s">
        <v>85</v>
      </c>
      <c r="O13" s="98"/>
      <c r="P13" s="98"/>
      <c r="Q13" s="57">
        <f>SUM(Q4:Q12)</f>
        <v>74751908000</v>
      </c>
    </row>
    <row r="14" spans="1:17" ht="15" thickBot="1"/>
    <row r="15" spans="1:17">
      <c r="A15" s="42" t="s">
        <v>84</v>
      </c>
      <c r="B15" s="43"/>
      <c r="C15" s="43"/>
      <c r="D15" s="43"/>
      <c r="E15" s="44">
        <f>E13</f>
        <v>74605257247.5</v>
      </c>
      <c r="G15" s="42" t="s">
        <v>84</v>
      </c>
      <c r="H15" s="45"/>
      <c r="I15" s="43"/>
      <c r="J15" s="46"/>
      <c r="K15" s="44">
        <f>K13</f>
        <v>74324187000</v>
      </c>
      <c r="M15" s="42" t="s">
        <v>84</v>
      </c>
      <c r="N15" s="45"/>
      <c r="O15" s="43"/>
      <c r="P15" s="46"/>
      <c r="Q15" s="58">
        <f>Q13</f>
        <v>74751908000</v>
      </c>
    </row>
    <row r="16" spans="1:17">
      <c r="A16" s="47" t="s">
        <v>10</v>
      </c>
      <c r="B16" s="48"/>
      <c r="C16" s="48"/>
      <c r="D16" s="48">
        <v>0.1</v>
      </c>
      <c r="E16" s="49">
        <f>E15*D16</f>
        <v>7460525724.75</v>
      </c>
      <c r="G16" s="47" t="s">
        <v>10</v>
      </c>
      <c r="H16" s="50"/>
      <c r="I16" s="48"/>
      <c r="J16" s="51">
        <v>0.1</v>
      </c>
      <c r="K16" s="49">
        <f>K15*J16</f>
        <v>7432418700</v>
      </c>
      <c r="M16" s="47" t="s">
        <v>10</v>
      </c>
      <c r="N16" s="50"/>
      <c r="O16" s="48"/>
      <c r="P16" s="51">
        <v>0.1</v>
      </c>
      <c r="Q16" s="59">
        <f>Q15*P16</f>
        <v>7475190800</v>
      </c>
    </row>
    <row r="17" spans="1:17">
      <c r="A17" s="47" t="s">
        <v>11</v>
      </c>
      <c r="B17" s="48"/>
      <c r="C17" s="48"/>
      <c r="D17" s="48">
        <v>0.33</v>
      </c>
      <c r="E17" s="49">
        <f>E15*D17</f>
        <v>24619734891.675003</v>
      </c>
      <c r="G17" s="47" t="s">
        <v>11</v>
      </c>
      <c r="H17" s="50"/>
      <c r="I17" s="48"/>
      <c r="J17" s="51">
        <v>0.33</v>
      </c>
      <c r="K17" s="49">
        <f>K15*J17</f>
        <v>24526981710</v>
      </c>
      <c r="M17" s="47" t="s">
        <v>11</v>
      </c>
      <c r="N17" s="50"/>
      <c r="O17" s="48"/>
      <c r="P17" s="51">
        <v>0.33</v>
      </c>
      <c r="Q17" s="59">
        <f>Q15*P17</f>
        <v>24668129640</v>
      </c>
    </row>
    <row r="18" spans="1:17">
      <c r="A18" s="47" t="s">
        <v>83</v>
      </c>
      <c r="B18" s="48"/>
      <c r="C18" s="48"/>
      <c r="D18" s="48">
        <v>0.2</v>
      </c>
      <c r="E18" s="49">
        <f>E15*D18</f>
        <v>14921051449.5</v>
      </c>
      <c r="G18" s="47" t="s">
        <v>83</v>
      </c>
      <c r="H18" s="50"/>
      <c r="I18" s="48"/>
      <c r="J18" s="51">
        <v>0.2</v>
      </c>
      <c r="K18" s="49">
        <f>K15*J18</f>
        <v>14864837400</v>
      </c>
      <c r="M18" s="47" t="s">
        <v>83</v>
      </c>
      <c r="N18" s="50"/>
      <c r="O18" s="48"/>
      <c r="P18" s="51">
        <v>0.2</v>
      </c>
      <c r="Q18" s="59">
        <f>Q15*P18</f>
        <v>14950381600</v>
      </c>
    </row>
    <row r="19" spans="1:17">
      <c r="A19" s="47" t="s">
        <v>82</v>
      </c>
      <c r="B19" s="48"/>
      <c r="C19" s="48"/>
      <c r="D19" s="48">
        <v>0.15</v>
      </c>
      <c r="E19" s="49">
        <f>E20*D19</f>
        <v>75431634.299999997</v>
      </c>
      <c r="G19" s="47" t="s">
        <v>82</v>
      </c>
      <c r="H19" s="50"/>
      <c r="I19" s="48"/>
      <c r="J19" s="51">
        <v>0.15</v>
      </c>
      <c r="K19" s="49">
        <f>K20*J19</f>
        <v>75431634.299999997</v>
      </c>
      <c r="M19" s="47" t="s">
        <v>82</v>
      </c>
      <c r="N19" s="50"/>
      <c r="O19" s="48"/>
      <c r="P19" s="51">
        <v>0.15</v>
      </c>
      <c r="Q19" s="59">
        <f>Q20*P19</f>
        <v>75431634.299999997</v>
      </c>
    </row>
    <row r="20" spans="1:17">
      <c r="A20" s="47" t="s">
        <v>81</v>
      </c>
      <c r="B20" s="48"/>
      <c r="C20" s="48"/>
      <c r="D20" s="48"/>
      <c r="E20" s="49">
        <v>502877562</v>
      </c>
      <c r="G20" s="47" t="s">
        <v>81</v>
      </c>
      <c r="H20" s="50"/>
      <c r="I20" s="48"/>
      <c r="J20" s="51"/>
      <c r="K20" s="49">
        <v>502877562</v>
      </c>
      <c r="M20" s="47" t="s">
        <v>81</v>
      </c>
      <c r="N20" s="50"/>
      <c r="O20" s="48"/>
      <c r="P20" s="51"/>
      <c r="Q20" s="59">
        <v>502877562</v>
      </c>
    </row>
    <row r="21" spans="1:17" ht="15" thickBot="1">
      <c r="A21" s="52" t="s">
        <v>80</v>
      </c>
      <c r="B21" s="53"/>
      <c r="C21" s="53"/>
      <c r="D21" s="53">
        <v>0.2</v>
      </c>
      <c r="E21" s="54">
        <f>E15*D21</f>
        <v>14921051449.5</v>
      </c>
      <c r="G21" s="52" t="s">
        <v>80</v>
      </c>
      <c r="H21" s="50"/>
      <c r="I21" s="48"/>
      <c r="J21" s="51">
        <v>0.2</v>
      </c>
      <c r="K21" s="54">
        <f>K15*J21</f>
        <v>14864837400</v>
      </c>
      <c r="M21" s="52" t="s">
        <v>80</v>
      </c>
      <c r="N21" s="50"/>
      <c r="O21" s="48"/>
      <c r="P21" s="51">
        <v>0.2</v>
      </c>
      <c r="Q21" s="60">
        <f>Q15*P21</f>
        <v>14950381600</v>
      </c>
    </row>
    <row r="22" spans="1:17" ht="15" thickBot="1">
      <c r="B22" s="99" t="s">
        <v>79</v>
      </c>
      <c r="C22" s="100"/>
      <c r="D22" s="100"/>
      <c r="E22" s="41">
        <f>SUM(E15:E21)</f>
        <v>137105929959.22501</v>
      </c>
      <c r="H22" s="97" t="s">
        <v>79</v>
      </c>
      <c r="I22" s="98"/>
      <c r="J22" s="101"/>
      <c r="K22" s="41">
        <f>SUM(K15:K21)</f>
        <v>136591571406.3</v>
      </c>
      <c r="N22" s="97" t="s">
        <v>79</v>
      </c>
      <c r="O22" s="98"/>
      <c r="P22" s="101"/>
      <c r="Q22" s="57">
        <f>SUM(Q15:Q21)</f>
        <v>137374300836.3</v>
      </c>
    </row>
  </sheetData>
  <mergeCells count="6">
    <mergeCell ref="B13:D13"/>
    <mergeCell ref="H13:J13"/>
    <mergeCell ref="N13:P13"/>
    <mergeCell ref="B22:D22"/>
    <mergeCell ref="H22:J22"/>
    <mergeCell ref="N22:P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4"/>
  <sheetViews>
    <sheetView tabSelected="1" topLeftCell="B34" zoomScaleNormal="100" workbookViewId="0">
      <selection activeCell="D26" sqref="D26"/>
    </sheetView>
  </sheetViews>
  <sheetFormatPr defaultRowHeight="15"/>
  <cols>
    <col min="2" max="2" width="35.7109375" customWidth="1"/>
    <col min="3" max="3" width="21.85546875" customWidth="1"/>
    <col min="4" max="5" width="21.5703125" customWidth="1"/>
    <col min="6" max="6" width="19.28515625" customWidth="1"/>
    <col min="7" max="7" width="18.5703125" customWidth="1"/>
    <col min="8" max="8" width="18.42578125" customWidth="1"/>
    <col min="9" max="9" width="18" customWidth="1"/>
  </cols>
  <sheetData>
    <row r="2" spans="2:9">
      <c r="B2" s="129" t="s">
        <v>28</v>
      </c>
      <c r="C2" s="129" t="s">
        <v>128</v>
      </c>
      <c r="D2" s="130" t="s">
        <v>129</v>
      </c>
      <c r="E2" s="131"/>
      <c r="F2" s="130" t="s">
        <v>134</v>
      </c>
      <c r="G2" s="131"/>
      <c r="H2" s="130" t="s">
        <v>130</v>
      </c>
      <c r="I2" s="131"/>
    </row>
    <row r="3" spans="2:9">
      <c r="B3" s="129"/>
      <c r="C3" s="129"/>
      <c r="D3" s="130" t="s">
        <v>131</v>
      </c>
      <c r="E3" s="131"/>
      <c r="F3" s="130" t="s">
        <v>131</v>
      </c>
      <c r="G3" s="131"/>
      <c r="H3" s="130" t="s">
        <v>131</v>
      </c>
      <c r="I3" s="131"/>
    </row>
    <row r="4" spans="2:9">
      <c r="B4" s="129"/>
      <c r="C4" s="129"/>
      <c r="D4" s="81" t="s">
        <v>132</v>
      </c>
      <c r="E4" s="81" t="s">
        <v>110</v>
      </c>
      <c r="F4" s="81" t="s">
        <v>132</v>
      </c>
      <c r="G4" s="81" t="s">
        <v>110</v>
      </c>
      <c r="H4" s="81" t="s">
        <v>132</v>
      </c>
      <c r="I4" s="81" t="s">
        <v>110</v>
      </c>
    </row>
    <row r="5" spans="2:9">
      <c r="B5" s="81" t="s">
        <v>0</v>
      </c>
      <c r="C5" s="81">
        <v>1</v>
      </c>
      <c r="D5" s="82">
        <v>699000000</v>
      </c>
      <c r="E5" s="83">
        <v>35474250000</v>
      </c>
      <c r="F5" s="82">
        <v>699700000</v>
      </c>
      <c r="G5" s="82">
        <v>35509775000</v>
      </c>
      <c r="H5" s="82">
        <v>700586000</v>
      </c>
      <c r="I5" s="82">
        <v>35554739500</v>
      </c>
    </row>
    <row r="6" spans="2:9">
      <c r="B6" s="81" t="s">
        <v>25</v>
      </c>
      <c r="C6" s="81">
        <v>1</v>
      </c>
      <c r="D6" s="82">
        <v>88040000</v>
      </c>
      <c r="E6" s="83">
        <v>4468030000</v>
      </c>
      <c r="F6" s="82">
        <v>87060000</v>
      </c>
      <c r="G6" s="82">
        <v>4418295000</v>
      </c>
      <c r="H6" s="82">
        <v>90700000</v>
      </c>
      <c r="I6" s="82">
        <v>4603025000</v>
      </c>
    </row>
    <row r="7" spans="2:9">
      <c r="B7" s="81" t="s">
        <v>26</v>
      </c>
      <c r="C7" s="81">
        <v>1</v>
      </c>
      <c r="D7" s="82">
        <v>81486200</v>
      </c>
      <c r="E7" s="83">
        <v>4135424650</v>
      </c>
      <c r="F7" s="82">
        <v>80000000</v>
      </c>
      <c r="G7" s="82">
        <v>4060000000</v>
      </c>
      <c r="H7" s="82">
        <v>80920000</v>
      </c>
      <c r="I7" s="82">
        <v>4106690000</v>
      </c>
    </row>
    <row r="8" spans="2:9">
      <c r="B8" s="81" t="s">
        <v>27</v>
      </c>
      <c r="C8" s="81">
        <v>1</v>
      </c>
      <c r="D8" s="82">
        <v>276269530</v>
      </c>
      <c r="E8" s="83">
        <v>14020678647.5</v>
      </c>
      <c r="F8" s="82">
        <v>280560000</v>
      </c>
      <c r="G8" s="82">
        <v>14238420000</v>
      </c>
      <c r="H8" s="82">
        <v>280750000</v>
      </c>
      <c r="I8" s="82">
        <v>14248062500</v>
      </c>
    </row>
    <row r="9" spans="2:9">
      <c r="B9" s="81" t="s">
        <v>1</v>
      </c>
      <c r="C9" s="81">
        <v>1</v>
      </c>
      <c r="D9" s="82">
        <v>154000000</v>
      </c>
      <c r="E9" s="83">
        <v>7815500000</v>
      </c>
      <c r="F9" s="82">
        <v>150200000</v>
      </c>
      <c r="G9" s="82">
        <v>7622650000</v>
      </c>
      <c r="H9" s="82">
        <v>150500000</v>
      </c>
      <c r="I9" s="82">
        <v>7637875000</v>
      </c>
    </row>
    <row r="10" spans="2:9">
      <c r="B10" s="81" t="s">
        <v>87</v>
      </c>
      <c r="C10" s="81">
        <v>1</v>
      </c>
      <c r="D10" s="82">
        <v>10902000</v>
      </c>
      <c r="E10" s="83">
        <v>553276500</v>
      </c>
      <c r="F10" s="82">
        <v>10800000</v>
      </c>
      <c r="G10" s="82">
        <v>548100000</v>
      </c>
      <c r="H10" s="82">
        <v>11056000</v>
      </c>
      <c r="I10" s="82">
        <v>561092000</v>
      </c>
    </row>
    <row r="11" spans="2:9">
      <c r="B11" s="81" t="s">
        <v>86</v>
      </c>
      <c r="C11" s="81">
        <v>7</v>
      </c>
      <c r="D11" s="82">
        <v>66556000</v>
      </c>
      <c r="E11" s="83">
        <v>3377717000</v>
      </c>
      <c r="F11" s="82">
        <v>63350000</v>
      </c>
      <c r="G11" s="82">
        <v>3215012500</v>
      </c>
      <c r="H11" s="82">
        <v>63532000</v>
      </c>
      <c r="I11" s="82">
        <v>3224249000</v>
      </c>
    </row>
    <row r="12" spans="2:9">
      <c r="B12" s="81" t="s">
        <v>2</v>
      </c>
      <c r="C12" s="81">
        <v>3</v>
      </c>
      <c r="D12" s="82">
        <v>45000000</v>
      </c>
      <c r="E12" s="83">
        <v>2283750000</v>
      </c>
      <c r="F12" s="82">
        <v>44700000</v>
      </c>
      <c r="G12" s="82">
        <v>2268525000</v>
      </c>
      <c r="H12" s="82">
        <v>46500000</v>
      </c>
      <c r="I12" s="82">
        <v>2359875000</v>
      </c>
    </row>
    <row r="13" spans="2:9">
      <c r="B13" s="81" t="s">
        <v>3</v>
      </c>
      <c r="C13" s="81">
        <v>1</v>
      </c>
      <c r="D13" s="82">
        <v>48800600</v>
      </c>
      <c r="E13" s="83">
        <v>2476630450</v>
      </c>
      <c r="F13" s="82">
        <v>48146000</v>
      </c>
      <c r="G13" s="82">
        <v>2443409500</v>
      </c>
      <c r="H13" s="82">
        <v>48400000</v>
      </c>
      <c r="I13" s="82">
        <v>2456300000</v>
      </c>
    </row>
    <row r="14" spans="2:9">
      <c r="B14" s="81" t="s">
        <v>133</v>
      </c>
      <c r="C14" s="81"/>
      <c r="D14" s="81"/>
      <c r="E14" s="82">
        <v>74605257247.5</v>
      </c>
      <c r="F14" s="81"/>
      <c r="G14" s="82">
        <v>74324187000</v>
      </c>
      <c r="H14" s="81"/>
      <c r="I14" s="82">
        <v>74751908000</v>
      </c>
    </row>
    <row r="18" spans="1:4">
      <c r="A18" t="s">
        <v>122</v>
      </c>
    </row>
    <row r="19" spans="1:4">
      <c r="B19" s="79" t="s">
        <v>104</v>
      </c>
      <c r="C19" s="79" t="s">
        <v>105</v>
      </c>
      <c r="D19" s="79">
        <v>500</v>
      </c>
    </row>
    <row r="20" spans="1:4">
      <c r="B20" s="79" t="s">
        <v>106</v>
      </c>
      <c r="C20" s="79"/>
      <c r="D20" s="79">
        <v>51.39</v>
      </c>
    </row>
    <row r="21" spans="1:4">
      <c r="B21" s="79" t="s">
        <v>107</v>
      </c>
      <c r="C21" s="79" t="s">
        <v>108</v>
      </c>
      <c r="D21" s="79">
        <v>2250.75</v>
      </c>
    </row>
    <row r="22" spans="1:4">
      <c r="B22" s="79" t="s">
        <v>109</v>
      </c>
      <c r="C22" s="79" t="s">
        <v>88</v>
      </c>
      <c r="D22" s="79">
        <v>9.8000000000000007</v>
      </c>
    </row>
    <row r="23" spans="1:4">
      <c r="B23" s="79" t="s">
        <v>43</v>
      </c>
      <c r="C23" s="79" t="s">
        <v>110</v>
      </c>
      <c r="D23" s="80">
        <v>137374300836.875</v>
      </c>
    </row>
    <row r="24" spans="1:4">
      <c r="B24" s="79" t="s">
        <v>111</v>
      </c>
      <c r="C24" s="79" t="s">
        <v>112</v>
      </c>
      <c r="D24" s="79">
        <v>25</v>
      </c>
    </row>
    <row r="25" spans="1:4">
      <c r="B25" s="79" t="s">
        <v>113</v>
      </c>
      <c r="C25" s="79"/>
      <c r="D25" s="79">
        <v>0.05</v>
      </c>
    </row>
    <row r="26" spans="1:4">
      <c r="B26" s="79" t="s">
        <v>114</v>
      </c>
      <c r="C26" s="79"/>
      <c r="D26" s="79">
        <f>((0.05*(1.05^25))/((1.05^25)-1))</f>
        <v>7.0952457299229624E-2</v>
      </c>
    </row>
    <row r="27" spans="1:4">
      <c r="B27" s="79" t="s">
        <v>115</v>
      </c>
      <c r="C27" s="79" t="s">
        <v>110</v>
      </c>
      <c r="D27" s="80">
        <v>11771314380.018847</v>
      </c>
    </row>
    <row r="28" spans="1:4">
      <c r="B28" s="79" t="s">
        <v>116</v>
      </c>
      <c r="C28" s="79" t="s">
        <v>110</v>
      </c>
      <c r="D28" s="80">
        <v>1307923820.002094</v>
      </c>
    </row>
    <row r="29" spans="1:4">
      <c r="B29" s="79" t="s">
        <v>117</v>
      </c>
      <c r="C29" s="79" t="s">
        <v>110</v>
      </c>
      <c r="D29" s="80">
        <v>5220223431.8012505</v>
      </c>
    </row>
    <row r="30" spans="1:4">
      <c r="B30" s="79" t="s">
        <v>118</v>
      </c>
      <c r="C30" s="79" t="s">
        <v>119</v>
      </c>
      <c r="D30" s="80">
        <f>D29/(D19*1000)</f>
        <v>10440.446863602501</v>
      </c>
    </row>
    <row r="31" spans="1:4">
      <c r="B31" s="79" t="s">
        <v>120</v>
      </c>
      <c r="C31" s="79" t="s">
        <v>119</v>
      </c>
      <c r="D31" s="80">
        <v>1307.9238200020941</v>
      </c>
    </row>
    <row r="32" spans="1:4">
      <c r="B32" s="79" t="s">
        <v>121</v>
      </c>
      <c r="C32" s="79" t="s">
        <v>119</v>
      </c>
      <c r="D32" s="79">
        <f>((D27+D28+D29)/(1.05)^25)/((500*1000*8400)/(1.05)^25)</f>
        <v>4.357014674243378</v>
      </c>
    </row>
    <row r="36" spans="1:9">
      <c r="A36" t="s">
        <v>135</v>
      </c>
    </row>
    <row r="37" spans="1:9">
      <c r="B37" s="79"/>
      <c r="C37" s="79" t="s">
        <v>79</v>
      </c>
      <c r="D37" s="79" t="s">
        <v>88</v>
      </c>
      <c r="E37" s="79" t="s">
        <v>136</v>
      </c>
      <c r="F37" s="79" t="s">
        <v>137</v>
      </c>
      <c r="G37" s="79" t="s">
        <v>138</v>
      </c>
      <c r="H37" s="79" t="s">
        <v>139</v>
      </c>
    </row>
    <row r="38" spans="1:9">
      <c r="B38" s="79" t="s">
        <v>129</v>
      </c>
      <c r="C38" s="84">
        <f>E14</f>
        <v>74605257247.5</v>
      </c>
      <c r="D38" s="85">
        <v>9.8000000000000007</v>
      </c>
      <c r="E38" s="79">
        <v>42</v>
      </c>
      <c r="F38" s="79">
        <v>1</v>
      </c>
      <c r="G38" s="79">
        <v>25</v>
      </c>
      <c r="H38" s="84">
        <f>D28</f>
        <v>1307923820.002094</v>
      </c>
    </row>
    <row r="39" spans="1:9">
      <c r="B39" s="79" t="s">
        <v>134</v>
      </c>
      <c r="C39" s="84">
        <f>G14</f>
        <v>74324187000</v>
      </c>
      <c r="D39" s="85">
        <v>9.8000000000000007</v>
      </c>
      <c r="E39" s="79">
        <v>43</v>
      </c>
      <c r="F39" s="79">
        <v>1</v>
      </c>
      <c r="G39" s="79">
        <v>25</v>
      </c>
      <c r="H39" s="84">
        <f>D28</f>
        <v>1307923820.002094</v>
      </c>
    </row>
    <row r="40" spans="1:9">
      <c r="B40" s="79" t="s">
        <v>130</v>
      </c>
      <c r="C40" s="84">
        <f>I14</f>
        <v>74751908000</v>
      </c>
      <c r="D40" s="85">
        <v>9.8000000000000007</v>
      </c>
      <c r="E40" s="79">
        <v>46</v>
      </c>
      <c r="F40" s="79">
        <v>1</v>
      </c>
      <c r="G40" s="79">
        <v>25</v>
      </c>
      <c r="H40" s="84">
        <f>D28</f>
        <v>1307923820.002094</v>
      </c>
    </row>
    <row r="43" spans="1:9">
      <c r="B43" s="132"/>
      <c r="C43" s="132"/>
      <c r="D43" s="136" t="s">
        <v>134</v>
      </c>
      <c r="E43" s="137"/>
      <c r="F43" s="136" t="s">
        <v>140</v>
      </c>
      <c r="G43" s="137"/>
      <c r="H43" s="135" t="s">
        <v>141</v>
      </c>
      <c r="I43" s="135"/>
    </row>
    <row r="44" spans="1:9">
      <c r="B44" s="133"/>
      <c r="C44" s="133"/>
      <c r="D44" s="136" t="s">
        <v>142</v>
      </c>
      <c r="E44" s="137"/>
      <c r="F44" s="136" t="s">
        <v>142</v>
      </c>
      <c r="G44" s="137"/>
      <c r="H44" s="135" t="s">
        <v>142</v>
      </c>
      <c r="I44" s="135"/>
    </row>
    <row r="45" spans="1:9">
      <c r="B45" s="134"/>
      <c r="C45" s="134"/>
      <c r="D45" s="79" t="s">
        <v>66</v>
      </c>
      <c r="E45" s="79" t="s">
        <v>67</v>
      </c>
      <c r="F45" s="79" t="s">
        <v>66</v>
      </c>
      <c r="G45" s="79" t="s">
        <v>67</v>
      </c>
      <c r="H45" s="79" t="s">
        <v>66</v>
      </c>
      <c r="I45" s="79" t="s">
        <v>67</v>
      </c>
    </row>
    <row r="46" spans="1:9">
      <c r="B46" s="79" t="s">
        <v>123</v>
      </c>
      <c r="C46" s="79" t="s">
        <v>110</v>
      </c>
      <c r="D46" s="80">
        <f>'CASE 3 CHI'!AD16-'CASE 3 CHI'!AC16</f>
        <v>23377487102.070114</v>
      </c>
      <c r="E46" s="79"/>
      <c r="F46" s="80">
        <f>'CASE 3 US'!AD16-'CASE 3 US'!AC16</f>
        <v>23348164414.771248</v>
      </c>
      <c r="G46" s="79"/>
      <c r="H46" s="80">
        <f>'CASE 3 EU'!AF16-'CASE 3 EU'!AE16</f>
        <v>23332865057.418594</v>
      </c>
      <c r="I46" s="79"/>
    </row>
    <row r="47" spans="1:9">
      <c r="B47" s="79" t="s">
        <v>124</v>
      </c>
      <c r="C47" s="79" t="s">
        <v>110</v>
      </c>
      <c r="D47" s="84">
        <f>0.12*D48</f>
        <v>8918902440</v>
      </c>
      <c r="E47" s="79"/>
      <c r="F47" s="84">
        <f>0.12*F48</f>
        <v>8952630869.6999989</v>
      </c>
      <c r="G47" s="79"/>
      <c r="H47" s="84">
        <f>0.12*H48</f>
        <v>8970228960</v>
      </c>
      <c r="I47" s="79"/>
    </row>
    <row r="48" spans="1:9">
      <c r="B48" s="79" t="s">
        <v>143</v>
      </c>
      <c r="C48" s="79" t="s">
        <v>110</v>
      </c>
      <c r="D48" s="84">
        <f>G14</f>
        <v>74324187000</v>
      </c>
      <c r="E48" s="79"/>
      <c r="F48" s="84">
        <f>E14</f>
        <v>74605257247.5</v>
      </c>
      <c r="G48" s="79"/>
      <c r="H48" s="84">
        <f>I14</f>
        <v>74751908000</v>
      </c>
      <c r="I48" s="79"/>
    </row>
    <row r="49" spans="2:9">
      <c r="B49" s="79"/>
      <c r="C49" s="79" t="s">
        <v>88</v>
      </c>
      <c r="D49" s="84">
        <f>D48/500000</f>
        <v>148648.37400000001</v>
      </c>
      <c r="E49" s="79"/>
      <c r="F49" s="84">
        <f>F48/500000</f>
        <v>149210.51449500001</v>
      </c>
      <c r="G49" s="79"/>
      <c r="H49" s="84">
        <f>H48/500000</f>
        <v>149503.81599999999</v>
      </c>
      <c r="I49" s="79"/>
    </row>
    <row r="50" spans="2:9">
      <c r="B50" s="79" t="s">
        <v>144</v>
      </c>
      <c r="C50" s="79" t="s">
        <v>145</v>
      </c>
      <c r="D50" s="79">
        <f>(500*8400)/1000</f>
        <v>4200</v>
      </c>
      <c r="E50" s="79"/>
      <c r="F50" s="79">
        <f>(500*8400)/1000</f>
        <v>4200</v>
      </c>
      <c r="G50" s="79"/>
      <c r="H50" s="79">
        <f>(500*8400)/1000</f>
        <v>4200</v>
      </c>
      <c r="I50" s="79"/>
    </row>
    <row r="51" spans="2:9">
      <c r="B51" s="79" t="s">
        <v>146</v>
      </c>
      <c r="C51" s="79" t="s">
        <v>147</v>
      </c>
      <c r="D51" s="79">
        <f>D54/((D47/5)*1.2)</f>
        <v>14.553680525506621</v>
      </c>
      <c r="E51" s="79"/>
      <c r="F51" s="79">
        <f>D54/((F47/5)*1.2)</f>
        <v>14.498850521050374</v>
      </c>
      <c r="G51" s="79"/>
      <c r="H51" s="79">
        <f>D54/((H47/5)*1.2)</f>
        <v>14.470406199076715</v>
      </c>
      <c r="I51" s="79"/>
    </row>
    <row r="52" spans="2:9">
      <c r="B52" s="79" t="s">
        <v>148</v>
      </c>
      <c r="C52" s="79" t="s">
        <v>147</v>
      </c>
      <c r="D52" s="84">
        <f>'CASE 3 EU'!Z17-SELECTION!G14</f>
        <v>344270287220.86133</v>
      </c>
      <c r="E52" s="79"/>
      <c r="F52" s="84">
        <f>'CASE 3 EU'!Z17-SELECTION!E14</f>
        <v>343989216973.36133</v>
      </c>
      <c r="G52" s="79"/>
      <c r="H52" s="84">
        <f>'CASE 3 EU'!Z17-SELECTION!I14</f>
        <v>343842566220.86133</v>
      </c>
      <c r="I52" s="79"/>
    </row>
    <row r="54" spans="2:9">
      <c r="C54" t="s">
        <v>48</v>
      </c>
      <c r="D54" s="86">
        <v>31152685619.981155</v>
      </c>
    </row>
  </sheetData>
  <mergeCells count="16">
    <mergeCell ref="C43:C45"/>
    <mergeCell ref="B43:B45"/>
    <mergeCell ref="H44:I44"/>
    <mergeCell ref="H43:I43"/>
    <mergeCell ref="F44:G44"/>
    <mergeCell ref="F43:G43"/>
    <mergeCell ref="D44:E44"/>
    <mergeCell ref="D43:E43"/>
    <mergeCell ref="B2:B4"/>
    <mergeCell ref="C2:C4"/>
    <mergeCell ref="D3:E3"/>
    <mergeCell ref="D2:E2"/>
    <mergeCell ref="H3:I3"/>
    <mergeCell ref="H2:I2"/>
    <mergeCell ref="F3:G3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opLeftCell="G1" zoomScale="70" zoomScaleNormal="70" workbookViewId="0">
      <selection activeCell="I37" sqref="I37"/>
    </sheetView>
  </sheetViews>
  <sheetFormatPr defaultColWidth="8.85546875" defaultRowHeight="14.25"/>
  <cols>
    <col min="1" max="1" width="23.7109375" style="1" bestFit="1" customWidth="1"/>
    <col min="2" max="2" width="19.28515625" style="1" bestFit="1" customWidth="1"/>
    <col min="3" max="3" width="6.5703125" style="1" bestFit="1" customWidth="1"/>
    <col min="4" max="4" width="19.28515625" style="1" bestFit="1" customWidth="1"/>
    <col min="5" max="5" width="22.42578125" style="1" bestFit="1" customWidth="1"/>
    <col min="6" max="6" width="1.42578125" style="3" customWidth="1"/>
    <col min="7" max="7" width="34.140625" style="1" bestFit="1" customWidth="1"/>
    <col min="8" max="8" width="7.28515625" style="1" bestFit="1" customWidth="1"/>
    <col min="9" max="9" width="23.85546875" style="1" bestFit="1" customWidth="1"/>
    <col min="10" max="10" width="1.42578125" style="1" customWidth="1"/>
    <col min="11" max="11" width="25.140625" style="1" bestFit="1" customWidth="1"/>
    <col min="12" max="12" width="21.28515625" style="1" bestFit="1" customWidth="1"/>
    <col min="13" max="13" width="1.28515625" style="1" customWidth="1"/>
    <col min="14" max="14" width="24.5703125" style="1" bestFit="1" customWidth="1"/>
    <col min="15" max="16" width="14" style="1" customWidth="1"/>
    <col min="17" max="17" width="20.7109375" style="1" bestFit="1" customWidth="1"/>
    <col min="18" max="23" width="14" style="1" customWidth="1"/>
    <col min="24" max="24" width="10.28515625" style="1" bestFit="1" customWidth="1"/>
    <col min="25" max="25" width="8.7109375" style="1" bestFit="1" customWidth="1"/>
    <col min="26" max="26" width="1.140625" style="1" customWidth="1"/>
    <col min="27" max="27" width="39.140625" style="1" bestFit="1" customWidth="1"/>
    <col min="28" max="28" width="27.42578125" style="1" bestFit="1" customWidth="1"/>
    <col min="29" max="29" width="32.5703125" style="1" bestFit="1" customWidth="1"/>
    <col min="30" max="30" width="35.5703125" style="1" bestFit="1" customWidth="1"/>
    <col min="31" max="31" width="40.7109375" style="1" bestFit="1" customWidth="1"/>
    <col min="32" max="32" width="40" style="1" customWidth="1"/>
    <col min="33" max="33" width="12.5703125" style="1" customWidth="1"/>
    <col min="34" max="35" width="36.140625" style="1" customWidth="1"/>
    <col min="36" max="16384" width="8.85546875" style="1"/>
  </cols>
  <sheetData>
    <row r="1" spans="1:33" ht="15.75">
      <c r="A1" s="107" t="s">
        <v>96</v>
      </c>
      <c r="B1" s="108"/>
      <c r="C1" s="108"/>
      <c r="D1" s="108"/>
      <c r="E1" s="109"/>
      <c r="F1" s="4"/>
      <c r="G1" s="107" t="s">
        <v>8</v>
      </c>
      <c r="H1" s="108"/>
      <c r="I1" s="109"/>
      <c r="N1" s="112" t="s">
        <v>39</v>
      </c>
      <c r="O1" s="112"/>
      <c r="P1" s="6"/>
      <c r="Q1" s="6"/>
      <c r="R1" s="6"/>
      <c r="S1" s="6"/>
      <c r="T1" s="6"/>
      <c r="U1" s="6"/>
      <c r="V1" s="6"/>
      <c r="W1" s="6"/>
      <c r="X1" s="6"/>
      <c r="Y1" s="6"/>
      <c r="AA1" s="66" t="s">
        <v>53</v>
      </c>
      <c r="AB1" s="7"/>
      <c r="AC1" s="7"/>
      <c r="AD1" s="7"/>
      <c r="AE1" s="7"/>
      <c r="AF1" s="7"/>
      <c r="AG1" s="7"/>
    </row>
    <row r="2" spans="1:33" ht="15.75">
      <c r="A2" s="2"/>
      <c r="B2" s="63" t="s">
        <v>6</v>
      </c>
      <c r="C2" s="63" t="s">
        <v>4</v>
      </c>
      <c r="D2" s="63" t="s">
        <v>5</v>
      </c>
      <c r="E2" s="63" t="s">
        <v>7</v>
      </c>
      <c r="G2" s="2" t="s">
        <v>9</v>
      </c>
      <c r="H2" s="2"/>
      <c r="I2" s="17">
        <f>E12</f>
        <v>73370087000</v>
      </c>
      <c r="K2" s="2" t="s">
        <v>22</v>
      </c>
      <c r="L2" s="2">
        <f>I15+I17</f>
        <v>2043425452.0860548</v>
      </c>
      <c r="N2" s="8"/>
      <c r="O2" s="104" t="s">
        <v>36</v>
      </c>
      <c r="P2" s="104"/>
      <c r="Q2" s="65" t="s">
        <v>101</v>
      </c>
      <c r="R2" s="104" t="s">
        <v>37</v>
      </c>
      <c r="S2" s="104"/>
      <c r="T2" s="104" t="s">
        <v>38</v>
      </c>
      <c r="U2" s="104"/>
      <c r="V2" s="104" t="s">
        <v>39</v>
      </c>
      <c r="W2" s="104"/>
      <c r="X2" s="6"/>
      <c r="Y2" s="6"/>
      <c r="AA2" s="9"/>
      <c r="AB2" s="65" t="s">
        <v>54</v>
      </c>
      <c r="AC2" s="65" t="s">
        <v>55</v>
      </c>
      <c r="AD2" s="65" t="s">
        <v>56</v>
      </c>
      <c r="AE2" s="7"/>
    </row>
    <row r="3" spans="1:33" ht="15">
      <c r="A3" s="29" t="s">
        <v>0</v>
      </c>
      <c r="B3" s="31">
        <v>700586000</v>
      </c>
      <c r="C3" s="33">
        <v>1</v>
      </c>
      <c r="D3" s="26">
        <f t="shared" ref="D3:D6" si="0">B3*C3</f>
        <v>700586000</v>
      </c>
      <c r="E3" s="17">
        <f>D3*50.75</f>
        <v>35554739500</v>
      </c>
      <c r="G3" s="2" t="s">
        <v>10</v>
      </c>
      <c r="H3" s="2">
        <v>0.1</v>
      </c>
      <c r="I3" s="17">
        <f>H3*I2</f>
        <v>7337008700</v>
      </c>
      <c r="K3" s="2" t="s">
        <v>23</v>
      </c>
      <c r="L3" s="2">
        <f>I14+I16</f>
        <v>2724567269.4480729</v>
      </c>
      <c r="N3" s="8" t="s">
        <v>9</v>
      </c>
      <c r="O3" s="103">
        <f>E12</f>
        <v>73370087000</v>
      </c>
      <c r="P3" s="103"/>
      <c r="Q3" s="61">
        <v>0.04</v>
      </c>
      <c r="R3" s="103">
        <f>O3*Q3</f>
        <v>2934803480</v>
      </c>
      <c r="S3" s="103"/>
      <c r="T3" s="102">
        <v>25</v>
      </c>
      <c r="U3" s="102"/>
      <c r="V3" s="103">
        <f>(O3-R3)/T3</f>
        <v>2817411340.8000002</v>
      </c>
      <c r="W3" s="103"/>
      <c r="X3" s="6"/>
      <c r="Y3" s="6"/>
      <c r="AA3" s="9" t="s">
        <v>32</v>
      </c>
      <c r="AB3" s="21">
        <f>9.8*AB20*0.92*24*365*1000</f>
        <v>35541072000</v>
      </c>
      <c r="AC3" s="21">
        <f>L17</f>
        <v>42924000000</v>
      </c>
      <c r="AD3" s="21">
        <f>AC3</f>
        <v>42924000000</v>
      </c>
      <c r="AE3" s="7"/>
    </row>
    <row r="4" spans="1:33" ht="15">
      <c r="A4" s="29" t="s">
        <v>25</v>
      </c>
      <c r="B4" s="31">
        <v>90700000</v>
      </c>
      <c r="C4" s="33">
        <v>1</v>
      </c>
      <c r="D4" s="26">
        <f t="shared" si="0"/>
        <v>90700000</v>
      </c>
      <c r="E4" s="17">
        <f t="shared" ref="E4:E11" si="1">D4*50.75</f>
        <v>4603025000</v>
      </c>
      <c r="G4" s="2" t="s">
        <v>11</v>
      </c>
      <c r="H4" s="2">
        <v>0.33</v>
      </c>
      <c r="I4" s="17">
        <f>H4*I2</f>
        <v>24212128710</v>
      </c>
      <c r="N4" s="8" t="s">
        <v>42</v>
      </c>
      <c r="O4" s="103">
        <f>I8</f>
        <v>14674017400</v>
      </c>
      <c r="P4" s="103"/>
      <c r="Q4" s="61">
        <v>0.04</v>
      </c>
      <c r="R4" s="103">
        <f t="shared" ref="R4:R7" si="2">O4*Q4</f>
        <v>586960696</v>
      </c>
      <c r="S4" s="103"/>
      <c r="T4" s="102">
        <v>25</v>
      </c>
      <c r="U4" s="102"/>
      <c r="V4" s="103">
        <f>(O4-R4)/T4</f>
        <v>563482268.15999997</v>
      </c>
      <c r="W4" s="103"/>
      <c r="X4" s="6"/>
      <c r="Y4" s="6"/>
      <c r="AA4" s="9" t="s">
        <v>59</v>
      </c>
      <c r="AB4" s="21">
        <f>L19</f>
        <v>4854440462.6475</v>
      </c>
      <c r="AC4" s="21">
        <f>10695230090+SUM(I14:I18)</f>
        <v>16144364628.896147</v>
      </c>
      <c r="AD4" s="21">
        <f>(L16*0.9*0.9)+SUM(I14:I18)</f>
        <v>10966383259.528496</v>
      </c>
      <c r="AE4" s="7"/>
      <c r="AF4" s="7"/>
      <c r="AG4" s="7"/>
    </row>
    <row r="5" spans="1:33" ht="15">
      <c r="A5" s="30" t="s">
        <v>26</v>
      </c>
      <c r="B5" s="32">
        <v>80920000</v>
      </c>
      <c r="C5" s="34">
        <v>1</v>
      </c>
      <c r="D5" s="26">
        <f t="shared" si="0"/>
        <v>80920000</v>
      </c>
      <c r="E5" s="17">
        <f t="shared" si="1"/>
        <v>4106690000</v>
      </c>
      <c r="G5" s="2" t="s">
        <v>12</v>
      </c>
      <c r="H5" s="2">
        <v>0.2</v>
      </c>
      <c r="I5" s="17">
        <f>H5*I2</f>
        <v>14674017400</v>
      </c>
      <c r="N5" s="8" t="s">
        <v>40</v>
      </c>
      <c r="O5" s="103">
        <f>L2</f>
        <v>2043425452.0860548</v>
      </c>
      <c r="P5" s="103"/>
      <c r="Q5" s="61">
        <v>0.04</v>
      </c>
      <c r="R5" s="103">
        <f t="shared" si="2"/>
        <v>81737018.083442196</v>
      </c>
      <c r="S5" s="103"/>
      <c r="T5" s="102">
        <v>25</v>
      </c>
      <c r="U5" s="102"/>
      <c r="V5" s="103">
        <f>(O5-R5)/T5</f>
        <v>78467537.360104501</v>
      </c>
      <c r="W5" s="103"/>
      <c r="X5" s="6"/>
      <c r="Y5" s="6"/>
      <c r="AA5" s="9" t="s">
        <v>60</v>
      </c>
      <c r="AB5" s="21">
        <f>AB3-AB4</f>
        <v>30686631537.352501</v>
      </c>
      <c r="AC5" s="21">
        <f>AC3-AC4</f>
        <v>26779635371.103851</v>
      </c>
      <c r="AD5" s="21">
        <f>AD3-AD4</f>
        <v>31957616740.471504</v>
      </c>
      <c r="AE5" s="7"/>
      <c r="AF5" s="7"/>
      <c r="AG5" s="7"/>
    </row>
    <row r="6" spans="1:33" ht="15">
      <c r="A6" s="30" t="s">
        <v>27</v>
      </c>
      <c r="B6" s="32">
        <v>280750000</v>
      </c>
      <c r="C6" s="34">
        <v>1</v>
      </c>
      <c r="D6" s="26">
        <f t="shared" si="0"/>
        <v>280750000</v>
      </c>
      <c r="E6" s="17">
        <f t="shared" si="1"/>
        <v>14248062500</v>
      </c>
      <c r="G6" s="2" t="s">
        <v>13</v>
      </c>
      <c r="H6" s="2">
        <v>0.15</v>
      </c>
      <c r="I6" s="17">
        <f>H6*I7</f>
        <v>75431634.375</v>
      </c>
      <c r="K6" s="28" t="s">
        <v>100</v>
      </c>
      <c r="N6" s="8" t="s">
        <v>43</v>
      </c>
      <c r="O6" s="111">
        <f>I9</f>
        <v>134845568406.875</v>
      </c>
      <c r="P6" s="111"/>
      <c r="Q6" s="61">
        <v>0.04</v>
      </c>
      <c r="R6" s="103">
        <f t="shared" si="2"/>
        <v>5393822736.2750006</v>
      </c>
      <c r="S6" s="103"/>
      <c r="T6" s="102">
        <v>25</v>
      </c>
      <c r="U6" s="102"/>
      <c r="V6" s="103">
        <f>(O6-R6)/T6</f>
        <v>5178069826.8240004</v>
      </c>
      <c r="W6" s="103"/>
      <c r="X6" s="6"/>
      <c r="Y6" s="6"/>
      <c r="AA6" s="7"/>
      <c r="AB6" s="7"/>
      <c r="AC6" s="7"/>
      <c r="AD6" s="7"/>
      <c r="AE6" s="7"/>
      <c r="AF6" s="7"/>
      <c r="AG6" s="7"/>
    </row>
    <row r="7" spans="1:33" ht="15">
      <c r="A7" s="30" t="s">
        <v>1</v>
      </c>
      <c r="B7" s="32">
        <v>150500000</v>
      </c>
      <c r="C7" s="34">
        <v>1</v>
      </c>
      <c r="D7" s="26">
        <f>B7*C7</f>
        <v>150500000</v>
      </c>
      <c r="E7" s="17">
        <f t="shared" si="1"/>
        <v>7637875000</v>
      </c>
      <c r="G7" s="2" t="s">
        <v>29</v>
      </c>
      <c r="H7" s="2"/>
      <c r="I7" s="17">
        <v>502877562.5</v>
      </c>
      <c r="K7" s="2" t="s">
        <v>97</v>
      </c>
      <c r="L7" s="2">
        <v>500000</v>
      </c>
      <c r="N7" s="8" t="s">
        <v>44</v>
      </c>
      <c r="O7" s="103">
        <f>I3</f>
        <v>7337008700</v>
      </c>
      <c r="P7" s="103"/>
      <c r="Q7" s="61">
        <v>0.04</v>
      </c>
      <c r="R7" s="103">
        <f t="shared" si="2"/>
        <v>293480348</v>
      </c>
      <c r="S7" s="103"/>
      <c r="T7" s="102">
        <v>25</v>
      </c>
      <c r="U7" s="102"/>
      <c r="V7" s="103">
        <f>(O7-R7)/T7</f>
        <v>281741134.07999998</v>
      </c>
      <c r="W7" s="103"/>
      <c r="X7" s="6"/>
      <c r="Y7" s="6"/>
      <c r="AA7" s="8" t="s">
        <v>61</v>
      </c>
      <c r="AB7" s="67" t="s">
        <v>62</v>
      </c>
      <c r="AC7" s="67" t="s">
        <v>48</v>
      </c>
      <c r="AD7" s="67" t="s">
        <v>63</v>
      </c>
      <c r="AE7" s="67" t="s">
        <v>64</v>
      </c>
      <c r="AF7" s="7"/>
      <c r="AG7" s="7"/>
    </row>
    <row r="8" spans="1:33" ht="15.75">
      <c r="A8" s="30" t="s">
        <v>87</v>
      </c>
      <c r="B8" s="32">
        <v>11056000</v>
      </c>
      <c r="C8" s="34">
        <v>1</v>
      </c>
      <c r="D8" s="26">
        <f>B8*C8</f>
        <v>11056000</v>
      </c>
      <c r="E8" s="17">
        <f t="shared" si="1"/>
        <v>561092000</v>
      </c>
      <c r="G8" s="2" t="s">
        <v>14</v>
      </c>
      <c r="H8" s="2">
        <v>0.2</v>
      </c>
      <c r="I8" s="17">
        <f>H8*I2</f>
        <v>14674017400</v>
      </c>
      <c r="K8" s="2" t="s">
        <v>98</v>
      </c>
      <c r="L8" s="2">
        <v>9.8000000000000007</v>
      </c>
      <c r="N8" s="13"/>
      <c r="O8" s="106"/>
      <c r="P8" s="106"/>
      <c r="Q8" s="106"/>
      <c r="R8" s="106"/>
      <c r="S8" s="106"/>
      <c r="T8" s="110" t="s">
        <v>41</v>
      </c>
      <c r="U8" s="110"/>
      <c r="V8" s="103">
        <f>SUM(V3:W7)</f>
        <v>8919172107.2241039</v>
      </c>
      <c r="W8" s="103"/>
      <c r="X8" s="6"/>
      <c r="Y8" s="6"/>
      <c r="AA8" s="8" t="s">
        <v>65</v>
      </c>
      <c r="AB8" s="8"/>
      <c r="AC8" s="9" t="s">
        <v>66</v>
      </c>
      <c r="AD8" s="9" t="s">
        <v>66</v>
      </c>
      <c r="AE8" s="9" t="s">
        <v>67</v>
      </c>
      <c r="AF8" s="7"/>
      <c r="AG8" s="7"/>
    </row>
    <row r="9" spans="1:33" ht="15">
      <c r="A9" s="30" t="s">
        <v>86</v>
      </c>
      <c r="B9" s="32">
        <v>9076000</v>
      </c>
      <c r="C9" s="34">
        <v>4</v>
      </c>
      <c r="D9" s="26">
        <f>B9*C9</f>
        <v>36304000</v>
      </c>
      <c r="E9" s="17">
        <f t="shared" si="1"/>
        <v>1842428000</v>
      </c>
      <c r="H9" s="5" t="s">
        <v>5</v>
      </c>
      <c r="I9" s="17">
        <f>SUM(I2:I8)</f>
        <v>134845568406.875</v>
      </c>
      <c r="K9" s="2" t="s">
        <v>99</v>
      </c>
      <c r="L9" s="2">
        <f>3412/0.33682512</f>
        <v>10129.88579949144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8" t="s">
        <v>68</v>
      </c>
      <c r="AB9" s="9" t="s">
        <v>69</v>
      </c>
      <c r="AC9" s="21">
        <f>L17-I19</f>
        <v>30663447287.483673</v>
      </c>
      <c r="AD9" s="21">
        <f>(AC9*(((1-((1+0.1)^-25)))/0.1))+AC9</f>
        <v>308996785412.83948</v>
      </c>
      <c r="AE9" s="9">
        <f>((((AD9/I9)^(1/25)))-1)*100</f>
        <v>3.3724218755252</v>
      </c>
      <c r="AF9" s="7"/>
      <c r="AG9" s="7"/>
    </row>
    <row r="10" spans="1:33" ht="15.75">
      <c r="A10" s="30" t="s">
        <v>2</v>
      </c>
      <c r="B10" s="32">
        <v>15500000</v>
      </c>
      <c r="C10" s="34">
        <v>3</v>
      </c>
      <c r="D10" s="26">
        <f>B10*C10</f>
        <v>46500000</v>
      </c>
      <c r="E10" s="17">
        <f t="shared" si="1"/>
        <v>2359875000</v>
      </c>
      <c r="N10" s="6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AA10" s="8" t="s">
        <v>70</v>
      </c>
      <c r="AB10" s="22">
        <v>0.1</v>
      </c>
      <c r="AC10" s="21">
        <f>AB5</f>
        <v>30686631537.352501</v>
      </c>
      <c r="AD10" s="21">
        <f>(AC10*(((1-((1+0.1)^-25)))/0.1))+AC10</f>
        <v>309230414026.56024</v>
      </c>
      <c r="AE10" s="9">
        <f>((((AD10/I9)^(1/25)))-1)*100</f>
        <v>3.3755470853974012</v>
      </c>
      <c r="AF10" s="7"/>
      <c r="AG10" s="7"/>
    </row>
    <row r="11" spans="1:33" ht="15.75">
      <c r="A11" s="30" t="s">
        <v>3</v>
      </c>
      <c r="B11" s="32">
        <v>48400000</v>
      </c>
      <c r="C11" s="34">
        <v>1</v>
      </c>
      <c r="D11" s="26">
        <f>B11*C11</f>
        <v>48400000</v>
      </c>
      <c r="E11" s="17">
        <f t="shared" si="1"/>
        <v>2456300000</v>
      </c>
      <c r="N11" s="104" t="s">
        <v>45</v>
      </c>
      <c r="O11" s="104"/>
      <c r="P11" s="104" t="s">
        <v>46</v>
      </c>
      <c r="Q11" s="104"/>
      <c r="R11" s="104"/>
      <c r="S11" s="104" t="s">
        <v>47</v>
      </c>
      <c r="T11" s="104"/>
      <c r="U11" s="104"/>
      <c r="V11" s="104" t="s">
        <v>48</v>
      </c>
      <c r="W11" s="104"/>
      <c r="X11" s="104"/>
      <c r="Y11" s="65" t="s">
        <v>49</v>
      </c>
      <c r="AA11" s="8" t="s">
        <v>71</v>
      </c>
      <c r="AB11" s="22">
        <v>0.1</v>
      </c>
      <c r="AC11" s="21">
        <f>AC5</f>
        <v>26779635371.103851</v>
      </c>
      <c r="AD11" s="21">
        <f>(AC11*(((1-((1+0.1)^-25)))/0.1))+AC11</f>
        <v>269859457308.20395</v>
      </c>
      <c r="AE11" s="9">
        <f>((((AD11/I9)^(1/25)))-1)*100</f>
        <v>2.8139485757492588</v>
      </c>
      <c r="AF11" s="7"/>
      <c r="AG11" s="7"/>
    </row>
    <row r="12" spans="1:33" ht="15">
      <c r="D12" s="5" t="s">
        <v>5</v>
      </c>
      <c r="E12" s="17">
        <f>SUM(E3:E11)</f>
        <v>73370087000</v>
      </c>
      <c r="G12" s="107" t="s">
        <v>15</v>
      </c>
      <c r="H12" s="108"/>
      <c r="I12" s="109"/>
      <c r="K12" s="2" t="s">
        <v>24</v>
      </c>
      <c r="L12" s="14">
        <f>L9*1000</f>
        <v>10129885.799491439</v>
      </c>
      <c r="N12" s="102">
        <v>2022</v>
      </c>
      <c r="O12" s="102"/>
      <c r="P12" s="102">
        <v>2</v>
      </c>
      <c r="Q12" s="102"/>
      <c r="R12" s="102"/>
      <c r="S12" s="103">
        <f>I9</f>
        <v>134845568406.875</v>
      </c>
      <c r="T12" s="103"/>
      <c r="U12" s="103"/>
      <c r="V12" s="103">
        <f>L17-I19</f>
        <v>30663447287.483673</v>
      </c>
      <c r="W12" s="103"/>
      <c r="X12" s="103"/>
      <c r="Y12" s="15">
        <f>(V12/S12)</f>
        <v>0.22739677432306571</v>
      </c>
      <c r="AA12" s="8" t="s">
        <v>72</v>
      </c>
      <c r="AB12" s="22">
        <v>0.1</v>
      </c>
      <c r="AC12" s="21">
        <f>AD5</f>
        <v>31957616740.471504</v>
      </c>
      <c r="AD12" s="21">
        <f>(AC12*(((1-((1+0.1)^-25)))/0.1))+AC12</f>
        <v>322038182780.96783</v>
      </c>
      <c r="AE12" s="9">
        <f>((((AD12/I9)^(1/25)))-1)*100</f>
        <v>3.5434967933820394</v>
      </c>
      <c r="AF12" s="7"/>
      <c r="AG12" s="7"/>
    </row>
    <row r="13" spans="1:33" ht="15">
      <c r="G13" s="2" t="s">
        <v>16</v>
      </c>
      <c r="H13" s="2"/>
      <c r="I13" s="17">
        <f>L16</f>
        <v>6811418173.620182</v>
      </c>
      <c r="K13" s="2" t="s">
        <v>34</v>
      </c>
      <c r="L13" s="19">
        <v>6.8000000000000005E-2</v>
      </c>
      <c r="N13" s="102">
        <v>2023</v>
      </c>
      <c r="O13" s="102"/>
      <c r="P13" s="102">
        <v>3</v>
      </c>
      <c r="Q13" s="102"/>
      <c r="R13" s="102"/>
      <c r="S13" s="103">
        <f>S12-V12</f>
        <v>104182121119.39133</v>
      </c>
      <c r="T13" s="103"/>
      <c r="U13" s="103"/>
      <c r="V13" s="103">
        <f>V12</f>
        <v>30663447287.483673</v>
      </c>
      <c r="W13" s="103"/>
      <c r="X13" s="103"/>
      <c r="Y13" s="15">
        <f>(V13/S13)</f>
        <v>0.29432542703122516</v>
      </c>
      <c r="AA13" s="10"/>
      <c r="AB13" s="7"/>
      <c r="AC13" s="7"/>
      <c r="AD13" s="7"/>
      <c r="AE13" s="7"/>
      <c r="AF13" s="7"/>
      <c r="AG13" s="7"/>
    </row>
    <row r="14" spans="1:33" ht="15.75">
      <c r="G14" s="2" t="s">
        <v>17</v>
      </c>
      <c r="H14" s="2">
        <v>0.2</v>
      </c>
      <c r="I14" s="17">
        <f>H14*I13</f>
        <v>1362283634.7240365</v>
      </c>
      <c r="K14" s="2" t="s">
        <v>35</v>
      </c>
      <c r="L14" s="19">
        <f>L13*50.75</f>
        <v>3.4510000000000001</v>
      </c>
      <c r="N14" s="102">
        <v>2024</v>
      </c>
      <c r="O14" s="102"/>
      <c r="P14" s="102">
        <v>4</v>
      </c>
      <c r="Q14" s="102"/>
      <c r="R14" s="102"/>
      <c r="S14" s="103">
        <f>S13-V13</f>
        <v>73518673831.907654</v>
      </c>
      <c r="T14" s="103"/>
      <c r="U14" s="103"/>
      <c r="V14" s="103">
        <f>V12</f>
        <v>30663447287.483673</v>
      </c>
      <c r="W14" s="103"/>
      <c r="X14" s="103"/>
      <c r="Y14" s="15">
        <f>(V14/S14)</f>
        <v>0.41708379231094767</v>
      </c>
      <c r="AA14" s="66" t="s">
        <v>73</v>
      </c>
      <c r="AB14" s="7"/>
      <c r="AC14" s="7"/>
      <c r="AD14" s="7"/>
      <c r="AE14" s="7"/>
      <c r="AF14" s="7"/>
      <c r="AG14" s="7"/>
    </row>
    <row r="15" spans="1:33" ht="15.75">
      <c r="G15" s="2" t="s">
        <v>18</v>
      </c>
      <c r="H15" s="2">
        <f>H14</f>
        <v>0.2</v>
      </c>
      <c r="I15" s="17">
        <f>I14</f>
        <v>1362283634.7240365</v>
      </c>
      <c r="K15" s="2" t="s">
        <v>30</v>
      </c>
      <c r="L15" s="19">
        <v>22479.470399999998</v>
      </c>
      <c r="N15" s="102">
        <v>2025</v>
      </c>
      <c r="O15" s="102"/>
      <c r="P15" s="102">
        <v>5</v>
      </c>
      <c r="Q15" s="102"/>
      <c r="R15" s="102"/>
      <c r="S15" s="103">
        <f>S14-V14</f>
        <v>42855226544.423981</v>
      </c>
      <c r="T15" s="103"/>
      <c r="U15" s="103"/>
      <c r="V15" s="103">
        <f>V12</f>
        <v>30663447287.483673</v>
      </c>
      <c r="W15" s="103"/>
      <c r="X15" s="103"/>
      <c r="Y15" s="15">
        <f>(V15/S15)</f>
        <v>0.71551243010459331</v>
      </c>
      <c r="AA15" s="65" t="s">
        <v>74</v>
      </c>
      <c r="AB15" s="65" t="s">
        <v>75</v>
      </c>
      <c r="AC15" s="65" t="s">
        <v>76</v>
      </c>
      <c r="AD15" s="65" t="s">
        <v>77</v>
      </c>
      <c r="AE15" s="65" t="s">
        <v>78</v>
      </c>
      <c r="AF15" s="7"/>
      <c r="AG15" s="7"/>
    </row>
    <row r="16" spans="1:33" ht="15">
      <c r="G16" s="2" t="s">
        <v>19</v>
      </c>
      <c r="H16" s="2">
        <f>H14</f>
        <v>0.2</v>
      </c>
      <c r="I16" s="17">
        <f>I14</f>
        <v>1362283634.7240365</v>
      </c>
      <c r="K16" s="2" t="s">
        <v>16</v>
      </c>
      <c r="L16" s="27">
        <f>(L14*L12*500*365*24)/L15</f>
        <v>6811418173.620182</v>
      </c>
      <c r="N16" s="102">
        <v>2045</v>
      </c>
      <c r="O16" s="102"/>
      <c r="P16" s="102">
        <v>25</v>
      </c>
      <c r="Q16" s="102"/>
      <c r="R16" s="102"/>
      <c r="S16" s="103">
        <f>S15-(V15*20)</f>
        <v>-570413719205.24951</v>
      </c>
      <c r="T16" s="103"/>
      <c r="U16" s="103"/>
      <c r="V16" s="103">
        <f>V12</f>
        <v>30663447287.483673</v>
      </c>
      <c r="W16" s="103"/>
      <c r="X16" s="103"/>
      <c r="Y16" s="15">
        <f>V16/-S16</f>
        <v>5.3756503841118478E-2</v>
      </c>
      <c r="AA16" s="18">
        <f>(O3-R3-V3)/25</f>
        <v>2704714887.1679997</v>
      </c>
      <c r="AB16" s="18">
        <f>(O6-R6-V6)/25</f>
        <v>4970947033.7510405</v>
      </c>
      <c r="AC16" s="18">
        <f>AA16+AB16+I19</f>
        <v>19936214633.435371</v>
      </c>
      <c r="AD16" s="18">
        <f>L17</f>
        <v>42924000000</v>
      </c>
      <c r="AE16" s="16">
        <f>(AC16/AD16)*500</f>
        <v>232.22689676446012</v>
      </c>
      <c r="AF16" s="7"/>
      <c r="AG16" s="7"/>
    </row>
    <row r="17" spans="7:28" ht="15.75">
      <c r="G17" s="2" t="s">
        <v>20</v>
      </c>
      <c r="H17" s="2">
        <v>0.1</v>
      </c>
      <c r="I17" s="17">
        <f>H17*I13</f>
        <v>681141817.36201823</v>
      </c>
      <c r="K17" s="2" t="s">
        <v>31</v>
      </c>
      <c r="L17" s="20">
        <f>L7*L8*365*24</f>
        <v>42924000000</v>
      </c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1" t="s">
        <v>50</v>
      </c>
      <c r="Y17" s="15">
        <f>AVERAGE(Y12:Y16)</f>
        <v>0.34161498552219005</v>
      </c>
    </row>
    <row r="18" spans="7:28" ht="15">
      <c r="G18" s="2" t="s">
        <v>21</v>
      </c>
      <c r="H18" s="2">
        <f>H17</f>
        <v>0.1</v>
      </c>
      <c r="I18" s="17">
        <f>H18*I13</f>
        <v>681141817.36201823</v>
      </c>
      <c r="K18" s="2" t="s">
        <v>32</v>
      </c>
      <c r="L18" s="19">
        <f>L17*((1-1.065^-25)/0.065)</f>
        <v>523581660546.32507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7:28" ht="15.75">
      <c r="H19" s="5" t="s">
        <v>5</v>
      </c>
      <c r="I19" s="17">
        <f>SUM(I13:I18)</f>
        <v>12260552712.516329</v>
      </c>
      <c r="K19" s="2" t="s">
        <v>33</v>
      </c>
      <c r="L19" s="19">
        <f>((I9-(0.1)*(I9))/25)</f>
        <v>4854440462.6475</v>
      </c>
      <c r="N19" s="6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23" t="s">
        <v>57</v>
      </c>
      <c r="AB19" s="24"/>
    </row>
    <row r="20" spans="7:28" ht="15.75">
      <c r="N20" s="104" t="s">
        <v>45</v>
      </c>
      <c r="O20" s="104"/>
      <c r="P20" s="104" t="s">
        <v>48</v>
      </c>
      <c r="Q20" s="104"/>
      <c r="R20" s="104"/>
      <c r="S20" s="104"/>
      <c r="T20" s="104" t="s">
        <v>47</v>
      </c>
      <c r="U20" s="104"/>
      <c r="V20" s="104" t="s">
        <v>39</v>
      </c>
      <c r="W20" s="104"/>
      <c r="X20" s="12"/>
      <c r="Y20" s="6"/>
      <c r="AA20" s="23" t="s">
        <v>58</v>
      </c>
      <c r="AB20" s="25">
        <f>500*0.9</f>
        <v>450</v>
      </c>
    </row>
    <row r="21" spans="7:28" ht="15">
      <c r="L21" s="1">
        <v>450000</v>
      </c>
      <c r="N21" s="102">
        <v>2022</v>
      </c>
      <c r="O21" s="102"/>
      <c r="P21" s="103">
        <f>V12</f>
        <v>30663447287.483673</v>
      </c>
      <c r="Q21" s="103"/>
      <c r="R21" s="103"/>
      <c r="S21" s="103"/>
      <c r="T21" s="103">
        <f>S12</f>
        <v>134845568406.875</v>
      </c>
      <c r="U21" s="103"/>
      <c r="V21" s="103">
        <f>T21-V8</f>
        <v>125926396299.65089</v>
      </c>
      <c r="W21" s="103"/>
      <c r="X21" s="12"/>
      <c r="Y21" s="6"/>
    </row>
    <row r="22" spans="7:28" ht="15">
      <c r="I22" s="1">
        <f>I13*0.1</f>
        <v>681141817.36201823</v>
      </c>
      <c r="K22" s="1" t="s">
        <v>31</v>
      </c>
      <c r="L22" s="1">
        <f>L21*L8*365*24</f>
        <v>38631600000</v>
      </c>
      <c r="N22" s="102">
        <v>2023</v>
      </c>
      <c r="O22" s="102"/>
      <c r="P22" s="103">
        <f>P21</f>
        <v>30663447287.483673</v>
      </c>
      <c r="Q22" s="103"/>
      <c r="R22" s="103"/>
      <c r="S22" s="103"/>
      <c r="T22" s="103">
        <f>T21-P22</f>
        <v>104182121119.39133</v>
      </c>
      <c r="U22" s="103"/>
      <c r="V22" s="103">
        <f>V21-V8</f>
        <v>117007224192.42679</v>
      </c>
      <c r="W22" s="103"/>
      <c r="X22" s="12"/>
      <c r="Y22" s="6"/>
    </row>
    <row r="23" spans="7:28" ht="15">
      <c r="I23" s="1">
        <f>I13+I22</f>
        <v>7492559990.9822006</v>
      </c>
      <c r="N23" s="102">
        <v>2024</v>
      </c>
      <c r="O23" s="102"/>
      <c r="P23" s="103">
        <f>P21</f>
        <v>30663447287.483673</v>
      </c>
      <c r="Q23" s="103"/>
      <c r="R23" s="103"/>
      <c r="S23" s="103"/>
      <c r="T23" s="103">
        <f>T22-P23</f>
        <v>73518673831.907654</v>
      </c>
      <c r="U23" s="103"/>
      <c r="V23" s="103">
        <f>V22-V8</f>
        <v>108088052085.20268</v>
      </c>
      <c r="W23" s="103"/>
      <c r="X23" s="12"/>
      <c r="Y23" s="6"/>
    </row>
    <row r="24" spans="7:28" ht="15">
      <c r="I24" s="1">
        <f>SUM(I14,I15,I16,I17,I18,I23)</f>
        <v>12941694529.878347</v>
      </c>
      <c r="N24" s="102">
        <v>2025</v>
      </c>
      <c r="O24" s="102"/>
      <c r="P24" s="103">
        <f>P21</f>
        <v>30663447287.483673</v>
      </c>
      <c r="Q24" s="103"/>
      <c r="R24" s="103"/>
      <c r="S24" s="103"/>
      <c r="T24" s="103">
        <f>T23-P24</f>
        <v>42855226544.423981</v>
      </c>
      <c r="U24" s="103"/>
      <c r="V24" s="103">
        <f>V23-V8</f>
        <v>99168879977.978577</v>
      </c>
      <c r="W24" s="103"/>
      <c r="X24" s="12"/>
      <c r="Y24" s="6"/>
    </row>
    <row r="25" spans="7:28" ht="15">
      <c r="I25" s="1">
        <f>I13-I22</f>
        <v>6130276356.2581635</v>
      </c>
      <c r="N25" s="102" t="s">
        <v>51</v>
      </c>
      <c r="O25" s="102"/>
      <c r="P25" s="103">
        <f>AVERAGE(P21:S24)</f>
        <v>30663447287.483673</v>
      </c>
      <c r="Q25" s="103"/>
      <c r="R25" s="103"/>
      <c r="S25" s="103"/>
      <c r="T25" s="103">
        <f>AVERAGE(T21:U24)</f>
        <v>88850397475.649475</v>
      </c>
      <c r="U25" s="103"/>
      <c r="V25" s="103">
        <f>AVERAGE(V21:W24)</f>
        <v>112547638138.81474</v>
      </c>
      <c r="W25" s="103"/>
      <c r="X25" s="12"/>
      <c r="Y25" s="6"/>
    </row>
    <row r="26" spans="7:28" ht="15.75">
      <c r="I26" s="1">
        <f>SUM(I25+I14+I15+I16+I17+I18)</f>
        <v>11579410895.15431</v>
      </c>
      <c r="N26" s="104" t="s">
        <v>52</v>
      </c>
      <c r="O26" s="104"/>
      <c r="P26" s="104"/>
      <c r="Q26" s="104"/>
      <c r="R26" s="104"/>
      <c r="S26" s="104"/>
      <c r="T26" s="105">
        <f>T21/P21</f>
        <v>4.3975997591737439</v>
      </c>
      <c r="U26" s="105"/>
      <c r="V26" s="105"/>
      <c r="W26" s="105"/>
      <c r="X26" s="12"/>
      <c r="Y26" s="6"/>
    </row>
    <row r="27" spans="7:28" ht="15"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</sheetData>
  <mergeCells count="82">
    <mergeCell ref="O4:P4"/>
    <mergeCell ref="R4:S4"/>
    <mergeCell ref="T4:U4"/>
    <mergeCell ref="V4:W4"/>
    <mergeCell ref="A1:E1"/>
    <mergeCell ref="G1:I1"/>
    <mergeCell ref="N1:O1"/>
    <mergeCell ref="O2:P2"/>
    <mergeCell ref="R2:S2"/>
    <mergeCell ref="T2:U2"/>
    <mergeCell ref="V2:W2"/>
    <mergeCell ref="O3:P3"/>
    <mergeCell ref="R3:S3"/>
    <mergeCell ref="T3:U3"/>
    <mergeCell ref="V3:W3"/>
    <mergeCell ref="O5:P5"/>
    <mergeCell ref="R5:S5"/>
    <mergeCell ref="T5:U5"/>
    <mergeCell ref="V5:W5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G12:I12"/>
    <mergeCell ref="N12:O12"/>
    <mergeCell ref="P12:R12"/>
    <mergeCell ref="S12:U12"/>
    <mergeCell ref="V12:X12"/>
    <mergeCell ref="N15:O15"/>
    <mergeCell ref="P15:R15"/>
    <mergeCell ref="S15:U15"/>
    <mergeCell ref="V15:X15"/>
    <mergeCell ref="N11:O11"/>
    <mergeCell ref="P11:R11"/>
    <mergeCell ref="S11:U11"/>
    <mergeCell ref="V11:X11"/>
    <mergeCell ref="N13:O13"/>
    <mergeCell ref="P13:R13"/>
    <mergeCell ref="S13:U13"/>
    <mergeCell ref="V13:X13"/>
    <mergeCell ref="N14:O14"/>
    <mergeCell ref="P14:R14"/>
    <mergeCell ref="S14:U14"/>
    <mergeCell ref="V14:X14"/>
    <mergeCell ref="N16:O16"/>
    <mergeCell ref="P16:R16"/>
    <mergeCell ref="S16:U16"/>
    <mergeCell ref="V16:X16"/>
    <mergeCell ref="V20:W20"/>
    <mergeCell ref="N17:W17"/>
    <mergeCell ref="N20:O20"/>
    <mergeCell ref="P20:S20"/>
    <mergeCell ref="T20:U20"/>
    <mergeCell ref="N22:O22"/>
    <mergeCell ref="P22:S22"/>
    <mergeCell ref="T22:U22"/>
    <mergeCell ref="V22:W22"/>
    <mergeCell ref="N21:O21"/>
    <mergeCell ref="P21:S21"/>
    <mergeCell ref="T21:U21"/>
    <mergeCell ref="V21:W21"/>
    <mergeCell ref="N23:O23"/>
    <mergeCell ref="P23:S23"/>
    <mergeCell ref="T23:U23"/>
    <mergeCell ref="V23:W23"/>
    <mergeCell ref="N26:S26"/>
    <mergeCell ref="T26:W26"/>
    <mergeCell ref="N24:O24"/>
    <mergeCell ref="P24:S24"/>
    <mergeCell ref="T24:U24"/>
    <mergeCell ref="V24:W24"/>
    <mergeCell ref="N25:O25"/>
    <mergeCell ref="P25:S25"/>
    <mergeCell ref="T25:U25"/>
    <mergeCell ref="V25:W2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topLeftCell="A83" zoomScale="70" zoomScaleNormal="70" workbookViewId="0">
      <selection activeCell="M61" sqref="M61"/>
    </sheetView>
  </sheetViews>
  <sheetFormatPr defaultRowHeight="12"/>
  <cols>
    <col min="1" max="1" width="19.5703125" style="90" bestFit="1" customWidth="1"/>
    <col min="2" max="26" width="16" style="90" bestFit="1" customWidth="1"/>
    <col min="27" max="16384" width="9.140625" style="90"/>
  </cols>
  <sheetData>
    <row r="1" spans="1:26">
      <c r="A1" s="113" t="s">
        <v>157</v>
      </c>
      <c r="B1" s="113"/>
    </row>
    <row r="2" spans="1:26">
      <c r="A2" s="90" t="s">
        <v>155</v>
      </c>
      <c r="B2" s="91">
        <v>134845568406.875</v>
      </c>
    </row>
    <row r="3" spans="1:26">
      <c r="A3" s="90" t="s">
        <v>31</v>
      </c>
      <c r="B3" s="90">
        <v>38631600000</v>
      </c>
    </row>
    <row r="4" spans="1:26">
      <c r="A4" s="90" t="s">
        <v>151</v>
      </c>
      <c r="B4" s="90">
        <v>0.04</v>
      </c>
    </row>
    <row r="5" spans="1:26" ht="12.75" thickBot="1">
      <c r="A5" s="90" t="s">
        <v>152</v>
      </c>
      <c r="B5" s="96">
        <v>12260552712.516329</v>
      </c>
    </row>
    <row r="6" spans="1:26" ht="12.75" thickBot="1">
      <c r="A6" s="92" t="s">
        <v>150</v>
      </c>
      <c r="B6" s="93">
        <v>1</v>
      </c>
      <c r="C6" s="90">
        <v>2</v>
      </c>
      <c r="D6" s="90">
        <v>3</v>
      </c>
      <c r="E6" s="90">
        <v>4</v>
      </c>
      <c r="F6" s="90">
        <v>5</v>
      </c>
      <c r="G6" s="90">
        <v>6</v>
      </c>
      <c r="H6" s="90">
        <v>7</v>
      </c>
      <c r="I6" s="90">
        <v>8</v>
      </c>
      <c r="J6" s="90">
        <v>9</v>
      </c>
      <c r="K6" s="90">
        <v>10</v>
      </c>
      <c r="L6" s="90">
        <v>11</v>
      </c>
      <c r="M6" s="90">
        <v>12</v>
      </c>
      <c r="N6" s="90">
        <v>13</v>
      </c>
      <c r="O6" s="90">
        <v>14</v>
      </c>
      <c r="P6" s="90">
        <v>15</v>
      </c>
      <c r="Q6" s="90">
        <v>16</v>
      </c>
      <c r="R6" s="90">
        <v>17</v>
      </c>
      <c r="S6" s="90">
        <v>18</v>
      </c>
      <c r="T6" s="90">
        <v>19</v>
      </c>
      <c r="U6" s="90">
        <v>20</v>
      </c>
      <c r="V6" s="90">
        <v>21</v>
      </c>
      <c r="W6" s="90">
        <v>22</v>
      </c>
      <c r="X6" s="90">
        <v>23</v>
      </c>
      <c r="Y6" s="90">
        <v>24</v>
      </c>
      <c r="Z6" s="90">
        <v>25</v>
      </c>
    </row>
    <row r="8" spans="1:26">
      <c r="A8" s="90" t="s">
        <v>153</v>
      </c>
      <c r="B8" s="91">
        <f>B3*((1-(1.04^(-1)))/0.04)</f>
        <v>37145769230.76931</v>
      </c>
      <c r="C8" s="91">
        <f>$B$3*((1-(1.04^(-(C6))))/0.04)</f>
        <v>72862855029.585907</v>
      </c>
      <c r="D8" s="91">
        <f>$B$3*((1-(1.04^(-(D6))))/0.04)</f>
        <v>107206206759.21713</v>
      </c>
      <c r="E8" s="91">
        <f t="shared" ref="E8:Z8" si="0">$B$3*((1-(1.04^(-(E6))))/0.04)</f>
        <v>140228660345.40118</v>
      </c>
      <c r="F8" s="91">
        <f t="shared" si="0"/>
        <v>171981019562.88589</v>
      </c>
      <c r="G8" s="91">
        <f t="shared" si="0"/>
        <v>202512134195.08255</v>
      </c>
      <c r="H8" s="91">
        <f t="shared" si="0"/>
        <v>231868975187.57925</v>
      </c>
      <c r="I8" s="91">
        <f t="shared" si="0"/>
        <v>260096706911.13406</v>
      </c>
      <c r="J8" s="91">
        <f t="shared" si="0"/>
        <v>287238756645.32135</v>
      </c>
      <c r="K8" s="91">
        <f t="shared" si="0"/>
        <v>313336881389.73206</v>
      </c>
      <c r="L8" s="91">
        <f t="shared" si="0"/>
        <v>338431232105.51147</v>
      </c>
      <c r="M8" s="91">
        <f t="shared" si="0"/>
        <v>362560415486.06891</v>
      </c>
      <c r="N8" s="91">
        <f t="shared" si="0"/>
        <v>385761553351.98932</v>
      </c>
      <c r="O8" s="91">
        <f t="shared" si="0"/>
        <v>408070339761.52814</v>
      </c>
      <c r="P8" s="91">
        <f t="shared" si="0"/>
        <v>429521095924.54639</v>
      </c>
      <c r="Q8" s="91">
        <f t="shared" si="0"/>
        <v>450146823004.37158</v>
      </c>
      <c r="R8" s="91">
        <f t="shared" si="0"/>
        <v>469979252888.81885</v>
      </c>
      <c r="S8" s="91">
        <f t="shared" si="0"/>
        <v>489048897008.47968</v>
      </c>
      <c r="T8" s="91">
        <f t="shared" si="0"/>
        <v>507385093277.38428</v>
      </c>
      <c r="U8" s="91">
        <f t="shared" si="0"/>
        <v>525016051228.25415</v>
      </c>
      <c r="V8" s="91">
        <f t="shared" si="0"/>
        <v>541968895411.78296</v>
      </c>
      <c r="W8" s="91">
        <f t="shared" si="0"/>
        <v>558269707126.71436</v>
      </c>
      <c r="X8" s="91">
        <f t="shared" si="0"/>
        <v>573943564544.9176</v>
      </c>
      <c r="Y8" s="91">
        <f t="shared" si="0"/>
        <v>589014581293.19006</v>
      </c>
      <c r="Z8" s="91">
        <f t="shared" si="0"/>
        <v>603505943551.14429</v>
      </c>
    </row>
    <row r="9" spans="1:26">
      <c r="A9" s="90" t="s">
        <v>37</v>
      </c>
      <c r="B9" s="91">
        <f>B3*((1+0.04)^-1)</f>
        <v>37145769230.769226</v>
      </c>
      <c r="C9" s="91">
        <f>$B$3*((1+0.04)^-(C6))</f>
        <v>35717085798.816566</v>
      </c>
      <c r="D9" s="91">
        <f>$B$3*((1+0.04)^-(D6))</f>
        <v>34343351729.631313</v>
      </c>
      <c r="E9" s="91">
        <f t="shared" ref="E9:Z9" si="1">$B$3*((1+0.04)^-(E6))</f>
        <v>33022453586.183952</v>
      </c>
      <c r="F9" s="91">
        <f t="shared" si="1"/>
        <v>31752359217.484566</v>
      </c>
      <c r="G9" s="91">
        <f t="shared" si="1"/>
        <v>30531114632.196697</v>
      </c>
      <c r="H9" s="91">
        <f t="shared" si="1"/>
        <v>29356840992.49683</v>
      </c>
      <c r="I9" s="91">
        <f t="shared" si="1"/>
        <v>28227731723.554638</v>
      </c>
      <c r="J9" s="91">
        <f t="shared" si="1"/>
        <v>27142049734.187145</v>
      </c>
      <c r="K9" s="91">
        <f t="shared" si="1"/>
        <v>26098124744.410717</v>
      </c>
      <c r="L9" s="91">
        <f t="shared" si="1"/>
        <v>25094350715.779541</v>
      </c>
      <c r="M9" s="91">
        <f t="shared" si="1"/>
        <v>24129183380.557243</v>
      </c>
      <c r="N9" s="91">
        <f t="shared" si="1"/>
        <v>23201137865.920425</v>
      </c>
      <c r="O9" s="91">
        <f t="shared" si="1"/>
        <v>22308786409.538872</v>
      </c>
      <c r="P9" s="91">
        <f t="shared" si="1"/>
        <v>21450756163.018147</v>
      </c>
      <c r="Q9" s="91">
        <f t="shared" si="1"/>
        <v>20625727079.825138</v>
      </c>
      <c r="R9" s="91">
        <f t="shared" si="1"/>
        <v>19832429884.447247</v>
      </c>
      <c r="S9" s="91">
        <f t="shared" si="1"/>
        <v>19069644119.660812</v>
      </c>
      <c r="T9" s="91">
        <f t="shared" si="1"/>
        <v>18336196268.904629</v>
      </c>
      <c r="U9" s="91">
        <f t="shared" si="1"/>
        <v>17630957950.869835</v>
      </c>
      <c r="V9" s="91">
        <f t="shared" si="1"/>
        <v>16952844183.528683</v>
      </c>
      <c r="W9" s="91">
        <f t="shared" si="1"/>
        <v>16300811714.931427</v>
      </c>
      <c r="X9" s="91">
        <f t="shared" si="1"/>
        <v>15673857418.203297</v>
      </c>
      <c r="Y9" s="91">
        <f t="shared" si="1"/>
        <v>15071016748.2724</v>
      </c>
      <c r="Z9" s="91">
        <f t="shared" si="1"/>
        <v>14491362257.954227</v>
      </c>
    </row>
    <row r="10" spans="1:26">
      <c r="A10" s="90" t="s">
        <v>154</v>
      </c>
      <c r="B10" s="94">
        <f>B8+B9</f>
        <v>74291538461.538544</v>
      </c>
      <c r="C10" s="94">
        <f>C8+C9</f>
        <v>108579940828.40247</v>
      </c>
      <c r="D10" s="94">
        <f t="shared" ref="D10:Z10" si="2">D8+D9</f>
        <v>141549558488.84845</v>
      </c>
      <c r="E10" s="94">
        <f t="shared" si="2"/>
        <v>173251113931.58514</v>
      </c>
      <c r="F10" s="94">
        <f t="shared" si="2"/>
        <v>203733378780.37045</v>
      </c>
      <c r="G10" s="94">
        <f t="shared" si="2"/>
        <v>233043248827.27924</v>
      </c>
      <c r="H10" s="94">
        <f t="shared" si="2"/>
        <v>261225816180.07608</v>
      </c>
      <c r="I10" s="94">
        <f t="shared" si="2"/>
        <v>288324438634.68872</v>
      </c>
      <c r="J10" s="94">
        <f t="shared" si="2"/>
        <v>314380806379.50848</v>
      </c>
      <c r="K10" s="94">
        <f t="shared" si="2"/>
        <v>339435006134.14276</v>
      </c>
      <c r="L10" s="94">
        <f t="shared" si="2"/>
        <v>363525582821.29102</v>
      </c>
      <c r="M10" s="94">
        <f t="shared" si="2"/>
        <v>386689598866.62616</v>
      </c>
      <c r="N10" s="94">
        <f t="shared" si="2"/>
        <v>408962691217.90973</v>
      </c>
      <c r="O10" s="94">
        <f t="shared" si="2"/>
        <v>430379126171.06702</v>
      </c>
      <c r="P10" s="94">
        <f t="shared" si="2"/>
        <v>450971852087.56451</v>
      </c>
      <c r="Q10" s="94">
        <f t="shared" si="2"/>
        <v>470772550084.19672</v>
      </c>
      <c r="R10" s="94">
        <f t="shared" si="2"/>
        <v>489811682773.26611</v>
      </c>
      <c r="S10" s="94">
        <f t="shared" si="2"/>
        <v>508118541128.1405</v>
      </c>
      <c r="T10" s="94">
        <f t="shared" si="2"/>
        <v>525721289546.28888</v>
      </c>
      <c r="U10" s="94">
        <f t="shared" si="2"/>
        <v>542647009179.12396</v>
      </c>
      <c r="V10" s="94">
        <f t="shared" si="2"/>
        <v>558921739595.31165</v>
      </c>
      <c r="W10" s="94">
        <f t="shared" si="2"/>
        <v>574570518841.64575</v>
      </c>
      <c r="X10" s="94">
        <f t="shared" si="2"/>
        <v>589617421963.12085</v>
      </c>
      <c r="Y10" s="94">
        <f t="shared" si="2"/>
        <v>604085598041.4624</v>
      </c>
      <c r="Z10" s="94">
        <f t="shared" si="2"/>
        <v>617997305809.09851</v>
      </c>
    </row>
    <row r="12" spans="1:26">
      <c r="A12" s="90" t="s">
        <v>59</v>
      </c>
      <c r="B12" s="91">
        <f>$B$5*((1-(1.04^(-1)))/0.04)</f>
        <v>11788992992.804188</v>
      </c>
      <c r="C12" s="91">
        <f>$B$5*((1-(1.04^(-(C6))))/0.04)</f>
        <v>23124563178.192814</v>
      </c>
      <c r="D12" s="91">
        <f t="shared" ref="D12:Z12" si="3">$B$5*((1-(1.04^(-(D6))))/0.04)</f>
        <v>34024149894.912609</v>
      </c>
      <c r="E12" s="91">
        <f t="shared" si="3"/>
        <v>44504521737.912476</v>
      </c>
      <c r="F12" s="91">
        <f t="shared" si="3"/>
        <v>54581802356.18158</v>
      </c>
      <c r="G12" s="91">
        <f t="shared" si="3"/>
        <v>64271495258.363365</v>
      </c>
      <c r="H12" s="91">
        <f t="shared" si="3"/>
        <v>73588507664.307358</v>
      </c>
      <c r="I12" s="91">
        <f t="shared" si="3"/>
        <v>82547173439.253601</v>
      </c>
      <c r="J12" s="91">
        <f t="shared" si="3"/>
        <v>91161275145.932663</v>
      </c>
      <c r="K12" s="91">
        <f t="shared" si="3"/>
        <v>99444065248.508636</v>
      </c>
      <c r="L12" s="91">
        <f t="shared" si="3"/>
        <v>107408286500.98552</v>
      </c>
      <c r="M12" s="91">
        <f t="shared" si="3"/>
        <v>115066191551.44414</v>
      </c>
      <c r="N12" s="91">
        <f t="shared" si="3"/>
        <v>122429561792.26968</v>
      </c>
      <c r="O12" s="91">
        <f t="shared" si="3"/>
        <v>129509725485.37114</v>
      </c>
      <c r="P12" s="91">
        <f t="shared" si="3"/>
        <v>136317575190.27644</v>
      </c>
      <c r="Q12" s="91">
        <f t="shared" si="3"/>
        <v>142863584521.91614</v>
      </c>
      <c r="R12" s="91">
        <f t="shared" si="3"/>
        <v>149157824263.87738</v>
      </c>
      <c r="S12" s="91">
        <f t="shared" si="3"/>
        <v>155209977861.91702</v>
      </c>
      <c r="T12" s="91">
        <f t="shared" si="3"/>
        <v>161029356321.57056</v>
      </c>
      <c r="U12" s="91">
        <f t="shared" si="3"/>
        <v>166624912532.77585</v>
      </c>
      <c r="V12" s="91">
        <f t="shared" si="3"/>
        <v>172005255043.5502</v>
      </c>
      <c r="W12" s="91">
        <f t="shared" si="3"/>
        <v>177178661303.91013</v>
      </c>
      <c r="X12" s="91">
        <f t="shared" si="3"/>
        <v>182153090400.41</v>
      </c>
      <c r="Y12" s="91">
        <f t="shared" si="3"/>
        <v>186936195300.89075</v>
      </c>
      <c r="Z12" s="91">
        <f t="shared" si="3"/>
        <v>191535334628.27606</v>
      </c>
    </row>
    <row r="13" spans="1:26">
      <c r="A13" s="90" t="s">
        <v>156</v>
      </c>
      <c r="B13" s="94">
        <f>$B$2+B12</f>
        <v>146634561399.6792</v>
      </c>
      <c r="C13" s="94">
        <f>$B$2+C12</f>
        <v>157970131585.06781</v>
      </c>
      <c r="D13" s="94">
        <f t="shared" ref="D13:Z13" si="4">$B$2+D12</f>
        <v>168869718301.7876</v>
      </c>
      <c r="E13" s="94">
        <f t="shared" si="4"/>
        <v>179350090144.78748</v>
      </c>
      <c r="F13" s="94">
        <f t="shared" si="4"/>
        <v>189427370763.05658</v>
      </c>
      <c r="G13" s="94">
        <f t="shared" si="4"/>
        <v>199117063665.23837</v>
      </c>
      <c r="H13" s="94">
        <f t="shared" si="4"/>
        <v>208434076071.18237</v>
      </c>
      <c r="I13" s="94">
        <f t="shared" si="4"/>
        <v>217392741846.1286</v>
      </c>
      <c r="J13" s="94">
        <f t="shared" si="4"/>
        <v>226006843552.80768</v>
      </c>
      <c r="K13" s="94">
        <f t="shared" si="4"/>
        <v>234289633655.38364</v>
      </c>
      <c r="L13" s="94">
        <f t="shared" si="4"/>
        <v>242253854907.86053</v>
      </c>
      <c r="M13" s="94">
        <f t="shared" si="4"/>
        <v>249911759958.31915</v>
      </c>
      <c r="N13" s="94">
        <f t="shared" si="4"/>
        <v>257275130199.14468</v>
      </c>
      <c r="O13" s="94">
        <f t="shared" si="4"/>
        <v>264355293892.24615</v>
      </c>
      <c r="P13" s="94">
        <f t="shared" si="4"/>
        <v>271163143597.15143</v>
      </c>
      <c r="Q13" s="94">
        <f t="shared" si="4"/>
        <v>277709152928.79114</v>
      </c>
      <c r="R13" s="94">
        <f t="shared" si="4"/>
        <v>284003392670.75238</v>
      </c>
      <c r="S13" s="94">
        <f t="shared" si="4"/>
        <v>290055546268.79199</v>
      </c>
      <c r="T13" s="94">
        <f t="shared" si="4"/>
        <v>295874924728.44556</v>
      </c>
      <c r="U13" s="94">
        <f t="shared" si="4"/>
        <v>301470480939.65088</v>
      </c>
      <c r="V13" s="94">
        <f t="shared" si="4"/>
        <v>306850823450.42517</v>
      </c>
      <c r="W13" s="94">
        <f t="shared" si="4"/>
        <v>312024229710.78516</v>
      </c>
      <c r="X13" s="94">
        <f t="shared" si="4"/>
        <v>316998658807.28503</v>
      </c>
      <c r="Y13" s="94">
        <f t="shared" si="4"/>
        <v>321781763707.76575</v>
      </c>
      <c r="Z13" s="94">
        <f t="shared" si="4"/>
        <v>326380903035.15106</v>
      </c>
    </row>
    <row r="16" spans="1:26">
      <c r="B16" s="90" t="s">
        <v>149</v>
      </c>
      <c r="C16" s="90" t="s">
        <v>156</v>
      </c>
      <c r="D16" s="90" t="s">
        <v>154</v>
      </c>
    </row>
    <row r="17" spans="2:4">
      <c r="B17" s="90">
        <v>1</v>
      </c>
      <c r="C17" s="94">
        <f>B13</f>
        <v>146634561399.6792</v>
      </c>
      <c r="D17" s="94">
        <f>B10</f>
        <v>74291538461.538544</v>
      </c>
    </row>
    <row r="18" spans="2:4">
      <c r="B18" s="90">
        <v>2</v>
      </c>
      <c r="C18" s="94">
        <f>C13</f>
        <v>157970131585.06781</v>
      </c>
      <c r="D18" s="94">
        <f>C10</f>
        <v>108579940828.40247</v>
      </c>
    </row>
    <row r="19" spans="2:4">
      <c r="B19" s="90">
        <v>3</v>
      </c>
      <c r="C19" s="94">
        <f>D13</f>
        <v>168869718301.7876</v>
      </c>
      <c r="D19" s="94">
        <f>D10</f>
        <v>141549558488.84845</v>
      </c>
    </row>
    <row r="20" spans="2:4">
      <c r="B20" s="90">
        <v>4</v>
      </c>
      <c r="C20" s="94">
        <f>E13</f>
        <v>179350090144.78748</v>
      </c>
      <c r="D20" s="94">
        <f>E10</f>
        <v>173251113931.58514</v>
      </c>
    </row>
    <row r="21" spans="2:4">
      <c r="B21" s="90">
        <v>5</v>
      </c>
      <c r="C21" s="94">
        <f>F13</f>
        <v>189427370763.05658</v>
      </c>
      <c r="D21" s="94">
        <f>F10</f>
        <v>203733378780.37045</v>
      </c>
    </row>
    <row r="22" spans="2:4">
      <c r="B22" s="90">
        <v>6</v>
      </c>
      <c r="C22" s="94">
        <f>G13</f>
        <v>199117063665.23837</v>
      </c>
      <c r="D22" s="94">
        <f>G10</f>
        <v>233043248827.27924</v>
      </c>
    </row>
    <row r="23" spans="2:4">
      <c r="B23" s="90">
        <v>7</v>
      </c>
      <c r="C23" s="94">
        <f>H13</f>
        <v>208434076071.18237</v>
      </c>
      <c r="D23" s="94">
        <f>H10</f>
        <v>261225816180.07608</v>
      </c>
    </row>
    <row r="24" spans="2:4">
      <c r="B24" s="90">
        <v>8</v>
      </c>
      <c r="C24" s="94">
        <f>I13</f>
        <v>217392741846.1286</v>
      </c>
      <c r="D24" s="94">
        <f>I10</f>
        <v>288324438634.68872</v>
      </c>
    </row>
    <row r="25" spans="2:4">
      <c r="B25" s="90">
        <v>9</v>
      </c>
      <c r="C25" s="94">
        <f>J13</f>
        <v>226006843552.80768</v>
      </c>
      <c r="D25" s="94">
        <f>J10</f>
        <v>314380806379.50848</v>
      </c>
    </row>
    <row r="26" spans="2:4">
      <c r="B26" s="90">
        <v>10</v>
      </c>
      <c r="C26" s="94">
        <f>K13</f>
        <v>234289633655.38364</v>
      </c>
      <c r="D26" s="94">
        <f>K10</f>
        <v>339435006134.14276</v>
      </c>
    </row>
    <row r="27" spans="2:4">
      <c r="B27" s="90">
        <v>11</v>
      </c>
      <c r="C27" s="94">
        <f>L13</f>
        <v>242253854907.86053</v>
      </c>
      <c r="D27" s="94">
        <f>L10</f>
        <v>363525582821.29102</v>
      </c>
    </row>
    <row r="28" spans="2:4">
      <c r="B28" s="90">
        <v>12</v>
      </c>
      <c r="C28" s="94">
        <f>M13</f>
        <v>249911759958.31915</v>
      </c>
      <c r="D28" s="94">
        <f>M10</f>
        <v>386689598866.62616</v>
      </c>
    </row>
    <row r="29" spans="2:4">
      <c r="B29" s="90">
        <v>13</v>
      </c>
      <c r="C29" s="94">
        <f>N13</f>
        <v>257275130199.14468</v>
      </c>
      <c r="D29" s="94">
        <f>N10</f>
        <v>408962691217.90973</v>
      </c>
    </row>
    <row r="30" spans="2:4">
      <c r="B30" s="90">
        <v>14</v>
      </c>
      <c r="C30" s="94">
        <f>O13</f>
        <v>264355293892.24615</v>
      </c>
      <c r="D30" s="94">
        <f>O10</f>
        <v>430379126171.06702</v>
      </c>
    </row>
    <row r="31" spans="2:4">
      <c r="B31" s="90">
        <v>15</v>
      </c>
      <c r="C31" s="94">
        <f>P13</f>
        <v>271163143597.15143</v>
      </c>
      <c r="D31" s="94">
        <f>P10</f>
        <v>450971852087.56451</v>
      </c>
    </row>
    <row r="32" spans="2:4">
      <c r="B32" s="90">
        <v>16</v>
      </c>
      <c r="C32" s="94">
        <f>Q13</f>
        <v>277709152928.79114</v>
      </c>
      <c r="D32" s="94">
        <f>Q10</f>
        <v>470772550084.19672</v>
      </c>
    </row>
    <row r="33" spans="1:4">
      <c r="B33" s="90">
        <v>17</v>
      </c>
      <c r="C33" s="94">
        <f>R13</f>
        <v>284003392670.75238</v>
      </c>
      <c r="D33" s="94">
        <f>R10</f>
        <v>489811682773.26611</v>
      </c>
    </row>
    <row r="34" spans="1:4">
      <c r="B34" s="90">
        <v>18</v>
      </c>
      <c r="C34" s="94">
        <f>S13</f>
        <v>290055546268.79199</v>
      </c>
      <c r="D34" s="94">
        <f>S10</f>
        <v>508118541128.1405</v>
      </c>
    </row>
    <row r="35" spans="1:4">
      <c r="B35" s="90">
        <v>19</v>
      </c>
      <c r="C35" s="94">
        <f>T13</f>
        <v>295874924728.44556</v>
      </c>
      <c r="D35" s="94">
        <f>T10</f>
        <v>525721289546.28888</v>
      </c>
    </row>
    <row r="36" spans="1:4">
      <c r="B36" s="90">
        <v>20</v>
      </c>
      <c r="C36" s="94">
        <f>U13</f>
        <v>301470480939.65088</v>
      </c>
      <c r="D36" s="94">
        <f>U10</f>
        <v>542647009179.12396</v>
      </c>
    </row>
    <row r="37" spans="1:4">
      <c r="B37" s="90">
        <v>21</v>
      </c>
      <c r="C37" s="94">
        <f>V13</f>
        <v>306850823450.42517</v>
      </c>
      <c r="D37" s="94">
        <f>V10</f>
        <v>558921739595.31165</v>
      </c>
    </row>
    <row r="38" spans="1:4">
      <c r="B38" s="90">
        <v>22</v>
      </c>
      <c r="C38" s="94">
        <f>W13</f>
        <v>312024229710.78516</v>
      </c>
      <c r="D38" s="94">
        <f>W10</f>
        <v>574570518841.64575</v>
      </c>
    </row>
    <row r="39" spans="1:4">
      <c r="B39" s="90">
        <v>23</v>
      </c>
      <c r="C39" s="94">
        <f>X13</f>
        <v>316998658807.28503</v>
      </c>
      <c r="D39" s="94">
        <f>X10</f>
        <v>589617421963.12085</v>
      </c>
    </row>
    <row r="40" spans="1:4">
      <c r="B40" s="90">
        <v>24</v>
      </c>
      <c r="C40" s="94">
        <f>Y13</f>
        <v>321781763707.76575</v>
      </c>
      <c r="D40" s="94">
        <f>Y10</f>
        <v>604085598041.4624</v>
      </c>
    </row>
    <row r="41" spans="1:4">
      <c r="B41" s="90">
        <v>25</v>
      </c>
      <c r="C41" s="94">
        <f>Z13</f>
        <v>326380903035.15106</v>
      </c>
      <c r="D41" s="94">
        <f>Z10</f>
        <v>617997305809.09851</v>
      </c>
    </row>
    <row r="44" spans="1:4">
      <c r="A44" s="113" t="s">
        <v>158</v>
      </c>
      <c r="B44" s="113"/>
    </row>
    <row r="45" spans="1:4">
      <c r="A45" s="90" t="s">
        <v>155</v>
      </c>
      <c r="B45" s="91">
        <v>134845568406.875</v>
      </c>
    </row>
    <row r="46" spans="1:4">
      <c r="A46" s="90" t="s">
        <v>31</v>
      </c>
      <c r="B46" s="90">
        <v>42924000000</v>
      </c>
    </row>
    <row r="47" spans="1:4">
      <c r="A47" s="90" t="s">
        <v>151</v>
      </c>
      <c r="B47" s="90">
        <v>0.04</v>
      </c>
    </row>
    <row r="48" spans="1:4" ht="12.75" thickBot="1">
      <c r="A48" s="90" t="s">
        <v>152</v>
      </c>
      <c r="B48" s="90">
        <v>12941694529.878347</v>
      </c>
    </row>
    <row r="49" spans="1:26" ht="12.75" thickBot="1">
      <c r="A49" s="92" t="s">
        <v>150</v>
      </c>
      <c r="B49" s="93">
        <v>1</v>
      </c>
      <c r="C49" s="90">
        <v>2</v>
      </c>
      <c r="D49" s="90">
        <v>3</v>
      </c>
      <c r="E49" s="90">
        <v>4</v>
      </c>
      <c r="F49" s="90">
        <v>5</v>
      </c>
      <c r="G49" s="90">
        <v>6</v>
      </c>
      <c r="H49" s="90">
        <v>7</v>
      </c>
      <c r="I49" s="90">
        <v>8</v>
      </c>
      <c r="J49" s="90">
        <v>9</v>
      </c>
      <c r="K49" s="90">
        <v>10</v>
      </c>
      <c r="L49" s="90">
        <v>11</v>
      </c>
      <c r="M49" s="90">
        <v>12</v>
      </c>
      <c r="N49" s="90">
        <v>13</v>
      </c>
      <c r="O49" s="90">
        <v>14</v>
      </c>
      <c r="P49" s="90">
        <v>15</v>
      </c>
      <c r="Q49" s="90">
        <v>16</v>
      </c>
      <c r="R49" s="90">
        <v>17</v>
      </c>
      <c r="S49" s="90">
        <v>18</v>
      </c>
      <c r="T49" s="90">
        <v>19</v>
      </c>
      <c r="U49" s="90">
        <v>20</v>
      </c>
      <c r="V49" s="90">
        <v>21</v>
      </c>
      <c r="W49" s="90">
        <v>22</v>
      </c>
      <c r="X49" s="90">
        <v>23</v>
      </c>
      <c r="Y49" s="90">
        <v>24</v>
      </c>
      <c r="Z49" s="90">
        <v>25</v>
      </c>
    </row>
    <row r="51" spans="1:26">
      <c r="A51" s="90" t="s">
        <v>153</v>
      </c>
      <c r="B51" s="91">
        <f>$B$46*((1-(1.04^(-(B49))))/0.04)</f>
        <v>41273076923.077011</v>
      </c>
      <c r="C51" s="91">
        <f t="shared" ref="C51:Z51" si="5">$B$46*((1-(1.04^(-(C49))))/0.04)</f>
        <v>80958727810.651001</v>
      </c>
      <c r="D51" s="91">
        <f t="shared" si="5"/>
        <v>119118007510.24126</v>
      </c>
      <c r="E51" s="91">
        <f t="shared" si="5"/>
        <v>155809622606.00134</v>
      </c>
      <c r="F51" s="91">
        <f t="shared" si="5"/>
        <v>191090021736.53989</v>
      </c>
      <c r="G51" s="91">
        <f t="shared" si="5"/>
        <v>225013482438.98062</v>
      </c>
      <c r="H51" s="91">
        <f t="shared" si="5"/>
        <v>257632194652.86584</v>
      </c>
      <c r="I51" s="91">
        <f t="shared" si="5"/>
        <v>288996341012.37115</v>
      </c>
      <c r="J51" s="91">
        <f t="shared" si="5"/>
        <v>319154174050.35706</v>
      </c>
      <c r="K51" s="91">
        <f t="shared" si="5"/>
        <v>348152090433.03558</v>
      </c>
      <c r="L51" s="91">
        <f t="shared" si="5"/>
        <v>376034702339.45721</v>
      </c>
      <c r="M51" s="91">
        <f t="shared" si="5"/>
        <v>402844906095.63214</v>
      </c>
      <c r="N51" s="91">
        <f t="shared" si="5"/>
        <v>428623948168.87701</v>
      </c>
      <c r="O51" s="91">
        <f t="shared" si="5"/>
        <v>453411488623.92017</v>
      </c>
      <c r="P51" s="91">
        <f t="shared" si="5"/>
        <v>477245662138.38483</v>
      </c>
      <c r="Q51" s="91">
        <f t="shared" si="5"/>
        <v>500163136671.52399</v>
      </c>
      <c r="R51" s="91">
        <f t="shared" si="5"/>
        <v>522199169876.46539</v>
      </c>
      <c r="S51" s="91">
        <f t="shared" si="5"/>
        <v>543387663342.75519</v>
      </c>
      <c r="T51" s="91">
        <f t="shared" si="5"/>
        <v>563761214752.64917</v>
      </c>
      <c r="U51" s="91">
        <f t="shared" si="5"/>
        <v>583351168031.39343</v>
      </c>
      <c r="V51" s="91">
        <f t="shared" si="5"/>
        <v>602187661568.64771</v>
      </c>
      <c r="W51" s="91">
        <f t="shared" si="5"/>
        <v>620299674585.23816</v>
      </c>
      <c r="X51" s="91">
        <f t="shared" si="5"/>
        <v>637715071716.57507</v>
      </c>
      <c r="Y51" s="91">
        <f t="shared" si="5"/>
        <v>654460645881.32227</v>
      </c>
      <c r="Z51" s="91">
        <f t="shared" si="5"/>
        <v>670562159501.27148</v>
      </c>
    </row>
    <row r="52" spans="1:26">
      <c r="A52" s="90" t="s">
        <v>37</v>
      </c>
      <c r="B52" s="91">
        <f>$B$46*((1+0.04)^-(B49))</f>
        <v>41273076923.07692</v>
      </c>
      <c r="C52" s="91">
        <f t="shared" ref="C52:Z52" si="6">$B$46*((1+0.04)^-(C49))</f>
        <v>39685650887.573959</v>
      </c>
      <c r="D52" s="91">
        <f t="shared" si="6"/>
        <v>38159279699.590347</v>
      </c>
      <c r="E52" s="91">
        <f t="shared" si="6"/>
        <v>36691615095.759949</v>
      </c>
      <c r="F52" s="91">
        <f t="shared" si="6"/>
        <v>35280399130.538406</v>
      </c>
      <c r="G52" s="91">
        <f t="shared" si="6"/>
        <v>33923460702.440773</v>
      </c>
      <c r="H52" s="91">
        <f t="shared" si="6"/>
        <v>32618712213.885365</v>
      </c>
      <c r="I52" s="91">
        <f t="shared" si="6"/>
        <v>31364146359.505154</v>
      </c>
      <c r="J52" s="91">
        <f t="shared" si="6"/>
        <v>30157833037.985718</v>
      </c>
      <c r="K52" s="91">
        <f t="shared" si="6"/>
        <v>28997916382.678574</v>
      </c>
      <c r="L52" s="91">
        <f t="shared" si="6"/>
        <v>27882611906.421711</v>
      </c>
      <c r="M52" s="91">
        <f t="shared" si="6"/>
        <v>26810203756.174717</v>
      </c>
      <c r="N52" s="91">
        <f t="shared" si="6"/>
        <v>25779042073.244919</v>
      </c>
      <c r="O52" s="91">
        <f t="shared" si="6"/>
        <v>24787540455.043194</v>
      </c>
      <c r="P52" s="91">
        <f t="shared" si="6"/>
        <v>23834173514.464607</v>
      </c>
      <c r="Q52" s="91">
        <f t="shared" si="6"/>
        <v>22917474533.139042</v>
      </c>
      <c r="R52" s="91">
        <f t="shared" si="6"/>
        <v>22036033204.941387</v>
      </c>
      <c r="S52" s="91">
        <f t="shared" si="6"/>
        <v>21188493466.289791</v>
      </c>
      <c r="T52" s="91">
        <f t="shared" si="6"/>
        <v>20373551409.894032</v>
      </c>
      <c r="U52" s="91">
        <f t="shared" si="6"/>
        <v>19589953278.744259</v>
      </c>
      <c r="V52" s="91">
        <f t="shared" si="6"/>
        <v>18836493537.254093</v>
      </c>
      <c r="W52" s="91">
        <f t="shared" si="6"/>
        <v>18112013016.590473</v>
      </c>
      <c r="X52" s="91">
        <f t="shared" si="6"/>
        <v>17415397131.336994</v>
      </c>
      <c r="Y52" s="91">
        <f t="shared" si="6"/>
        <v>16745574164.74711</v>
      </c>
      <c r="Z52" s="91">
        <f t="shared" si="6"/>
        <v>16101513619.949141</v>
      </c>
    </row>
    <row r="53" spans="1:26">
      <c r="A53" s="90" t="s">
        <v>154</v>
      </c>
      <c r="B53" s="94">
        <f>B51+B52</f>
        <v>82546153846.153931</v>
      </c>
      <c r="C53" s="94">
        <f t="shared" ref="C53:Z53" si="7">C51+C52</f>
        <v>120644378698.22496</v>
      </c>
      <c r="D53" s="94">
        <f t="shared" si="7"/>
        <v>157277287209.8316</v>
      </c>
      <c r="E53" s="94">
        <f t="shared" si="7"/>
        <v>192501237701.76129</v>
      </c>
      <c r="F53" s="94">
        <f t="shared" si="7"/>
        <v>226370420867.07831</v>
      </c>
      <c r="G53" s="94">
        <f t="shared" si="7"/>
        <v>258936943141.42139</v>
      </c>
      <c r="H53" s="94">
        <f t="shared" si="7"/>
        <v>290250906866.75122</v>
      </c>
      <c r="I53" s="94">
        <f t="shared" si="7"/>
        <v>320360487371.87628</v>
      </c>
      <c r="J53" s="94">
        <f t="shared" si="7"/>
        <v>349312007088.34277</v>
      </c>
      <c r="K53" s="94">
        <f t="shared" si="7"/>
        <v>377150006815.71417</v>
      </c>
      <c r="L53" s="94">
        <f t="shared" si="7"/>
        <v>403917314245.87891</v>
      </c>
      <c r="M53" s="94">
        <f t="shared" si="7"/>
        <v>429655109851.80688</v>
      </c>
      <c r="N53" s="94">
        <f t="shared" si="7"/>
        <v>454402990242.12195</v>
      </c>
      <c r="O53" s="94">
        <f t="shared" si="7"/>
        <v>478199029078.96338</v>
      </c>
      <c r="P53" s="94">
        <f t="shared" si="7"/>
        <v>501079835652.84943</v>
      </c>
      <c r="Q53" s="94">
        <f t="shared" si="7"/>
        <v>523080611204.66302</v>
      </c>
      <c r="R53" s="94">
        <f t="shared" si="7"/>
        <v>544235203081.4068</v>
      </c>
      <c r="S53" s="94">
        <f t="shared" si="7"/>
        <v>564576156809.04492</v>
      </c>
      <c r="T53" s="94">
        <f t="shared" si="7"/>
        <v>584134766162.54321</v>
      </c>
      <c r="U53" s="94">
        <f t="shared" si="7"/>
        <v>602941121310.1377</v>
      </c>
      <c r="V53" s="94">
        <f t="shared" si="7"/>
        <v>621024155105.90186</v>
      </c>
      <c r="W53" s="94">
        <f t="shared" si="7"/>
        <v>638411687601.82861</v>
      </c>
      <c r="X53" s="94">
        <f t="shared" si="7"/>
        <v>655130468847.91211</v>
      </c>
      <c r="Y53" s="94">
        <f t="shared" si="7"/>
        <v>671206220046.06934</v>
      </c>
      <c r="Z53" s="94">
        <f t="shared" si="7"/>
        <v>686663673121.22058</v>
      </c>
    </row>
    <row r="55" spans="1:26">
      <c r="A55" s="90" t="s">
        <v>59</v>
      </c>
      <c r="B55" s="91">
        <f>$B$48*((1-(1.04^(-(B49))))/0.04)</f>
        <v>12443937047.959976</v>
      </c>
      <c r="C55" s="91">
        <f t="shared" ref="C55:Z55" si="8">$B$48*((1-(1.04^(-(C49))))/0.04)</f>
        <v>24409261132.536858</v>
      </c>
      <c r="D55" s="91">
        <f t="shared" si="8"/>
        <v>35914380444.629982</v>
      </c>
      <c r="E55" s="91">
        <f t="shared" si="8"/>
        <v>46976995167.796501</v>
      </c>
      <c r="F55" s="91">
        <f t="shared" si="8"/>
        <v>57614124709.30278</v>
      </c>
      <c r="G55" s="91">
        <f t="shared" si="8"/>
        <v>67842133883.828003</v>
      </c>
      <c r="H55" s="91">
        <f t="shared" si="8"/>
        <v>77676758090.102219</v>
      </c>
      <c r="I55" s="91">
        <f t="shared" si="8"/>
        <v>87133127519.212128</v>
      </c>
      <c r="J55" s="91">
        <f t="shared" si="8"/>
        <v>96225790431.81781</v>
      </c>
      <c r="K55" s="91">
        <f t="shared" si="8"/>
        <v>104968735540.09245</v>
      </c>
      <c r="L55" s="91">
        <f t="shared" si="8"/>
        <v>113375413528.81805</v>
      </c>
      <c r="M55" s="91">
        <f t="shared" si="8"/>
        <v>121458757748.7466</v>
      </c>
      <c r="N55" s="91">
        <f t="shared" si="8"/>
        <v>129231204114.06244</v>
      </c>
      <c r="O55" s="91">
        <f t="shared" si="8"/>
        <v>136704710234.55843</v>
      </c>
      <c r="P55" s="91">
        <f t="shared" si="8"/>
        <v>143890773811.95847</v>
      </c>
      <c r="Q55" s="91">
        <f t="shared" si="8"/>
        <v>150800450328.68927</v>
      </c>
      <c r="R55" s="91">
        <f t="shared" si="8"/>
        <v>157444370056.31503</v>
      </c>
      <c r="S55" s="91">
        <f t="shared" si="8"/>
        <v>163832754409.8013</v>
      </c>
      <c r="T55" s="91">
        <f t="shared" si="8"/>
        <v>169975431672.76892</v>
      </c>
      <c r="U55" s="91">
        <f t="shared" si="8"/>
        <v>175881852117.93005</v>
      </c>
      <c r="V55" s="91">
        <f t="shared" si="8"/>
        <v>181561102545.96967</v>
      </c>
      <c r="W55" s="91">
        <f t="shared" si="8"/>
        <v>187021920265.23846</v>
      </c>
      <c r="X55" s="91">
        <f t="shared" si="8"/>
        <v>192272706533.76614</v>
      </c>
      <c r="Y55" s="91">
        <f t="shared" si="8"/>
        <v>197321539484.27359</v>
      </c>
      <c r="Z55" s="91">
        <f t="shared" si="8"/>
        <v>202176186552.06918</v>
      </c>
    </row>
    <row r="56" spans="1:26">
      <c r="A56" s="90" t="s">
        <v>156</v>
      </c>
      <c r="B56" s="94">
        <f>$B$45+B55</f>
        <v>147289505454.83496</v>
      </c>
      <c r="C56" s="94">
        <f t="shared" ref="C56:Z56" si="9">$B$45+C55</f>
        <v>159254829539.41187</v>
      </c>
      <c r="D56" s="94">
        <f t="shared" si="9"/>
        <v>170759948851.50497</v>
      </c>
      <c r="E56" s="94">
        <f t="shared" si="9"/>
        <v>181822563574.67151</v>
      </c>
      <c r="F56" s="94">
        <f t="shared" si="9"/>
        <v>192459693116.1778</v>
      </c>
      <c r="G56" s="94">
        <f t="shared" si="9"/>
        <v>202687702290.703</v>
      </c>
      <c r="H56" s="94">
        <f t="shared" si="9"/>
        <v>212522326496.97723</v>
      </c>
      <c r="I56" s="94">
        <f t="shared" si="9"/>
        <v>221978695926.08713</v>
      </c>
      <c r="J56" s="94">
        <f t="shared" si="9"/>
        <v>231071358838.69281</v>
      </c>
      <c r="K56" s="94">
        <f t="shared" si="9"/>
        <v>239814303946.96747</v>
      </c>
      <c r="L56" s="94">
        <f t="shared" si="9"/>
        <v>248220981935.69305</v>
      </c>
      <c r="M56" s="94">
        <f t="shared" si="9"/>
        <v>256304326155.62158</v>
      </c>
      <c r="N56" s="94">
        <f t="shared" si="9"/>
        <v>264076772520.93744</v>
      </c>
      <c r="O56" s="94">
        <f t="shared" si="9"/>
        <v>271550278641.43341</v>
      </c>
      <c r="P56" s="94">
        <f t="shared" si="9"/>
        <v>278736342218.8335</v>
      </c>
      <c r="Q56" s="94">
        <f t="shared" si="9"/>
        <v>285646018735.56427</v>
      </c>
      <c r="R56" s="94">
        <f t="shared" si="9"/>
        <v>292289938463.19006</v>
      </c>
      <c r="S56" s="94">
        <f t="shared" si="9"/>
        <v>298678322816.67627</v>
      </c>
      <c r="T56" s="94">
        <f t="shared" si="9"/>
        <v>304821000079.64392</v>
      </c>
      <c r="U56" s="94">
        <f t="shared" si="9"/>
        <v>310727420524.80505</v>
      </c>
      <c r="V56" s="94">
        <f t="shared" si="9"/>
        <v>316406670952.84467</v>
      </c>
      <c r="W56" s="94">
        <f t="shared" si="9"/>
        <v>321867488672.11346</v>
      </c>
      <c r="X56" s="94">
        <f t="shared" si="9"/>
        <v>327118274940.64111</v>
      </c>
      <c r="Y56" s="94">
        <f t="shared" si="9"/>
        <v>332167107891.14856</v>
      </c>
      <c r="Z56" s="94">
        <f t="shared" si="9"/>
        <v>337021754958.94421</v>
      </c>
    </row>
    <row r="59" spans="1:26">
      <c r="B59" s="90" t="s">
        <v>149</v>
      </c>
      <c r="C59" s="90" t="s">
        <v>156</v>
      </c>
      <c r="D59" s="90" t="s">
        <v>154</v>
      </c>
    </row>
    <row r="60" spans="1:26">
      <c r="B60" s="90">
        <v>1</v>
      </c>
      <c r="C60" s="94">
        <f>B56</f>
        <v>147289505454.83496</v>
      </c>
      <c r="D60" s="94">
        <f>B53</f>
        <v>82546153846.153931</v>
      </c>
    </row>
    <row r="61" spans="1:26">
      <c r="B61" s="90">
        <v>2</v>
      </c>
      <c r="C61" s="94">
        <f>C56</f>
        <v>159254829539.41187</v>
      </c>
      <c r="D61" s="94">
        <f>C53</f>
        <v>120644378698.22496</v>
      </c>
    </row>
    <row r="62" spans="1:26">
      <c r="B62" s="90">
        <v>3</v>
      </c>
      <c r="C62" s="94">
        <f>D56</f>
        <v>170759948851.50497</v>
      </c>
      <c r="D62" s="94">
        <f>D53</f>
        <v>157277287209.8316</v>
      </c>
    </row>
    <row r="63" spans="1:26">
      <c r="B63" s="90">
        <v>4</v>
      </c>
      <c r="C63" s="94">
        <f>E56</f>
        <v>181822563574.67151</v>
      </c>
      <c r="D63" s="94">
        <f>E53</f>
        <v>192501237701.76129</v>
      </c>
    </row>
    <row r="64" spans="1:26">
      <c r="B64" s="90">
        <v>5</v>
      </c>
      <c r="C64" s="94">
        <f>F56</f>
        <v>192459693116.1778</v>
      </c>
      <c r="D64" s="94">
        <f>F53</f>
        <v>226370420867.07831</v>
      </c>
    </row>
    <row r="65" spans="2:4">
      <c r="B65" s="90">
        <v>6</v>
      </c>
      <c r="C65" s="94">
        <f>G56</f>
        <v>202687702290.703</v>
      </c>
      <c r="D65" s="94">
        <f>G53</f>
        <v>258936943141.42139</v>
      </c>
    </row>
    <row r="66" spans="2:4">
      <c r="B66" s="90">
        <v>7</v>
      </c>
      <c r="C66" s="94">
        <f>H56</f>
        <v>212522326496.97723</v>
      </c>
      <c r="D66" s="94">
        <f>H53</f>
        <v>290250906866.75122</v>
      </c>
    </row>
    <row r="67" spans="2:4">
      <c r="B67" s="90">
        <v>8</v>
      </c>
      <c r="C67" s="94">
        <f>I56</f>
        <v>221978695926.08713</v>
      </c>
      <c r="D67" s="94">
        <f>I53</f>
        <v>320360487371.87628</v>
      </c>
    </row>
    <row r="68" spans="2:4">
      <c r="B68" s="90">
        <v>9</v>
      </c>
      <c r="C68" s="94">
        <f>J56</f>
        <v>231071358838.69281</v>
      </c>
      <c r="D68" s="94">
        <f>J53</f>
        <v>349312007088.34277</v>
      </c>
    </row>
    <row r="69" spans="2:4">
      <c r="B69" s="90">
        <v>10</v>
      </c>
      <c r="C69" s="94">
        <f>K56</f>
        <v>239814303946.96747</v>
      </c>
      <c r="D69" s="94">
        <f>K53</f>
        <v>377150006815.71417</v>
      </c>
    </row>
    <row r="70" spans="2:4">
      <c r="B70" s="90">
        <v>11</v>
      </c>
      <c r="C70" s="94">
        <f>L56</f>
        <v>248220981935.69305</v>
      </c>
      <c r="D70" s="94">
        <f>L53</f>
        <v>403917314245.87891</v>
      </c>
    </row>
    <row r="71" spans="2:4">
      <c r="B71" s="90">
        <v>12</v>
      </c>
      <c r="C71" s="94">
        <f>M56</f>
        <v>256304326155.62158</v>
      </c>
      <c r="D71" s="94">
        <f>M53</f>
        <v>429655109851.80688</v>
      </c>
    </row>
    <row r="72" spans="2:4">
      <c r="B72" s="90">
        <v>13</v>
      </c>
      <c r="C72" s="94">
        <f>N56</f>
        <v>264076772520.93744</v>
      </c>
      <c r="D72" s="94">
        <f>N53</f>
        <v>454402990242.12195</v>
      </c>
    </row>
    <row r="73" spans="2:4">
      <c r="B73" s="90">
        <v>14</v>
      </c>
      <c r="C73" s="94">
        <f>O56</f>
        <v>271550278641.43341</v>
      </c>
      <c r="D73" s="94">
        <f>O53</f>
        <v>478199029078.96338</v>
      </c>
    </row>
    <row r="74" spans="2:4">
      <c r="B74" s="90">
        <v>15</v>
      </c>
      <c r="C74" s="94">
        <f>P56</f>
        <v>278736342218.8335</v>
      </c>
      <c r="D74" s="94">
        <f>P53</f>
        <v>501079835652.84943</v>
      </c>
    </row>
    <row r="75" spans="2:4">
      <c r="B75" s="90">
        <v>16</v>
      </c>
      <c r="C75" s="94">
        <f>Q56</f>
        <v>285646018735.56427</v>
      </c>
      <c r="D75" s="94">
        <f>Q53</f>
        <v>523080611204.66302</v>
      </c>
    </row>
    <row r="76" spans="2:4">
      <c r="B76" s="90">
        <v>17</v>
      </c>
      <c r="C76" s="94">
        <f>R56</f>
        <v>292289938463.19006</v>
      </c>
      <c r="D76" s="94">
        <f>R53</f>
        <v>544235203081.4068</v>
      </c>
    </row>
    <row r="77" spans="2:4">
      <c r="B77" s="90">
        <v>18</v>
      </c>
      <c r="C77" s="94">
        <f>S56</f>
        <v>298678322816.67627</v>
      </c>
      <c r="D77" s="94">
        <f>S53</f>
        <v>564576156809.04492</v>
      </c>
    </row>
    <row r="78" spans="2:4">
      <c r="B78" s="90">
        <v>19</v>
      </c>
      <c r="C78" s="94">
        <f>T56</f>
        <v>304821000079.64392</v>
      </c>
      <c r="D78" s="94">
        <f>T53</f>
        <v>584134766162.54321</v>
      </c>
    </row>
    <row r="79" spans="2:4">
      <c r="B79" s="90">
        <v>20</v>
      </c>
      <c r="C79" s="94">
        <f>U56</f>
        <v>310727420524.80505</v>
      </c>
      <c r="D79" s="94">
        <f>U53</f>
        <v>602941121310.1377</v>
      </c>
    </row>
    <row r="80" spans="2:4">
      <c r="B80" s="90">
        <v>21</v>
      </c>
      <c r="C80" s="94">
        <f>V56</f>
        <v>316406670952.84467</v>
      </c>
      <c r="D80" s="94">
        <f>V53</f>
        <v>621024155105.90186</v>
      </c>
    </row>
    <row r="81" spans="1:26">
      <c r="B81" s="90">
        <v>22</v>
      </c>
      <c r="C81" s="94">
        <f>W56</f>
        <v>321867488672.11346</v>
      </c>
      <c r="D81" s="94">
        <f>W53</f>
        <v>638411687601.82861</v>
      </c>
    </row>
    <row r="82" spans="1:26">
      <c r="B82" s="90">
        <v>23</v>
      </c>
      <c r="C82" s="94">
        <f>X56</f>
        <v>327118274940.64111</v>
      </c>
      <c r="D82" s="94">
        <f>X53</f>
        <v>655130468847.91211</v>
      </c>
    </row>
    <row r="83" spans="1:26">
      <c r="B83" s="90">
        <v>24</v>
      </c>
      <c r="C83" s="94">
        <f>Y56</f>
        <v>332167107891.14856</v>
      </c>
      <c r="D83" s="94">
        <f>Y53</f>
        <v>671206220046.06934</v>
      </c>
    </row>
    <row r="84" spans="1:26">
      <c r="B84" s="90">
        <v>25</v>
      </c>
      <c r="C84" s="94">
        <f>Z56</f>
        <v>337021754958.94421</v>
      </c>
      <c r="D84" s="94">
        <f>Z53</f>
        <v>686663673121.22058</v>
      </c>
    </row>
    <row r="88" spans="1:26">
      <c r="A88" s="113" t="s">
        <v>159</v>
      </c>
      <c r="B88" s="113"/>
    </row>
    <row r="89" spans="1:26">
      <c r="A89" s="90" t="s">
        <v>155</v>
      </c>
      <c r="B89" s="91">
        <v>134845568406.875</v>
      </c>
    </row>
    <row r="90" spans="1:26">
      <c r="A90" s="90" t="s">
        <v>31</v>
      </c>
      <c r="B90" s="90">
        <v>42924000000</v>
      </c>
    </row>
    <row r="91" spans="1:26">
      <c r="A91" s="90" t="s">
        <v>151</v>
      </c>
      <c r="B91" s="90">
        <v>0.04</v>
      </c>
    </row>
    <row r="92" spans="1:26" ht="12.75" thickBot="1">
      <c r="A92" s="90" t="s">
        <v>152</v>
      </c>
      <c r="B92" s="90">
        <v>11579410895.15431</v>
      </c>
    </row>
    <row r="93" spans="1:26" ht="12.75" thickBot="1">
      <c r="A93" s="92" t="s">
        <v>150</v>
      </c>
      <c r="B93" s="93">
        <v>1</v>
      </c>
      <c r="C93" s="90">
        <v>2</v>
      </c>
      <c r="D93" s="90">
        <v>3</v>
      </c>
      <c r="E93" s="90">
        <v>4</v>
      </c>
      <c r="F93" s="90">
        <v>5</v>
      </c>
      <c r="G93" s="90">
        <v>6</v>
      </c>
      <c r="H93" s="90">
        <v>7</v>
      </c>
      <c r="I93" s="90">
        <v>8</v>
      </c>
      <c r="J93" s="90">
        <v>9</v>
      </c>
      <c r="K93" s="90">
        <v>10</v>
      </c>
      <c r="L93" s="90">
        <v>11</v>
      </c>
      <c r="M93" s="90">
        <v>12</v>
      </c>
      <c r="N93" s="90">
        <v>13</v>
      </c>
      <c r="O93" s="90">
        <v>14</v>
      </c>
      <c r="P93" s="90">
        <v>15</v>
      </c>
      <c r="Q93" s="90">
        <v>16</v>
      </c>
      <c r="R93" s="90">
        <v>17</v>
      </c>
      <c r="S93" s="90">
        <v>18</v>
      </c>
      <c r="T93" s="90">
        <v>19</v>
      </c>
      <c r="U93" s="90">
        <v>20</v>
      </c>
      <c r="V93" s="90">
        <v>21</v>
      </c>
      <c r="W93" s="90">
        <v>22</v>
      </c>
      <c r="X93" s="90">
        <v>23</v>
      </c>
      <c r="Y93" s="90">
        <v>24</v>
      </c>
      <c r="Z93" s="90">
        <v>25</v>
      </c>
    </row>
    <row r="95" spans="1:26">
      <c r="A95" s="90" t="s">
        <v>153</v>
      </c>
      <c r="B95" s="91">
        <f>$B$90*((1-(1.04^(-(B93))))/0.04)</f>
        <v>41273076923.077011</v>
      </c>
      <c r="C95" s="91">
        <f t="shared" ref="C95:Z95" si="10">$B$90*((1-(1.04^(-(C93))))/0.04)</f>
        <v>80958727810.651001</v>
      </c>
      <c r="D95" s="91">
        <f t="shared" si="10"/>
        <v>119118007510.24126</v>
      </c>
      <c r="E95" s="91">
        <f t="shared" si="10"/>
        <v>155809622606.00134</v>
      </c>
      <c r="F95" s="91">
        <f t="shared" si="10"/>
        <v>191090021736.53989</v>
      </c>
      <c r="G95" s="91">
        <f t="shared" si="10"/>
        <v>225013482438.98062</v>
      </c>
      <c r="H95" s="91">
        <f t="shared" si="10"/>
        <v>257632194652.86584</v>
      </c>
      <c r="I95" s="91">
        <f t="shared" si="10"/>
        <v>288996341012.37115</v>
      </c>
      <c r="J95" s="91">
        <f t="shared" si="10"/>
        <v>319154174050.35706</v>
      </c>
      <c r="K95" s="91">
        <f t="shared" si="10"/>
        <v>348152090433.03558</v>
      </c>
      <c r="L95" s="91">
        <f t="shared" si="10"/>
        <v>376034702339.45721</v>
      </c>
      <c r="M95" s="91">
        <f t="shared" si="10"/>
        <v>402844906095.63214</v>
      </c>
      <c r="N95" s="91">
        <f t="shared" si="10"/>
        <v>428623948168.87701</v>
      </c>
      <c r="O95" s="91">
        <f t="shared" si="10"/>
        <v>453411488623.92017</v>
      </c>
      <c r="P95" s="91">
        <f t="shared" si="10"/>
        <v>477245662138.38483</v>
      </c>
      <c r="Q95" s="91">
        <f t="shared" si="10"/>
        <v>500163136671.52399</v>
      </c>
      <c r="R95" s="91">
        <f t="shared" si="10"/>
        <v>522199169876.46539</v>
      </c>
      <c r="S95" s="91">
        <f t="shared" si="10"/>
        <v>543387663342.75519</v>
      </c>
      <c r="T95" s="91">
        <f t="shared" si="10"/>
        <v>563761214752.64917</v>
      </c>
      <c r="U95" s="91">
        <f t="shared" si="10"/>
        <v>583351168031.39343</v>
      </c>
      <c r="V95" s="91">
        <f t="shared" si="10"/>
        <v>602187661568.64771</v>
      </c>
      <c r="W95" s="91">
        <f t="shared" si="10"/>
        <v>620299674585.23816</v>
      </c>
      <c r="X95" s="91">
        <f t="shared" si="10"/>
        <v>637715071716.57507</v>
      </c>
      <c r="Y95" s="91">
        <f t="shared" si="10"/>
        <v>654460645881.32227</v>
      </c>
      <c r="Z95" s="91">
        <f t="shared" si="10"/>
        <v>670562159501.27148</v>
      </c>
    </row>
    <row r="96" spans="1:26">
      <c r="A96" s="90" t="s">
        <v>37</v>
      </c>
      <c r="B96" s="91">
        <f>$B$90*((1+0.04)^-(B93))</f>
        <v>41273076923.07692</v>
      </c>
      <c r="C96" s="91">
        <f t="shared" ref="C96:Z96" si="11">$B$90*((1+0.04)^-(C93))</f>
        <v>39685650887.573959</v>
      </c>
      <c r="D96" s="91">
        <f t="shared" si="11"/>
        <v>38159279699.590347</v>
      </c>
      <c r="E96" s="91">
        <f t="shared" si="11"/>
        <v>36691615095.759949</v>
      </c>
      <c r="F96" s="91">
        <f t="shared" si="11"/>
        <v>35280399130.538406</v>
      </c>
      <c r="G96" s="91">
        <f t="shared" si="11"/>
        <v>33923460702.440773</v>
      </c>
      <c r="H96" s="91">
        <f t="shared" si="11"/>
        <v>32618712213.885365</v>
      </c>
      <c r="I96" s="91">
        <f t="shared" si="11"/>
        <v>31364146359.505154</v>
      </c>
      <c r="J96" s="91">
        <f t="shared" si="11"/>
        <v>30157833037.985718</v>
      </c>
      <c r="K96" s="91">
        <f t="shared" si="11"/>
        <v>28997916382.678574</v>
      </c>
      <c r="L96" s="91">
        <f t="shared" si="11"/>
        <v>27882611906.421711</v>
      </c>
      <c r="M96" s="91">
        <f t="shared" si="11"/>
        <v>26810203756.174717</v>
      </c>
      <c r="N96" s="91">
        <f t="shared" si="11"/>
        <v>25779042073.244919</v>
      </c>
      <c r="O96" s="91">
        <f t="shared" si="11"/>
        <v>24787540455.043194</v>
      </c>
      <c r="P96" s="91">
        <f t="shared" si="11"/>
        <v>23834173514.464607</v>
      </c>
      <c r="Q96" s="91">
        <f t="shared" si="11"/>
        <v>22917474533.139042</v>
      </c>
      <c r="R96" s="91">
        <f t="shared" si="11"/>
        <v>22036033204.941387</v>
      </c>
      <c r="S96" s="91">
        <f t="shared" si="11"/>
        <v>21188493466.289791</v>
      </c>
      <c r="T96" s="91">
        <f t="shared" si="11"/>
        <v>20373551409.894032</v>
      </c>
      <c r="U96" s="91">
        <f t="shared" si="11"/>
        <v>19589953278.744259</v>
      </c>
      <c r="V96" s="91">
        <f t="shared" si="11"/>
        <v>18836493537.254093</v>
      </c>
      <c r="W96" s="91">
        <f t="shared" si="11"/>
        <v>18112013016.590473</v>
      </c>
      <c r="X96" s="91">
        <f t="shared" si="11"/>
        <v>17415397131.336994</v>
      </c>
      <c r="Y96" s="91">
        <f t="shared" si="11"/>
        <v>16745574164.74711</v>
      </c>
      <c r="Z96" s="91">
        <f t="shared" si="11"/>
        <v>16101513619.949141</v>
      </c>
    </row>
    <row r="97" spans="1:26">
      <c r="A97" s="90" t="s">
        <v>154</v>
      </c>
      <c r="B97" s="94">
        <f>B95+B96</f>
        <v>82546153846.153931</v>
      </c>
      <c r="C97" s="94">
        <f t="shared" ref="C97:Z97" si="12">C95+C96</f>
        <v>120644378698.22496</v>
      </c>
      <c r="D97" s="94">
        <f t="shared" si="12"/>
        <v>157277287209.8316</v>
      </c>
      <c r="E97" s="94">
        <f t="shared" si="12"/>
        <v>192501237701.76129</v>
      </c>
      <c r="F97" s="94">
        <f t="shared" si="12"/>
        <v>226370420867.07831</v>
      </c>
      <c r="G97" s="94">
        <f t="shared" si="12"/>
        <v>258936943141.42139</v>
      </c>
      <c r="H97" s="94">
        <f t="shared" si="12"/>
        <v>290250906866.75122</v>
      </c>
      <c r="I97" s="94">
        <f t="shared" si="12"/>
        <v>320360487371.87628</v>
      </c>
      <c r="J97" s="94">
        <f t="shared" si="12"/>
        <v>349312007088.34277</v>
      </c>
      <c r="K97" s="94">
        <f t="shared" si="12"/>
        <v>377150006815.71417</v>
      </c>
      <c r="L97" s="94">
        <f t="shared" si="12"/>
        <v>403917314245.87891</v>
      </c>
      <c r="M97" s="94">
        <f t="shared" si="12"/>
        <v>429655109851.80688</v>
      </c>
      <c r="N97" s="94">
        <f t="shared" si="12"/>
        <v>454402990242.12195</v>
      </c>
      <c r="O97" s="94">
        <f t="shared" si="12"/>
        <v>478199029078.96338</v>
      </c>
      <c r="P97" s="94">
        <f t="shared" si="12"/>
        <v>501079835652.84943</v>
      </c>
      <c r="Q97" s="94">
        <f t="shared" si="12"/>
        <v>523080611204.66302</v>
      </c>
      <c r="R97" s="94">
        <f t="shared" si="12"/>
        <v>544235203081.4068</v>
      </c>
      <c r="S97" s="94">
        <f t="shared" si="12"/>
        <v>564576156809.04492</v>
      </c>
      <c r="T97" s="94">
        <f t="shared" si="12"/>
        <v>584134766162.54321</v>
      </c>
      <c r="U97" s="94">
        <f t="shared" si="12"/>
        <v>602941121310.1377</v>
      </c>
      <c r="V97" s="94">
        <f t="shared" si="12"/>
        <v>621024155105.90186</v>
      </c>
      <c r="W97" s="94">
        <f t="shared" si="12"/>
        <v>638411687601.82861</v>
      </c>
      <c r="X97" s="94">
        <f t="shared" si="12"/>
        <v>655130468847.91211</v>
      </c>
      <c r="Y97" s="94">
        <f t="shared" si="12"/>
        <v>671206220046.06934</v>
      </c>
      <c r="Z97" s="94">
        <f t="shared" si="12"/>
        <v>686663673121.22058</v>
      </c>
    </row>
    <row r="99" spans="1:26">
      <c r="A99" s="90" t="s">
        <v>59</v>
      </c>
      <c r="B99" s="91">
        <f>$B$92*((1-(1.04^(-(B93))))/0.04)</f>
        <v>11134048937.648399</v>
      </c>
      <c r="C99" s="91">
        <f t="shared" ref="C99:Z99" si="13">$B$92*((1-(1.04^(-(C93))))/0.04)</f>
        <v>21839865223.848766</v>
      </c>
      <c r="D99" s="91">
        <f t="shared" si="13"/>
        <v>32133919345.195244</v>
      </c>
      <c r="E99" s="91">
        <f t="shared" si="13"/>
        <v>42032048308.02845</v>
      </c>
      <c r="F99" s="91">
        <f t="shared" si="13"/>
        <v>51549480003.060379</v>
      </c>
      <c r="G99" s="91">
        <f t="shared" si="13"/>
        <v>60700856632.898735</v>
      </c>
      <c r="H99" s="91">
        <f t="shared" si="13"/>
        <v>69500257238.512512</v>
      </c>
      <c r="I99" s="91">
        <f t="shared" si="13"/>
        <v>77961219359.295059</v>
      </c>
      <c r="J99" s="91">
        <f t="shared" si="13"/>
        <v>86096759860.047501</v>
      </c>
      <c r="K99" s="91">
        <f t="shared" si="13"/>
        <v>93919394956.92482</v>
      </c>
      <c r="L99" s="91">
        <f t="shared" si="13"/>
        <v>101441159473.15298</v>
      </c>
      <c r="M99" s="91">
        <f t="shared" si="13"/>
        <v>108673625354.14168</v>
      </c>
      <c r="N99" s="91">
        <f t="shared" si="13"/>
        <v>115627919470.47691</v>
      </c>
      <c r="O99" s="91">
        <f t="shared" si="13"/>
        <v>122314740736.18385</v>
      </c>
      <c r="P99" s="91">
        <f t="shared" si="13"/>
        <v>128744376568.59441</v>
      </c>
      <c r="Q99" s="91">
        <f t="shared" si="13"/>
        <v>134926718715.14302</v>
      </c>
      <c r="R99" s="91">
        <f t="shared" si="13"/>
        <v>140871278471.43976</v>
      </c>
      <c r="S99" s="91">
        <f t="shared" si="13"/>
        <v>146587201314.03275</v>
      </c>
      <c r="T99" s="91">
        <f t="shared" si="13"/>
        <v>152083280970.37216</v>
      </c>
      <c r="U99" s="91">
        <f t="shared" si="13"/>
        <v>157367972947.62161</v>
      </c>
      <c r="V99" s="91">
        <f t="shared" si="13"/>
        <v>162449407541.13074</v>
      </c>
      <c r="W99" s="91">
        <f t="shared" si="13"/>
        <v>167335402342.58179</v>
      </c>
      <c r="X99" s="91">
        <f t="shared" si="13"/>
        <v>172033474267.05389</v>
      </c>
      <c r="Y99" s="91">
        <f t="shared" si="13"/>
        <v>176550851117.50793</v>
      </c>
      <c r="Z99" s="91">
        <f t="shared" si="13"/>
        <v>180894482704.48294</v>
      </c>
    </row>
    <row r="100" spans="1:26">
      <c r="A100" s="90" t="s">
        <v>156</v>
      </c>
      <c r="B100" s="94">
        <f>$B$89+B99</f>
        <v>145979617344.52341</v>
      </c>
      <c r="C100" s="94">
        <f t="shared" ref="C100:Z100" si="14">$B$89+C99</f>
        <v>156685433630.72375</v>
      </c>
      <c r="D100" s="94">
        <f t="shared" si="14"/>
        <v>166979487752.07025</v>
      </c>
      <c r="E100" s="94">
        <f t="shared" si="14"/>
        <v>176877616714.90344</v>
      </c>
      <c r="F100" s="94">
        <f t="shared" si="14"/>
        <v>186395048409.93536</v>
      </c>
      <c r="G100" s="94">
        <f t="shared" si="14"/>
        <v>195546425039.77374</v>
      </c>
      <c r="H100" s="94">
        <f t="shared" si="14"/>
        <v>204345825645.38751</v>
      </c>
      <c r="I100" s="94">
        <f t="shared" si="14"/>
        <v>212806787766.17004</v>
      </c>
      <c r="J100" s="94">
        <f t="shared" si="14"/>
        <v>220942328266.92249</v>
      </c>
      <c r="K100" s="94">
        <f t="shared" si="14"/>
        <v>228764963363.7998</v>
      </c>
      <c r="L100" s="94">
        <f t="shared" si="14"/>
        <v>236286727880.02798</v>
      </c>
      <c r="M100" s="94">
        <f t="shared" si="14"/>
        <v>243519193761.01666</v>
      </c>
      <c r="N100" s="94">
        <f t="shared" si="14"/>
        <v>250473487877.35193</v>
      </c>
      <c r="O100" s="94">
        <f t="shared" si="14"/>
        <v>257160309143.05884</v>
      </c>
      <c r="P100" s="94">
        <f t="shared" si="14"/>
        <v>263589944975.46942</v>
      </c>
      <c r="Q100" s="94">
        <f t="shared" si="14"/>
        <v>269772287122.01801</v>
      </c>
      <c r="R100" s="94">
        <f t="shared" si="14"/>
        <v>275716846878.31476</v>
      </c>
      <c r="S100" s="94">
        <f t="shared" si="14"/>
        <v>281432769720.90771</v>
      </c>
      <c r="T100" s="94">
        <f t="shared" si="14"/>
        <v>286928849377.24719</v>
      </c>
      <c r="U100" s="94">
        <f t="shared" si="14"/>
        <v>292213541354.49658</v>
      </c>
      <c r="V100" s="94">
        <f t="shared" si="14"/>
        <v>297294975948.00574</v>
      </c>
      <c r="W100" s="94">
        <f t="shared" si="14"/>
        <v>302180970749.45679</v>
      </c>
      <c r="X100" s="94">
        <f t="shared" si="14"/>
        <v>306879042673.92889</v>
      </c>
      <c r="Y100" s="94">
        <f t="shared" si="14"/>
        <v>311396419524.38293</v>
      </c>
      <c r="Z100" s="94">
        <f t="shared" si="14"/>
        <v>315740051111.35791</v>
      </c>
    </row>
    <row r="103" spans="1:26">
      <c r="B103" s="90" t="s">
        <v>149</v>
      </c>
      <c r="C103" s="90" t="s">
        <v>156</v>
      </c>
      <c r="D103" s="90" t="s">
        <v>154</v>
      </c>
    </row>
    <row r="104" spans="1:26">
      <c r="B104" s="90">
        <v>1</v>
      </c>
      <c r="C104" s="94">
        <f>B100</f>
        <v>145979617344.52341</v>
      </c>
      <c r="D104" s="94">
        <f>B97</f>
        <v>82546153846.153931</v>
      </c>
    </row>
    <row r="105" spans="1:26">
      <c r="B105" s="90">
        <v>2</v>
      </c>
      <c r="C105" s="94">
        <f>C100</f>
        <v>156685433630.72375</v>
      </c>
      <c r="D105" s="94">
        <f>C97</f>
        <v>120644378698.22496</v>
      </c>
    </row>
    <row r="106" spans="1:26">
      <c r="B106" s="90">
        <v>3</v>
      </c>
      <c r="C106" s="94">
        <f>D100</f>
        <v>166979487752.07025</v>
      </c>
      <c r="D106" s="94">
        <f>D97</f>
        <v>157277287209.8316</v>
      </c>
    </row>
    <row r="107" spans="1:26">
      <c r="B107" s="90">
        <v>4</v>
      </c>
      <c r="C107" s="94">
        <f>E100</f>
        <v>176877616714.90344</v>
      </c>
      <c r="D107" s="94">
        <f>E97</f>
        <v>192501237701.76129</v>
      </c>
    </row>
    <row r="108" spans="1:26">
      <c r="B108" s="90">
        <v>5</v>
      </c>
      <c r="C108" s="94">
        <f>F100</f>
        <v>186395048409.93536</v>
      </c>
      <c r="D108" s="94">
        <f>F97</f>
        <v>226370420867.07831</v>
      </c>
    </row>
    <row r="109" spans="1:26">
      <c r="B109" s="90">
        <v>6</v>
      </c>
      <c r="C109" s="94">
        <f>G100</f>
        <v>195546425039.77374</v>
      </c>
      <c r="D109" s="94">
        <f>G97</f>
        <v>258936943141.42139</v>
      </c>
    </row>
    <row r="110" spans="1:26">
      <c r="B110" s="90">
        <v>7</v>
      </c>
      <c r="C110" s="94">
        <f>H100</f>
        <v>204345825645.38751</v>
      </c>
      <c r="D110" s="94">
        <f>H97</f>
        <v>290250906866.75122</v>
      </c>
    </row>
    <row r="111" spans="1:26">
      <c r="B111" s="90">
        <v>8</v>
      </c>
      <c r="C111" s="94">
        <f>I100</f>
        <v>212806787766.17004</v>
      </c>
      <c r="D111" s="94">
        <f>I97</f>
        <v>320360487371.87628</v>
      </c>
    </row>
    <row r="112" spans="1:26">
      <c r="B112" s="90">
        <v>9</v>
      </c>
      <c r="C112" s="94">
        <f>J100</f>
        <v>220942328266.92249</v>
      </c>
      <c r="D112" s="94">
        <f>J97</f>
        <v>349312007088.34277</v>
      </c>
    </row>
    <row r="113" spans="2:4">
      <c r="B113" s="90">
        <v>10</v>
      </c>
      <c r="C113" s="94">
        <f>K100</f>
        <v>228764963363.7998</v>
      </c>
      <c r="D113" s="94">
        <f>K97</f>
        <v>377150006815.71417</v>
      </c>
    </row>
    <row r="114" spans="2:4">
      <c r="B114" s="90">
        <v>11</v>
      </c>
      <c r="C114" s="94">
        <f>L100</f>
        <v>236286727880.02798</v>
      </c>
      <c r="D114" s="94">
        <f>L97</f>
        <v>403917314245.87891</v>
      </c>
    </row>
    <row r="115" spans="2:4">
      <c r="B115" s="90">
        <v>12</v>
      </c>
      <c r="C115" s="94">
        <f>M100</f>
        <v>243519193761.01666</v>
      </c>
      <c r="D115" s="94">
        <f>M97</f>
        <v>429655109851.80688</v>
      </c>
    </row>
    <row r="116" spans="2:4">
      <c r="B116" s="90">
        <v>13</v>
      </c>
      <c r="C116" s="94">
        <f>N100</f>
        <v>250473487877.35193</v>
      </c>
      <c r="D116" s="94">
        <f>N97</f>
        <v>454402990242.12195</v>
      </c>
    </row>
    <row r="117" spans="2:4">
      <c r="B117" s="90">
        <v>14</v>
      </c>
      <c r="C117" s="94">
        <f>O100</f>
        <v>257160309143.05884</v>
      </c>
      <c r="D117" s="94">
        <f>O97</f>
        <v>478199029078.96338</v>
      </c>
    </row>
    <row r="118" spans="2:4">
      <c r="B118" s="90">
        <v>15</v>
      </c>
      <c r="C118" s="94">
        <f>P100</f>
        <v>263589944975.46942</v>
      </c>
      <c r="D118" s="94">
        <f>P97</f>
        <v>501079835652.84943</v>
      </c>
    </row>
    <row r="119" spans="2:4">
      <c r="B119" s="90">
        <v>16</v>
      </c>
      <c r="C119" s="94">
        <f>Q100</f>
        <v>269772287122.01801</v>
      </c>
      <c r="D119" s="94">
        <f>Q97</f>
        <v>523080611204.66302</v>
      </c>
    </row>
    <row r="120" spans="2:4">
      <c r="B120" s="90">
        <v>17</v>
      </c>
      <c r="C120" s="94">
        <f>R100</f>
        <v>275716846878.31476</v>
      </c>
      <c r="D120" s="94">
        <f>R97</f>
        <v>544235203081.4068</v>
      </c>
    </row>
    <row r="121" spans="2:4">
      <c r="B121" s="90">
        <v>18</v>
      </c>
      <c r="C121" s="94">
        <f>S100</f>
        <v>281432769720.90771</v>
      </c>
      <c r="D121" s="94">
        <f>S97</f>
        <v>564576156809.04492</v>
      </c>
    </row>
    <row r="122" spans="2:4">
      <c r="B122" s="90">
        <v>19</v>
      </c>
      <c r="C122" s="94">
        <f>T100</f>
        <v>286928849377.24719</v>
      </c>
      <c r="D122" s="94">
        <f>T97</f>
        <v>584134766162.54321</v>
      </c>
    </row>
    <row r="123" spans="2:4">
      <c r="B123" s="90">
        <v>20</v>
      </c>
      <c r="C123" s="94">
        <f>U100</f>
        <v>292213541354.49658</v>
      </c>
      <c r="D123" s="94">
        <f>U97</f>
        <v>602941121310.1377</v>
      </c>
    </row>
    <row r="124" spans="2:4">
      <c r="B124" s="90">
        <v>21</v>
      </c>
      <c r="C124" s="94">
        <f>V100</f>
        <v>297294975948.00574</v>
      </c>
      <c r="D124" s="94">
        <f>V97</f>
        <v>621024155105.90186</v>
      </c>
    </row>
    <row r="125" spans="2:4">
      <c r="B125" s="90">
        <v>22</v>
      </c>
      <c r="C125" s="94">
        <f>W100</f>
        <v>302180970749.45679</v>
      </c>
      <c r="D125" s="94">
        <f>W97</f>
        <v>638411687601.82861</v>
      </c>
    </row>
    <row r="126" spans="2:4">
      <c r="B126" s="90">
        <v>23</v>
      </c>
      <c r="C126" s="94">
        <f>X100</f>
        <v>306879042673.92889</v>
      </c>
      <c r="D126" s="94">
        <f>X97</f>
        <v>655130468847.91211</v>
      </c>
    </row>
    <row r="127" spans="2:4">
      <c r="B127" s="90">
        <v>24</v>
      </c>
      <c r="C127" s="94">
        <f>Y100</f>
        <v>311396419524.38293</v>
      </c>
      <c r="D127" s="94">
        <f>Y97</f>
        <v>671206220046.06934</v>
      </c>
    </row>
    <row r="128" spans="2:4">
      <c r="B128" s="90">
        <v>25</v>
      </c>
      <c r="C128" s="94">
        <f>Z100</f>
        <v>315740051111.35791</v>
      </c>
      <c r="D128" s="94">
        <f>Z97</f>
        <v>686663673121.22058</v>
      </c>
    </row>
  </sheetData>
  <mergeCells count="3">
    <mergeCell ref="A1:B1"/>
    <mergeCell ref="A44:B44"/>
    <mergeCell ref="A88:B8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opLeftCell="G1" zoomScale="70" zoomScaleNormal="70" workbookViewId="0">
      <selection activeCell="I9" sqref="I9"/>
    </sheetView>
  </sheetViews>
  <sheetFormatPr defaultColWidth="8.85546875" defaultRowHeight="14.25"/>
  <cols>
    <col min="1" max="1" width="28.42578125" style="1" bestFit="1" customWidth="1"/>
    <col min="2" max="2" width="19.28515625" style="1" bestFit="1" customWidth="1"/>
    <col min="3" max="3" width="6.28515625" style="1" bestFit="1" customWidth="1"/>
    <col min="4" max="4" width="18.7109375" style="1" bestFit="1" customWidth="1"/>
    <col min="5" max="5" width="23.28515625" style="1" bestFit="1" customWidth="1"/>
    <col min="6" max="6" width="1.42578125" style="3" customWidth="1"/>
    <col min="7" max="7" width="34.85546875" style="1" bestFit="1" customWidth="1"/>
    <col min="8" max="8" width="9.5703125" style="1" customWidth="1"/>
    <col min="9" max="9" width="23.85546875" style="1" customWidth="1"/>
    <col min="10" max="10" width="1.42578125" style="1" customWidth="1"/>
    <col min="11" max="11" width="24" style="1" bestFit="1" customWidth="1"/>
    <col min="12" max="12" width="23.28515625" style="1" customWidth="1"/>
    <col min="13" max="13" width="1.28515625" style="1" customWidth="1"/>
    <col min="14" max="14" width="25.5703125" style="1" bestFit="1" customWidth="1"/>
    <col min="15" max="16" width="14" style="1" customWidth="1"/>
    <col min="17" max="17" width="21.140625" style="1" bestFit="1" customWidth="1"/>
    <col min="18" max="23" width="14" style="1" customWidth="1"/>
    <col min="24" max="24" width="11.7109375" style="1" bestFit="1" customWidth="1"/>
    <col min="25" max="25" width="10.7109375" style="1" bestFit="1" customWidth="1"/>
    <col min="26" max="26" width="1.140625" style="1" customWidth="1"/>
    <col min="27" max="27" width="40.140625" style="1" customWidth="1"/>
    <col min="28" max="28" width="30.7109375" style="1" bestFit="1" customWidth="1"/>
    <col min="29" max="29" width="39.140625" style="1" bestFit="1" customWidth="1"/>
    <col min="30" max="30" width="42.7109375" style="1" bestFit="1" customWidth="1"/>
    <col min="31" max="31" width="48.42578125" style="1" bestFit="1" customWidth="1"/>
    <col min="32" max="32" width="40" style="1" customWidth="1"/>
    <col min="33" max="33" width="12.5703125" style="1" customWidth="1"/>
    <col min="34" max="35" width="36.140625" style="1" customWidth="1"/>
    <col min="36" max="16384" width="8.85546875" style="1"/>
  </cols>
  <sheetData>
    <row r="1" spans="1:33" ht="15.75">
      <c r="A1" s="107" t="s">
        <v>96</v>
      </c>
      <c r="B1" s="108"/>
      <c r="C1" s="108"/>
      <c r="D1" s="108"/>
      <c r="E1" s="109"/>
      <c r="F1" s="4"/>
      <c r="G1" s="114" t="s">
        <v>8</v>
      </c>
      <c r="H1" s="114"/>
      <c r="I1" s="114"/>
      <c r="N1" s="112" t="s">
        <v>39</v>
      </c>
      <c r="O1" s="112"/>
      <c r="P1" s="6"/>
      <c r="Q1" s="6"/>
      <c r="R1" s="6"/>
      <c r="S1" s="6"/>
      <c r="T1" s="6"/>
      <c r="U1" s="6"/>
      <c r="V1" s="6"/>
      <c r="W1" s="6"/>
      <c r="X1" s="6"/>
      <c r="Y1" s="6"/>
      <c r="AA1" s="66" t="s">
        <v>53</v>
      </c>
      <c r="AB1" s="7"/>
      <c r="AC1" s="7"/>
      <c r="AD1" s="7"/>
      <c r="AE1" s="7"/>
      <c r="AF1" s="7"/>
      <c r="AG1" s="7"/>
    </row>
    <row r="2" spans="1:33" ht="15.75">
      <c r="A2" s="2"/>
      <c r="B2" s="63" t="s">
        <v>6</v>
      </c>
      <c r="C2" s="63" t="s">
        <v>4</v>
      </c>
      <c r="D2" s="63" t="s">
        <v>5</v>
      </c>
      <c r="E2" s="63" t="s">
        <v>7</v>
      </c>
      <c r="G2" s="2" t="s">
        <v>9</v>
      </c>
      <c r="H2" s="2"/>
      <c r="I2" s="17">
        <f>E12</f>
        <v>73830694000</v>
      </c>
      <c r="K2" s="2" t="s">
        <v>22</v>
      </c>
      <c r="L2" s="2">
        <f>I15+I17</f>
        <v>2011629915.3995295</v>
      </c>
      <c r="N2" s="8"/>
      <c r="O2" s="104" t="s">
        <v>36</v>
      </c>
      <c r="P2" s="104"/>
      <c r="Q2" s="65" t="s">
        <v>101</v>
      </c>
      <c r="R2" s="104" t="s">
        <v>37</v>
      </c>
      <c r="S2" s="104"/>
      <c r="T2" s="104" t="s">
        <v>38</v>
      </c>
      <c r="U2" s="104"/>
      <c r="V2" s="104" t="s">
        <v>39</v>
      </c>
      <c r="W2" s="104"/>
      <c r="X2" s="6"/>
      <c r="Y2" s="6"/>
      <c r="AA2" s="9"/>
      <c r="AB2" s="65" t="s">
        <v>54</v>
      </c>
      <c r="AC2" s="65" t="s">
        <v>55</v>
      </c>
      <c r="AD2" s="65" t="s">
        <v>56</v>
      </c>
      <c r="AE2" s="7"/>
    </row>
    <row r="3" spans="1:33" ht="15">
      <c r="A3" s="29" t="s">
        <v>0</v>
      </c>
      <c r="B3" s="31">
        <v>700586000</v>
      </c>
      <c r="C3" s="33">
        <v>1</v>
      </c>
      <c r="D3" s="26">
        <f t="shared" ref="D3:D6" si="0">B3*C3</f>
        <v>700586000</v>
      </c>
      <c r="E3" s="17">
        <f>D3*50.75</f>
        <v>35554739500</v>
      </c>
      <c r="G3" s="2" t="s">
        <v>10</v>
      </c>
      <c r="H3" s="2">
        <v>0.1</v>
      </c>
      <c r="I3" s="17">
        <f>H3*I2</f>
        <v>7383069400</v>
      </c>
      <c r="K3" s="2" t="s">
        <v>23</v>
      </c>
      <c r="L3" s="2">
        <f>I14+I16</f>
        <v>2682173220.5327058</v>
      </c>
      <c r="N3" s="8" t="s">
        <v>9</v>
      </c>
      <c r="O3" s="103">
        <f>E12</f>
        <v>73830694000</v>
      </c>
      <c r="P3" s="103"/>
      <c r="Q3" s="61">
        <v>0.04</v>
      </c>
      <c r="R3" s="103">
        <f>O3*Q3</f>
        <v>2953227760</v>
      </c>
      <c r="S3" s="103"/>
      <c r="T3" s="102">
        <v>25</v>
      </c>
      <c r="U3" s="102"/>
      <c r="V3" s="103">
        <f>(O3-R3)/T3</f>
        <v>2835098649.5999999</v>
      </c>
      <c r="W3" s="103"/>
      <c r="X3" s="6"/>
      <c r="Y3" s="6"/>
      <c r="AA3" s="9" t="s">
        <v>32</v>
      </c>
      <c r="AB3" s="21">
        <f>9.8*AB20*0.92*24*365*1000</f>
        <v>35541072000</v>
      </c>
      <c r="AC3" s="21">
        <f>L17</f>
        <v>42924000000</v>
      </c>
      <c r="AD3" s="21">
        <f>AC3</f>
        <v>42924000000</v>
      </c>
      <c r="AE3" s="7"/>
    </row>
    <row r="4" spans="1:33" ht="15">
      <c r="A4" s="29" t="s">
        <v>25</v>
      </c>
      <c r="B4" s="31">
        <v>90700000</v>
      </c>
      <c r="C4" s="33">
        <v>1</v>
      </c>
      <c r="D4" s="26">
        <f t="shared" si="0"/>
        <v>90700000</v>
      </c>
      <c r="E4" s="17">
        <f t="shared" ref="E4:E11" si="1">D4*50.75</f>
        <v>4603025000</v>
      </c>
      <c r="G4" s="2" t="s">
        <v>11</v>
      </c>
      <c r="H4" s="2">
        <v>0.33</v>
      </c>
      <c r="I4" s="17">
        <f>H4*I2</f>
        <v>24364129020</v>
      </c>
      <c r="N4" s="8" t="s">
        <v>42</v>
      </c>
      <c r="O4" s="103">
        <f>I8</f>
        <v>14766138800</v>
      </c>
      <c r="P4" s="103"/>
      <c r="Q4" s="61">
        <v>0.04</v>
      </c>
      <c r="R4" s="103">
        <f t="shared" ref="R4:R7" si="2">O4*Q4</f>
        <v>590645552</v>
      </c>
      <c r="S4" s="103"/>
      <c r="T4" s="102">
        <v>25</v>
      </c>
      <c r="U4" s="102"/>
      <c r="V4" s="103">
        <f t="shared" ref="V4:V7" si="3">(O4-R4)/T4</f>
        <v>567019729.91999996</v>
      </c>
      <c r="W4" s="103"/>
      <c r="X4" s="6"/>
      <c r="Y4" s="6"/>
      <c r="AA4" s="9" t="s">
        <v>59</v>
      </c>
      <c r="AB4" s="21">
        <f>L19</f>
        <v>4884785251.8074999</v>
      </c>
      <c r="AC4" s="21">
        <f>10695230090+SUM(I14:I18)</f>
        <v>16059576531.065413</v>
      </c>
      <c r="AD4" s="21">
        <f>(L16*0.9*0.9)+SUM(I14:I18)</f>
        <v>10795747212.644142</v>
      </c>
      <c r="AE4" s="7"/>
      <c r="AF4" s="7"/>
      <c r="AG4" s="7"/>
    </row>
    <row r="5" spans="1:33" ht="15">
      <c r="A5" s="30" t="s">
        <v>26</v>
      </c>
      <c r="B5" s="32">
        <v>80920000</v>
      </c>
      <c r="C5" s="34">
        <v>1</v>
      </c>
      <c r="D5" s="26">
        <f t="shared" si="0"/>
        <v>80920000</v>
      </c>
      <c r="E5" s="17">
        <f t="shared" si="1"/>
        <v>4106690000</v>
      </c>
      <c r="G5" s="2" t="s">
        <v>12</v>
      </c>
      <c r="H5" s="2">
        <v>0.2</v>
      </c>
      <c r="I5" s="17">
        <f>H5*I2</f>
        <v>14766138800</v>
      </c>
      <c r="N5" s="8" t="s">
        <v>40</v>
      </c>
      <c r="O5" s="103">
        <f>L2</f>
        <v>2011629915.3995295</v>
      </c>
      <c r="P5" s="103"/>
      <c r="Q5" s="61">
        <v>0.04</v>
      </c>
      <c r="R5" s="103">
        <f t="shared" si="2"/>
        <v>80465196.615981176</v>
      </c>
      <c r="S5" s="103"/>
      <c r="T5" s="102">
        <v>25</v>
      </c>
      <c r="U5" s="102"/>
      <c r="V5" s="103">
        <f t="shared" si="3"/>
        <v>77246588.751341939</v>
      </c>
      <c r="W5" s="103"/>
      <c r="X5" s="6"/>
      <c r="Y5" s="6"/>
      <c r="AA5" s="9" t="s">
        <v>60</v>
      </c>
      <c r="AB5" s="21">
        <f>AB3-AB4</f>
        <v>30656286748.192501</v>
      </c>
      <c r="AC5" s="21">
        <f>AC3-AC4</f>
        <v>26864423468.934586</v>
      </c>
      <c r="AD5" s="21">
        <f>AD3-AD4</f>
        <v>32128252787.355858</v>
      </c>
      <c r="AE5" s="7"/>
      <c r="AF5" s="7"/>
      <c r="AG5" s="7"/>
    </row>
    <row r="6" spans="1:33" ht="15">
      <c r="A6" s="30" t="s">
        <v>27</v>
      </c>
      <c r="B6" s="32">
        <v>280750000</v>
      </c>
      <c r="C6" s="34">
        <v>1</v>
      </c>
      <c r="D6" s="26">
        <f t="shared" si="0"/>
        <v>280750000</v>
      </c>
      <c r="E6" s="17">
        <f t="shared" si="1"/>
        <v>14248062500</v>
      </c>
      <c r="G6" s="2" t="s">
        <v>13</v>
      </c>
      <c r="H6" s="2">
        <v>0.15</v>
      </c>
      <c r="I6" s="17">
        <f>H6*I7</f>
        <v>75431634.375</v>
      </c>
      <c r="K6" s="28" t="s">
        <v>100</v>
      </c>
      <c r="N6" s="8" t="s">
        <v>43</v>
      </c>
      <c r="O6" s="111">
        <f>I9</f>
        <v>135688479216.875</v>
      </c>
      <c r="P6" s="111"/>
      <c r="Q6" s="61">
        <v>0.04</v>
      </c>
      <c r="R6" s="103">
        <f t="shared" si="2"/>
        <v>5427539168.6750002</v>
      </c>
      <c r="S6" s="103"/>
      <c r="T6" s="102">
        <v>25</v>
      </c>
      <c r="U6" s="102"/>
      <c r="V6" s="103">
        <f t="shared" si="3"/>
        <v>5210437601.9279995</v>
      </c>
      <c r="W6" s="103"/>
      <c r="X6" s="6"/>
      <c r="Y6" s="6"/>
      <c r="AA6" s="7"/>
      <c r="AB6" s="7"/>
      <c r="AC6" s="7"/>
      <c r="AD6" s="7"/>
      <c r="AE6" s="7"/>
      <c r="AF6" s="7"/>
      <c r="AG6" s="7"/>
    </row>
    <row r="7" spans="1:33" ht="15">
      <c r="A7" s="30" t="s">
        <v>1</v>
      </c>
      <c r="B7" s="32">
        <v>150500000</v>
      </c>
      <c r="C7" s="34">
        <v>1</v>
      </c>
      <c r="D7" s="26">
        <f>B7*C7</f>
        <v>150500000</v>
      </c>
      <c r="E7" s="17">
        <f t="shared" si="1"/>
        <v>7637875000</v>
      </c>
      <c r="G7" s="2" t="s">
        <v>29</v>
      </c>
      <c r="H7" s="2"/>
      <c r="I7" s="17">
        <v>502877562.5</v>
      </c>
      <c r="K7" s="2" t="s">
        <v>97</v>
      </c>
      <c r="L7" s="2">
        <v>500000</v>
      </c>
      <c r="N7" s="8" t="s">
        <v>44</v>
      </c>
      <c r="O7" s="103">
        <f>I3</f>
        <v>7383069400</v>
      </c>
      <c r="P7" s="103"/>
      <c r="Q7" s="61">
        <v>0.04</v>
      </c>
      <c r="R7" s="103">
        <f t="shared" si="2"/>
        <v>295322776</v>
      </c>
      <c r="S7" s="103"/>
      <c r="T7" s="102">
        <v>25</v>
      </c>
      <c r="U7" s="102"/>
      <c r="V7" s="103">
        <f t="shared" si="3"/>
        <v>283509864.95999998</v>
      </c>
      <c r="W7" s="103"/>
      <c r="X7" s="6"/>
      <c r="Y7" s="6"/>
      <c r="AA7" s="8" t="s">
        <v>61</v>
      </c>
      <c r="AB7" s="67" t="s">
        <v>62</v>
      </c>
      <c r="AC7" s="67" t="s">
        <v>48</v>
      </c>
      <c r="AD7" s="67" t="s">
        <v>63</v>
      </c>
      <c r="AE7" s="67" t="s">
        <v>64</v>
      </c>
      <c r="AF7" s="7"/>
      <c r="AG7" s="7"/>
    </row>
    <row r="8" spans="1:33" ht="15.75">
      <c r="A8" s="30" t="s">
        <v>87</v>
      </c>
      <c r="B8" s="32">
        <v>11056000</v>
      </c>
      <c r="C8" s="34">
        <v>1</v>
      </c>
      <c r="D8" s="26">
        <f>B8*C8</f>
        <v>11056000</v>
      </c>
      <c r="E8" s="17">
        <f t="shared" si="1"/>
        <v>561092000</v>
      </c>
      <c r="G8" s="2" t="s">
        <v>14</v>
      </c>
      <c r="H8" s="2">
        <v>0.2</v>
      </c>
      <c r="I8" s="17">
        <f>H8*I2</f>
        <v>14766138800</v>
      </c>
      <c r="K8" s="2" t="s">
        <v>98</v>
      </c>
      <c r="L8" s="2">
        <v>9.8000000000000007</v>
      </c>
      <c r="N8" s="13"/>
      <c r="O8" s="106"/>
      <c r="P8" s="106"/>
      <c r="Q8" s="106"/>
      <c r="R8" s="106"/>
      <c r="S8" s="106"/>
      <c r="T8" s="110" t="s">
        <v>41</v>
      </c>
      <c r="U8" s="110"/>
      <c r="V8" s="103">
        <f>SUM(V3:W7)</f>
        <v>8973312435.1593399</v>
      </c>
      <c r="W8" s="103"/>
      <c r="X8" s="6"/>
      <c r="Y8" s="6"/>
      <c r="AA8" s="8" t="s">
        <v>65</v>
      </c>
      <c r="AB8" s="8"/>
      <c r="AC8" s="9" t="s">
        <v>66</v>
      </c>
      <c r="AD8" s="9" t="s">
        <v>66</v>
      </c>
      <c r="AE8" s="9" t="s">
        <v>67</v>
      </c>
      <c r="AF8" s="7"/>
      <c r="AG8" s="7"/>
    </row>
    <row r="9" spans="1:33" ht="15">
      <c r="A9" s="30" t="s">
        <v>86</v>
      </c>
      <c r="B9" s="32">
        <v>9076000</v>
      </c>
      <c r="C9" s="34">
        <v>5</v>
      </c>
      <c r="D9" s="26">
        <f>B9*C9</f>
        <v>45380000</v>
      </c>
      <c r="E9" s="17">
        <f t="shared" si="1"/>
        <v>2303035000</v>
      </c>
      <c r="H9" s="5" t="s">
        <v>5</v>
      </c>
      <c r="I9" s="17">
        <f>SUM(I2:I8)</f>
        <v>135688479216.875</v>
      </c>
      <c r="K9" s="2" t="s">
        <v>99</v>
      </c>
      <c r="L9" s="2">
        <f>3412/0.34214893</f>
        <v>9972.2655862170886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8" t="s">
        <v>68</v>
      </c>
      <c r="AB9" s="9" t="s">
        <v>69</v>
      </c>
      <c r="AC9" s="21">
        <f>L17-I19</f>
        <v>30854220507.602821</v>
      </c>
      <c r="AD9" s="21">
        <f>(AC9*(((1-((1+0.1)^-25)))/0.1))+AC9</f>
        <v>310919214786.38666</v>
      </c>
      <c r="AE9" s="9">
        <f>((((AD9/I9)^(1/25)))-1)*100</f>
        <v>3.3723009995517916</v>
      </c>
      <c r="AF9" s="7"/>
      <c r="AG9" s="7"/>
    </row>
    <row r="10" spans="1:33" ht="15.75">
      <c r="A10" s="30" t="s">
        <v>2</v>
      </c>
      <c r="B10" s="32">
        <v>15500000</v>
      </c>
      <c r="C10" s="34">
        <v>3</v>
      </c>
      <c r="D10" s="26">
        <f>B10*C10</f>
        <v>46500000</v>
      </c>
      <c r="E10" s="17">
        <f t="shared" si="1"/>
        <v>2359875000</v>
      </c>
      <c r="N10" s="6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AA10" s="8" t="s">
        <v>70</v>
      </c>
      <c r="AB10" s="22">
        <v>0.1</v>
      </c>
      <c r="AC10" s="21">
        <f>AB5</f>
        <v>30656286748.192501</v>
      </c>
      <c r="AD10" s="21">
        <f>(AC10*(((1-((1+0.1)^-25)))/0.1))+AC10</f>
        <v>308924628371.85022</v>
      </c>
      <c r="AE10" s="9">
        <f>((((AD10/I9)^(1/25)))-1)*100</f>
        <v>3.3456931157670899</v>
      </c>
      <c r="AF10" s="7"/>
      <c r="AG10" s="7"/>
    </row>
    <row r="11" spans="1:33" ht="15.75">
      <c r="A11" s="30" t="s">
        <v>3</v>
      </c>
      <c r="B11" s="32">
        <v>48400000</v>
      </c>
      <c r="C11" s="34">
        <v>1</v>
      </c>
      <c r="D11" s="26">
        <f>B11*C11</f>
        <v>48400000</v>
      </c>
      <c r="E11" s="17">
        <f t="shared" si="1"/>
        <v>2456300000</v>
      </c>
      <c r="N11" s="104" t="s">
        <v>45</v>
      </c>
      <c r="O11" s="104"/>
      <c r="P11" s="104" t="s">
        <v>46</v>
      </c>
      <c r="Q11" s="104"/>
      <c r="R11" s="104"/>
      <c r="S11" s="104" t="s">
        <v>47</v>
      </c>
      <c r="T11" s="104"/>
      <c r="U11" s="104"/>
      <c r="V11" s="104" t="s">
        <v>48</v>
      </c>
      <c r="W11" s="104"/>
      <c r="X11" s="104"/>
      <c r="Y11" s="65" t="s">
        <v>49</v>
      </c>
      <c r="AA11" s="8" t="s">
        <v>71</v>
      </c>
      <c r="AB11" s="22">
        <v>0.1</v>
      </c>
      <c r="AC11" s="21">
        <f>AC5</f>
        <v>26864423468.934586</v>
      </c>
      <c r="AD11" s="21">
        <f>(AC11*(((1-((1+0.1)^-25)))/0.1))+AC11</f>
        <v>270713870363.11383</v>
      </c>
      <c r="AE11" s="9">
        <f>((((AD11/I9)^(1/25)))-1)*100</f>
        <v>2.8013224031893991</v>
      </c>
      <c r="AF11" s="7"/>
      <c r="AG11" s="7"/>
    </row>
    <row r="12" spans="1:33" ht="15">
      <c r="D12" s="5" t="s">
        <v>5</v>
      </c>
      <c r="E12" s="17">
        <f>SUM(E3:E11)</f>
        <v>73830694000</v>
      </c>
      <c r="G12" s="107" t="s">
        <v>15</v>
      </c>
      <c r="H12" s="108"/>
      <c r="I12" s="109"/>
      <c r="K12" s="2" t="s">
        <v>24</v>
      </c>
      <c r="L12" s="14">
        <f>L9*1000</f>
        <v>9972265.5862170886</v>
      </c>
      <c r="N12" s="102">
        <v>2022</v>
      </c>
      <c r="O12" s="102"/>
      <c r="P12" s="102">
        <v>2</v>
      </c>
      <c r="Q12" s="102"/>
      <c r="R12" s="102"/>
      <c r="S12" s="103">
        <f>I9</f>
        <v>135688479216.875</v>
      </c>
      <c r="T12" s="103"/>
      <c r="U12" s="103"/>
      <c r="V12" s="103">
        <f>L17-I19</f>
        <v>30854220507.602821</v>
      </c>
      <c r="W12" s="103"/>
      <c r="X12" s="103"/>
      <c r="Y12" s="15">
        <f>(V12/S12)</f>
        <v>0.22739012689712285</v>
      </c>
      <c r="AA12" s="8" t="s">
        <v>72</v>
      </c>
      <c r="AB12" s="22">
        <v>0.1</v>
      </c>
      <c r="AC12" s="21">
        <f>AD5</f>
        <v>32128252787.355858</v>
      </c>
      <c r="AD12" s="21">
        <f>(AC12*(((1-((1+0.1)^-25)))/0.1))+AC12</f>
        <v>323757689053.97394</v>
      </c>
      <c r="AE12" s="9">
        <f>((((AD12/I9)^(1/25)))-1)*100</f>
        <v>3.5397434747689527</v>
      </c>
      <c r="AF12" s="7"/>
      <c r="AG12" s="7"/>
    </row>
    <row r="13" spans="1:33" ht="15">
      <c r="G13" s="2" t="s">
        <v>16</v>
      </c>
      <c r="H13" s="2"/>
      <c r="I13" s="17">
        <f>L16</f>
        <v>6705433051.3317642</v>
      </c>
      <c r="K13" s="2" t="s">
        <v>34</v>
      </c>
      <c r="L13" s="19">
        <v>6.8000000000000005E-2</v>
      </c>
      <c r="N13" s="102">
        <v>2023</v>
      </c>
      <c r="O13" s="102"/>
      <c r="P13" s="102">
        <v>3</v>
      </c>
      <c r="Q13" s="102"/>
      <c r="R13" s="102"/>
      <c r="S13" s="103">
        <f>S12-V12</f>
        <v>104834258709.27219</v>
      </c>
      <c r="T13" s="103"/>
      <c r="U13" s="103"/>
      <c r="V13" s="103">
        <f>V12</f>
        <v>30854220507.602821</v>
      </c>
      <c r="W13" s="103"/>
      <c r="X13" s="103"/>
      <c r="Y13" s="15">
        <f t="shared" ref="Y13:Y15" si="4">(V13/S13)</f>
        <v>0.29431429083853372</v>
      </c>
      <c r="AA13" s="10"/>
      <c r="AB13" s="7"/>
      <c r="AC13" s="7"/>
      <c r="AD13" s="7"/>
      <c r="AE13" s="7"/>
      <c r="AF13" s="7"/>
      <c r="AG13" s="7"/>
    </row>
    <row r="14" spans="1:33" ht="15.75">
      <c r="G14" s="2" t="s">
        <v>17</v>
      </c>
      <c r="H14" s="2">
        <v>0.2</v>
      </c>
      <c r="I14" s="17">
        <f>H14*I13</f>
        <v>1341086610.2663529</v>
      </c>
      <c r="K14" s="2" t="s">
        <v>35</v>
      </c>
      <c r="L14" s="19">
        <f>L13*50.75</f>
        <v>3.4510000000000001</v>
      </c>
      <c r="N14" s="102">
        <v>2024</v>
      </c>
      <c r="O14" s="102"/>
      <c r="P14" s="102">
        <v>4</v>
      </c>
      <c r="Q14" s="102"/>
      <c r="R14" s="102"/>
      <c r="S14" s="103">
        <f t="shared" ref="S14:S15" si="5">S13-V13</f>
        <v>73980038201.669373</v>
      </c>
      <c r="T14" s="103"/>
      <c r="U14" s="103"/>
      <c r="V14" s="103">
        <f>V12</f>
        <v>30854220507.602821</v>
      </c>
      <c r="W14" s="103"/>
      <c r="X14" s="103"/>
      <c r="Y14" s="15">
        <f t="shared" si="4"/>
        <v>0.41706142978048083</v>
      </c>
      <c r="AA14" s="66" t="s">
        <v>73</v>
      </c>
      <c r="AB14" s="7"/>
      <c r="AC14" s="7"/>
      <c r="AD14" s="7"/>
      <c r="AE14" s="7"/>
      <c r="AF14" s="7"/>
      <c r="AG14" s="7"/>
    </row>
    <row r="15" spans="1:33" ht="15.75">
      <c r="G15" s="2" t="s">
        <v>18</v>
      </c>
      <c r="H15" s="2">
        <f>H14</f>
        <v>0.2</v>
      </c>
      <c r="I15" s="17">
        <f>I14</f>
        <v>1341086610.2663529</v>
      </c>
      <c r="K15" s="2" t="s">
        <v>30</v>
      </c>
      <c r="L15" s="19">
        <v>22479.470399999998</v>
      </c>
      <c r="N15" s="102">
        <v>2025</v>
      </c>
      <c r="O15" s="102"/>
      <c r="P15" s="102">
        <v>5</v>
      </c>
      <c r="Q15" s="102"/>
      <c r="R15" s="102"/>
      <c r="S15" s="103">
        <f t="shared" si="5"/>
        <v>43125817694.066551</v>
      </c>
      <c r="T15" s="103"/>
      <c r="U15" s="103"/>
      <c r="V15" s="103">
        <f>V12</f>
        <v>30854220507.602821</v>
      </c>
      <c r="W15" s="103"/>
      <c r="X15" s="103"/>
      <c r="Y15" s="15">
        <f t="shared" si="4"/>
        <v>0.71544662008455984</v>
      </c>
      <c r="AA15" s="65" t="s">
        <v>74</v>
      </c>
      <c r="AB15" s="65" t="s">
        <v>75</v>
      </c>
      <c r="AC15" s="65" t="s">
        <v>76</v>
      </c>
      <c r="AD15" s="65" t="s">
        <v>77</v>
      </c>
      <c r="AE15" s="65" t="s">
        <v>78</v>
      </c>
      <c r="AF15" s="7"/>
      <c r="AG15" s="7"/>
    </row>
    <row r="16" spans="1:33" ht="15">
      <c r="G16" s="2" t="s">
        <v>19</v>
      </c>
      <c r="H16" s="2">
        <f>H14</f>
        <v>0.2</v>
      </c>
      <c r="I16" s="17">
        <f>I14</f>
        <v>1341086610.2663529</v>
      </c>
      <c r="K16" s="2" t="s">
        <v>16</v>
      </c>
      <c r="L16" s="27">
        <f>(L14*L12*500*365*24)/L15</f>
        <v>6705433051.3317642</v>
      </c>
      <c r="N16" s="102">
        <v>2045</v>
      </c>
      <c r="O16" s="102"/>
      <c r="P16" s="102">
        <v>25</v>
      </c>
      <c r="Q16" s="102"/>
      <c r="R16" s="102"/>
      <c r="S16" s="103">
        <f>S15-(V15*20)</f>
        <v>-573958592457.98987</v>
      </c>
      <c r="T16" s="103"/>
      <c r="U16" s="103"/>
      <c r="V16" s="103">
        <f>V12</f>
        <v>30854220507.602821</v>
      </c>
      <c r="W16" s="103"/>
      <c r="X16" s="103"/>
      <c r="Y16" s="15">
        <f>V16/-S16</f>
        <v>5.3756875344384981E-2</v>
      </c>
      <c r="AA16" s="18">
        <f>(O3-R3-V3)/25</f>
        <v>2721694703.6160002</v>
      </c>
      <c r="AB16" s="18">
        <f>(O6-R6-V6)/25</f>
        <v>5002020097.8508797</v>
      </c>
      <c r="AC16" s="18">
        <f>AA16+AB16+I19</f>
        <v>19793494293.864056</v>
      </c>
      <c r="AD16" s="18">
        <f>L17</f>
        <v>42924000000</v>
      </c>
      <c r="AE16" s="16">
        <f>(AC16/AD16)*500</f>
        <v>230.56441960050387</v>
      </c>
      <c r="AF16" s="7"/>
      <c r="AG16" s="7"/>
    </row>
    <row r="17" spans="7:28" ht="15.75">
      <c r="G17" s="2" t="s">
        <v>20</v>
      </c>
      <c r="H17" s="2">
        <v>0.1</v>
      </c>
      <c r="I17" s="17">
        <f>H17*I13</f>
        <v>670543305.13317645</v>
      </c>
      <c r="K17" s="2" t="s">
        <v>31</v>
      </c>
      <c r="L17" s="20">
        <f>L7*L8*365*24</f>
        <v>42924000000</v>
      </c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1" t="s">
        <v>50</v>
      </c>
      <c r="Y17" s="15">
        <f>AVERAGE(Y12:Y16)</f>
        <v>0.34159386858901641</v>
      </c>
    </row>
    <row r="18" spans="7:28" ht="15">
      <c r="G18" s="2" t="s">
        <v>21</v>
      </c>
      <c r="H18" s="2">
        <f>H17</f>
        <v>0.1</v>
      </c>
      <c r="I18" s="17">
        <f>H18*I13</f>
        <v>670543305.13317645</v>
      </c>
      <c r="K18" s="2" t="s">
        <v>32</v>
      </c>
      <c r="L18" s="19">
        <f>L17*((1-1.065^-25)/0.065)</f>
        <v>523581660546.32507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7:28" ht="15.75">
      <c r="H19" s="5" t="s">
        <v>5</v>
      </c>
      <c r="I19" s="17">
        <f>SUM(I13:I18)</f>
        <v>12069779492.397177</v>
      </c>
      <c r="K19" s="2" t="s">
        <v>33</v>
      </c>
      <c r="L19" s="19">
        <f>((I9-(0.1)*(I9))/25)</f>
        <v>4884785251.8074999</v>
      </c>
      <c r="N19" s="6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23" t="s">
        <v>57</v>
      </c>
      <c r="AB19" s="24"/>
    </row>
    <row r="20" spans="7:28" ht="15.75">
      <c r="N20" s="104" t="s">
        <v>45</v>
      </c>
      <c r="O20" s="104"/>
      <c r="P20" s="104" t="s">
        <v>48</v>
      </c>
      <c r="Q20" s="104"/>
      <c r="R20" s="104"/>
      <c r="S20" s="104"/>
      <c r="T20" s="104" t="s">
        <v>47</v>
      </c>
      <c r="U20" s="104"/>
      <c r="V20" s="104" t="s">
        <v>39</v>
      </c>
      <c r="W20" s="104"/>
      <c r="X20" s="12"/>
      <c r="Y20" s="6"/>
      <c r="AA20" s="23" t="s">
        <v>58</v>
      </c>
      <c r="AB20" s="25">
        <f>500*0.9</f>
        <v>450</v>
      </c>
    </row>
    <row r="21" spans="7:28" ht="15">
      <c r="I21" s="1">
        <f>I13*0.1</f>
        <v>670543305.13317645</v>
      </c>
      <c r="N21" s="102">
        <v>2022</v>
      </c>
      <c r="O21" s="102"/>
      <c r="P21" s="103">
        <f>V12</f>
        <v>30854220507.602821</v>
      </c>
      <c r="Q21" s="103"/>
      <c r="R21" s="103"/>
      <c r="S21" s="103"/>
      <c r="T21" s="103">
        <f>S12</f>
        <v>135688479216.875</v>
      </c>
      <c r="U21" s="103"/>
      <c r="V21" s="103">
        <f>T21-V8</f>
        <v>126715166781.71567</v>
      </c>
      <c r="W21" s="103"/>
      <c r="X21" s="12"/>
      <c r="Y21" s="6"/>
    </row>
    <row r="22" spans="7:28" ht="15">
      <c r="I22" s="1">
        <f>I13+I21</f>
        <v>7375976356.464941</v>
      </c>
      <c r="N22" s="102">
        <v>2023</v>
      </c>
      <c r="O22" s="102"/>
      <c r="P22" s="103">
        <f>P21</f>
        <v>30854220507.602821</v>
      </c>
      <c r="Q22" s="103"/>
      <c r="R22" s="103"/>
      <c r="S22" s="103"/>
      <c r="T22" s="103">
        <f>T21-P22</f>
        <v>104834258709.27219</v>
      </c>
      <c r="U22" s="103"/>
      <c r="V22" s="103">
        <f>V21-V8</f>
        <v>117741854346.55634</v>
      </c>
      <c r="W22" s="103"/>
      <c r="X22" s="12"/>
      <c r="Y22" s="6"/>
    </row>
    <row r="23" spans="7:28" ht="15">
      <c r="I23" s="1">
        <f>SUM(I22,I14,I15,I16,I17,I18)</f>
        <v>12740322797.530355</v>
      </c>
      <c r="N23" s="102">
        <v>2024</v>
      </c>
      <c r="O23" s="102"/>
      <c r="P23" s="103">
        <f>P21</f>
        <v>30854220507.602821</v>
      </c>
      <c r="Q23" s="103"/>
      <c r="R23" s="103"/>
      <c r="S23" s="103"/>
      <c r="T23" s="103">
        <f>T22-P23</f>
        <v>73980038201.669373</v>
      </c>
      <c r="U23" s="103"/>
      <c r="V23" s="103">
        <f>V22-V8</f>
        <v>108768541911.397</v>
      </c>
      <c r="W23" s="103"/>
      <c r="X23" s="12"/>
      <c r="Y23" s="6"/>
    </row>
    <row r="24" spans="7:28" ht="15">
      <c r="I24" s="1">
        <f>I13-I21</f>
        <v>6034889746.1985874</v>
      </c>
      <c r="N24" s="102">
        <v>2025</v>
      </c>
      <c r="O24" s="102"/>
      <c r="P24" s="103">
        <f>P21</f>
        <v>30854220507.602821</v>
      </c>
      <c r="Q24" s="103"/>
      <c r="R24" s="103"/>
      <c r="S24" s="103"/>
      <c r="T24" s="103">
        <f>T23-P24</f>
        <v>43125817694.066551</v>
      </c>
      <c r="U24" s="103"/>
      <c r="V24" s="103">
        <f>V23-V8</f>
        <v>99795229476.237671</v>
      </c>
      <c r="W24" s="103"/>
      <c r="X24" s="12"/>
      <c r="Y24" s="6"/>
    </row>
    <row r="25" spans="7:28" ht="15">
      <c r="I25" s="1">
        <f>SUM(I24,I14,I15,I16,I17,I18)</f>
        <v>11399236187.264</v>
      </c>
      <c r="N25" s="102" t="s">
        <v>51</v>
      </c>
      <c r="O25" s="102"/>
      <c r="P25" s="103">
        <f>AVERAGE(P21:S24)</f>
        <v>30854220507.602821</v>
      </c>
      <c r="Q25" s="103"/>
      <c r="R25" s="103"/>
      <c r="S25" s="103"/>
      <c r="T25" s="103">
        <f>AVERAGE(T21:U24)</f>
        <v>89407148455.470764</v>
      </c>
      <c r="U25" s="103"/>
      <c r="V25" s="103">
        <f>AVERAGE(V21:W24)</f>
        <v>113255198128.97667</v>
      </c>
      <c r="W25" s="103"/>
      <c r="X25" s="12"/>
      <c r="Y25" s="6"/>
    </row>
    <row r="26" spans="7:28" ht="15.75">
      <c r="N26" s="110" t="s">
        <v>52</v>
      </c>
      <c r="O26" s="110"/>
      <c r="P26" s="110"/>
      <c r="Q26" s="110"/>
      <c r="R26" s="110"/>
      <c r="S26" s="110"/>
      <c r="T26" s="105">
        <f>T21/P21</f>
        <v>4.3977283167286583</v>
      </c>
      <c r="U26" s="105"/>
      <c r="V26" s="105"/>
      <c r="W26" s="105"/>
      <c r="X26" s="12"/>
      <c r="Y26" s="6"/>
    </row>
    <row r="27" spans="7:28" ht="15"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</sheetData>
  <mergeCells count="82">
    <mergeCell ref="O4:P4"/>
    <mergeCell ref="R4:S4"/>
    <mergeCell ref="T4:U4"/>
    <mergeCell ref="V4:W4"/>
    <mergeCell ref="A1:E1"/>
    <mergeCell ref="G1:I1"/>
    <mergeCell ref="N1:O1"/>
    <mergeCell ref="O2:P2"/>
    <mergeCell ref="R2:S2"/>
    <mergeCell ref="T2:U2"/>
    <mergeCell ref="V2:W2"/>
    <mergeCell ref="O3:P3"/>
    <mergeCell ref="R3:S3"/>
    <mergeCell ref="T3:U3"/>
    <mergeCell ref="V3:W3"/>
    <mergeCell ref="O5:P5"/>
    <mergeCell ref="R5:S5"/>
    <mergeCell ref="T5:U5"/>
    <mergeCell ref="V5:W5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G12:I12"/>
    <mergeCell ref="N12:O12"/>
    <mergeCell ref="P12:R12"/>
    <mergeCell ref="S12:U12"/>
    <mergeCell ref="V12:X12"/>
    <mergeCell ref="N15:O15"/>
    <mergeCell ref="P15:R15"/>
    <mergeCell ref="S15:U15"/>
    <mergeCell ref="V15:X15"/>
    <mergeCell ref="N11:O11"/>
    <mergeCell ref="P11:R11"/>
    <mergeCell ref="S11:U11"/>
    <mergeCell ref="V11:X11"/>
    <mergeCell ref="N13:O13"/>
    <mergeCell ref="P13:R13"/>
    <mergeCell ref="S13:U13"/>
    <mergeCell ref="V13:X13"/>
    <mergeCell ref="N14:O14"/>
    <mergeCell ref="P14:R14"/>
    <mergeCell ref="S14:U14"/>
    <mergeCell ref="V14:X14"/>
    <mergeCell ref="N16:O16"/>
    <mergeCell ref="P16:R16"/>
    <mergeCell ref="S16:U16"/>
    <mergeCell ref="V16:X16"/>
    <mergeCell ref="V20:W20"/>
    <mergeCell ref="N17:W17"/>
    <mergeCell ref="N20:O20"/>
    <mergeCell ref="P20:S20"/>
    <mergeCell ref="T20:U20"/>
    <mergeCell ref="N22:O22"/>
    <mergeCell ref="P22:S22"/>
    <mergeCell ref="T22:U22"/>
    <mergeCell ref="V22:W22"/>
    <mergeCell ref="N21:O21"/>
    <mergeCell ref="P21:S21"/>
    <mergeCell ref="T21:U21"/>
    <mergeCell ref="V21:W21"/>
    <mergeCell ref="N23:O23"/>
    <mergeCell ref="P23:S23"/>
    <mergeCell ref="T23:U23"/>
    <mergeCell ref="V23:W23"/>
    <mergeCell ref="N26:S26"/>
    <mergeCell ref="T26:W26"/>
    <mergeCell ref="N24:O24"/>
    <mergeCell ref="P24:S24"/>
    <mergeCell ref="T24:U24"/>
    <mergeCell ref="V24:W24"/>
    <mergeCell ref="N25:O25"/>
    <mergeCell ref="P25:S25"/>
    <mergeCell ref="T25:U25"/>
    <mergeCell ref="V25:W2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topLeftCell="C80" zoomScale="85" zoomScaleNormal="85" workbookViewId="0">
      <selection activeCell="F115" sqref="F115"/>
    </sheetView>
  </sheetViews>
  <sheetFormatPr defaultRowHeight="12"/>
  <cols>
    <col min="1" max="1" width="19.5703125" style="90" bestFit="1" customWidth="1"/>
    <col min="2" max="26" width="16" style="90" bestFit="1" customWidth="1"/>
    <col min="27" max="16384" width="9.140625" style="90"/>
  </cols>
  <sheetData>
    <row r="1" spans="1:26">
      <c r="A1" s="95" t="s">
        <v>157</v>
      </c>
      <c r="B1" s="95"/>
    </row>
    <row r="2" spans="1:26">
      <c r="A2" s="90" t="s">
        <v>155</v>
      </c>
      <c r="B2" s="91">
        <v>135688479216.875</v>
      </c>
    </row>
    <row r="3" spans="1:26">
      <c r="A3" s="90" t="s">
        <v>31</v>
      </c>
      <c r="B3" s="90">
        <v>38631600000</v>
      </c>
    </row>
    <row r="4" spans="1:26">
      <c r="A4" s="90" t="s">
        <v>151</v>
      </c>
      <c r="B4" s="90">
        <v>0.04</v>
      </c>
    </row>
    <row r="5" spans="1:26" ht="12.75" thickBot="1">
      <c r="A5" s="90" t="s">
        <v>152</v>
      </c>
      <c r="B5" s="90">
        <v>12069779492.397177</v>
      </c>
    </row>
    <row r="6" spans="1:26" ht="12.75" thickBot="1">
      <c r="A6" s="92" t="s">
        <v>150</v>
      </c>
      <c r="B6" s="93">
        <v>1</v>
      </c>
      <c r="C6" s="90">
        <v>2</v>
      </c>
      <c r="D6" s="90">
        <v>3</v>
      </c>
      <c r="E6" s="90">
        <v>4</v>
      </c>
      <c r="F6" s="90">
        <v>5</v>
      </c>
      <c r="G6" s="90">
        <v>6</v>
      </c>
      <c r="H6" s="90">
        <v>7</v>
      </c>
      <c r="I6" s="90">
        <v>8</v>
      </c>
      <c r="J6" s="90">
        <v>9</v>
      </c>
      <c r="K6" s="90">
        <v>10</v>
      </c>
      <c r="L6" s="90">
        <v>11</v>
      </c>
      <c r="M6" s="90">
        <v>12</v>
      </c>
      <c r="N6" s="90">
        <v>13</v>
      </c>
      <c r="O6" s="90">
        <v>14</v>
      </c>
      <c r="P6" s="90">
        <v>15</v>
      </c>
      <c r="Q6" s="90">
        <v>16</v>
      </c>
      <c r="R6" s="90">
        <v>17</v>
      </c>
      <c r="S6" s="90">
        <v>18</v>
      </c>
      <c r="T6" s="90">
        <v>19</v>
      </c>
      <c r="U6" s="90">
        <v>20</v>
      </c>
      <c r="V6" s="90">
        <v>21</v>
      </c>
      <c r="W6" s="90">
        <v>22</v>
      </c>
      <c r="X6" s="90">
        <v>23</v>
      </c>
      <c r="Y6" s="90">
        <v>24</v>
      </c>
      <c r="Z6" s="90">
        <v>25</v>
      </c>
    </row>
    <row r="8" spans="1:26">
      <c r="A8" s="90" t="s">
        <v>153</v>
      </c>
      <c r="B8" s="91">
        <f>$B$3*((1-(1.04^(-(B6))))/0.04)</f>
        <v>37145769230.76931</v>
      </c>
      <c r="C8" s="91">
        <f t="shared" ref="C8:Z8" si="0">$B$3*((1-(1.04^(-(C6))))/0.04)</f>
        <v>72862855029.585907</v>
      </c>
      <c r="D8" s="91">
        <f t="shared" si="0"/>
        <v>107206206759.21713</v>
      </c>
      <c r="E8" s="91">
        <f t="shared" si="0"/>
        <v>140228660345.40118</v>
      </c>
      <c r="F8" s="91">
        <f t="shared" si="0"/>
        <v>171981019562.88589</v>
      </c>
      <c r="G8" s="91">
        <f t="shared" si="0"/>
        <v>202512134195.08255</v>
      </c>
      <c r="H8" s="91">
        <f t="shared" si="0"/>
        <v>231868975187.57925</v>
      </c>
      <c r="I8" s="91">
        <f t="shared" si="0"/>
        <v>260096706911.13406</v>
      </c>
      <c r="J8" s="91">
        <f t="shared" si="0"/>
        <v>287238756645.32135</v>
      </c>
      <c r="K8" s="91">
        <f t="shared" si="0"/>
        <v>313336881389.73206</v>
      </c>
      <c r="L8" s="91">
        <f t="shared" si="0"/>
        <v>338431232105.51147</v>
      </c>
      <c r="M8" s="91">
        <f t="shared" si="0"/>
        <v>362560415486.06891</v>
      </c>
      <c r="N8" s="91">
        <f t="shared" si="0"/>
        <v>385761553351.98932</v>
      </c>
      <c r="O8" s="91">
        <f t="shared" si="0"/>
        <v>408070339761.52814</v>
      </c>
      <c r="P8" s="91">
        <f t="shared" si="0"/>
        <v>429521095924.54639</v>
      </c>
      <c r="Q8" s="91">
        <f t="shared" si="0"/>
        <v>450146823004.37158</v>
      </c>
      <c r="R8" s="91">
        <f t="shared" si="0"/>
        <v>469979252888.81885</v>
      </c>
      <c r="S8" s="91">
        <f t="shared" si="0"/>
        <v>489048897008.47968</v>
      </c>
      <c r="T8" s="91">
        <f t="shared" si="0"/>
        <v>507385093277.38428</v>
      </c>
      <c r="U8" s="91">
        <f t="shared" si="0"/>
        <v>525016051228.25415</v>
      </c>
      <c r="V8" s="91">
        <f t="shared" si="0"/>
        <v>541968895411.78296</v>
      </c>
      <c r="W8" s="91">
        <f t="shared" si="0"/>
        <v>558269707126.71436</v>
      </c>
      <c r="X8" s="91">
        <f t="shared" si="0"/>
        <v>573943564544.9176</v>
      </c>
      <c r="Y8" s="91">
        <f t="shared" si="0"/>
        <v>589014581293.19006</v>
      </c>
      <c r="Z8" s="91">
        <f t="shared" si="0"/>
        <v>603505943551.14429</v>
      </c>
    </row>
    <row r="9" spans="1:26">
      <c r="A9" s="90" t="s">
        <v>37</v>
      </c>
      <c r="B9" s="91">
        <f>$B$3*((1+0.04)^-(B6))</f>
        <v>37145769230.769226</v>
      </c>
      <c r="C9" s="91">
        <f t="shared" ref="C9:Y9" si="1">$B$3*((1+0.04)^-(C6))</f>
        <v>35717085798.816566</v>
      </c>
      <c r="D9" s="91">
        <f t="shared" si="1"/>
        <v>34343351729.631313</v>
      </c>
      <c r="E9" s="91">
        <f t="shared" si="1"/>
        <v>33022453586.183952</v>
      </c>
      <c r="F9" s="91">
        <f t="shared" si="1"/>
        <v>31752359217.484566</v>
      </c>
      <c r="G9" s="91">
        <f t="shared" si="1"/>
        <v>30531114632.196697</v>
      </c>
      <c r="H9" s="91">
        <f t="shared" si="1"/>
        <v>29356840992.49683</v>
      </c>
      <c r="I9" s="91">
        <f t="shared" si="1"/>
        <v>28227731723.554638</v>
      </c>
      <c r="J9" s="91">
        <f t="shared" si="1"/>
        <v>27142049734.187145</v>
      </c>
      <c r="K9" s="91">
        <f t="shared" si="1"/>
        <v>26098124744.410717</v>
      </c>
      <c r="L9" s="91">
        <f t="shared" si="1"/>
        <v>25094350715.779541</v>
      </c>
      <c r="M9" s="91">
        <f t="shared" si="1"/>
        <v>24129183380.557243</v>
      </c>
      <c r="N9" s="91">
        <f t="shared" si="1"/>
        <v>23201137865.920425</v>
      </c>
      <c r="O9" s="91">
        <f t="shared" si="1"/>
        <v>22308786409.538872</v>
      </c>
      <c r="P9" s="91">
        <f t="shared" si="1"/>
        <v>21450756163.018147</v>
      </c>
      <c r="Q9" s="91">
        <f t="shared" si="1"/>
        <v>20625727079.825138</v>
      </c>
      <c r="R9" s="91">
        <f t="shared" si="1"/>
        <v>19832429884.447247</v>
      </c>
      <c r="S9" s="91">
        <f t="shared" si="1"/>
        <v>19069644119.660812</v>
      </c>
      <c r="T9" s="91">
        <f t="shared" si="1"/>
        <v>18336196268.904629</v>
      </c>
      <c r="U9" s="91">
        <f t="shared" si="1"/>
        <v>17630957950.869835</v>
      </c>
      <c r="V9" s="91">
        <f t="shared" si="1"/>
        <v>16952844183.528683</v>
      </c>
      <c r="W9" s="91">
        <f t="shared" si="1"/>
        <v>16300811714.931427</v>
      </c>
      <c r="X9" s="91">
        <f t="shared" si="1"/>
        <v>15673857418.203297</v>
      </c>
      <c r="Y9" s="91">
        <f t="shared" si="1"/>
        <v>15071016748.2724</v>
      </c>
      <c r="Z9" s="91">
        <f>$B$3*((1+0.04)^-(Z6))</f>
        <v>14491362257.954227</v>
      </c>
    </row>
    <row r="10" spans="1:26">
      <c r="A10" s="90" t="s">
        <v>154</v>
      </c>
      <c r="B10" s="94">
        <f>B8+B9</f>
        <v>74291538461.538544</v>
      </c>
      <c r="C10" s="94">
        <f>C8+C9</f>
        <v>108579940828.40247</v>
      </c>
      <c r="D10" s="94">
        <f t="shared" ref="D10:Z10" si="2">D8+D9</f>
        <v>141549558488.84845</v>
      </c>
      <c r="E10" s="94">
        <f t="shared" si="2"/>
        <v>173251113931.58514</v>
      </c>
      <c r="F10" s="94">
        <f t="shared" si="2"/>
        <v>203733378780.37045</v>
      </c>
      <c r="G10" s="94">
        <f t="shared" si="2"/>
        <v>233043248827.27924</v>
      </c>
      <c r="H10" s="94">
        <f t="shared" si="2"/>
        <v>261225816180.07608</v>
      </c>
      <c r="I10" s="94">
        <f t="shared" si="2"/>
        <v>288324438634.68872</v>
      </c>
      <c r="J10" s="94">
        <f t="shared" si="2"/>
        <v>314380806379.50848</v>
      </c>
      <c r="K10" s="94">
        <f t="shared" si="2"/>
        <v>339435006134.14276</v>
      </c>
      <c r="L10" s="94">
        <f t="shared" si="2"/>
        <v>363525582821.29102</v>
      </c>
      <c r="M10" s="94">
        <f t="shared" si="2"/>
        <v>386689598866.62616</v>
      </c>
      <c r="N10" s="94">
        <f t="shared" si="2"/>
        <v>408962691217.90973</v>
      </c>
      <c r="O10" s="94">
        <f t="shared" si="2"/>
        <v>430379126171.06702</v>
      </c>
      <c r="P10" s="94">
        <f t="shared" si="2"/>
        <v>450971852087.56451</v>
      </c>
      <c r="Q10" s="94">
        <f t="shared" si="2"/>
        <v>470772550084.19672</v>
      </c>
      <c r="R10" s="94">
        <f t="shared" si="2"/>
        <v>489811682773.26611</v>
      </c>
      <c r="S10" s="94">
        <f t="shared" si="2"/>
        <v>508118541128.1405</v>
      </c>
      <c r="T10" s="94">
        <f t="shared" si="2"/>
        <v>525721289546.28888</v>
      </c>
      <c r="U10" s="94">
        <f t="shared" si="2"/>
        <v>542647009179.12396</v>
      </c>
      <c r="V10" s="94">
        <f t="shared" si="2"/>
        <v>558921739595.31165</v>
      </c>
      <c r="W10" s="94">
        <f t="shared" si="2"/>
        <v>574570518841.64575</v>
      </c>
      <c r="X10" s="94">
        <f t="shared" si="2"/>
        <v>589617421963.12085</v>
      </c>
      <c r="Y10" s="94">
        <f t="shared" si="2"/>
        <v>604085598041.4624</v>
      </c>
      <c r="Z10" s="94">
        <f t="shared" si="2"/>
        <v>617997305809.09851</v>
      </c>
    </row>
    <row r="12" spans="1:26">
      <c r="A12" s="90" t="s">
        <v>59</v>
      </c>
      <c r="B12" s="91">
        <f>$B$5*((1-(1.04^(-1)))/0.04)</f>
        <v>11605557204.228081</v>
      </c>
      <c r="C12" s="91">
        <f>$B$5*((1-(1.04^(-(C6))))/0.04)</f>
        <v>22764746823.678139</v>
      </c>
      <c r="D12" s="91">
        <f t="shared" ref="D12:Z12" si="3">$B$5*((1-(1.04^(-(D6))))/0.04)</f>
        <v>33494736842.380085</v>
      </c>
      <c r="E12" s="91">
        <f t="shared" si="3"/>
        <v>43812034937.285866</v>
      </c>
      <c r="F12" s="91">
        <f t="shared" si="3"/>
        <v>53732513874.695267</v>
      </c>
      <c r="G12" s="91">
        <f t="shared" si="3"/>
        <v>63271435929.896576</v>
      </c>
      <c r="H12" s="91">
        <f t="shared" si="3"/>
        <v>72443476367.590103</v>
      </c>
      <c r="I12" s="91">
        <f t="shared" si="3"/>
        <v>81262746019.218597</v>
      </c>
      <c r="J12" s="91">
        <f t="shared" si="3"/>
        <v>89742812991.938278</v>
      </c>
      <c r="K12" s="91">
        <f t="shared" si="3"/>
        <v>97896723542.630234</v>
      </c>
      <c r="L12" s="91">
        <f t="shared" si="3"/>
        <v>105737022149.0648</v>
      </c>
      <c r="M12" s="91">
        <f t="shared" si="3"/>
        <v>113275770809.0981</v>
      </c>
      <c r="N12" s="91">
        <f t="shared" si="3"/>
        <v>120524567597.59161</v>
      </c>
      <c r="O12" s="91">
        <f t="shared" si="3"/>
        <v>127494564509.60458</v>
      </c>
      <c r="P12" s="91">
        <f t="shared" si="3"/>
        <v>134196484617.30942</v>
      </c>
      <c r="Q12" s="91">
        <f t="shared" si="3"/>
        <v>140640638567.0256</v>
      </c>
      <c r="R12" s="91">
        <f t="shared" si="3"/>
        <v>146836940441.75266</v>
      </c>
      <c r="S12" s="91">
        <f t="shared" si="3"/>
        <v>152794923013.60562</v>
      </c>
      <c r="T12" s="91">
        <f t="shared" si="3"/>
        <v>158523752409.61807</v>
      </c>
      <c r="U12" s="91">
        <f t="shared" si="3"/>
        <v>164032242213.4762</v>
      </c>
      <c r="V12" s="91">
        <f t="shared" si="3"/>
        <v>169328867024.8783</v>
      </c>
      <c r="W12" s="91">
        <f t="shared" si="3"/>
        <v>174421775497.38025</v>
      </c>
      <c r="X12" s="91">
        <f t="shared" si="3"/>
        <v>179318802874.78595</v>
      </c>
      <c r="Y12" s="91">
        <f t="shared" si="3"/>
        <v>184027483045.36844</v>
      </c>
      <c r="Z12" s="91">
        <f t="shared" si="3"/>
        <v>188555060132.46695</v>
      </c>
    </row>
    <row r="13" spans="1:26">
      <c r="A13" s="90" t="s">
        <v>156</v>
      </c>
      <c r="B13" s="94">
        <f>$B$2+B12</f>
        <v>147294036421.10309</v>
      </c>
      <c r="C13" s="94">
        <f>$B$2+C12</f>
        <v>158453226040.55313</v>
      </c>
      <c r="D13" s="94">
        <f t="shared" ref="D13:Z13" si="4">$B$2+D12</f>
        <v>169183216059.2551</v>
      </c>
      <c r="E13" s="94">
        <f t="shared" si="4"/>
        <v>179500514154.16086</v>
      </c>
      <c r="F13" s="94">
        <f t="shared" si="4"/>
        <v>189420993091.57025</v>
      </c>
      <c r="G13" s="94">
        <f t="shared" si="4"/>
        <v>198959915146.77158</v>
      </c>
      <c r="H13" s="94">
        <f t="shared" si="4"/>
        <v>208131955584.46509</v>
      </c>
      <c r="I13" s="94">
        <f t="shared" si="4"/>
        <v>216951225236.0936</v>
      </c>
      <c r="J13" s="94">
        <f t="shared" si="4"/>
        <v>225431292208.81329</v>
      </c>
      <c r="K13" s="94">
        <f t="shared" si="4"/>
        <v>233585202759.50525</v>
      </c>
      <c r="L13" s="94">
        <f t="shared" si="4"/>
        <v>241425501365.93982</v>
      </c>
      <c r="M13" s="94">
        <f t="shared" si="4"/>
        <v>248964250025.97308</v>
      </c>
      <c r="N13" s="94">
        <f t="shared" si="4"/>
        <v>256213046814.46661</v>
      </c>
      <c r="O13" s="94">
        <f t="shared" si="4"/>
        <v>263183043726.47958</v>
      </c>
      <c r="P13" s="94">
        <f t="shared" si="4"/>
        <v>269884963834.18442</v>
      </c>
      <c r="Q13" s="94">
        <f t="shared" si="4"/>
        <v>276329117783.90063</v>
      </c>
      <c r="R13" s="94">
        <f t="shared" si="4"/>
        <v>282525419658.62769</v>
      </c>
      <c r="S13" s="94">
        <f t="shared" si="4"/>
        <v>288483402230.48059</v>
      </c>
      <c r="T13" s="94">
        <f t="shared" si="4"/>
        <v>294212231626.49304</v>
      </c>
      <c r="U13" s="94">
        <f t="shared" si="4"/>
        <v>299720721430.3512</v>
      </c>
      <c r="V13" s="94">
        <f t="shared" si="4"/>
        <v>305017346241.7533</v>
      </c>
      <c r="W13" s="94">
        <f t="shared" si="4"/>
        <v>310110254714.25525</v>
      </c>
      <c r="X13" s="94">
        <f t="shared" si="4"/>
        <v>315007282091.66095</v>
      </c>
      <c r="Y13" s="94">
        <f t="shared" si="4"/>
        <v>319715962262.24341</v>
      </c>
      <c r="Z13" s="94">
        <f t="shared" si="4"/>
        <v>324243539349.34192</v>
      </c>
    </row>
    <row r="16" spans="1:26">
      <c r="B16" s="90" t="s">
        <v>149</v>
      </c>
      <c r="C16" s="90" t="s">
        <v>156</v>
      </c>
      <c r="D16" s="90" t="s">
        <v>154</v>
      </c>
    </row>
    <row r="17" spans="2:4">
      <c r="B17" s="90">
        <v>1</v>
      </c>
      <c r="C17" s="94">
        <f>B13</f>
        <v>147294036421.10309</v>
      </c>
      <c r="D17" s="94">
        <f>B10</f>
        <v>74291538461.538544</v>
      </c>
    </row>
    <row r="18" spans="2:4">
      <c r="B18" s="90">
        <v>2</v>
      </c>
      <c r="C18" s="94">
        <f>C13</f>
        <v>158453226040.55313</v>
      </c>
      <c r="D18" s="94">
        <f>C10</f>
        <v>108579940828.40247</v>
      </c>
    </row>
    <row r="19" spans="2:4">
      <c r="B19" s="90">
        <v>3</v>
      </c>
      <c r="C19" s="94">
        <f>D13</f>
        <v>169183216059.2551</v>
      </c>
      <c r="D19" s="94">
        <f>D10</f>
        <v>141549558488.84845</v>
      </c>
    </row>
    <row r="20" spans="2:4">
      <c r="B20" s="90">
        <v>4</v>
      </c>
      <c r="C20" s="94">
        <f>E13</f>
        <v>179500514154.16086</v>
      </c>
      <c r="D20" s="94">
        <f>E10</f>
        <v>173251113931.58514</v>
      </c>
    </row>
    <row r="21" spans="2:4">
      <c r="B21" s="90">
        <v>5</v>
      </c>
      <c r="C21" s="94">
        <f>F13</f>
        <v>189420993091.57025</v>
      </c>
      <c r="D21" s="94">
        <f>F10</f>
        <v>203733378780.37045</v>
      </c>
    </row>
    <row r="22" spans="2:4">
      <c r="B22" s="90">
        <v>6</v>
      </c>
      <c r="C22" s="94">
        <f>G13</f>
        <v>198959915146.77158</v>
      </c>
      <c r="D22" s="94">
        <f>G10</f>
        <v>233043248827.27924</v>
      </c>
    </row>
    <row r="23" spans="2:4">
      <c r="B23" s="90">
        <v>7</v>
      </c>
      <c r="C23" s="94">
        <f>H13</f>
        <v>208131955584.46509</v>
      </c>
      <c r="D23" s="94">
        <f>H10</f>
        <v>261225816180.07608</v>
      </c>
    </row>
    <row r="24" spans="2:4">
      <c r="B24" s="90">
        <v>8</v>
      </c>
      <c r="C24" s="94">
        <f>I13</f>
        <v>216951225236.0936</v>
      </c>
      <c r="D24" s="94">
        <f>I10</f>
        <v>288324438634.68872</v>
      </c>
    </row>
    <row r="25" spans="2:4">
      <c r="B25" s="90">
        <v>9</v>
      </c>
      <c r="C25" s="94">
        <f>J13</f>
        <v>225431292208.81329</v>
      </c>
      <c r="D25" s="94">
        <f>J10</f>
        <v>314380806379.50848</v>
      </c>
    </row>
    <row r="26" spans="2:4">
      <c r="B26" s="90">
        <v>10</v>
      </c>
      <c r="C26" s="94">
        <f>K13</f>
        <v>233585202759.50525</v>
      </c>
      <c r="D26" s="94">
        <f>K10</f>
        <v>339435006134.14276</v>
      </c>
    </row>
    <row r="27" spans="2:4">
      <c r="B27" s="90">
        <v>11</v>
      </c>
      <c r="C27" s="94">
        <f>L13</f>
        <v>241425501365.93982</v>
      </c>
      <c r="D27" s="94">
        <f>L10</f>
        <v>363525582821.29102</v>
      </c>
    </row>
    <row r="28" spans="2:4">
      <c r="B28" s="90">
        <v>12</v>
      </c>
      <c r="C28" s="94">
        <f>M13</f>
        <v>248964250025.97308</v>
      </c>
      <c r="D28" s="94">
        <f>M10</f>
        <v>386689598866.62616</v>
      </c>
    </row>
    <row r="29" spans="2:4">
      <c r="B29" s="90">
        <v>13</v>
      </c>
      <c r="C29" s="94">
        <f>N13</f>
        <v>256213046814.46661</v>
      </c>
      <c r="D29" s="94">
        <f>N10</f>
        <v>408962691217.90973</v>
      </c>
    </row>
    <row r="30" spans="2:4">
      <c r="B30" s="90">
        <v>14</v>
      </c>
      <c r="C30" s="94">
        <f>O13</f>
        <v>263183043726.47958</v>
      </c>
      <c r="D30" s="94">
        <f>O10</f>
        <v>430379126171.06702</v>
      </c>
    </row>
    <row r="31" spans="2:4">
      <c r="B31" s="90">
        <v>15</v>
      </c>
      <c r="C31" s="94">
        <f>P13</f>
        <v>269884963834.18442</v>
      </c>
      <c r="D31" s="94">
        <f>P10</f>
        <v>450971852087.56451</v>
      </c>
    </row>
    <row r="32" spans="2:4">
      <c r="B32" s="90">
        <v>16</v>
      </c>
      <c r="C32" s="94">
        <f>Q13</f>
        <v>276329117783.90063</v>
      </c>
      <c r="D32" s="94">
        <f>Q10</f>
        <v>470772550084.19672</v>
      </c>
    </row>
    <row r="33" spans="1:4">
      <c r="B33" s="90">
        <v>17</v>
      </c>
      <c r="C33" s="94">
        <f>R13</f>
        <v>282525419658.62769</v>
      </c>
      <c r="D33" s="94">
        <f>R10</f>
        <v>489811682773.26611</v>
      </c>
    </row>
    <row r="34" spans="1:4">
      <c r="B34" s="90">
        <v>18</v>
      </c>
      <c r="C34" s="94">
        <f>S13</f>
        <v>288483402230.48059</v>
      </c>
      <c r="D34" s="94">
        <f>S10</f>
        <v>508118541128.1405</v>
      </c>
    </row>
    <row r="35" spans="1:4">
      <c r="B35" s="90">
        <v>19</v>
      </c>
      <c r="C35" s="94">
        <f>T13</f>
        <v>294212231626.49304</v>
      </c>
      <c r="D35" s="94">
        <f>T10</f>
        <v>525721289546.28888</v>
      </c>
    </row>
    <row r="36" spans="1:4">
      <c r="B36" s="90">
        <v>20</v>
      </c>
      <c r="C36" s="94">
        <f>U13</f>
        <v>299720721430.3512</v>
      </c>
      <c r="D36" s="94">
        <f>U10</f>
        <v>542647009179.12396</v>
      </c>
    </row>
    <row r="37" spans="1:4">
      <c r="B37" s="90">
        <v>21</v>
      </c>
      <c r="C37" s="94">
        <f>V13</f>
        <v>305017346241.7533</v>
      </c>
      <c r="D37" s="94">
        <f>V10</f>
        <v>558921739595.31165</v>
      </c>
    </row>
    <row r="38" spans="1:4">
      <c r="B38" s="90">
        <v>22</v>
      </c>
      <c r="C38" s="94">
        <f>W13</f>
        <v>310110254714.25525</v>
      </c>
      <c r="D38" s="94">
        <f>W10</f>
        <v>574570518841.64575</v>
      </c>
    </row>
    <row r="39" spans="1:4">
      <c r="B39" s="90">
        <v>23</v>
      </c>
      <c r="C39" s="94">
        <f>X13</f>
        <v>315007282091.66095</v>
      </c>
      <c r="D39" s="94">
        <f>X10</f>
        <v>589617421963.12085</v>
      </c>
    </row>
    <row r="40" spans="1:4">
      <c r="B40" s="90">
        <v>24</v>
      </c>
      <c r="C40" s="94">
        <f>Y13</f>
        <v>319715962262.24341</v>
      </c>
      <c r="D40" s="94">
        <f>Y10</f>
        <v>604085598041.4624</v>
      </c>
    </row>
    <row r="41" spans="1:4">
      <c r="B41" s="90">
        <v>25</v>
      </c>
      <c r="C41" s="94">
        <f>Z13</f>
        <v>324243539349.34192</v>
      </c>
      <c r="D41" s="94">
        <f>Z10</f>
        <v>617997305809.09851</v>
      </c>
    </row>
    <row r="44" spans="1:4">
      <c r="A44" s="113" t="s">
        <v>158</v>
      </c>
      <c r="B44" s="113"/>
    </row>
    <row r="45" spans="1:4">
      <c r="A45" s="90" t="s">
        <v>155</v>
      </c>
      <c r="B45" s="91">
        <v>135688479216.875</v>
      </c>
    </row>
    <row r="46" spans="1:4">
      <c r="A46" s="90" t="s">
        <v>31</v>
      </c>
      <c r="B46" s="90">
        <v>42924000000</v>
      </c>
    </row>
    <row r="47" spans="1:4">
      <c r="A47" s="90" t="s">
        <v>151</v>
      </c>
      <c r="B47" s="90">
        <v>0.04</v>
      </c>
    </row>
    <row r="48" spans="1:4" ht="12.75" thickBot="1">
      <c r="A48" s="90" t="s">
        <v>152</v>
      </c>
      <c r="B48" s="90">
        <v>12740322797.530355</v>
      </c>
    </row>
    <row r="49" spans="1:26" ht="12.75" thickBot="1">
      <c r="A49" s="92" t="s">
        <v>150</v>
      </c>
      <c r="B49" s="93">
        <v>1</v>
      </c>
      <c r="C49" s="90">
        <v>2</v>
      </c>
      <c r="D49" s="90">
        <v>3</v>
      </c>
      <c r="E49" s="90">
        <v>4</v>
      </c>
      <c r="F49" s="90">
        <v>5</v>
      </c>
      <c r="G49" s="90">
        <v>6</v>
      </c>
      <c r="H49" s="90">
        <v>7</v>
      </c>
      <c r="I49" s="90">
        <v>8</v>
      </c>
      <c r="J49" s="90">
        <v>9</v>
      </c>
      <c r="K49" s="90">
        <v>10</v>
      </c>
      <c r="L49" s="90">
        <v>11</v>
      </c>
      <c r="M49" s="90">
        <v>12</v>
      </c>
      <c r="N49" s="90">
        <v>13</v>
      </c>
      <c r="O49" s="90">
        <v>14</v>
      </c>
      <c r="P49" s="90">
        <v>15</v>
      </c>
      <c r="Q49" s="90">
        <v>16</v>
      </c>
      <c r="R49" s="90">
        <v>17</v>
      </c>
      <c r="S49" s="90">
        <v>18</v>
      </c>
      <c r="T49" s="90">
        <v>19</v>
      </c>
      <c r="U49" s="90">
        <v>20</v>
      </c>
      <c r="V49" s="90">
        <v>21</v>
      </c>
      <c r="W49" s="90">
        <v>22</v>
      </c>
      <c r="X49" s="90">
        <v>23</v>
      </c>
      <c r="Y49" s="90">
        <v>24</v>
      </c>
      <c r="Z49" s="90">
        <v>25</v>
      </c>
    </row>
    <row r="51" spans="1:26">
      <c r="A51" s="90" t="s">
        <v>153</v>
      </c>
      <c r="B51" s="91">
        <f>$B$46*((1-(1.04^(-(B49))))/0.04)</f>
        <v>41273076923.077011</v>
      </c>
      <c r="C51" s="91">
        <f t="shared" ref="C51:Z51" si="5">$B$46*((1-(1.04^(-(C49))))/0.04)</f>
        <v>80958727810.651001</v>
      </c>
      <c r="D51" s="91">
        <f t="shared" si="5"/>
        <v>119118007510.24126</v>
      </c>
      <c r="E51" s="91">
        <f t="shared" si="5"/>
        <v>155809622606.00134</v>
      </c>
      <c r="F51" s="91">
        <f t="shared" si="5"/>
        <v>191090021736.53989</v>
      </c>
      <c r="G51" s="91">
        <f t="shared" si="5"/>
        <v>225013482438.98062</v>
      </c>
      <c r="H51" s="91">
        <f t="shared" si="5"/>
        <v>257632194652.86584</v>
      </c>
      <c r="I51" s="91">
        <f t="shared" si="5"/>
        <v>288996341012.37115</v>
      </c>
      <c r="J51" s="91">
        <f t="shared" si="5"/>
        <v>319154174050.35706</v>
      </c>
      <c r="K51" s="91">
        <f t="shared" si="5"/>
        <v>348152090433.03558</v>
      </c>
      <c r="L51" s="91">
        <f t="shared" si="5"/>
        <v>376034702339.45721</v>
      </c>
      <c r="M51" s="91">
        <f t="shared" si="5"/>
        <v>402844906095.63214</v>
      </c>
      <c r="N51" s="91">
        <f t="shared" si="5"/>
        <v>428623948168.87701</v>
      </c>
      <c r="O51" s="91">
        <f t="shared" si="5"/>
        <v>453411488623.92017</v>
      </c>
      <c r="P51" s="91">
        <f t="shared" si="5"/>
        <v>477245662138.38483</v>
      </c>
      <c r="Q51" s="91">
        <f t="shared" si="5"/>
        <v>500163136671.52399</v>
      </c>
      <c r="R51" s="91">
        <f t="shared" si="5"/>
        <v>522199169876.46539</v>
      </c>
      <c r="S51" s="91">
        <f t="shared" si="5"/>
        <v>543387663342.75519</v>
      </c>
      <c r="T51" s="91">
        <f t="shared" si="5"/>
        <v>563761214752.64917</v>
      </c>
      <c r="U51" s="91">
        <f t="shared" si="5"/>
        <v>583351168031.39343</v>
      </c>
      <c r="V51" s="91">
        <f t="shared" si="5"/>
        <v>602187661568.64771</v>
      </c>
      <c r="W51" s="91">
        <f t="shared" si="5"/>
        <v>620299674585.23816</v>
      </c>
      <c r="X51" s="91">
        <f t="shared" si="5"/>
        <v>637715071716.57507</v>
      </c>
      <c r="Y51" s="91">
        <f t="shared" si="5"/>
        <v>654460645881.32227</v>
      </c>
      <c r="Z51" s="91">
        <f t="shared" si="5"/>
        <v>670562159501.27148</v>
      </c>
    </row>
    <row r="52" spans="1:26">
      <c r="A52" s="90" t="s">
        <v>37</v>
      </c>
      <c r="B52" s="91">
        <f>$B$46*((1+0.04)^-(B49))</f>
        <v>41273076923.07692</v>
      </c>
      <c r="C52" s="91">
        <f t="shared" ref="C52:Z52" si="6">$B$46*((1+0.04)^-(C49))</f>
        <v>39685650887.573959</v>
      </c>
      <c r="D52" s="91">
        <f t="shared" si="6"/>
        <v>38159279699.590347</v>
      </c>
      <c r="E52" s="91">
        <f t="shared" si="6"/>
        <v>36691615095.759949</v>
      </c>
      <c r="F52" s="91">
        <f t="shared" si="6"/>
        <v>35280399130.538406</v>
      </c>
      <c r="G52" s="91">
        <f t="shared" si="6"/>
        <v>33923460702.440773</v>
      </c>
      <c r="H52" s="91">
        <f t="shared" si="6"/>
        <v>32618712213.885365</v>
      </c>
      <c r="I52" s="91">
        <f t="shared" si="6"/>
        <v>31364146359.505154</v>
      </c>
      <c r="J52" s="91">
        <f t="shared" si="6"/>
        <v>30157833037.985718</v>
      </c>
      <c r="K52" s="91">
        <f t="shared" si="6"/>
        <v>28997916382.678574</v>
      </c>
      <c r="L52" s="91">
        <f t="shared" si="6"/>
        <v>27882611906.421711</v>
      </c>
      <c r="M52" s="91">
        <f t="shared" si="6"/>
        <v>26810203756.174717</v>
      </c>
      <c r="N52" s="91">
        <f t="shared" si="6"/>
        <v>25779042073.244919</v>
      </c>
      <c r="O52" s="91">
        <f t="shared" si="6"/>
        <v>24787540455.043194</v>
      </c>
      <c r="P52" s="91">
        <f t="shared" si="6"/>
        <v>23834173514.464607</v>
      </c>
      <c r="Q52" s="91">
        <f t="shared" si="6"/>
        <v>22917474533.139042</v>
      </c>
      <c r="R52" s="91">
        <f t="shared" si="6"/>
        <v>22036033204.941387</v>
      </c>
      <c r="S52" s="91">
        <f t="shared" si="6"/>
        <v>21188493466.289791</v>
      </c>
      <c r="T52" s="91">
        <f t="shared" si="6"/>
        <v>20373551409.894032</v>
      </c>
      <c r="U52" s="91">
        <f t="shared" si="6"/>
        <v>19589953278.744259</v>
      </c>
      <c r="V52" s="91">
        <f t="shared" si="6"/>
        <v>18836493537.254093</v>
      </c>
      <c r="W52" s="91">
        <f t="shared" si="6"/>
        <v>18112013016.590473</v>
      </c>
      <c r="X52" s="91">
        <f t="shared" si="6"/>
        <v>17415397131.336994</v>
      </c>
      <c r="Y52" s="91">
        <f t="shared" si="6"/>
        <v>16745574164.74711</v>
      </c>
      <c r="Z52" s="91">
        <f t="shared" si="6"/>
        <v>16101513619.949141</v>
      </c>
    </row>
    <row r="53" spans="1:26">
      <c r="A53" s="90" t="s">
        <v>154</v>
      </c>
      <c r="B53" s="94">
        <f>B51+B52</f>
        <v>82546153846.153931</v>
      </c>
      <c r="C53" s="94">
        <f t="shared" ref="C53:Z53" si="7">C51+C52</f>
        <v>120644378698.22496</v>
      </c>
      <c r="D53" s="94">
        <f t="shared" si="7"/>
        <v>157277287209.8316</v>
      </c>
      <c r="E53" s="94">
        <f t="shared" si="7"/>
        <v>192501237701.76129</v>
      </c>
      <c r="F53" s="94">
        <f t="shared" si="7"/>
        <v>226370420867.07831</v>
      </c>
      <c r="G53" s="94">
        <f t="shared" si="7"/>
        <v>258936943141.42139</v>
      </c>
      <c r="H53" s="94">
        <f t="shared" si="7"/>
        <v>290250906866.75122</v>
      </c>
      <c r="I53" s="94">
        <f t="shared" si="7"/>
        <v>320360487371.87628</v>
      </c>
      <c r="J53" s="94">
        <f t="shared" si="7"/>
        <v>349312007088.34277</v>
      </c>
      <c r="K53" s="94">
        <f t="shared" si="7"/>
        <v>377150006815.71417</v>
      </c>
      <c r="L53" s="94">
        <f t="shared" si="7"/>
        <v>403917314245.87891</v>
      </c>
      <c r="M53" s="94">
        <f t="shared" si="7"/>
        <v>429655109851.80688</v>
      </c>
      <c r="N53" s="94">
        <f t="shared" si="7"/>
        <v>454402990242.12195</v>
      </c>
      <c r="O53" s="94">
        <f t="shared" si="7"/>
        <v>478199029078.96338</v>
      </c>
      <c r="P53" s="94">
        <f t="shared" si="7"/>
        <v>501079835652.84943</v>
      </c>
      <c r="Q53" s="94">
        <f t="shared" si="7"/>
        <v>523080611204.66302</v>
      </c>
      <c r="R53" s="94">
        <f t="shared" si="7"/>
        <v>544235203081.4068</v>
      </c>
      <c r="S53" s="94">
        <f t="shared" si="7"/>
        <v>564576156809.04492</v>
      </c>
      <c r="T53" s="94">
        <f t="shared" si="7"/>
        <v>584134766162.54321</v>
      </c>
      <c r="U53" s="94">
        <f t="shared" si="7"/>
        <v>602941121310.1377</v>
      </c>
      <c r="V53" s="94">
        <f t="shared" si="7"/>
        <v>621024155105.90186</v>
      </c>
      <c r="W53" s="94">
        <f t="shared" si="7"/>
        <v>638411687601.82861</v>
      </c>
      <c r="X53" s="94">
        <f t="shared" si="7"/>
        <v>655130468847.91211</v>
      </c>
      <c r="Y53" s="94">
        <f t="shared" si="7"/>
        <v>671206220046.06934</v>
      </c>
      <c r="Z53" s="94">
        <f t="shared" si="7"/>
        <v>686663673121.22058</v>
      </c>
    </row>
    <row r="55" spans="1:26">
      <c r="A55" s="90" t="s">
        <v>59</v>
      </c>
      <c r="B55" s="91">
        <f>$B$48*((1-(1.04^(-(B49))))/0.04)</f>
        <v>12250310382.240753</v>
      </c>
      <c r="C55" s="91">
        <f t="shared" ref="C55:Z55" si="8">$B$48*((1-(1.04^(-(C49))))/0.04)</f>
        <v>24029454980.549152</v>
      </c>
      <c r="D55" s="91">
        <f t="shared" si="8"/>
        <v>35355555555.84565</v>
      </c>
      <c r="E55" s="91">
        <f t="shared" si="8"/>
        <v>46246036878.246201</v>
      </c>
      <c r="F55" s="91">
        <f t="shared" si="8"/>
        <v>56717653534.400574</v>
      </c>
      <c r="G55" s="91">
        <f t="shared" si="8"/>
        <v>66786515703.779732</v>
      </c>
      <c r="H55" s="91">
        <f t="shared" si="8"/>
        <v>76468113943.567352</v>
      </c>
      <c r="I55" s="91">
        <f t="shared" si="8"/>
        <v>85777343020.286301</v>
      </c>
      <c r="J55" s="91">
        <f t="shared" si="8"/>
        <v>94728524824.823746</v>
      </c>
      <c r="K55" s="91">
        <f t="shared" si="8"/>
        <v>103335430406.10971</v>
      </c>
      <c r="L55" s="91">
        <f t="shared" si="8"/>
        <v>111611301157.34619</v>
      </c>
      <c r="M55" s="91">
        <f t="shared" si="8"/>
        <v>119568869187.38135</v>
      </c>
      <c r="N55" s="91">
        <f t="shared" si="8"/>
        <v>127220376908.56895</v>
      </c>
      <c r="O55" s="91">
        <f t="shared" si="8"/>
        <v>134577595871.24931</v>
      </c>
      <c r="P55" s="91">
        <f t="shared" si="8"/>
        <v>141651844873.82663</v>
      </c>
      <c r="Q55" s="91">
        <f t="shared" si="8"/>
        <v>148454007376.30481</v>
      </c>
      <c r="R55" s="91">
        <f t="shared" si="8"/>
        <v>154994548244.0723</v>
      </c>
      <c r="S55" s="91">
        <f t="shared" si="8"/>
        <v>161283529847.69485</v>
      </c>
      <c r="T55" s="91">
        <f t="shared" si="8"/>
        <v>167330627543.48578</v>
      </c>
      <c r="U55" s="91">
        <f t="shared" si="8"/>
        <v>173145144558.66934</v>
      </c>
      <c r="V55" s="91">
        <f t="shared" si="8"/>
        <v>178736026304.03824</v>
      </c>
      <c r="W55" s="91">
        <f t="shared" si="8"/>
        <v>184111874136.12363</v>
      </c>
      <c r="X55" s="91">
        <f t="shared" si="8"/>
        <v>189280958590.05188</v>
      </c>
      <c r="Y55" s="91">
        <f t="shared" si="8"/>
        <v>194251232103.44449</v>
      </c>
      <c r="Z55" s="91">
        <f t="shared" si="8"/>
        <v>199030341250.93738</v>
      </c>
    </row>
    <row r="56" spans="1:26">
      <c r="A56" s="90" t="s">
        <v>156</v>
      </c>
      <c r="B56" s="94">
        <f>$B$45+B55</f>
        <v>147938789599.11575</v>
      </c>
      <c r="C56" s="94">
        <f t="shared" ref="C56:Z56" si="9">$B$45+C55</f>
        <v>159717934197.42416</v>
      </c>
      <c r="D56" s="94">
        <f t="shared" si="9"/>
        <v>171044034772.72064</v>
      </c>
      <c r="E56" s="94">
        <f t="shared" si="9"/>
        <v>181934516095.12122</v>
      </c>
      <c r="F56" s="94">
        <f t="shared" si="9"/>
        <v>192406132751.27557</v>
      </c>
      <c r="G56" s="94">
        <f t="shared" si="9"/>
        <v>202474994920.65472</v>
      </c>
      <c r="H56" s="94">
        <f t="shared" si="9"/>
        <v>212156593160.44235</v>
      </c>
      <c r="I56" s="94">
        <f t="shared" si="9"/>
        <v>221465822237.16132</v>
      </c>
      <c r="J56" s="94">
        <f t="shared" si="9"/>
        <v>230417004041.69873</v>
      </c>
      <c r="K56" s="94">
        <f t="shared" si="9"/>
        <v>239023909622.98471</v>
      </c>
      <c r="L56" s="94">
        <f t="shared" si="9"/>
        <v>247299780374.22119</v>
      </c>
      <c r="M56" s="94">
        <f t="shared" si="9"/>
        <v>255257348404.25635</v>
      </c>
      <c r="N56" s="94">
        <f t="shared" si="9"/>
        <v>262908856125.44397</v>
      </c>
      <c r="O56" s="94">
        <f t="shared" si="9"/>
        <v>270266075088.12433</v>
      </c>
      <c r="P56" s="94">
        <f t="shared" si="9"/>
        <v>277340324090.70166</v>
      </c>
      <c r="Q56" s="94">
        <f t="shared" si="9"/>
        <v>284142486593.17981</v>
      </c>
      <c r="R56" s="94">
        <f t="shared" si="9"/>
        <v>290683027460.94727</v>
      </c>
      <c r="S56" s="94">
        <f t="shared" si="9"/>
        <v>296972009064.56982</v>
      </c>
      <c r="T56" s="94">
        <f t="shared" si="9"/>
        <v>303019106760.36078</v>
      </c>
      <c r="U56" s="94">
        <f t="shared" si="9"/>
        <v>308833623775.54431</v>
      </c>
      <c r="V56" s="94">
        <f t="shared" si="9"/>
        <v>314424505520.91321</v>
      </c>
      <c r="W56" s="94">
        <f t="shared" si="9"/>
        <v>319800353352.99866</v>
      </c>
      <c r="X56" s="94">
        <f t="shared" si="9"/>
        <v>324969437806.92688</v>
      </c>
      <c r="Y56" s="94">
        <f t="shared" si="9"/>
        <v>329939711320.31946</v>
      </c>
      <c r="Z56" s="94">
        <f t="shared" si="9"/>
        <v>334718820467.81238</v>
      </c>
    </row>
    <row r="59" spans="1:26">
      <c r="B59" s="90" t="s">
        <v>149</v>
      </c>
      <c r="C59" s="90" t="s">
        <v>156</v>
      </c>
      <c r="D59" s="90" t="s">
        <v>154</v>
      </c>
    </row>
    <row r="60" spans="1:26">
      <c r="B60" s="90">
        <v>1</v>
      </c>
      <c r="C60" s="94">
        <f>B56</f>
        <v>147938789599.11575</v>
      </c>
      <c r="D60" s="94">
        <f>B53</f>
        <v>82546153846.153931</v>
      </c>
    </row>
    <row r="61" spans="1:26">
      <c r="B61" s="90">
        <v>2</v>
      </c>
      <c r="C61" s="94">
        <f>C56</f>
        <v>159717934197.42416</v>
      </c>
      <c r="D61" s="94">
        <f>C53</f>
        <v>120644378698.22496</v>
      </c>
    </row>
    <row r="62" spans="1:26">
      <c r="B62" s="90">
        <v>3</v>
      </c>
      <c r="C62" s="94">
        <f>D56</f>
        <v>171044034772.72064</v>
      </c>
      <c r="D62" s="94">
        <f>D53</f>
        <v>157277287209.8316</v>
      </c>
    </row>
    <row r="63" spans="1:26">
      <c r="B63" s="90">
        <v>4</v>
      </c>
      <c r="C63" s="94">
        <f>E56</f>
        <v>181934516095.12122</v>
      </c>
      <c r="D63" s="94">
        <f>E53</f>
        <v>192501237701.76129</v>
      </c>
    </row>
    <row r="64" spans="1:26">
      <c r="B64" s="90">
        <v>5</v>
      </c>
      <c r="C64" s="94">
        <f>F56</f>
        <v>192406132751.27557</v>
      </c>
      <c r="D64" s="94">
        <f>F53</f>
        <v>226370420867.07831</v>
      </c>
    </row>
    <row r="65" spans="2:4">
      <c r="B65" s="90">
        <v>6</v>
      </c>
      <c r="C65" s="94">
        <f>G56</f>
        <v>202474994920.65472</v>
      </c>
      <c r="D65" s="94">
        <f>G53</f>
        <v>258936943141.42139</v>
      </c>
    </row>
    <row r="66" spans="2:4">
      <c r="B66" s="90">
        <v>7</v>
      </c>
      <c r="C66" s="94">
        <f>H56</f>
        <v>212156593160.44235</v>
      </c>
      <c r="D66" s="94">
        <f>H53</f>
        <v>290250906866.75122</v>
      </c>
    </row>
    <row r="67" spans="2:4">
      <c r="B67" s="90">
        <v>8</v>
      </c>
      <c r="C67" s="94">
        <f>I56</f>
        <v>221465822237.16132</v>
      </c>
      <c r="D67" s="94">
        <f>I53</f>
        <v>320360487371.87628</v>
      </c>
    </row>
    <row r="68" spans="2:4">
      <c r="B68" s="90">
        <v>9</v>
      </c>
      <c r="C68" s="94">
        <f>J56</f>
        <v>230417004041.69873</v>
      </c>
      <c r="D68" s="94">
        <f>J53</f>
        <v>349312007088.34277</v>
      </c>
    </row>
    <row r="69" spans="2:4">
      <c r="B69" s="90">
        <v>10</v>
      </c>
      <c r="C69" s="94">
        <f>K56</f>
        <v>239023909622.98471</v>
      </c>
      <c r="D69" s="94">
        <f>K53</f>
        <v>377150006815.71417</v>
      </c>
    </row>
    <row r="70" spans="2:4">
      <c r="B70" s="90">
        <v>11</v>
      </c>
      <c r="C70" s="94">
        <f>L56</f>
        <v>247299780374.22119</v>
      </c>
      <c r="D70" s="94">
        <f>L53</f>
        <v>403917314245.87891</v>
      </c>
    </row>
    <row r="71" spans="2:4">
      <c r="B71" s="90">
        <v>12</v>
      </c>
      <c r="C71" s="94">
        <f>M56</f>
        <v>255257348404.25635</v>
      </c>
      <c r="D71" s="94">
        <f>M53</f>
        <v>429655109851.80688</v>
      </c>
    </row>
    <row r="72" spans="2:4">
      <c r="B72" s="90">
        <v>13</v>
      </c>
      <c r="C72" s="94">
        <f>N56</f>
        <v>262908856125.44397</v>
      </c>
      <c r="D72" s="94">
        <f>N53</f>
        <v>454402990242.12195</v>
      </c>
    </row>
    <row r="73" spans="2:4">
      <c r="B73" s="90">
        <v>14</v>
      </c>
      <c r="C73" s="94">
        <f>O56</f>
        <v>270266075088.12433</v>
      </c>
      <c r="D73" s="94">
        <f>O53</f>
        <v>478199029078.96338</v>
      </c>
    </row>
    <row r="74" spans="2:4">
      <c r="B74" s="90">
        <v>15</v>
      </c>
      <c r="C74" s="94">
        <f>P56</f>
        <v>277340324090.70166</v>
      </c>
      <c r="D74" s="94">
        <f>P53</f>
        <v>501079835652.84943</v>
      </c>
    </row>
    <row r="75" spans="2:4">
      <c r="B75" s="90">
        <v>16</v>
      </c>
      <c r="C75" s="94">
        <f>Q56</f>
        <v>284142486593.17981</v>
      </c>
      <c r="D75" s="94">
        <f>Q53</f>
        <v>523080611204.66302</v>
      </c>
    </row>
    <row r="76" spans="2:4">
      <c r="B76" s="90">
        <v>17</v>
      </c>
      <c r="C76" s="94">
        <f>R56</f>
        <v>290683027460.94727</v>
      </c>
      <c r="D76" s="94">
        <f>R53</f>
        <v>544235203081.4068</v>
      </c>
    </row>
    <row r="77" spans="2:4">
      <c r="B77" s="90">
        <v>18</v>
      </c>
      <c r="C77" s="94">
        <f>S56</f>
        <v>296972009064.56982</v>
      </c>
      <c r="D77" s="94">
        <f>S53</f>
        <v>564576156809.04492</v>
      </c>
    </row>
    <row r="78" spans="2:4">
      <c r="B78" s="90">
        <v>19</v>
      </c>
      <c r="C78" s="94">
        <f>T56</f>
        <v>303019106760.36078</v>
      </c>
      <c r="D78" s="94">
        <f>T53</f>
        <v>584134766162.54321</v>
      </c>
    </row>
    <row r="79" spans="2:4">
      <c r="B79" s="90">
        <v>20</v>
      </c>
      <c r="C79" s="94">
        <f>U56</f>
        <v>308833623775.54431</v>
      </c>
      <c r="D79" s="94">
        <f>U53</f>
        <v>602941121310.1377</v>
      </c>
    </row>
    <row r="80" spans="2:4">
      <c r="B80" s="90">
        <v>21</v>
      </c>
      <c r="C80" s="94">
        <f>V56</f>
        <v>314424505520.91321</v>
      </c>
      <c r="D80" s="94">
        <f>V53</f>
        <v>621024155105.90186</v>
      </c>
    </row>
    <row r="81" spans="1:26">
      <c r="B81" s="90">
        <v>22</v>
      </c>
      <c r="C81" s="94">
        <f>W56</f>
        <v>319800353352.99866</v>
      </c>
      <c r="D81" s="94">
        <f>W53</f>
        <v>638411687601.82861</v>
      </c>
    </row>
    <row r="82" spans="1:26">
      <c r="B82" s="90">
        <v>23</v>
      </c>
      <c r="C82" s="94">
        <f>X56</f>
        <v>324969437806.92688</v>
      </c>
      <c r="D82" s="94">
        <f>X53</f>
        <v>655130468847.91211</v>
      </c>
    </row>
    <row r="83" spans="1:26">
      <c r="B83" s="90">
        <v>24</v>
      </c>
      <c r="C83" s="94">
        <f>Y56</f>
        <v>329939711320.31946</v>
      </c>
      <c r="D83" s="94">
        <f>Y53</f>
        <v>671206220046.06934</v>
      </c>
    </row>
    <row r="84" spans="1:26">
      <c r="B84" s="90">
        <v>25</v>
      </c>
      <c r="C84" s="94">
        <f>Z56</f>
        <v>334718820467.81238</v>
      </c>
      <c r="D84" s="94">
        <f>Z53</f>
        <v>686663673121.22058</v>
      </c>
    </row>
    <row r="88" spans="1:26">
      <c r="A88" s="113" t="s">
        <v>160</v>
      </c>
      <c r="B88" s="113"/>
    </row>
    <row r="89" spans="1:26">
      <c r="A89" s="90" t="s">
        <v>155</v>
      </c>
      <c r="B89" s="91">
        <v>135688479216.875</v>
      </c>
    </row>
    <row r="90" spans="1:26">
      <c r="A90" s="90" t="s">
        <v>31</v>
      </c>
      <c r="B90" s="90">
        <v>42924000000</v>
      </c>
    </row>
    <row r="91" spans="1:26">
      <c r="A91" s="90" t="s">
        <v>151</v>
      </c>
      <c r="B91" s="90">
        <v>0.04</v>
      </c>
    </row>
    <row r="92" spans="1:26" ht="12.75" thickBot="1">
      <c r="A92" s="90" t="s">
        <v>152</v>
      </c>
      <c r="B92" s="90">
        <v>11399236187.264</v>
      </c>
    </row>
    <row r="93" spans="1:26" ht="12.75" thickBot="1">
      <c r="A93" s="92" t="s">
        <v>150</v>
      </c>
      <c r="B93" s="93">
        <v>1</v>
      </c>
      <c r="C93" s="90">
        <v>2</v>
      </c>
      <c r="D93" s="90">
        <v>3</v>
      </c>
      <c r="E93" s="90">
        <v>4</v>
      </c>
      <c r="F93" s="90">
        <v>5</v>
      </c>
      <c r="G93" s="90">
        <v>6</v>
      </c>
      <c r="H93" s="90">
        <v>7</v>
      </c>
      <c r="I93" s="90">
        <v>8</v>
      </c>
      <c r="J93" s="90">
        <v>9</v>
      </c>
      <c r="K93" s="90">
        <v>10</v>
      </c>
      <c r="L93" s="90">
        <v>11</v>
      </c>
      <c r="M93" s="90">
        <v>12</v>
      </c>
      <c r="N93" s="90">
        <v>13</v>
      </c>
      <c r="O93" s="90">
        <v>14</v>
      </c>
      <c r="P93" s="90">
        <v>15</v>
      </c>
      <c r="Q93" s="90">
        <v>16</v>
      </c>
      <c r="R93" s="90">
        <v>17</v>
      </c>
      <c r="S93" s="90">
        <v>18</v>
      </c>
      <c r="T93" s="90">
        <v>19</v>
      </c>
      <c r="U93" s="90">
        <v>20</v>
      </c>
      <c r="V93" s="90">
        <v>21</v>
      </c>
      <c r="W93" s="90">
        <v>22</v>
      </c>
      <c r="X93" s="90">
        <v>23</v>
      </c>
      <c r="Y93" s="90">
        <v>24</v>
      </c>
      <c r="Z93" s="90">
        <v>25</v>
      </c>
    </row>
    <row r="95" spans="1:26">
      <c r="A95" s="90" t="s">
        <v>153</v>
      </c>
      <c r="B95" s="91">
        <f>$B$90*((1-(1.04^(-(B93))))/0.04)</f>
        <v>41273076923.077011</v>
      </c>
      <c r="C95" s="91">
        <f t="shared" ref="C95:Z95" si="10">$B$90*((1-(1.04^(-(C93))))/0.04)</f>
        <v>80958727810.651001</v>
      </c>
      <c r="D95" s="91">
        <f t="shared" si="10"/>
        <v>119118007510.24126</v>
      </c>
      <c r="E95" s="91">
        <f t="shared" si="10"/>
        <v>155809622606.00134</v>
      </c>
      <c r="F95" s="91">
        <f t="shared" si="10"/>
        <v>191090021736.53989</v>
      </c>
      <c r="G95" s="91">
        <f t="shared" si="10"/>
        <v>225013482438.98062</v>
      </c>
      <c r="H95" s="91">
        <f t="shared" si="10"/>
        <v>257632194652.86584</v>
      </c>
      <c r="I95" s="91">
        <f t="shared" si="10"/>
        <v>288996341012.37115</v>
      </c>
      <c r="J95" s="91">
        <f t="shared" si="10"/>
        <v>319154174050.35706</v>
      </c>
      <c r="K95" s="91">
        <f t="shared" si="10"/>
        <v>348152090433.03558</v>
      </c>
      <c r="L95" s="91">
        <f t="shared" si="10"/>
        <v>376034702339.45721</v>
      </c>
      <c r="M95" s="91">
        <f t="shared" si="10"/>
        <v>402844906095.63214</v>
      </c>
      <c r="N95" s="91">
        <f t="shared" si="10"/>
        <v>428623948168.87701</v>
      </c>
      <c r="O95" s="91">
        <f t="shared" si="10"/>
        <v>453411488623.92017</v>
      </c>
      <c r="P95" s="91">
        <f t="shared" si="10"/>
        <v>477245662138.38483</v>
      </c>
      <c r="Q95" s="91">
        <f t="shared" si="10"/>
        <v>500163136671.52399</v>
      </c>
      <c r="R95" s="91">
        <f t="shared" si="10"/>
        <v>522199169876.46539</v>
      </c>
      <c r="S95" s="91">
        <f t="shared" si="10"/>
        <v>543387663342.75519</v>
      </c>
      <c r="T95" s="91">
        <f t="shared" si="10"/>
        <v>563761214752.64917</v>
      </c>
      <c r="U95" s="91">
        <f t="shared" si="10"/>
        <v>583351168031.39343</v>
      </c>
      <c r="V95" s="91">
        <f t="shared" si="10"/>
        <v>602187661568.64771</v>
      </c>
      <c r="W95" s="91">
        <f t="shared" si="10"/>
        <v>620299674585.23816</v>
      </c>
      <c r="X95" s="91">
        <f t="shared" si="10"/>
        <v>637715071716.57507</v>
      </c>
      <c r="Y95" s="91">
        <f t="shared" si="10"/>
        <v>654460645881.32227</v>
      </c>
      <c r="Z95" s="91">
        <f t="shared" si="10"/>
        <v>670562159501.27148</v>
      </c>
    </row>
    <row r="96" spans="1:26">
      <c r="A96" s="90" t="s">
        <v>37</v>
      </c>
      <c r="B96" s="91">
        <f>$B$90*((1+0.04)^-(B93))</f>
        <v>41273076923.07692</v>
      </c>
      <c r="C96" s="91">
        <f t="shared" ref="C96:Z96" si="11">$B$90*((1+0.04)^-(C93))</f>
        <v>39685650887.573959</v>
      </c>
      <c r="D96" s="91">
        <f t="shared" si="11"/>
        <v>38159279699.590347</v>
      </c>
      <c r="E96" s="91">
        <f t="shared" si="11"/>
        <v>36691615095.759949</v>
      </c>
      <c r="F96" s="91">
        <f t="shared" si="11"/>
        <v>35280399130.538406</v>
      </c>
      <c r="G96" s="91">
        <f t="shared" si="11"/>
        <v>33923460702.440773</v>
      </c>
      <c r="H96" s="91">
        <f t="shared" si="11"/>
        <v>32618712213.885365</v>
      </c>
      <c r="I96" s="91">
        <f t="shared" si="11"/>
        <v>31364146359.505154</v>
      </c>
      <c r="J96" s="91">
        <f t="shared" si="11"/>
        <v>30157833037.985718</v>
      </c>
      <c r="K96" s="91">
        <f t="shared" si="11"/>
        <v>28997916382.678574</v>
      </c>
      <c r="L96" s="91">
        <f t="shared" si="11"/>
        <v>27882611906.421711</v>
      </c>
      <c r="M96" s="91">
        <f t="shared" si="11"/>
        <v>26810203756.174717</v>
      </c>
      <c r="N96" s="91">
        <f t="shared" si="11"/>
        <v>25779042073.244919</v>
      </c>
      <c r="O96" s="91">
        <f t="shared" si="11"/>
        <v>24787540455.043194</v>
      </c>
      <c r="P96" s="91">
        <f t="shared" si="11"/>
        <v>23834173514.464607</v>
      </c>
      <c r="Q96" s="91">
        <f t="shared" si="11"/>
        <v>22917474533.139042</v>
      </c>
      <c r="R96" s="91">
        <f t="shared" si="11"/>
        <v>22036033204.941387</v>
      </c>
      <c r="S96" s="91">
        <f t="shared" si="11"/>
        <v>21188493466.289791</v>
      </c>
      <c r="T96" s="91">
        <f t="shared" si="11"/>
        <v>20373551409.894032</v>
      </c>
      <c r="U96" s="91">
        <f t="shared" si="11"/>
        <v>19589953278.744259</v>
      </c>
      <c r="V96" s="91">
        <f t="shared" si="11"/>
        <v>18836493537.254093</v>
      </c>
      <c r="W96" s="91">
        <f t="shared" si="11"/>
        <v>18112013016.590473</v>
      </c>
      <c r="X96" s="91">
        <f t="shared" si="11"/>
        <v>17415397131.336994</v>
      </c>
      <c r="Y96" s="91">
        <f t="shared" si="11"/>
        <v>16745574164.74711</v>
      </c>
      <c r="Z96" s="91">
        <f t="shared" si="11"/>
        <v>16101513619.949141</v>
      </c>
    </row>
    <row r="97" spans="1:26">
      <c r="A97" s="90" t="s">
        <v>154</v>
      </c>
      <c r="B97" s="94">
        <f>B95+B96</f>
        <v>82546153846.153931</v>
      </c>
      <c r="C97" s="94">
        <f t="shared" ref="C97:Z97" si="12">C95+C96</f>
        <v>120644378698.22496</v>
      </c>
      <c r="D97" s="94">
        <f t="shared" si="12"/>
        <v>157277287209.8316</v>
      </c>
      <c r="E97" s="94">
        <f t="shared" si="12"/>
        <v>192501237701.76129</v>
      </c>
      <c r="F97" s="94">
        <f t="shared" si="12"/>
        <v>226370420867.07831</v>
      </c>
      <c r="G97" s="94">
        <f t="shared" si="12"/>
        <v>258936943141.42139</v>
      </c>
      <c r="H97" s="94">
        <f t="shared" si="12"/>
        <v>290250906866.75122</v>
      </c>
      <c r="I97" s="94">
        <f t="shared" si="12"/>
        <v>320360487371.87628</v>
      </c>
      <c r="J97" s="94">
        <f t="shared" si="12"/>
        <v>349312007088.34277</v>
      </c>
      <c r="K97" s="94">
        <f t="shared" si="12"/>
        <v>377150006815.71417</v>
      </c>
      <c r="L97" s="94">
        <f t="shared" si="12"/>
        <v>403917314245.87891</v>
      </c>
      <c r="M97" s="94">
        <f t="shared" si="12"/>
        <v>429655109851.80688</v>
      </c>
      <c r="N97" s="94">
        <f t="shared" si="12"/>
        <v>454402990242.12195</v>
      </c>
      <c r="O97" s="94">
        <f t="shared" si="12"/>
        <v>478199029078.96338</v>
      </c>
      <c r="P97" s="94">
        <f t="shared" si="12"/>
        <v>501079835652.84943</v>
      </c>
      <c r="Q97" s="94">
        <f t="shared" si="12"/>
        <v>523080611204.66302</v>
      </c>
      <c r="R97" s="94">
        <f t="shared" si="12"/>
        <v>544235203081.4068</v>
      </c>
      <c r="S97" s="94">
        <f t="shared" si="12"/>
        <v>564576156809.04492</v>
      </c>
      <c r="T97" s="94">
        <f t="shared" si="12"/>
        <v>584134766162.54321</v>
      </c>
      <c r="U97" s="94">
        <f t="shared" si="12"/>
        <v>602941121310.1377</v>
      </c>
      <c r="V97" s="94">
        <f t="shared" si="12"/>
        <v>621024155105.90186</v>
      </c>
      <c r="W97" s="94">
        <f t="shared" si="12"/>
        <v>638411687601.82861</v>
      </c>
      <c r="X97" s="94">
        <f t="shared" si="12"/>
        <v>655130468847.91211</v>
      </c>
      <c r="Y97" s="94">
        <f t="shared" si="12"/>
        <v>671206220046.06934</v>
      </c>
      <c r="Z97" s="94">
        <f t="shared" si="12"/>
        <v>686663673121.22058</v>
      </c>
    </row>
    <row r="99" spans="1:26">
      <c r="A99" s="90" t="s">
        <v>59</v>
      </c>
      <c r="B99" s="91">
        <f>$B$92*((1-(1.04^(-(B93))))/0.04)</f>
        <v>10960804026.215408</v>
      </c>
      <c r="C99" s="91">
        <f t="shared" ref="C99:Z99" si="13">$B$92*((1-(1.04^(-(C93))))/0.04)</f>
        <v>21500038666.807133</v>
      </c>
      <c r="D99" s="91">
        <f t="shared" si="13"/>
        <v>31633918128.914524</v>
      </c>
      <c r="E99" s="91">
        <f t="shared" si="13"/>
        <v>41378032996.325539</v>
      </c>
      <c r="F99" s="91">
        <f t="shared" si="13"/>
        <v>50747374214.989975</v>
      </c>
      <c r="G99" s="91">
        <f t="shared" si="13"/>
        <v>59756356156.013428</v>
      </c>
      <c r="H99" s="91">
        <f t="shared" si="13"/>
        <v>68418838791.612877</v>
      </c>
      <c r="I99" s="91">
        <f t="shared" si="13"/>
        <v>76748149018.150894</v>
      </c>
      <c r="J99" s="91">
        <f t="shared" si="13"/>
        <v>84757101159.052811</v>
      </c>
      <c r="K99" s="91">
        <f t="shared" si="13"/>
        <v>92458016679.150772</v>
      </c>
      <c r="L99" s="91">
        <f t="shared" si="13"/>
        <v>99862743140.783417</v>
      </c>
      <c r="M99" s="91">
        <f t="shared" si="13"/>
        <v>106982672430.81488</v>
      </c>
      <c r="N99" s="91">
        <f t="shared" si="13"/>
        <v>113828758286.6143</v>
      </c>
      <c r="O99" s="91">
        <f t="shared" si="13"/>
        <v>120411533147.95988</v>
      </c>
      <c r="P99" s="91">
        <f t="shared" si="13"/>
        <v>126741124360.79222</v>
      </c>
      <c r="Q99" s="91">
        <f t="shared" si="13"/>
        <v>132827269757.74638</v>
      </c>
      <c r="R99" s="91">
        <f t="shared" si="13"/>
        <v>138679332639.43307</v>
      </c>
      <c r="S99" s="91">
        <f t="shared" si="13"/>
        <v>144306316179.51642</v>
      </c>
      <c r="T99" s="91">
        <f t="shared" si="13"/>
        <v>149716877275.7504</v>
      </c>
      <c r="U99" s="91">
        <f t="shared" si="13"/>
        <v>154919339868.28308</v>
      </c>
      <c r="V99" s="91">
        <f t="shared" si="13"/>
        <v>159921707745.71838</v>
      </c>
      <c r="W99" s="91">
        <f t="shared" si="13"/>
        <v>164731676858.6369</v>
      </c>
      <c r="X99" s="91">
        <f t="shared" si="13"/>
        <v>169356647159.52008</v>
      </c>
      <c r="Y99" s="91">
        <f t="shared" si="13"/>
        <v>173803733987.29242</v>
      </c>
      <c r="Z99" s="91">
        <f t="shared" si="13"/>
        <v>178079779013.99655</v>
      </c>
    </row>
    <row r="100" spans="1:26">
      <c r="A100" s="90" t="s">
        <v>156</v>
      </c>
      <c r="B100" s="94">
        <f>$B$89+B99</f>
        <v>146649283243.09039</v>
      </c>
      <c r="C100" s="94">
        <f t="shared" ref="C100:Z100" si="14">$B$89+C99</f>
        <v>157188517883.68213</v>
      </c>
      <c r="D100" s="94">
        <f t="shared" si="14"/>
        <v>167322397345.78952</v>
      </c>
      <c r="E100" s="94">
        <f t="shared" si="14"/>
        <v>177066512213.20053</v>
      </c>
      <c r="F100" s="94">
        <f t="shared" si="14"/>
        <v>186435853431.86499</v>
      </c>
      <c r="G100" s="94">
        <f t="shared" si="14"/>
        <v>195444835372.88843</v>
      </c>
      <c r="H100" s="94">
        <f t="shared" si="14"/>
        <v>204107318008.48788</v>
      </c>
      <c r="I100" s="94">
        <f t="shared" si="14"/>
        <v>212436628235.02588</v>
      </c>
      <c r="J100" s="94">
        <f t="shared" si="14"/>
        <v>220445580375.9278</v>
      </c>
      <c r="K100" s="94">
        <f t="shared" si="14"/>
        <v>228146495896.02576</v>
      </c>
      <c r="L100" s="94">
        <f t="shared" si="14"/>
        <v>235551222357.65842</v>
      </c>
      <c r="M100" s="94">
        <f t="shared" si="14"/>
        <v>242671151647.68988</v>
      </c>
      <c r="N100" s="94">
        <f t="shared" si="14"/>
        <v>249517237503.48932</v>
      </c>
      <c r="O100" s="94">
        <f t="shared" si="14"/>
        <v>256100012364.8349</v>
      </c>
      <c r="P100" s="94">
        <f t="shared" si="14"/>
        <v>262429603577.66724</v>
      </c>
      <c r="Q100" s="94">
        <f t="shared" si="14"/>
        <v>268515748974.6214</v>
      </c>
      <c r="R100" s="94">
        <f t="shared" si="14"/>
        <v>274367811856.30807</v>
      </c>
      <c r="S100" s="94">
        <f t="shared" si="14"/>
        <v>279994795396.39142</v>
      </c>
      <c r="T100" s="94">
        <f t="shared" si="14"/>
        <v>285405356492.62537</v>
      </c>
      <c r="U100" s="94">
        <f t="shared" si="14"/>
        <v>290607819085.15808</v>
      </c>
      <c r="V100" s="94">
        <f t="shared" si="14"/>
        <v>295610186962.59338</v>
      </c>
      <c r="W100" s="94">
        <f t="shared" si="14"/>
        <v>300420156075.5119</v>
      </c>
      <c r="X100" s="94">
        <f t="shared" si="14"/>
        <v>305045126376.39508</v>
      </c>
      <c r="Y100" s="94">
        <f t="shared" si="14"/>
        <v>309492213204.16742</v>
      </c>
      <c r="Z100" s="94">
        <f t="shared" si="14"/>
        <v>313768258230.87158</v>
      </c>
    </row>
    <row r="103" spans="1:26">
      <c r="B103" s="90" t="s">
        <v>149</v>
      </c>
      <c r="C103" s="90" t="s">
        <v>156</v>
      </c>
      <c r="D103" s="90" t="s">
        <v>154</v>
      </c>
    </row>
    <row r="104" spans="1:26">
      <c r="B104" s="90">
        <v>1</v>
      </c>
      <c r="C104" s="94">
        <f>B100</f>
        <v>146649283243.09039</v>
      </c>
      <c r="D104" s="94">
        <f>B97</f>
        <v>82546153846.153931</v>
      </c>
    </row>
    <row r="105" spans="1:26">
      <c r="B105" s="90">
        <v>2</v>
      </c>
      <c r="C105" s="94">
        <f>C100</f>
        <v>157188517883.68213</v>
      </c>
      <c r="D105" s="94">
        <f>C97</f>
        <v>120644378698.22496</v>
      </c>
    </row>
    <row r="106" spans="1:26">
      <c r="B106" s="90">
        <v>3</v>
      </c>
      <c r="C106" s="94">
        <f>D100</f>
        <v>167322397345.78952</v>
      </c>
      <c r="D106" s="94">
        <f>D97</f>
        <v>157277287209.8316</v>
      </c>
    </row>
    <row r="107" spans="1:26">
      <c r="B107" s="90">
        <v>4</v>
      </c>
      <c r="C107" s="94">
        <f>E100</f>
        <v>177066512213.20053</v>
      </c>
      <c r="D107" s="94">
        <f>E97</f>
        <v>192501237701.76129</v>
      </c>
    </row>
    <row r="108" spans="1:26">
      <c r="B108" s="90">
        <v>5</v>
      </c>
      <c r="C108" s="94">
        <f>F100</f>
        <v>186435853431.86499</v>
      </c>
      <c r="D108" s="94">
        <f>F97</f>
        <v>226370420867.07831</v>
      </c>
    </row>
    <row r="109" spans="1:26">
      <c r="B109" s="90">
        <v>6</v>
      </c>
      <c r="C109" s="94">
        <f>G100</f>
        <v>195444835372.88843</v>
      </c>
      <c r="D109" s="94">
        <f>G97</f>
        <v>258936943141.42139</v>
      </c>
    </row>
    <row r="110" spans="1:26">
      <c r="B110" s="90">
        <v>7</v>
      </c>
      <c r="C110" s="94">
        <f>H100</f>
        <v>204107318008.48788</v>
      </c>
      <c r="D110" s="94">
        <f>H97</f>
        <v>290250906866.75122</v>
      </c>
    </row>
    <row r="111" spans="1:26">
      <c r="B111" s="90">
        <v>8</v>
      </c>
      <c r="C111" s="94">
        <f>I100</f>
        <v>212436628235.02588</v>
      </c>
      <c r="D111" s="94">
        <f>I97</f>
        <v>320360487371.87628</v>
      </c>
    </row>
    <row r="112" spans="1:26">
      <c r="B112" s="90">
        <v>9</v>
      </c>
      <c r="C112" s="94">
        <f>J100</f>
        <v>220445580375.9278</v>
      </c>
      <c r="D112" s="94">
        <f>J97</f>
        <v>349312007088.34277</v>
      </c>
    </row>
    <row r="113" spans="2:4">
      <c r="B113" s="90">
        <v>10</v>
      </c>
      <c r="C113" s="94">
        <f>K100</f>
        <v>228146495896.02576</v>
      </c>
      <c r="D113" s="94">
        <f>K97</f>
        <v>377150006815.71417</v>
      </c>
    </row>
    <row r="114" spans="2:4">
      <c r="B114" s="90">
        <v>11</v>
      </c>
      <c r="C114" s="94">
        <f>L100</f>
        <v>235551222357.65842</v>
      </c>
      <c r="D114" s="94">
        <f>L97</f>
        <v>403917314245.87891</v>
      </c>
    </row>
    <row r="115" spans="2:4">
      <c r="B115" s="90">
        <v>12</v>
      </c>
      <c r="C115" s="94">
        <f>M100</f>
        <v>242671151647.68988</v>
      </c>
      <c r="D115" s="94">
        <f>M97</f>
        <v>429655109851.80688</v>
      </c>
    </row>
    <row r="116" spans="2:4">
      <c r="B116" s="90">
        <v>13</v>
      </c>
      <c r="C116" s="94">
        <f>N100</f>
        <v>249517237503.48932</v>
      </c>
      <c r="D116" s="94">
        <f>N97</f>
        <v>454402990242.12195</v>
      </c>
    </row>
    <row r="117" spans="2:4">
      <c r="B117" s="90">
        <v>14</v>
      </c>
      <c r="C117" s="94">
        <f>O100</f>
        <v>256100012364.8349</v>
      </c>
      <c r="D117" s="94">
        <f>O97</f>
        <v>478199029078.96338</v>
      </c>
    </row>
    <row r="118" spans="2:4">
      <c r="B118" s="90">
        <v>15</v>
      </c>
      <c r="C118" s="94">
        <f>P100</f>
        <v>262429603577.66724</v>
      </c>
      <c r="D118" s="94">
        <f>P97</f>
        <v>501079835652.84943</v>
      </c>
    </row>
    <row r="119" spans="2:4">
      <c r="B119" s="90">
        <v>16</v>
      </c>
      <c r="C119" s="94">
        <f>Q100</f>
        <v>268515748974.6214</v>
      </c>
      <c r="D119" s="94">
        <f>Q97</f>
        <v>523080611204.66302</v>
      </c>
    </row>
    <row r="120" spans="2:4">
      <c r="B120" s="90">
        <v>17</v>
      </c>
      <c r="C120" s="94">
        <f>R100</f>
        <v>274367811856.30807</v>
      </c>
      <c r="D120" s="94">
        <f>R97</f>
        <v>544235203081.4068</v>
      </c>
    </row>
    <row r="121" spans="2:4">
      <c r="B121" s="90">
        <v>18</v>
      </c>
      <c r="C121" s="94">
        <f>S100</f>
        <v>279994795396.39142</v>
      </c>
      <c r="D121" s="94">
        <f>S97</f>
        <v>564576156809.04492</v>
      </c>
    </row>
    <row r="122" spans="2:4">
      <c r="B122" s="90">
        <v>19</v>
      </c>
      <c r="C122" s="94">
        <f>T100</f>
        <v>285405356492.62537</v>
      </c>
      <c r="D122" s="94">
        <f>T97</f>
        <v>584134766162.54321</v>
      </c>
    </row>
    <row r="123" spans="2:4">
      <c r="B123" s="90">
        <v>20</v>
      </c>
      <c r="C123" s="94">
        <f>U100</f>
        <v>290607819085.15808</v>
      </c>
      <c r="D123" s="94">
        <f>U97</f>
        <v>602941121310.1377</v>
      </c>
    </row>
    <row r="124" spans="2:4">
      <c r="B124" s="90">
        <v>21</v>
      </c>
      <c r="C124" s="94">
        <f>V100</f>
        <v>295610186962.59338</v>
      </c>
      <c r="D124" s="94">
        <f>V97</f>
        <v>621024155105.90186</v>
      </c>
    </row>
    <row r="125" spans="2:4">
      <c r="B125" s="90">
        <v>22</v>
      </c>
      <c r="C125" s="94">
        <f>W100</f>
        <v>300420156075.5119</v>
      </c>
      <c r="D125" s="94">
        <f>W97</f>
        <v>638411687601.82861</v>
      </c>
    </row>
    <row r="126" spans="2:4">
      <c r="B126" s="90">
        <v>23</v>
      </c>
      <c r="C126" s="94">
        <f>X100</f>
        <v>305045126376.39508</v>
      </c>
      <c r="D126" s="94">
        <f>X97</f>
        <v>655130468847.91211</v>
      </c>
    </row>
    <row r="127" spans="2:4">
      <c r="B127" s="90">
        <v>24</v>
      </c>
      <c r="C127" s="94">
        <f>Y100</f>
        <v>309492213204.16742</v>
      </c>
      <c r="D127" s="94">
        <f>Y97</f>
        <v>671206220046.06934</v>
      </c>
    </row>
    <row r="128" spans="2:4">
      <c r="B128" s="90">
        <v>25</v>
      </c>
      <c r="C128" s="94">
        <f>Z100</f>
        <v>313768258230.87158</v>
      </c>
      <c r="D128" s="94">
        <f>Z97</f>
        <v>686663673121.22058</v>
      </c>
    </row>
  </sheetData>
  <mergeCells count="2">
    <mergeCell ref="A44:B44"/>
    <mergeCell ref="A88:B8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27"/>
  <sheetViews>
    <sheetView topLeftCell="AB1" zoomScale="85" zoomScaleNormal="85" workbookViewId="0">
      <selection activeCell="AD20" sqref="AD20"/>
    </sheetView>
  </sheetViews>
  <sheetFormatPr defaultRowHeight="15"/>
  <cols>
    <col min="1" max="1" width="22.28515625" bestFit="1" customWidth="1"/>
    <col min="2" max="2" width="17.28515625" bestFit="1" customWidth="1"/>
    <col min="3" max="3" width="6.140625" bestFit="1" customWidth="1"/>
    <col min="4" max="4" width="17.28515625" bestFit="1" customWidth="1"/>
    <col min="5" max="5" width="20.5703125" bestFit="1" customWidth="1"/>
    <col min="7" max="7" width="32.42578125" bestFit="1" customWidth="1"/>
    <col min="8" max="8" width="6.7109375" bestFit="1" customWidth="1"/>
    <col min="9" max="9" width="21.7109375" bestFit="1" customWidth="1"/>
    <col min="11" max="11" width="23.85546875" bestFit="1" customWidth="1"/>
    <col min="12" max="12" width="20.140625" bestFit="1" customWidth="1"/>
    <col min="14" max="14" width="24.5703125" bestFit="1" customWidth="1"/>
    <col min="16" max="16" width="16.5703125" customWidth="1"/>
    <col min="17" max="17" width="20.7109375" bestFit="1" customWidth="1"/>
    <col min="19" max="19" width="16.7109375" customWidth="1"/>
    <col min="21" max="21" width="20.7109375" customWidth="1"/>
    <col min="23" max="23" width="17.5703125" customWidth="1"/>
    <col min="24" max="24" width="10.28515625" bestFit="1" customWidth="1"/>
    <col min="25" max="25" width="8.7109375" bestFit="1" customWidth="1"/>
    <col min="27" max="27" width="39.140625" bestFit="1" customWidth="1"/>
    <col min="28" max="28" width="27.42578125" bestFit="1" customWidth="1"/>
    <col min="29" max="29" width="32.5703125" bestFit="1" customWidth="1"/>
    <col min="30" max="30" width="35.5703125" bestFit="1" customWidth="1"/>
    <col min="31" max="31" width="40.7109375" bestFit="1" customWidth="1"/>
  </cols>
  <sheetData>
    <row r="1" spans="1:32" ht="15.75">
      <c r="A1" s="115" t="s">
        <v>102</v>
      </c>
      <c r="B1" s="116"/>
      <c r="C1" s="116"/>
      <c r="D1" s="116"/>
      <c r="E1" s="117"/>
      <c r="F1" s="4"/>
      <c r="G1" s="118" t="s">
        <v>8</v>
      </c>
      <c r="H1" s="118"/>
      <c r="I1" s="118"/>
      <c r="J1" s="1"/>
      <c r="K1" s="1"/>
      <c r="L1" s="1"/>
      <c r="M1" s="1"/>
      <c r="N1" s="119" t="s">
        <v>39</v>
      </c>
      <c r="O1" s="119"/>
      <c r="P1" s="6"/>
      <c r="Q1" s="6"/>
      <c r="R1" s="6"/>
      <c r="S1" s="6"/>
      <c r="T1" s="6"/>
      <c r="U1" s="6"/>
      <c r="V1" s="6"/>
      <c r="W1" s="6"/>
      <c r="X1" s="6"/>
      <c r="Y1" s="6"/>
      <c r="Z1" s="1"/>
      <c r="AA1" s="71" t="s">
        <v>53</v>
      </c>
      <c r="AB1" s="7"/>
      <c r="AC1" s="7"/>
      <c r="AD1" s="7"/>
      <c r="AE1" s="7"/>
      <c r="AF1" s="1"/>
    </row>
    <row r="2" spans="1:32" ht="15.75">
      <c r="A2" s="2"/>
      <c r="B2" s="68" t="s">
        <v>6</v>
      </c>
      <c r="C2" s="68" t="s">
        <v>4</v>
      </c>
      <c r="D2" s="68" t="s">
        <v>5</v>
      </c>
      <c r="E2" s="68" t="s">
        <v>7</v>
      </c>
      <c r="F2" s="3"/>
      <c r="G2" s="2" t="s">
        <v>9</v>
      </c>
      <c r="H2" s="2"/>
      <c r="I2" s="17">
        <f>E12</f>
        <v>74605257247.5</v>
      </c>
      <c r="J2" s="1"/>
      <c r="K2" s="2" t="s">
        <v>22</v>
      </c>
      <c r="L2" s="2">
        <f>I15+I17</f>
        <v>1961885730.0031409</v>
      </c>
      <c r="M2" s="1"/>
      <c r="N2" s="8"/>
      <c r="O2" s="120" t="s">
        <v>36</v>
      </c>
      <c r="P2" s="120"/>
      <c r="Q2" s="69" t="s">
        <v>101</v>
      </c>
      <c r="R2" s="120" t="s">
        <v>37</v>
      </c>
      <c r="S2" s="120"/>
      <c r="T2" s="120" t="s">
        <v>38</v>
      </c>
      <c r="U2" s="120"/>
      <c r="V2" s="120" t="s">
        <v>39</v>
      </c>
      <c r="W2" s="120"/>
      <c r="X2" s="6"/>
      <c r="Y2" s="6"/>
      <c r="Z2" s="1"/>
      <c r="AA2" s="62"/>
      <c r="AB2" s="69" t="s">
        <v>54</v>
      </c>
      <c r="AC2" s="69" t="s">
        <v>55</v>
      </c>
      <c r="AD2" s="69" t="s">
        <v>56</v>
      </c>
      <c r="AE2" s="7"/>
      <c r="AF2" s="1"/>
    </row>
    <row r="3" spans="1:32">
      <c r="A3" s="29" t="s">
        <v>0</v>
      </c>
      <c r="B3" s="31">
        <v>699000000</v>
      </c>
      <c r="C3" s="33">
        <v>1</v>
      </c>
      <c r="D3" s="26">
        <f t="shared" ref="D3:D11" si="0">B3*C3</f>
        <v>699000000</v>
      </c>
      <c r="E3" s="17">
        <f t="shared" ref="E3:E11" si="1">D3*50.75</f>
        <v>35474250000</v>
      </c>
      <c r="F3" s="3"/>
      <c r="G3" s="2" t="s">
        <v>10</v>
      </c>
      <c r="H3" s="2">
        <v>0.1</v>
      </c>
      <c r="I3" s="17">
        <f>H3*I2</f>
        <v>7460525724.75</v>
      </c>
      <c r="J3" s="1"/>
      <c r="K3" s="2" t="s">
        <v>23</v>
      </c>
      <c r="L3" s="2">
        <f>I14+I16</f>
        <v>2615847640.0041881</v>
      </c>
      <c r="M3" s="1"/>
      <c r="N3" s="8" t="s">
        <v>9</v>
      </c>
      <c r="O3" s="103">
        <f>E12</f>
        <v>74605257247.5</v>
      </c>
      <c r="P3" s="103"/>
      <c r="Q3" s="61">
        <v>0.04</v>
      </c>
      <c r="R3" s="103">
        <f>O3*Q3</f>
        <v>2984210289.9000001</v>
      </c>
      <c r="S3" s="103"/>
      <c r="T3" s="102">
        <v>25</v>
      </c>
      <c r="U3" s="102"/>
      <c r="V3" s="103">
        <f>(O3-R3)/T3</f>
        <v>2864841878.3040004</v>
      </c>
      <c r="W3" s="103"/>
      <c r="X3" s="6"/>
      <c r="Y3" s="6"/>
      <c r="Z3" s="1"/>
      <c r="AA3" s="62" t="s">
        <v>32</v>
      </c>
      <c r="AB3" s="61">
        <f>9.8*AB20*0.92*24*365*1000</f>
        <v>35541072000</v>
      </c>
      <c r="AC3" s="61">
        <f>L17</f>
        <v>42924000000</v>
      </c>
      <c r="AD3" s="61">
        <f>AC3</f>
        <v>42924000000</v>
      </c>
      <c r="AE3" s="7"/>
      <c r="AF3" s="1"/>
    </row>
    <row r="4" spans="1:32">
      <c r="A4" s="29" t="s">
        <v>25</v>
      </c>
      <c r="B4" s="31">
        <v>88040000</v>
      </c>
      <c r="C4" s="33">
        <v>1</v>
      </c>
      <c r="D4" s="26">
        <f t="shared" si="0"/>
        <v>88040000</v>
      </c>
      <c r="E4" s="17">
        <f t="shared" si="1"/>
        <v>4468030000</v>
      </c>
      <c r="F4" s="3"/>
      <c r="G4" s="2" t="s">
        <v>11</v>
      </c>
      <c r="H4" s="2">
        <v>0.33</v>
      </c>
      <c r="I4" s="17">
        <f>H4*I2</f>
        <v>24619734891.675003</v>
      </c>
      <c r="J4" s="1"/>
      <c r="K4" s="1"/>
      <c r="L4" s="1"/>
      <c r="M4" s="1"/>
      <c r="N4" s="8" t="s">
        <v>42</v>
      </c>
      <c r="O4" s="103">
        <f>I8</f>
        <v>14921051449.5</v>
      </c>
      <c r="P4" s="103"/>
      <c r="Q4" s="61">
        <v>0.04</v>
      </c>
      <c r="R4" s="103">
        <f>O4*Q4</f>
        <v>596842057.98000002</v>
      </c>
      <c r="S4" s="103"/>
      <c r="T4" s="102">
        <v>25</v>
      </c>
      <c r="U4" s="102"/>
      <c r="V4" s="103">
        <f>(O4-R4)/T4</f>
        <v>572968375.66079998</v>
      </c>
      <c r="W4" s="103"/>
      <c r="X4" s="6"/>
      <c r="Y4" s="6"/>
      <c r="Z4" s="1"/>
      <c r="AA4" s="62" t="s">
        <v>59</v>
      </c>
      <c r="AB4" s="61">
        <f>L19</f>
        <v>4935813478.5528002</v>
      </c>
      <c r="AC4" s="61">
        <f>10695230090+SUM(I14:I18)</f>
        <v>15926925370.008377</v>
      </c>
      <c r="AD4" s="61">
        <f>(L16*0.9*0.9)+SUM(I14:I18)</f>
        <v>10528786751.016857</v>
      </c>
      <c r="AE4" s="7"/>
      <c r="AF4" s="1"/>
    </row>
    <row r="5" spans="1:32">
      <c r="A5" s="30" t="s">
        <v>26</v>
      </c>
      <c r="B5" s="32">
        <v>81486200</v>
      </c>
      <c r="C5" s="34">
        <v>1</v>
      </c>
      <c r="D5" s="26">
        <f t="shared" si="0"/>
        <v>81486200</v>
      </c>
      <c r="E5" s="17">
        <f t="shared" si="1"/>
        <v>4135424650</v>
      </c>
      <c r="F5" s="3"/>
      <c r="G5" s="2" t="s">
        <v>12</v>
      </c>
      <c r="H5" s="2">
        <v>0.2</v>
      </c>
      <c r="I5" s="17">
        <f>H5*I2</f>
        <v>14921051449.5</v>
      </c>
      <c r="J5" s="1"/>
      <c r="K5" s="1"/>
      <c r="L5" s="1"/>
      <c r="M5" s="1"/>
      <c r="N5" s="8" t="s">
        <v>40</v>
      </c>
      <c r="O5" s="103">
        <f>L2</f>
        <v>1961885730.0031409</v>
      </c>
      <c r="P5" s="103"/>
      <c r="Q5" s="61">
        <v>0.04</v>
      </c>
      <c r="R5" s="103">
        <f>O5*Q5</f>
        <v>78475429.200125635</v>
      </c>
      <c r="S5" s="103"/>
      <c r="T5" s="102">
        <v>25</v>
      </c>
      <c r="U5" s="102"/>
      <c r="V5" s="103">
        <f>(O5-R5)/T5</f>
        <v>75336412.032120615</v>
      </c>
      <c r="W5" s="103"/>
      <c r="X5" s="6"/>
      <c r="Y5" s="6"/>
      <c r="Z5" s="1"/>
      <c r="AA5" s="62" t="s">
        <v>60</v>
      </c>
      <c r="AB5" s="61">
        <f>AB3-AB4</f>
        <v>30605258521.447201</v>
      </c>
      <c r="AC5" s="61">
        <f>AC3-AC4</f>
        <v>26997074629.991623</v>
      </c>
      <c r="AD5" s="61">
        <f>AD3-AD4</f>
        <v>32395213248.983143</v>
      </c>
      <c r="AE5" s="7"/>
      <c r="AF5" s="1"/>
    </row>
    <row r="6" spans="1:32">
      <c r="A6" s="30" t="s">
        <v>27</v>
      </c>
      <c r="B6" s="32">
        <v>276269530</v>
      </c>
      <c r="C6" s="34">
        <v>1</v>
      </c>
      <c r="D6" s="26">
        <f t="shared" si="0"/>
        <v>276269530</v>
      </c>
      <c r="E6" s="17">
        <f t="shared" si="1"/>
        <v>14020678647.5</v>
      </c>
      <c r="F6" s="3"/>
      <c r="G6" s="2" t="s">
        <v>13</v>
      </c>
      <c r="H6" s="2">
        <v>0.15</v>
      </c>
      <c r="I6" s="17">
        <f>H6*I7</f>
        <v>75431634.375</v>
      </c>
      <c r="J6" s="1"/>
      <c r="K6" s="28" t="s">
        <v>100</v>
      </c>
      <c r="L6" s="1"/>
      <c r="M6" s="1"/>
      <c r="N6" s="8" t="s">
        <v>43</v>
      </c>
      <c r="O6" s="111">
        <f>I9</f>
        <v>137105929959.8</v>
      </c>
      <c r="P6" s="111"/>
      <c r="Q6" s="61">
        <v>0.04</v>
      </c>
      <c r="R6" s="103">
        <f>O6*Q6</f>
        <v>5484237198.3920002</v>
      </c>
      <c r="S6" s="103"/>
      <c r="T6" s="102">
        <v>25</v>
      </c>
      <c r="U6" s="102"/>
      <c r="V6" s="103">
        <f>(O6-R6)/T6</f>
        <v>5264867710.4563198</v>
      </c>
      <c r="W6" s="103"/>
      <c r="X6" s="6"/>
      <c r="Y6" s="6"/>
      <c r="Z6" s="1"/>
      <c r="AA6" s="7"/>
      <c r="AB6" s="7"/>
      <c r="AC6" s="7"/>
      <c r="AD6" s="7"/>
      <c r="AE6" s="7"/>
      <c r="AF6" s="1"/>
    </row>
    <row r="7" spans="1:32">
      <c r="A7" s="30" t="s">
        <v>1</v>
      </c>
      <c r="B7" s="32">
        <v>154000000</v>
      </c>
      <c r="C7" s="34">
        <v>1</v>
      </c>
      <c r="D7" s="26">
        <f t="shared" si="0"/>
        <v>154000000</v>
      </c>
      <c r="E7" s="17">
        <f t="shared" si="1"/>
        <v>7815500000</v>
      </c>
      <c r="F7" s="3"/>
      <c r="G7" s="2" t="s">
        <v>29</v>
      </c>
      <c r="H7" s="2"/>
      <c r="I7" s="17">
        <v>502877562.5</v>
      </c>
      <c r="J7" s="1"/>
      <c r="K7" s="2" t="s">
        <v>97</v>
      </c>
      <c r="L7" s="2">
        <v>500000</v>
      </c>
      <c r="M7" s="1"/>
      <c r="N7" s="8" t="s">
        <v>44</v>
      </c>
      <c r="O7" s="103">
        <f>I3</f>
        <v>7460525724.75</v>
      </c>
      <c r="P7" s="103"/>
      <c r="Q7" s="61">
        <v>0.04</v>
      </c>
      <c r="R7" s="103">
        <f>O7*Q7</f>
        <v>298421028.99000001</v>
      </c>
      <c r="S7" s="103"/>
      <c r="T7" s="102">
        <v>25</v>
      </c>
      <c r="U7" s="102"/>
      <c r="V7" s="103">
        <f>(O7-R7)/T7</f>
        <v>286484187.83039999</v>
      </c>
      <c r="W7" s="103"/>
      <c r="X7" s="6"/>
      <c r="Y7" s="6"/>
      <c r="Z7" s="1"/>
      <c r="AA7" s="8" t="s">
        <v>61</v>
      </c>
      <c r="AB7" s="72" t="s">
        <v>62</v>
      </c>
      <c r="AC7" s="72" t="s">
        <v>48</v>
      </c>
      <c r="AD7" s="72" t="s">
        <v>63</v>
      </c>
      <c r="AE7" s="72" t="s">
        <v>64</v>
      </c>
      <c r="AF7" s="1"/>
    </row>
    <row r="8" spans="1:32" ht="15.75">
      <c r="A8" s="30" t="s">
        <v>87</v>
      </c>
      <c r="B8" s="32">
        <v>10902000</v>
      </c>
      <c r="C8" s="34">
        <v>1</v>
      </c>
      <c r="D8" s="26">
        <f t="shared" si="0"/>
        <v>10902000</v>
      </c>
      <c r="E8" s="17">
        <f t="shared" si="1"/>
        <v>553276500</v>
      </c>
      <c r="F8" s="3"/>
      <c r="G8" s="2" t="s">
        <v>14</v>
      </c>
      <c r="H8" s="2">
        <v>0.2</v>
      </c>
      <c r="I8" s="17">
        <f>H8*I2</f>
        <v>14921051449.5</v>
      </c>
      <c r="J8" s="1"/>
      <c r="K8" s="2" t="s">
        <v>98</v>
      </c>
      <c r="L8" s="2">
        <v>9.8000000000000007</v>
      </c>
      <c r="M8" s="1"/>
      <c r="N8" s="13"/>
      <c r="O8" s="106"/>
      <c r="P8" s="106"/>
      <c r="Q8" s="106"/>
      <c r="R8" s="106"/>
      <c r="S8" s="106"/>
      <c r="T8" s="110" t="s">
        <v>41</v>
      </c>
      <c r="U8" s="110"/>
      <c r="V8" s="103">
        <f>SUM(V3:W7)</f>
        <v>9064498564.2836418</v>
      </c>
      <c r="W8" s="103"/>
      <c r="X8" s="6"/>
      <c r="Y8" s="6"/>
      <c r="Z8" s="1"/>
      <c r="AA8" s="8" t="s">
        <v>65</v>
      </c>
      <c r="AB8" s="8"/>
      <c r="AC8" s="62" t="s">
        <v>66</v>
      </c>
      <c r="AD8" s="62" t="s">
        <v>66</v>
      </c>
      <c r="AE8" s="62" t="s">
        <v>67</v>
      </c>
      <c r="AF8" s="1"/>
    </row>
    <row r="9" spans="1:32">
      <c r="A9" s="30" t="s">
        <v>86</v>
      </c>
      <c r="B9" s="32">
        <v>9508000</v>
      </c>
      <c r="C9" s="34">
        <v>7</v>
      </c>
      <c r="D9" s="26">
        <f t="shared" si="0"/>
        <v>66556000</v>
      </c>
      <c r="E9" s="17">
        <f t="shared" si="1"/>
        <v>3377717000</v>
      </c>
      <c r="F9" s="3"/>
      <c r="G9" s="1"/>
      <c r="H9" s="5" t="s">
        <v>5</v>
      </c>
      <c r="I9" s="17">
        <f>SUM(I2:I8)</f>
        <v>137105929959.8</v>
      </c>
      <c r="J9" s="1"/>
      <c r="K9" s="2" t="s">
        <v>99</v>
      </c>
      <c r="L9" s="2">
        <f>3412/0.350824216</f>
        <v>9725.668424211628</v>
      </c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"/>
      <c r="AA9" s="8" t="s">
        <v>68</v>
      </c>
      <c r="AB9" s="62" t="s">
        <v>69</v>
      </c>
      <c r="AC9" s="61">
        <f>L17-I19</f>
        <v>31152685619.981155</v>
      </c>
      <c r="AD9" s="61">
        <f>(AC9*(((1-((1+0.1)^-25)))/0.1))+AC9</f>
        <v>313926859667.86841</v>
      </c>
      <c r="AE9" s="62">
        <f>((((AD9/I9)^(1/25)))-1)*100</f>
        <v>3.3691367588093657</v>
      </c>
      <c r="AF9" s="1"/>
    </row>
    <row r="10" spans="1:32" ht="15.75">
      <c r="A10" s="30" t="s">
        <v>2</v>
      </c>
      <c r="B10" s="32">
        <v>15000000</v>
      </c>
      <c r="C10" s="34">
        <v>3</v>
      </c>
      <c r="D10" s="26">
        <f t="shared" si="0"/>
        <v>45000000</v>
      </c>
      <c r="E10" s="17">
        <f t="shared" si="1"/>
        <v>2283750000</v>
      </c>
      <c r="F10" s="3"/>
      <c r="G10" s="1"/>
      <c r="H10" s="1"/>
      <c r="I10" s="1"/>
      <c r="J10" s="1"/>
      <c r="K10" s="1"/>
      <c r="L10" s="1"/>
      <c r="M10" s="1"/>
      <c r="N10" s="70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"/>
      <c r="AA10" s="8" t="s">
        <v>70</v>
      </c>
      <c r="AB10" s="22">
        <v>0.1</v>
      </c>
      <c r="AC10" s="61">
        <f>AB5</f>
        <v>30605258521.447201</v>
      </c>
      <c r="AD10" s="61">
        <f>(AC10*(((1-((1+0.1)^-25)))/0.1))+AC10</f>
        <v>308410414888.87854</v>
      </c>
      <c r="AE10" s="62">
        <f>((((AD10/I9)^(1/25)))-1)*100</f>
        <v>3.2958590750661543</v>
      </c>
      <c r="AF10" s="1"/>
    </row>
    <row r="11" spans="1:32" ht="15.75">
      <c r="A11" s="30" t="s">
        <v>3</v>
      </c>
      <c r="B11" s="32">
        <v>48800600</v>
      </c>
      <c r="C11" s="34">
        <v>1</v>
      </c>
      <c r="D11" s="26">
        <f t="shared" si="0"/>
        <v>48800600</v>
      </c>
      <c r="E11" s="17">
        <f t="shared" si="1"/>
        <v>2476630450</v>
      </c>
      <c r="F11" s="3"/>
      <c r="G11" s="1"/>
      <c r="H11" s="1"/>
      <c r="I11" s="1"/>
      <c r="J11" s="1"/>
      <c r="K11" s="1"/>
      <c r="L11" s="1"/>
      <c r="M11" s="1"/>
      <c r="N11" s="120" t="s">
        <v>45</v>
      </c>
      <c r="O11" s="120"/>
      <c r="P11" s="120" t="s">
        <v>46</v>
      </c>
      <c r="Q11" s="120"/>
      <c r="R11" s="120"/>
      <c r="S11" s="120" t="s">
        <v>47</v>
      </c>
      <c r="T11" s="120"/>
      <c r="U11" s="120"/>
      <c r="V11" s="120" t="s">
        <v>48</v>
      </c>
      <c r="W11" s="120"/>
      <c r="X11" s="120"/>
      <c r="Y11" s="69" t="s">
        <v>49</v>
      </c>
      <c r="Z11" s="1"/>
      <c r="AA11" s="8" t="s">
        <v>71</v>
      </c>
      <c r="AB11" s="22">
        <v>0.1</v>
      </c>
      <c r="AC11" s="61">
        <f>AC5</f>
        <v>26997074629.991623</v>
      </c>
      <c r="AD11" s="61">
        <f>(AC11*(((1-((1+0.1)^-25)))/0.1))+AC11</f>
        <v>272050601421.55017</v>
      </c>
      <c r="AE11" s="62">
        <f>((((AD11/I9)^(1/25)))-1)*100</f>
        <v>2.7788462220095234</v>
      </c>
      <c r="AF11" s="1"/>
    </row>
    <row r="12" spans="1:32">
      <c r="A12" s="1"/>
      <c r="B12" s="1"/>
      <c r="C12" s="1"/>
      <c r="D12" s="5" t="s">
        <v>5</v>
      </c>
      <c r="E12" s="17">
        <f>SUM(E3:E11)</f>
        <v>74605257247.5</v>
      </c>
      <c r="F12" s="3"/>
      <c r="G12" s="115" t="s">
        <v>15</v>
      </c>
      <c r="H12" s="116"/>
      <c r="I12" s="117"/>
      <c r="J12" s="1"/>
      <c r="K12" s="2" t="s">
        <v>24</v>
      </c>
      <c r="L12" s="14">
        <f>L9*1000</f>
        <v>9725668.4242116287</v>
      </c>
      <c r="M12" s="1"/>
      <c r="N12" s="102">
        <v>2022</v>
      </c>
      <c r="O12" s="102"/>
      <c r="P12" s="102">
        <v>2</v>
      </c>
      <c r="Q12" s="102"/>
      <c r="R12" s="102"/>
      <c r="S12" s="103">
        <f>I9</f>
        <v>137105929959.8</v>
      </c>
      <c r="T12" s="103"/>
      <c r="U12" s="103"/>
      <c r="V12" s="103">
        <f>L17-I19</f>
        <v>31152685619.981155</v>
      </c>
      <c r="W12" s="103"/>
      <c r="X12" s="103"/>
      <c r="Y12" s="15">
        <f>(V12/S12)</f>
        <v>0.22721617970218536</v>
      </c>
      <c r="Z12" s="1"/>
      <c r="AA12" s="8" t="s">
        <v>72</v>
      </c>
      <c r="AB12" s="22">
        <v>0.1</v>
      </c>
      <c r="AC12" s="61">
        <f>AD5</f>
        <v>32395213248.983143</v>
      </c>
      <c r="AD12" s="61">
        <f>(AC12*(((1-((1+0.1)^-25)))/0.1))+AC12</f>
        <v>326447860309.07709</v>
      </c>
      <c r="AE12" s="62">
        <f>((((AD12/I9)^(1/25)))-1)*100</f>
        <v>3.5309748844890798</v>
      </c>
      <c r="AF12" s="1"/>
    </row>
    <row r="13" spans="1:32">
      <c r="A13" s="1"/>
      <c r="B13" s="1"/>
      <c r="C13" s="1"/>
      <c r="D13" s="1"/>
      <c r="E13" s="1"/>
      <c r="F13" s="3"/>
      <c r="G13" s="2" t="s">
        <v>16</v>
      </c>
      <c r="H13" s="2"/>
      <c r="I13" s="17">
        <f>L16</f>
        <v>6539619100.0104694</v>
      </c>
      <c r="J13" s="1"/>
      <c r="K13" s="2" t="s">
        <v>34</v>
      </c>
      <c r="L13" s="19">
        <v>6.8000000000000005E-2</v>
      </c>
      <c r="M13" s="1"/>
      <c r="N13" s="102">
        <v>2023</v>
      </c>
      <c r="O13" s="102"/>
      <c r="P13" s="102">
        <v>3</v>
      </c>
      <c r="Q13" s="102"/>
      <c r="R13" s="102"/>
      <c r="S13" s="103">
        <f>S12-V12</f>
        <v>105953244339.81885</v>
      </c>
      <c r="T13" s="103"/>
      <c r="U13" s="103"/>
      <c r="V13" s="103">
        <f>V12</f>
        <v>31152685619.981155</v>
      </c>
      <c r="W13" s="103"/>
      <c r="X13" s="103"/>
      <c r="Y13" s="15">
        <f>(V13/S13)</f>
        <v>0.29402295148288821</v>
      </c>
      <c r="Z13" s="1"/>
      <c r="AA13" s="10"/>
      <c r="AB13" s="7"/>
      <c r="AC13" s="7"/>
      <c r="AD13" s="7"/>
      <c r="AE13" s="7"/>
      <c r="AF13" s="1"/>
    </row>
    <row r="14" spans="1:32" ht="15.75">
      <c r="A14" s="1"/>
      <c r="B14" s="1"/>
      <c r="C14" s="1"/>
      <c r="D14" s="1"/>
      <c r="E14" s="1"/>
      <c r="F14" s="3"/>
      <c r="G14" s="2" t="s">
        <v>17</v>
      </c>
      <c r="H14" s="2">
        <v>0.2</v>
      </c>
      <c r="I14" s="17">
        <f>H14*I13</f>
        <v>1307923820.002094</v>
      </c>
      <c r="J14" s="1"/>
      <c r="K14" s="2" t="s">
        <v>35</v>
      </c>
      <c r="L14" s="19">
        <f>L13*50.75</f>
        <v>3.4510000000000001</v>
      </c>
      <c r="M14" s="1"/>
      <c r="N14" s="102">
        <v>2024</v>
      </c>
      <c r="O14" s="102"/>
      <c r="P14" s="102">
        <v>4</v>
      </c>
      <c r="Q14" s="102"/>
      <c r="R14" s="102"/>
      <c r="S14" s="103">
        <f>S13-V13</f>
        <v>74800558719.837692</v>
      </c>
      <c r="T14" s="103"/>
      <c r="U14" s="103"/>
      <c r="V14" s="103">
        <f>V12</f>
        <v>31152685619.981155</v>
      </c>
      <c r="W14" s="103"/>
      <c r="X14" s="103"/>
      <c r="Y14" s="15">
        <f>(V14/S14)</f>
        <v>0.41647664339864376</v>
      </c>
      <c r="Z14" s="1"/>
      <c r="AA14" s="71" t="s">
        <v>73</v>
      </c>
      <c r="AB14" s="7"/>
      <c r="AC14" s="7"/>
      <c r="AD14" s="7"/>
      <c r="AE14" s="7"/>
      <c r="AF14" s="1"/>
    </row>
    <row r="15" spans="1:32" ht="15.75">
      <c r="A15" s="1"/>
      <c r="B15" s="1"/>
      <c r="C15" s="1"/>
      <c r="D15" s="1"/>
      <c r="E15" s="1"/>
      <c r="F15" s="3"/>
      <c r="G15" s="2" t="s">
        <v>18</v>
      </c>
      <c r="H15" s="2">
        <f>H14</f>
        <v>0.2</v>
      </c>
      <c r="I15" s="17">
        <f>I14</f>
        <v>1307923820.002094</v>
      </c>
      <c r="J15" s="1"/>
      <c r="K15" s="2" t="s">
        <v>30</v>
      </c>
      <c r="L15" s="19">
        <v>22479.470399999998</v>
      </c>
      <c r="M15" s="1"/>
      <c r="N15" s="102">
        <v>2025</v>
      </c>
      <c r="O15" s="102"/>
      <c r="P15" s="102">
        <v>5</v>
      </c>
      <c r="Q15" s="102"/>
      <c r="R15" s="102"/>
      <c r="S15" s="103">
        <f>S14-V14</f>
        <v>43647873099.856537</v>
      </c>
      <c r="T15" s="103"/>
      <c r="U15" s="103"/>
      <c r="V15" s="103">
        <f>V12</f>
        <v>31152685619.981155</v>
      </c>
      <c r="W15" s="103"/>
      <c r="X15" s="103"/>
      <c r="Y15" s="15">
        <f>(V15/S15)</f>
        <v>0.71372746041280877</v>
      </c>
      <c r="Z15" s="1"/>
      <c r="AA15" s="69" t="s">
        <v>74</v>
      </c>
      <c r="AB15" s="69" t="s">
        <v>75</v>
      </c>
      <c r="AC15" s="69" t="s">
        <v>76</v>
      </c>
      <c r="AD15" s="69" t="s">
        <v>77</v>
      </c>
      <c r="AE15" s="69" t="s">
        <v>78</v>
      </c>
      <c r="AF15" s="1"/>
    </row>
    <row r="16" spans="1:32">
      <c r="A16" s="1"/>
      <c r="B16" s="1"/>
      <c r="C16" s="1"/>
      <c r="D16" s="1"/>
      <c r="E16" s="1"/>
      <c r="F16" s="3"/>
      <c r="G16" s="2" t="s">
        <v>19</v>
      </c>
      <c r="H16" s="2">
        <f>H14</f>
        <v>0.2</v>
      </c>
      <c r="I16" s="17">
        <f>I14</f>
        <v>1307923820.002094</v>
      </c>
      <c r="J16" s="1"/>
      <c r="K16" s="2" t="s">
        <v>16</v>
      </c>
      <c r="L16" s="27">
        <f>(L14*L12*500*365*24)/L15</f>
        <v>6539619100.0104694</v>
      </c>
      <c r="M16" s="1"/>
      <c r="N16" s="102">
        <v>2045</v>
      </c>
      <c r="O16" s="102"/>
      <c r="P16" s="102">
        <v>25</v>
      </c>
      <c r="Q16" s="102"/>
      <c r="R16" s="102"/>
      <c r="S16" s="103">
        <f>S15-(V15*20)</f>
        <v>-579405839299.76648</v>
      </c>
      <c r="T16" s="103"/>
      <c r="U16" s="103"/>
      <c r="V16" s="103">
        <f>V12</f>
        <v>31152685619.981155</v>
      </c>
      <c r="W16" s="103"/>
      <c r="X16" s="103"/>
      <c r="Y16" s="15">
        <f>V16/-S16</f>
        <v>5.376660624896417E-2</v>
      </c>
      <c r="Z16" s="1"/>
      <c r="AA16" s="18">
        <f>(O3-R3-V3)/25</f>
        <v>2750248203.1718402</v>
      </c>
      <c r="AB16" s="18">
        <f>(O6-R6-V6)/25</f>
        <v>5054273002.0380678</v>
      </c>
      <c r="AC16" s="18">
        <f>AA16+AB16+I19</f>
        <v>19575835585.228752</v>
      </c>
      <c r="AD16" s="18">
        <f>L17</f>
        <v>42924000000</v>
      </c>
      <c r="AE16" s="16">
        <f>(AC16/AD16)*500</f>
        <v>228.02902321811519</v>
      </c>
      <c r="AF16" s="1"/>
    </row>
    <row r="17" spans="1:32" ht="15.75">
      <c r="A17" s="1"/>
      <c r="B17" s="1"/>
      <c r="C17" s="1"/>
      <c r="D17" s="1"/>
      <c r="E17" s="1"/>
      <c r="F17" s="3"/>
      <c r="G17" s="2" t="s">
        <v>20</v>
      </c>
      <c r="H17" s="2">
        <v>0.1</v>
      </c>
      <c r="I17" s="17">
        <f>H17*I13</f>
        <v>653961910.00104702</v>
      </c>
      <c r="J17" s="1"/>
      <c r="K17" s="2" t="s">
        <v>31</v>
      </c>
      <c r="L17" s="20">
        <f>L7*L8*365*24</f>
        <v>42924000000</v>
      </c>
      <c r="M17" s="1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1" t="s">
        <v>50</v>
      </c>
      <c r="Y17" s="15">
        <f>AVERAGE(Y12:Y16)</f>
        <v>0.34104196824909805</v>
      </c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3"/>
      <c r="G18" s="2" t="s">
        <v>21</v>
      </c>
      <c r="H18" s="2">
        <f>H17</f>
        <v>0.1</v>
      </c>
      <c r="I18" s="17">
        <f>H18*I13</f>
        <v>653961910.00104702</v>
      </c>
      <c r="J18" s="1"/>
      <c r="K18" s="2" t="s">
        <v>32</v>
      </c>
      <c r="L18" s="19">
        <f>L17*((1-1.065^-25)/0.065)</f>
        <v>523581660546.32507</v>
      </c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"/>
      <c r="AA18" s="1"/>
      <c r="AC18" s="19" t="s">
        <v>127</v>
      </c>
      <c r="AD18" s="2">
        <f>AD16-AC16</f>
        <v>23348164414.771248</v>
      </c>
      <c r="AE18" s="1"/>
      <c r="AF18" s="1"/>
    </row>
    <row r="19" spans="1:32" ht="15.75">
      <c r="A19" s="1"/>
      <c r="B19" s="1"/>
      <c r="C19" s="1"/>
      <c r="D19" s="1"/>
      <c r="E19" s="1"/>
      <c r="F19" s="3"/>
      <c r="G19" s="1"/>
      <c r="H19" s="5" t="s">
        <v>5</v>
      </c>
      <c r="I19" s="17">
        <f>SUM(I13:I18)</f>
        <v>11771314380.018847</v>
      </c>
      <c r="J19" s="1"/>
      <c r="K19" s="2" t="s">
        <v>33</v>
      </c>
      <c r="L19" s="19">
        <f>((I9-(0.1)*(I9))/25)</f>
        <v>4935813478.5528002</v>
      </c>
      <c r="M19" s="1"/>
      <c r="N19" s="70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"/>
      <c r="AA19" s="23" t="s">
        <v>57</v>
      </c>
      <c r="AC19" s="78" t="s">
        <v>126</v>
      </c>
      <c r="AD19" s="2">
        <f>0.12*E12</f>
        <v>8952630869.6999989</v>
      </c>
      <c r="AE19" s="1"/>
      <c r="AF19" s="1"/>
    </row>
    <row r="20" spans="1:32" ht="15.75">
      <c r="A20" s="1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20" t="s">
        <v>45</v>
      </c>
      <c r="O20" s="120"/>
      <c r="P20" s="120" t="s">
        <v>48</v>
      </c>
      <c r="Q20" s="120"/>
      <c r="R20" s="120"/>
      <c r="S20" s="120"/>
      <c r="T20" s="120" t="s">
        <v>47</v>
      </c>
      <c r="U20" s="120"/>
      <c r="V20" s="120" t="s">
        <v>39</v>
      </c>
      <c r="W20" s="120"/>
      <c r="X20" s="12"/>
      <c r="Y20" s="6"/>
      <c r="Z20" s="1"/>
      <c r="AA20" s="23" t="s">
        <v>58</v>
      </c>
      <c r="AB20" s="25">
        <f>500*0.9</f>
        <v>450</v>
      </c>
      <c r="AC20" s="19" t="s">
        <v>125</v>
      </c>
      <c r="AD20" s="2">
        <f>V12/AD19</f>
        <v>3.4797241250520896</v>
      </c>
      <c r="AE20" s="1"/>
      <c r="AF20" s="1"/>
    </row>
    <row r="21" spans="1:32">
      <c r="A21" s="1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02">
        <v>2022</v>
      </c>
      <c r="O21" s="102"/>
      <c r="P21" s="103">
        <f>V12</f>
        <v>31152685619.981155</v>
      </c>
      <c r="Q21" s="103"/>
      <c r="R21" s="103"/>
      <c r="S21" s="103"/>
      <c r="T21" s="103">
        <f>S12</f>
        <v>137105929959.8</v>
      </c>
      <c r="U21" s="103"/>
      <c r="V21" s="103">
        <f>T21-V8</f>
        <v>128041431395.51636</v>
      </c>
      <c r="W21" s="103"/>
      <c r="X21" s="12"/>
      <c r="Y21" s="6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02">
        <v>2023</v>
      </c>
      <c r="O22" s="102"/>
      <c r="P22" s="103">
        <f>P21</f>
        <v>31152685619.981155</v>
      </c>
      <c r="Q22" s="103"/>
      <c r="R22" s="103"/>
      <c r="S22" s="103"/>
      <c r="T22" s="103">
        <f>T21-P22</f>
        <v>105953244339.81885</v>
      </c>
      <c r="U22" s="103"/>
      <c r="V22" s="103">
        <f>V21-V8</f>
        <v>118976932831.23271</v>
      </c>
      <c r="W22" s="103"/>
      <c r="X22" s="12"/>
      <c r="Y22" s="6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02">
        <v>2024</v>
      </c>
      <c r="O23" s="102"/>
      <c r="P23" s="103">
        <f>P21</f>
        <v>31152685619.981155</v>
      </c>
      <c r="Q23" s="103"/>
      <c r="R23" s="103"/>
      <c r="S23" s="103"/>
      <c r="T23" s="103">
        <f>T22-P23</f>
        <v>74800558719.837692</v>
      </c>
      <c r="U23" s="103"/>
      <c r="V23" s="103">
        <f>V22-V8</f>
        <v>109912434266.94907</v>
      </c>
      <c r="W23" s="103"/>
      <c r="X23" s="12"/>
      <c r="Y23" s="6"/>
      <c r="Z23" s="1"/>
      <c r="AA23" s="1"/>
      <c r="AB23" s="1"/>
      <c r="AC23" s="1"/>
      <c r="AD23" s="1"/>
      <c r="AE23" s="1"/>
      <c r="AF23" s="1"/>
    </row>
    <row r="24" spans="1:32">
      <c r="A24" s="1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02">
        <v>2025</v>
      </c>
      <c r="O24" s="102"/>
      <c r="P24" s="103">
        <f>P21</f>
        <v>31152685619.981155</v>
      </c>
      <c r="Q24" s="103"/>
      <c r="R24" s="103"/>
      <c r="S24" s="103"/>
      <c r="T24" s="103">
        <f>T23-P24</f>
        <v>43647873099.856537</v>
      </c>
      <c r="U24" s="103"/>
      <c r="V24" s="103">
        <f>V23-V8</f>
        <v>100847935702.66542</v>
      </c>
      <c r="W24" s="103"/>
      <c r="X24" s="12"/>
      <c r="Y24" s="6"/>
      <c r="Z24" s="1"/>
      <c r="AA24" s="1"/>
      <c r="AB24" s="1"/>
      <c r="AC24" s="1"/>
      <c r="AD24" s="1"/>
      <c r="AE24" s="1"/>
      <c r="AF24" s="1"/>
    </row>
    <row r="25" spans="1:32">
      <c r="A25" s="1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02" t="s">
        <v>51</v>
      </c>
      <c r="O25" s="102"/>
      <c r="P25" s="103">
        <f>AVERAGE(P21:S24)</f>
        <v>31152685619.981155</v>
      </c>
      <c r="Q25" s="103"/>
      <c r="R25" s="103"/>
      <c r="S25" s="103"/>
      <c r="T25" s="103">
        <f>AVERAGE(T21:U24)</f>
        <v>90376901529.828278</v>
      </c>
      <c r="U25" s="103"/>
      <c r="V25" s="103">
        <f>AVERAGE(V21:W24)</f>
        <v>114444683549.09088</v>
      </c>
      <c r="W25" s="103"/>
      <c r="X25" s="12"/>
      <c r="Y25" s="6"/>
      <c r="Z25" s="1"/>
      <c r="AA25" s="1"/>
      <c r="AB25" s="1"/>
      <c r="AC25" s="1"/>
      <c r="AD25" s="1"/>
      <c r="AE25" s="1"/>
      <c r="AF25" s="1"/>
    </row>
    <row r="26" spans="1:32" ht="15.75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20" t="s">
        <v>52</v>
      </c>
      <c r="O26" s="120"/>
      <c r="P26" s="120"/>
      <c r="Q26" s="120"/>
      <c r="R26" s="120"/>
      <c r="S26" s="120"/>
      <c r="T26" s="121">
        <f>T21/P21</f>
        <v>4.4010950334202015</v>
      </c>
      <c r="U26" s="121"/>
      <c r="V26" s="121"/>
      <c r="W26" s="121"/>
      <c r="X26" s="12"/>
      <c r="Y26" s="6"/>
      <c r="Z26" s="1"/>
      <c r="AA26" s="1"/>
      <c r="AB26" s="1"/>
      <c r="AC26" s="1"/>
      <c r="AD26" s="1"/>
      <c r="AE26" s="1"/>
      <c r="AF26" s="1"/>
    </row>
    <row r="27" spans="1:32">
      <c r="A27" s="1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"/>
      <c r="AA27" s="1"/>
      <c r="AB27" s="1"/>
      <c r="AC27" s="1"/>
      <c r="AD27" s="1"/>
      <c r="AE27" s="1"/>
      <c r="AF27" s="1"/>
    </row>
  </sheetData>
  <mergeCells count="82">
    <mergeCell ref="T2:U2"/>
    <mergeCell ref="V2:W2"/>
    <mergeCell ref="O3:P3"/>
    <mergeCell ref="R3:S3"/>
    <mergeCell ref="T3:U3"/>
    <mergeCell ref="V3:W3"/>
    <mergeCell ref="O4:P4"/>
    <mergeCell ref="R4:S4"/>
    <mergeCell ref="T4:U4"/>
    <mergeCell ref="V4:W4"/>
    <mergeCell ref="O5:P5"/>
    <mergeCell ref="R5:S5"/>
    <mergeCell ref="T5:U5"/>
    <mergeCell ref="V5:W5"/>
    <mergeCell ref="S11:U11"/>
    <mergeCell ref="V11:X11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N11:O11"/>
    <mergeCell ref="P11:R11"/>
    <mergeCell ref="G12:I12"/>
    <mergeCell ref="N12:O12"/>
    <mergeCell ref="P12:R12"/>
    <mergeCell ref="S12:U12"/>
    <mergeCell ref="V12:X12"/>
    <mergeCell ref="N13:O13"/>
    <mergeCell ref="P13:R13"/>
    <mergeCell ref="S13:U13"/>
    <mergeCell ref="V13:X13"/>
    <mergeCell ref="N14:O14"/>
    <mergeCell ref="P14:R14"/>
    <mergeCell ref="S14:U14"/>
    <mergeCell ref="V14:X14"/>
    <mergeCell ref="T20:U20"/>
    <mergeCell ref="V20:W20"/>
    <mergeCell ref="N15:O15"/>
    <mergeCell ref="P15:R15"/>
    <mergeCell ref="S15:U15"/>
    <mergeCell ref="V15:X15"/>
    <mergeCell ref="N16:O16"/>
    <mergeCell ref="P16:R16"/>
    <mergeCell ref="S16:U16"/>
    <mergeCell ref="V16:X16"/>
    <mergeCell ref="N17:W17"/>
    <mergeCell ref="N20:O20"/>
    <mergeCell ref="P20:S20"/>
    <mergeCell ref="N21:O21"/>
    <mergeCell ref="P21:S21"/>
    <mergeCell ref="T21:U21"/>
    <mergeCell ref="V21:W21"/>
    <mergeCell ref="N22:O22"/>
    <mergeCell ref="P22:S22"/>
    <mergeCell ref="T22:U22"/>
    <mergeCell ref="V22:W22"/>
    <mergeCell ref="T25:U25"/>
    <mergeCell ref="V25:W25"/>
    <mergeCell ref="N26:S26"/>
    <mergeCell ref="T26:W26"/>
    <mergeCell ref="N23:O23"/>
    <mergeCell ref="P23:S23"/>
    <mergeCell ref="T23:U23"/>
    <mergeCell ref="V23:W23"/>
    <mergeCell ref="N24:O24"/>
    <mergeCell ref="P24:S24"/>
    <mergeCell ref="N25:O25"/>
    <mergeCell ref="P25:S25"/>
    <mergeCell ref="T24:U24"/>
    <mergeCell ref="V24:W24"/>
    <mergeCell ref="A1:E1"/>
    <mergeCell ref="G1:I1"/>
    <mergeCell ref="N1:O1"/>
    <mergeCell ref="O2:P2"/>
    <mergeCell ref="R2:S2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36"/>
  <sheetViews>
    <sheetView topLeftCell="AA1" zoomScale="70" zoomScaleNormal="70" workbookViewId="0">
      <selection activeCell="E12" sqref="E12"/>
    </sheetView>
  </sheetViews>
  <sheetFormatPr defaultColWidth="21.140625" defaultRowHeight="15"/>
  <cols>
    <col min="1" max="1" width="23.7109375" bestFit="1" customWidth="1"/>
    <col min="2" max="2" width="19.28515625" bestFit="1" customWidth="1"/>
    <col min="3" max="3" width="6.28515625" bestFit="1" customWidth="1"/>
    <col min="4" max="4" width="19.28515625" bestFit="1" customWidth="1"/>
    <col min="5" max="5" width="22.42578125" bestFit="1" customWidth="1"/>
    <col min="7" max="7" width="33.5703125" bestFit="1" customWidth="1"/>
    <col min="8" max="8" width="6.85546875" bestFit="1" customWidth="1"/>
    <col min="9" max="9" width="23.85546875" bestFit="1" customWidth="1"/>
    <col min="11" max="11" width="24.85546875" bestFit="1" customWidth="1"/>
    <col min="12" max="12" width="22.28515625" bestFit="1" customWidth="1"/>
    <col min="14" max="14" width="24.7109375" bestFit="1" customWidth="1"/>
    <col min="24" max="24" width="10.42578125" bestFit="1" customWidth="1"/>
    <col min="25" max="25" width="8.7109375" bestFit="1" customWidth="1"/>
    <col min="27" max="27" width="39.7109375" bestFit="1" customWidth="1"/>
    <col min="28" max="28" width="28" bestFit="1" customWidth="1"/>
    <col min="29" max="29" width="33.5703125" bestFit="1" customWidth="1"/>
    <col min="30" max="30" width="36.28515625" bestFit="1" customWidth="1"/>
    <col min="31" max="31" width="41.28515625" bestFit="1" customWidth="1"/>
  </cols>
  <sheetData>
    <row r="1" spans="1:32" ht="15.75">
      <c r="A1" s="123" t="s">
        <v>103</v>
      </c>
      <c r="B1" s="124"/>
      <c r="C1" s="124"/>
      <c r="D1" s="124"/>
      <c r="E1" s="125"/>
      <c r="F1" s="4"/>
      <c r="G1" s="126" t="s">
        <v>8</v>
      </c>
      <c r="H1" s="126"/>
      <c r="I1" s="126"/>
      <c r="J1" s="1"/>
      <c r="K1" s="1"/>
      <c r="L1" s="1"/>
      <c r="M1" s="1"/>
      <c r="N1" s="127" t="s">
        <v>39</v>
      </c>
      <c r="O1" s="127"/>
      <c r="P1" s="6"/>
      <c r="Q1" s="6"/>
      <c r="R1" s="6"/>
      <c r="S1" s="6"/>
      <c r="T1" s="6"/>
      <c r="U1" s="6"/>
      <c r="V1" s="6"/>
      <c r="W1" s="6"/>
      <c r="X1" s="6"/>
      <c r="Y1" s="6"/>
      <c r="Z1" s="1"/>
      <c r="AA1" s="76" t="s">
        <v>53</v>
      </c>
      <c r="AB1" s="7"/>
      <c r="AC1" s="7"/>
      <c r="AD1" s="7"/>
      <c r="AE1" s="7"/>
      <c r="AF1" s="1"/>
    </row>
    <row r="2" spans="1:32" ht="15.75">
      <c r="A2" s="2"/>
      <c r="B2" s="73" t="s">
        <v>6</v>
      </c>
      <c r="C2" s="73" t="s">
        <v>4</v>
      </c>
      <c r="D2" s="73" t="s">
        <v>5</v>
      </c>
      <c r="E2" s="73" t="s">
        <v>7</v>
      </c>
      <c r="F2" s="3"/>
      <c r="G2" s="2" t="s">
        <v>9</v>
      </c>
      <c r="H2" s="2"/>
      <c r="I2" s="17">
        <f>E12</f>
        <v>74324187000</v>
      </c>
      <c r="J2" s="1"/>
      <c r="K2" s="2" t="s">
        <v>22</v>
      </c>
      <c r="L2" s="2">
        <f>I15+I17</f>
        <v>1961885730.0031409</v>
      </c>
      <c r="M2" s="1"/>
      <c r="N2" s="8"/>
      <c r="O2" s="122" t="s">
        <v>36</v>
      </c>
      <c r="P2" s="122"/>
      <c r="Q2" s="75" t="s">
        <v>101</v>
      </c>
      <c r="R2" s="122" t="s">
        <v>37</v>
      </c>
      <c r="S2" s="122"/>
      <c r="T2" s="122" t="s">
        <v>38</v>
      </c>
      <c r="U2" s="122"/>
      <c r="V2" s="122" t="s">
        <v>39</v>
      </c>
      <c r="W2" s="122"/>
      <c r="X2" s="6"/>
      <c r="Y2" s="6"/>
      <c r="Z2" s="1"/>
      <c r="AA2" s="62"/>
      <c r="AB2" s="75" t="s">
        <v>54</v>
      </c>
      <c r="AC2" s="75" t="s">
        <v>55</v>
      </c>
      <c r="AD2" s="75" t="s">
        <v>56</v>
      </c>
      <c r="AE2" s="7"/>
      <c r="AF2" s="1"/>
    </row>
    <row r="3" spans="1:32">
      <c r="A3" s="29" t="s">
        <v>0</v>
      </c>
      <c r="B3" s="31">
        <v>699700000</v>
      </c>
      <c r="C3" s="33">
        <v>1</v>
      </c>
      <c r="D3" s="26">
        <f t="shared" ref="D3:D11" si="0">B3*C3</f>
        <v>699700000</v>
      </c>
      <c r="E3" s="17">
        <f t="shared" ref="E3:E11" si="1">D3*50.75</f>
        <v>35509775000</v>
      </c>
      <c r="F3" s="3"/>
      <c r="G3" s="2" t="s">
        <v>10</v>
      </c>
      <c r="H3" s="2">
        <v>0.1</v>
      </c>
      <c r="I3" s="17">
        <f>H3*I2</f>
        <v>7432418700</v>
      </c>
      <c r="J3" s="1"/>
      <c r="K3" s="2" t="s">
        <v>23</v>
      </c>
      <c r="L3" s="2">
        <f>I14+I16</f>
        <v>2615847640.0041881</v>
      </c>
      <c r="M3" s="1"/>
      <c r="N3" s="8" t="s">
        <v>9</v>
      </c>
      <c r="O3" s="103">
        <f>E12</f>
        <v>74324187000</v>
      </c>
      <c r="P3" s="103"/>
      <c r="Q3" s="61">
        <v>0.04</v>
      </c>
      <c r="R3" s="103">
        <f>O3*Q3</f>
        <v>2972967480</v>
      </c>
      <c r="S3" s="103"/>
      <c r="T3" s="102">
        <v>25</v>
      </c>
      <c r="U3" s="102"/>
      <c r="V3" s="103">
        <f>(O3-R3)/T3</f>
        <v>2854048780.8000002</v>
      </c>
      <c r="W3" s="103"/>
      <c r="X3" s="6"/>
      <c r="Y3" s="6"/>
      <c r="Z3" s="1"/>
      <c r="AA3" s="62" t="s">
        <v>32</v>
      </c>
      <c r="AB3" s="61">
        <f>9.8*AB20*0.92*24*365*1000</f>
        <v>35541072000</v>
      </c>
      <c r="AC3" s="61">
        <f>L17</f>
        <v>42924000000</v>
      </c>
      <c r="AD3" s="61">
        <f>AC3</f>
        <v>42924000000</v>
      </c>
      <c r="AE3" s="7"/>
      <c r="AF3" s="1"/>
    </row>
    <row r="4" spans="1:32">
      <c r="A4" s="29" t="s">
        <v>25</v>
      </c>
      <c r="B4" s="31">
        <v>87060000</v>
      </c>
      <c r="C4" s="33">
        <v>1</v>
      </c>
      <c r="D4" s="26">
        <f t="shared" si="0"/>
        <v>87060000</v>
      </c>
      <c r="E4" s="17">
        <f t="shared" si="1"/>
        <v>4418295000</v>
      </c>
      <c r="F4" s="3"/>
      <c r="G4" s="2" t="s">
        <v>11</v>
      </c>
      <c r="H4" s="2">
        <v>0.33</v>
      </c>
      <c r="I4" s="17">
        <f>H4*I2</f>
        <v>24526981710</v>
      </c>
      <c r="J4" s="1"/>
      <c r="K4" s="1"/>
      <c r="L4" s="1"/>
      <c r="M4" s="1"/>
      <c r="N4" s="8" t="s">
        <v>42</v>
      </c>
      <c r="O4" s="103">
        <f>I8</f>
        <v>14864837400</v>
      </c>
      <c r="P4" s="103"/>
      <c r="Q4" s="61">
        <v>0.04</v>
      </c>
      <c r="R4" s="103">
        <f>O4*Q4</f>
        <v>594593496</v>
      </c>
      <c r="S4" s="103"/>
      <c r="T4" s="102">
        <v>25</v>
      </c>
      <c r="U4" s="102"/>
      <c r="V4" s="103">
        <f>(O4-R4)/T4</f>
        <v>570809756.15999997</v>
      </c>
      <c r="W4" s="103"/>
      <c r="X4" s="6"/>
      <c r="Y4" s="6"/>
      <c r="Z4" s="1"/>
      <c r="AA4" s="62" t="s">
        <v>59</v>
      </c>
      <c r="AB4" s="61">
        <f>L19</f>
        <v>4917296570.6475</v>
      </c>
      <c r="AC4" s="61">
        <f>10695230090+SUM(I14:I18)</f>
        <v>15926925370.008377</v>
      </c>
      <c r="AD4" s="61">
        <f>(L16*0.9*0.9)+SUM(I14:I18)</f>
        <v>10528786751.016857</v>
      </c>
      <c r="AE4" s="7"/>
      <c r="AF4" s="1"/>
    </row>
    <row r="5" spans="1:32">
      <c r="A5" s="30" t="s">
        <v>26</v>
      </c>
      <c r="B5" s="32">
        <v>80000000</v>
      </c>
      <c r="C5" s="34">
        <v>1</v>
      </c>
      <c r="D5" s="26">
        <f t="shared" si="0"/>
        <v>80000000</v>
      </c>
      <c r="E5" s="17">
        <f t="shared" si="1"/>
        <v>4060000000</v>
      </c>
      <c r="F5" s="3"/>
      <c r="G5" s="2" t="s">
        <v>12</v>
      </c>
      <c r="H5" s="2">
        <v>0.2</v>
      </c>
      <c r="I5" s="17">
        <f>H5*I2</f>
        <v>14864837400</v>
      </c>
      <c r="J5" s="1"/>
      <c r="K5" s="1"/>
      <c r="L5" s="1"/>
      <c r="M5" s="1"/>
      <c r="N5" s="8" t="s">
        <v>40</v>
      </c>
      <c r="O5" s="103">
        <f>L2</f>
        <v>1961885730.0031409</v>
      </c>
      <c r="P5" s="103"/>
      <c r="Q5" s="61">
        <v>0.04</v>
      </c>
      <c r="R5" s="103">
        <f>O5*Q5</f>
        <v>78475429.200125635</v>
      </c>
      <c r="S5" s="103"/>
      <c r="T5" s="102">
        <v>25</v>
      </c>
      <c r="U5" s="102"/>
      <c r="V5" s="103">
        <f>(O5-R5)/T5</f>
        <v>75336412.032120615</v>
      </c>
      <c r="W5" s="103"/>
      <c r="X5" s="6"/>
      <c r="Y5" s="6"/>
      <c r="Z5" s="1"/>
      <c r="AA5" s="62" t="s">
        <v>60</v>
      </c>
      <c r="AB5" s="61">
        <f>AB3-AB4</f>
        <v>30623775429.352501</v>
      </c>
      <c r="AC5" s="61">
        <f>AC3-AC4</f>
        <v>26997074629.991623</v>
      </c>
      <c r="AD5" s="61">
        <f>AD3-AD4</f>
        <v>32395213248.983143</v>
      </c>
      <c r="AE5" s="7"/>
      <c r="AF5" s="1"/>
    </row>
    <row r="6" spans="1:32">
      <c r="A6" s="30" t="s">
        <v>27</v>
      </c>
      <c r="B6" s="32">
        <v>280560000</v>
      </c>
      <c r="C6" s="34">
        <v>1</v>
      </c>
      <c r="D6" s="26">
        <f t="shared" si="0"/>
        <v>280560000</v>
      </c>
      <c r="E6" s="17">
        <f t="shared" si="1"/>
        <v>14238420000</v>
      </c>
      <c r="F6" s="3"/>
      <c r="G6" s="2" t="s">
        <v>13</v>
      </c>
      <c r="H6" s="2">
        <v>0.15</v>
      </c>
      <c r="I6" s="17">
        <f>H6*I7</f>
        <v>75431634.375</v>
      </c>
      <c r="J6" s="1"/>
      <c r="K6" s="28" t="s">
        <v>100</v>
      </c>
      <c r="L6" s="1"/>
      <c r="M6" s="1"/>
      <c r="N6" s="8" t="s">
        <v>43</v>
      </c>
      <c r="O6" s="111">
        <f>I9</f>
        <v>136591571406.875</v>
      </c>
      <c r="P6" s="111"/>
      <c r="Q6" s="61">
        <v>0.04</v>
      </c>
      <c r="R6" s="103">
        <f>O6*Q6</f>
        <v>5463662856.2750006</v>
      </c>
      <c r="S6" s="103"/>
      <c r="T6" s="102">
        <v>25</v>
      </c>
      <c r="U6" s="102"/>
      <c r="V6" s="103">
        <f>(O6-R6)/T6</f>
        <v>5245116342.0240002</v>
      </c>
      <c r="W6" s="103"/>
      <c r="X6" s="6"/>
      <c r="Y6" s="6"/>
      <c r="Z6" s="1"/>
      <c r="AA6" s="7"/>
      <c r="AB6" s="7"/>
      <c r="AC6" s="7"/>
      <c r="AD6" s="7"/>
      <c r="AE6" s="7"/>
      <c r="AF6" s="1"/>
    </row>
    <row r="7" spans="1:32">
      <c r="A7" s="30" t="s">
        <v>1</v>
      </c>
      <c r="B7" s="32">
        <v>150200000</v>
      </c>
      <c r="C7" s="34">
        <v>1</v>
      </c>
      <c r="D7" s="26">
        <f t="shared" si="0"/>
        <v>150200000</v>
      </c>
      <c r="E7" s="17">
        <f t="shared" si="1"/>
        <v>7622650000</v>
      </c>
      <c r="F7" s="3"/>
      <c r="G7" s="2" t="s">
        <v>29</v>
      </c>
      <c r="H7" s="2"/>
      <c r="I7" s="17">
        <v>502877562.5</v>
      </c>
      <c r="J7" s="1"/>
      <c r="K7" s="2" t="s">
        <v>97</v>
      </c>
      <c r="L7" s="2">
        <v>500000</v>
      </c>
      <c r="M7" s="1"/>
      <c r="N7" s="8" t="s">
        <v>44</v>
      </c>
      <c r="O7" s="103">
        <f>I3</f>
        <v>7432418700</v>
      </c>
      <c r="P7" s="103"/>
      <c r="Q7" s="61">
        <v>0.04</v>
      </c>
      <c r="R7" s="103">
        <f>O7*Q7</f>
        <v>297296748</v>
      </c>
      <c r="S7" s="103"/>
      <c r="T7" s="102">
        <v>25</v>
      </c>
      <c r="U7" s="102"/>
      <c r="V7" s="103">
        <f>(O7-R7)/T7</f>
        <v>285404878.07999998</v>
      </c>
      <c r="W7" s="103"/>
      <c r="X7" s="6"/>
      <c r="Y7" s="6"/>
      <c r="Z7" s="1"/>
      <c r="AA7" s="8" t="s">
        <v>61</v>
      </c>
      <c r="AB7" s="77" t="s">
        <v>62</v>
      </c>
      <c r="AC7" s="77" t="s">
        <v>48</v>
      </c>
      <c r="AD7" s="77" t="s">
        <v>63</v>
      </c>
      <c r="AE7" s="77" t="s">
        <v>64</v>
      </c>
      <c r="AF7" s="1"/>
    </row>
    <row r="8" spans="1:32" ht="15.75">
      <c r="A8" s="30" t="s">
        <v>87</v>
      </c>
      <c r="B8" s="32">
        <v>10800000</v>
      </c>
      <c r="C8" s="34">
        <v>1</v>
      </c>
      <c r="D8" s="26">
        <f t="shared" si="0"/>
        <v>10800000</v>
      </c>
      <c r="E8" s="17">
        <f t="shared" si="1"/>
        <v>548100000</v>
      </c>
      <c r="F8" s="3"/>
      <c r="G8" s="2" t="s">
        <v>14</v>
      </c>
      <c r="H8" s="2">
        <v>0.2</v>
      </c>
      <c r="I8" s="17">
        <f>H8*I2</f>
        <v>14864837400</v>
      </c>
      <c r="J8" s="1"/>
      <c r="K8" s="2" t="s">
        <v>98</v>
      </c>
      <c r="L8" s="2">
        <v>9.8000000000000007</v>
      </c>
      <c r="M8" s="1"/>
      <c r="N8" s="13"/>
      <c r="O8" s="106"/>
      <c r="P8" s="106"/>
      <c r="Q8" s="106"/>
      <c r="R8" s="106"/>
      <c r="S8" s="106"/>
      <c r="T8" s="110" t="s">
        <v>41</v>
      </c>
      <c r="U8" s="110"/>
      <c r="V8" s="103">
        <f>SUM(V3:W7)</f>
        <v>9030716169.0961208</v>
      </c>
      <c r="W8" s="103"/>
      <c r="X8" s="6"/>
      <c r="Y8" s="6"/>
      <c r="Z8" s="1"/>
      <c r="AA8" s="8" t="s">
        <v>65</v>
      </c>
      <c r="AB8" s="8"/>
      <c r="AC8" s="62" t="s">
        <v>66</v>
      </c>
      <c r="AD8" s="62" t="s">
        <v>66</v>
      </c>
      <c r="AE8" s="62" t="s">
        <v>67</v>
      </c>
      <c r="AF8" s="1"/>
    </row>
    <row r="9" spans="1:32">
      <c r="A9" s="30" t="s">
        <v>86</v>
      </c>
      <c r="B9" s="32">
        <v>9050000</v>
      </c>
      <c r="C9" s="34">
        <v>7</v>
      </c>
      <c r="D9" s="26">
        <f t="shared" si="0"/>
        <v>63350000</v>
      </c>
      <c r="E9" s="17">
        <f t="shared" si="1"/>
        <v>3215012500</v>
      </c>
      <c r="F9" s="3"/>
      <c r="G9" s="1"/>
      <c r="H9" s="5" t="s">
        <v>5</v>
      </c>
      <c r="I9" s="17">
        <f>SUM(I2:I8)</f>
        <v>136591571406.875</v>
      </c>
      <c r="J9" s="1"/>
      <c r="K9" s="2" t="s">
        <v>99</v>
      </c>
      <c r="L9" s="2">
        <f>3412/0.350824216</f>
        <v>9725.668424211628</v>
      </c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"/>
      <c r="AA9" s="8" t="s">
        <v>68</v>
      </c>
      <c r="AB9" s="62" t="s">
        <v>69</v>
      </c>
      <c r="AC9" s="61">
        <f>L17-I19</f>
        <v>31152685619.981155</v>
      </c>
      <c r="AD9" s="61">
        <f>(AC9*(((1-((1+0.1)^-25)))/0.1))+AC9</f>
        <v>313926859667.86841</v>
      </c>
      <c r="AE9" s="62">
        <f>((((AD9/I9)^(1/25)))-1)*100</f>
        <v>3.3846788398100847</v>
      </c>
      <c r="AF9" s="1"/>
    </row>
    <row r="10" spans="1:32" ht="15.75">
      <c r="A10" s="30" t="s">
        <v>2</v>
      </c>
      <c r="B10" s="32">
        <v>14900000</v>
      </c>
      <c r="C10" s="34">
        <v>3</v>
      </c>
      <c r="D10" s="26">
        <f t="shared" si="0"/>
        <v>44700000</v>
      </c>
      <c r="E10" s="17">
        <f t="shared" si="1"/>
        <v>2268525000</v>
      </c>
      <c r="F10" s="3"/>
      <c r="G10" s="1"/>
      <c r="H10" s="1"/>
      <c r="I10" s="1"/>
      <c r="J10" s="1"/>
      <c r="K10" s="1"/>
      <c r="L10" s="1"/>
      <c r="M10" s="1"/>
      <c r="N10" s="7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"/>
      <c r="AA10" s="8" t="s">
        <v>70</v>
      </c>
      <c r="AB10" s="22">
        <v>0.1</v>
      </c>
      <c r="AC10" s="61">
        <f>AB5</f>
        <v>30623775429.352501</v>
      </c>
      <c r="AD10" s="61">
        <f>(AC10*(((1-((1+0.1)^-25)))/0.1))+AC10</f>
        <v>308597010510.85413</v>
      </c>
      <c r="AE10" s="62">
        <f>((((AD10/I9)^(1/25)))-1)*100</f>
        <v>3.3138896463175582</v>
      </c>
      <c r="AF10" s="1"/>
    </row>
    <row r="11" spans="1:32" ht="15.75">
      <c r="A11" s="30" t="s">
        <v>3</v>
      </c>
      <c r="B11" s="32">
        <v>48146000</v>
      </c>
      <c r="C11" s="34">
        <v>1</v>
      </c>
      <c r="D11" s="26">
        <f t="shared" si="0"/>
        <v>48146000</v>
      </c>
      <c r="E11" s="17">
        <f t="shared" si="1"/>
        <v>2443409500</v>
      </c>
      <c r="F11" s="3"/>
      <c r="G11" s="1"/>
      <c r="H11" s="1"/>
      <c r="I11" s="1"/>
      <c r="J11" s="1"/>
      <c r="K11" s="1"/>
      <c r="L11" s="1"/>
      <c r="M11" s="1"/>
      <c r="N11" s="122" t="s">
        <v>45</v>
      </c>
      <c r="O11" s="122"/>
      <c r="P11" s="122" t="s">
        <v>46</v>
      </c>
      <c r="Q11" s="122"/>
      <c r="R11" s="122"/>
      <c r="S11" s="122" t="s">
        <v>47</v>
      </c>
      <c r="T11" s="122"/>
      <c r="U11" s="122"/>
      <c r="V11" s="122" t="s">
        <v>48</v>
      </c>
      <c r="W11" s="122"/>
      <c r="X11" s="122"/>
      <c r="Y11" s="75" t="s">
        <v>49</v>
      </c>
      <c r="Z11" s="1"/>
      <c r="AA11" s="8" t="s">
        <v>71</v>
      </c>
      <c r="AB11" s="22">
        <v>0.1</v>
      </c>
      <c r="AC11" s="61">
        <f>AC5</f>
        <v>26997074629.991623</v>
      </c>
      <c r="AD11" s="61">
        <f>(AC11*(((1-((1+0.1)^-25)))/0.1))+AC11</f>
        <v>272050601421.55017</v>
      </c>
      <c r="AE11" s="62">
        <f>((((AD11/I9)^(1/25)))-1)*100</f>
        <v>2.7942995497941103</v>
      </c>
      <c r="AF11" s="1"/>
    </row>
    <row r="12" spans="1:32">
      <c r="A12" s="1"/>
      <c r="B12" s="1"/>
      <c r="C12" s="1"/>
      <c r="D12" s="5" t="s">
        <v>5</v>
      </c>
      <c r="E12" s="17">
        <f>SUM(E3:E11)</f>
        <v>74324187000</v>
      </c>
      <c r="F12" s="3"/>
      <c r="G12" s="123" t="s">
        <v>15</v>
      </c>
      <c r="H12" s="124"/>
      <c r="I12" s="125"/>
      <c r="J12" s="1"/>
      <c r="K12" s="2" t="s">
        <v>24</v>
      </c>
      <c r="L12" s="14">
        <f>L9*1000</f>
        <v>9725668.4242116287</v>
      </c>
      <c r="M12" s="1"/>
      <c r="N12" s="102">
        <v>2022</v>
      </c>
      <c r="O12" s="102"/>
      <c r="P12" s="102">
        <v>2</v>
      </c>
      <c r="Q12" s="102"/>
      <c r="R12" s="102"/>
      <c r="S12" s="103">
        <f>I9</f>
        <v>136591571406.875</v>
      </c>
      <c r="T12" s="103"/>
      <c r="U12" s="103"/>
      <c r="V12" s="103">
        <f>L17-I19</f>
        <v>31152685619.981155</v>
      </c>
      <c r="W12" s="103"/>
      <c r="X12" s="103"/>
      <c r="Y12" s="15">
        <f>(V12/S12)</f>
        <v>0.22807180047138079</v>
      </c>
      <c r="Z12" s="1"/>
      <c r="AA12" s="8" t="s">
        <v>72</v>
      </c>
      <c r="AB12" s="22">
        <v>0.1</v>
      </c>
      <c r="AC12" s="61">
        <f>AD5</f>
        <v>32395213248.983143</v>
      </c>
      <c r="AD12" s="61">
        <f>(AC12*(((1-((1+0.1)^-25)))/0.1))+AC12</f>
        <v>326447860309.07709</v>
      </c>
      <c r="AE12" s="62">
        <f>((((AD12/I9)^(1/25)))-1)*100</f>
        <v>3.5465412986838141</v>
      </c>
      <c r="AF12" s="1"/>
    </row>
    <row r="13" spans="1:32">
      <c r="A13" s="1"/>
      <c r="B13" s="1"/>
      <c r="C13" s="1"/>
      <c r="D13" s="1"/>
      <c r="E13" s="1"/>
      <c r="F13" s="3"/>
      <c r="G13" s="2" t="s">
        <v>16</v>
      </c>
      <c r="H13" s="2"/>
      <c r="I13" s="17">
        <f>L16</f>
        <v>6539619100.0104694</v>
      </c>
      <c r="J13" s="1"/>
      <c r="K13" s="2" t="s">
        <v>34</v>
      </c>
      <c r="L13" s="19">
        <v>6.8000000000000005E-2</v>
      </c>
      <c r="M13" s="1"/>
      <c r="N13" s="102">
        <v>2023</v>
      </c>
      <c r="O13" s="102"/>
      <c r="P13" s="102">
        <v>3</v>
      </c>
      <c r="Q13" s="102"/>
      <c r="R13" s="102"/>
      <c r="S13" s="103">
        <f>S12-V12</f>
        <v>105438885786.89384</v>
      </c>
      <c r="T13" s="103"/>
      <c r="U13" s="103"/>
      <c r="V13" s="103">
        <f>V12</f>
        <v>31152685619.981155</v>
      </c>
      <c r="W13" s="103"/>
      <c r="X13" s="103"/>
      <c r="Y13" s="15">
        <f>(V13/S13)</f>
        <v>0.29545727259433413</v>
      </c>
      <c r="Z13" s="1"/>
      <c r="AA13" s="10"/>
      <c r="AB13" s="7"/>
      <c r="AC13" s="7"/>
      <c r="AD13" s="7"/>
      <c r="AE13" s="7"/>
      <c r="AF13" s="1"/>
    </row>
    <row r="14" spans="1:32" ht="15.75">
      <c r="A14" s="1"/>
      <c r="B14" s="1"/>
      <c r="C14" s="1"/>
      <c r="D14" s="1"/>
      <c r="E14" s="1"/>
      <c r="F14" s="3"/>
      <c r="G14" s="2" t="s">
        <v>17</v>
      </c>
      <c r="H14" s="2">
        <v>0.2</v>
      </c>
      <c r="I14" s="17">
        <f>H14*I13</f>
        <v>1307923820.002094</v>
      </c>
      <c r="J14" s="1"/>
      <c r="K14" s="2" t="s">
        <v>35</v>
      </c>
      <c r="L14" s="19">
        <f>L13*50.75</f>
        <v>3.4510000000000001</v>
      </c>
      <c r="M14" s="1"/>
      <c r="N14" s="102">
        <v>2024</v>
      </c>
      <c r="O14" s="102"/>
      <c r="P14" s="102">
        <v>4</v>
      </c>
      <c r="Q14" s="102"/>
      <c r="R14" s="102"/>
      <c r="S14" s="103">
        <f>S13-V13</f>
        <v>74286200166.912689</v>
      </c>
      <c r="T14" s="103"/>
      <c r="U14" s="103"/>
      <c r="V14" s="103">
        <f>V12</f>
        <v>31152685619.981155</v>
      </c>
      <c r="W14" s="103"/>
      <c r="X14" s="103"/>
      <c r="Y14" s="15">
        <f>(V14/S14)</f>
        <v>0.41936033273992468</v>
      </c>
      <c r="Z14" s="1"/>
      <c r="AA14" s="76" t="s">
        <v>73</v>
      </c>
      <c r="AB14" s="7"/>
      <c r="AC14" s="7"/>
      <c r="AD14" s="7"/>
      <c r="AE14" s="7"/>
      <c r="AF14" s="1"/>
    </row>
    <row r="15" spans="1:32" ht="15.75">
      <c r="A15" s="1"/>
      <c r="B15" s="1"/>
      <c r="C15" s="1"/>
      <c r="D15" s="1"/>
      <c r="E15" s="1"/>
      <c r="F15" s="3"/>
      <c r="G15" s="2" t="s">
        <v>18</v>
      </c>
      <c r="H15" s="2">
        <f>H14</f>
        <v>0.2</v>
      </c>
      <c r="I15" s="17">
        <f>I14</f>
        <v>1307923820.002094</v>
      </c>
      <c r="J15" s="1"/>
      <c r="K15" s="2" t="s">
        <v>30</v>
      </c>
      <c r="L15" s="19">
        <v>22479.470399999998</v>
      </c>
      <c r="M15" s="1"/>
      <c r="N15" s="102">
        <v>2025</v>
      </c>
      <c r="O15" s="102"/>
      <c r="P15" s="102">
        <v>5</v>
      </c>
      <c r="Q15" s="102"/>
      <c r="R15" s="102"/>
      <c r="S15" s="103">
        <f>S14-V14</f>
        <v>43133514546.931534</v>
      </c>
      <c r="T15" s="103"/>
      <c r="U15" s="103"/>
      <c r="V15" s="103">
        <f>V12</f>
        <v>31152685619.981155</v>
      </c>
      <c r="W15" s="103"/>
      <c r="X15" s="103"/>
      <c r="Y15" s="15">
        <f>(V15/S15)</f>
        <v>0.7222385179414349</v>
      </c>
      <c r="Z15" s="1"/>
      <c r="AA15" s="75" t="s">
        <v>74</v>
      </c>
      <c r="AB15" s="75" t="s">
        <v>75</v>
      </c>
      <c r="AC15" s="75" t="s">
        <v>76</v>
      </c>
      <c r="AD15" s="75" t="s">
        <v>77</v>
      </c>
      <c r="AE15" s="75" t="s">
        <v>78</v>
      </c>
      <c r="AF15" s="1"/>
    </row>
    <row r="16" spans="1:32">
      <c r="A16" s="1"/>
      <c r="B16" s="1"/>
      <c r="C16" s="1"/>
      <c r="D16" s="1"/>
      <c r="E16" s="1"/>
      <c r="F16" s="3"/>
      <c r="G16" s="2" t="s">
        <v>19</v>
      </c>
      <c r="H16" s="2">
        <f>H14</f>
        <v>0.2</v>
      </c>
      <c r="I16" s="17">
        <f>I14</f>
        <v>1307923820.002094</v>
      </c>
      <c r="J16" s="1"/>
      <c r="K16" s="2" t="s">
        <v>16</v>
      </c>
      <c r="L16" s="27">
        <f>(L14*L12*500*365*24)/L15</f>
        <v>6539619100.0104694</v>
      </c>
      <c r="M16" s="1"/>
      <c r="N16" s="102">
        <v>2045</v>
      </c>
      <c r="O16" s="102"/>
      <c r="P16" s="102">
        <v>25</v>
      </c>
      <c r="Q16" s="102"/>
      <c r="R16" s="102"/>
      <c r="S16" s="103">
        <f>S15-(V15*20)</f>
        <v>-579920197852.69153</v>
      </c>
      <c r="T16" s="103"/>
      <c r="U16" s="103"/>
      <c r="V16" s="103">
        <f>V12</f>
        <v>31152685619.981155</v>
      </c>
      <c r="W16" s="103"/>
      <c r="X16" s="103"/>
      <c r="Y16" s="15">
        <f>V16/-S16</f>
        <v>5.3718918112064806E-2</v>
      </c>
      <c r="Z16" s="1"/>
      <c r="AA16" s="18">
        <f>(O3-R3-V3)/25</f>
        <v>2739886829.5679998</v>
      </c>
      <c r="AB16" s="18">
        <f>(O6-R6-V6)/25</f>
        <v>5035311688.3430405</v>
      </c>
      <c r="AC16" s="18">
        <f>AA16+AB16+I19</f>
        <v>19546512897.929886</v>
      </c>
      <c r="AD16" s="18">
        <f>L17</f>
        <v>42924000000</v>
      </c>
      <c r="AE16" s="16">
        <f>(AC16/AD16)*500</f>
        <v>227.68745804130424</v>
      </c>
      <c r="AF16" s="1"/>
    </row>
    <row r="17" spans="1:32" ht="15.75">
      <c r="A17" s="1"/>
      <c r="B17" s="1"/>
      <c r="C17" s="1"/>
      <c r="D17" s="1"/>
      <c r="E17" s="1"/>
      <c r="F17" s="3"/>
      <c r="G17" s="2" t="s">
        <v>20</v>
      </c>
      <c r="H17" s="2">
        <v>0.1</v>
      </c>
      <c r="I17" s="17">
        <f>H17*I13</f>
        <v>653961910.00104702</v>
      </c>
      <c r="J17" s="1"/>
      <c r="K17" s="2" t="s">
        <v>31</v>
      </c>
      <c r="L17" s="20">
        <f>L7*L8*365*24</f>
        <v>42924000000</v>
      </c>
      <c r="M17" s="1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1" t="s">
        <v>50</v>
      </c>
      <c r="Y17" s="15">
        <f>AVERAGE(Y12:Y16)</f>
        <v>0.34376936837182781</v>
      </c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3"/>
      <c r="G18" s="2" t="s">
        <v>21</v>
      </c>
      <c r="H18" s="2">
        <f>H17</f>
        <v>0.1</v>
      </c>
      <c r="I18" s="17">
        <f>H18*I13</f>
        <v>653961910.00104702</v>
      </c>
      <c r="J18" s="1"/>
      <c r="K18" s="2" t="s">
        <v>32</v>
      </c>
      <c r="L18" s="19">
        <f>L17*((1-1.065^-25)/0.065)</f>
        <v>523581660546.32507</v>
      </c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"/>
      <c r="AA18" s="1"/>
      <c r="AD18" s="2" t="s">
        <v>123</v>
      </c>
      <c r="AE18" s="2">
        <f>AD16-AC16</f>
        <v>23377487102.070114</v>
      </c>
      <c r="AF18" s="1"/>
    </row>
    <row r="19" spans="1:32" ht="15.75">
      <c r="A19" s="1"/>
      <c r="B19" s="1"/>
      <c r="C19" s="1"/>
      <c r="D19" s="1"/>
      <c r="E19" s="1"/>
      <c r="F19" s="3"/>
      <c r="G19" s="1"/>
      <c r="H19" s="5" t="s">
        <v>5</v>
      </c>
      <c r="I19" s="17">
        <f>SUM(I13:I18)</f>
        <v>11771314380.018847</v>
      </c>
      <c r="J19" s="1"/>
      <c r="K19" s="2" t="s">
        <v>33</v>
      </c>
      <c r="L19" s="19">
        <f>((I9-(0.1)*(I9))/25)</f>
        <v>4917296570.6475</v>
      </c>
      <c r="M19" s="1"/>
      <c r="N19" s="7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"/>
      <c r="AA19" s="23" t="s">
        <v>57</v>
      </c>
      <c r="AB19" s="24"/>
      <c r="AC19" s="1"/>
      <c r="AD19" s="2" t="s">
        <v>124</v>
      </c>
      <c r="AE19" s="2">
        <f>0.12*E12</f>
        <v>8918902440</v>
      </c>
      <c r="AF19" s="1"/>
    </row>
    <row r="20" spans="1:32" ht="15.75">
      <c r="A20" s="1"/>
      <c r="B20" s="1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22" t="s">
        <v>45</v>
      </c>
      <c r="O20" s="122"/>
      <c r="P20" s="122" t="s">
        <v>48</v>
      </c>
      <c r="Q20" s="122"/>
      <c r="R20" s="122"/>
      <c r="S20" s="122"/>
      <c r="T20" s="122" t="s">
        <v>47</v>
      </c>
      <c r="U20" s="122"/>
      <c r="V20" s="122" t="s">
        <v>39</v>
      </c>
      <c r="W20" s="122"/>
      <c r="X20" s="12"/>
      <c r="Y20" s="6"/>
      <c r="Z20" s="1"/>
      <c r="AA20" s="23" t="s">
        <v>58</v>
      </c>
      <c r="AB20" s="25">
        <f>500*0.9</f>
        <v>450</v>
      </c>
      <c r="AC20" s="1"/>
      <c r="AD20" s="2" t="s">
        <v>125</v>
      </c>
      <c r="AE20" s="2">
        <f>V12/AE19</f>
        <v>3.4928833261215888</v>
      </c>
      <c r="AF20" s="1"/>
    </row>
    <row r="21" spans="1:32">
      <c r="A21" s="1"/>
      <c r="B21" s="1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02">
        <v>2022</v>
      </c>
      <c r="O21" s="102"/>
      <c r="P21" s="103">
        <f>V12</f>
        <v>31152685619.981155</v>
      </c>
      <c r="Q21" s="103"/>
      <c r="R21" s="103"/>
      <c r="S21" s="103"/>
      <c r="T21" s="103">
        <f>S12</f>
        <v>136591571406.875</v>
      </c>
      <c r="U21" s="103"/>
      <c r="V21" s="103">
        <f>T21-V8</f>
        <v>127560855237.77888</v>
      </c>
      <c r="W21" s="103"/>
      <c r="X21" s="12"/>
      <c r="Y21" s="6"/>
      <c r="Z21" s="1"/>
      <c r="AA21" s="1"/>
      <c r="AB21" s="1"/>
      <c r="AC21" s="1"/>
      <c r="AD21" s="1"/>
      <c r="AE21" s="1"/>
      <c r="AF21" s="1"/>
    </row>
    <row r="22" spans="1:32">
      <c r="A22" s="1"/>
      <c r="B22" s="1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02">
        <v>2023</v>
      </c>
      <c r="O22" s="102"/>
      <c r="P22" s="103">
        <f>P21</f>
        <v>31152685619.981155</v>
      </c>
      <c r="Q22" s="103"/>
      <c r="R22" s="103"/>
      <c r="S22" s="103"/>
      <c r="T22" s="103">
        <f>T21-P22</f>
        <v>105438885786.89384</v>
      </c>
      <c r="U22" s="103"/>
      <c r="V22" s="103">
        <f>V21-V8</f>
        <v>118530139068.68277</v>
      </c>
      <c r="W22" s="103"/>
      <c r="X22" s="12"/>
      <c r="Y22" s="6"/>
      <c r="Z22" s="1"/>
      <c r="AA22" s="1"/>
      <c r="AB22" s="1"/>
      <c r="AC22" s="1"/>
      <c r="AD22" s="1"/>
      <c r="AE22" s="1"/>
      <c r="AF22" s="1"/>
    </row>
    <row r="23" spans="1:32">
      <c r="A23" s="1"/>
      <c r="B23" s="1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02">
        <v>2024</v>
      </c>
      <c r="O23" s="102"/>
      <c r="P23" s="103">
        <f>P21</f>
        <v>31152685619.981155</v>
      </c>
      <c r="Q23" s="103"/>
      <c r="R23" s="103"/>
      <c r="S23" s="103"/>
      <c r="T23" s="103">
        <f>T22-P23</f>
        <v>74286200166.912689</v>
      </c>
      <c r="U23" s="103"/>
      <c r="V23" s="103">
        <f>V22-V8</f>
        <v>109499422899.58665</v>
      </c>
      <c r="W23" s="103"/>
      <c r="X23" s="12"/>
      <c r="Y23" s="6"/>
      <c r="Z23" s="1"/>
      <c r="AA23" s="1"/>
      <c r="AB23" s="1"/>
      <c r="AC23" s="1"/>
      <c r="AD23" s="1"/>
      <c r="AE23" s="1"/>
      <c r="AF23" s="1"/>
    </row>
    <row r="24" spans="1:32">
      <c r="A24" s="1"/>
      <c r="B24" s="1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02">
        <v>2025</v>
      </c>
      <c r="O24" s="102"/>
      <c r="P24" s="103">
        <f>P21</f>
        <v>31152685619.981155</v>
      </c>
      <c r="Q24" s="103"/>
      <c r="R24" s="103"/>
      <c r="S24" s="103"/>
      <c r="T24" s="103">
        <f>T23-P24</f>
        <v>43133514546.931534</v>
      </c>
      <c r="U24" s="103"/>
      <c r="V24" s="103">
        <f>V23-V8</f>
        <v>100468706730.49054</v>
      </c>
      <c r="W24" s="103"/>
      <c r="X24" s="12"/>
      <c r="Y24" s="6"/>
      <c r="Z24" s="1"/>
      <c r="AA24" s="1"/>
      <c r="AB24" s="1"/>
      <c r="AC24" s="1"/>
      <c r="AD24" s="1"/>
      <c r="AE24" s="1"/>
      <c r="AF24" s="1"/>
    </row>
    <row r="25" spans="1:32">
      <c r="A25" s="1"/>
      <c r="B25" s="1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02" t="s">
        <v>51</v>
      </c>
      <c r="O25" s="102"/>
      <c r="P25" s="103">
        <f>AVERAGE(P21:S24)</f>
        <v>31152685619.981155</v>
      </c>
      <c r="Q25" s="103"/>
      <c r="R25" s="103"/>
      <c r="S25" s="103"/>
      <c r="T25" s="103">
        <f>AVERAGE(T21:U24)</f>
        <v>89862542976.903259</v>
      </c>
      <c r="U25" s="103"/>
      <c r="V25" s="103">
        <f>AVERAGE(V21:W24)</f>
        <v>114014780984.13472</v>
      </c>
      <c r="W25" s="103"/>
      <c r="X25" s="12"/>
      <c r="Y25" s="6"/>
      <c r="Z25" s="1"/>
      <c r="AA25" s="1"/>
      <c r="AB25" s="1"/>
      <c r="AC25" s="1"/>
      <c r="AD25" s="1"/>
      <c r="AE25" s="1"/>
      <c r="AF25" s="1"/>
    </row>
    <row r="26" spans="1:32" ht="15.75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22" t="s">
        <v>52</v>
      </c>
      <c r="O26" s="122"/>
      <c r="P26" s="122"/>
      <c r="Q26" s="122"/>
      <c r="R26" s="122"/>
      <c r="S26" s="122"/>
      <c r="T26" s="121">
        <f>T21/P21</f>
        <v>4.3845841438230915</v>
      </c>
      <c r="U26" s="121"/>
      <c r="V26" s="121"/>
      <c r="W26" s="121"/>
      <c r="X26" s="12"/>
      <c r="Y26" s="6"/>
      <c r="Z26" s="1"/>
      <c r="AA26" s="1"/>
      <c r="AB26" s="1"/>
      <c r="AC26" s="1"/>
      <c r="AD26" s="1"/>
      <c r="AE26" s="1"/>
      <c r="AF26" s="1"/>
    </row>
    <row r="27" spans="1:32">
      <c r="A27" s="1"/>
      <c r="B27" s="1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"/>
      <c r="AA27" s="1"/>
      <c r="AB27" s="1"/>
      <c r="AC27" s="1"/>
      <c r="AD27" s="1"/>
      <c r="AE27" s="1"/>
      <c r="AF27" s="1"/>
    </row>
    <row r="28" spans="1:32">
      <c r="A28" s="1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1"/>
      <c r="B29" s="1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1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1"/>
      <c r="B31" s="1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1"/>
      <c r="B32" s="1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1"/>
      <c r="B33" s="1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1"/>
      <c r="B34" s="1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1"/>
      <c r="B35" s="1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1"/>
      <c r="B36" s="1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</sheetData>
  <mergeCells count="82">
    <mergeCell ref="A1:E1"/>
    <mergeCell ref="G1:I1"/>
    <mergeCell ref="N1:O1"/>
    <mergeCell ref="O2:P2"/>
    <mergeCell ref="R2:S2"/>
    <mergeCell ref="T2:U2"/>
    <mergeCell ref="V2:W2"/>
    <mergeCell ref="O3:P3"/>
    <mergeCell ref="R3:S3"/>
    <mergeCell ref="T3:U3"/>
    <mergeCell ref="V3:W3"/>
    <mergeCell ref="O4:P4"/>
    <mergeCell ref="R4:S4"/>
    <mergeCell ref="T4:U4"/>
    <mergeCell ref="V4:W4"/>
    <mergeCell ref="O5:P5"/>
    <mergeCell ref="R5:S5"/>
    <mergeCell ref="T5:U5"/>
    <mergeCell ref="V5:W5"/>
    <mergeCell ref="O6:P6"/>
    <mergeCell ref="R6:S6"/>
    <mergeCell ref="T6:U6"/>
    <mergeCell ref="V6:W6"/>
    <mergeCell ref="O7:P7"/>
    <mergeCell ref="R7:S7"/>
    <mergeCell ref="T7:U7"/>
    <mergeCell ref="V7:W7"/>
    <mergeCell ref="O8:S8"/>
    <mergeCell ref="T8:U8"/>
    <mergeCell ref="V8:W8"/>
    <mergeCell ref="N11:O11"/>
    <mergeCell ref="P11:R11"/>
    <mergeCell ref="S11:U11"/>
    <mergeCell ref="V11:X11"/>
    <mergeCell ref="G12:I12"/>
    <mergeCell ref="N12:O12"/>
    <mergeCell ref="P12:R12"/>
    <mergeCell ref="S12:U12"/>
    <mergeCell ref="V12:X12"/>
    <mergeCell ref="P16:R16"/>
    <mergeCell ref="S16:U16"/>
    <mergeCell ref="V16:X16"/>
    <mergeCell ref="N13:O13"/>
    <mergeCell ref="P13:R13"/>
    <mergeCell ref="S13:U13"/>
    <mergeCell ref="V13:X13"/>
    <mergeCell ref="N14:O14"/>
    <mergeCell ref="P14:R14"/>
    <mergeCell ref="S14:U14"/>
    <mergeCell ref="N15:O15"/>
    <mergeCell ref="P15:R15"/>
    <mergeCell ref="S15:U15"/>
    <mergeCell ref="V15:X15"/>
    <mergeCell ref="N16:O16"/>
    <mergeCell ref="V14:X14"/>
    <mergeCell ref="N17:W17"/>
    <mergeCell ref="N20:O20"/>
    <mergeCell ref="P20:S20"/>
    <mergeCell ref="T20:U20"/>
    <mergeCell ref="V20:W20"/>
    <mergeCell ref="N21:O21"/>
    <mergeCell ref="P21:S21"/>
    <mergeCell ref="T21:U21"/>
    <mergeCell ref="V21:W21"/>
    <mergeCell ref="N22:O22"/>
    <mergeCell ref="P22:S22"/>
    <mergeCell ref="T22:U22"/>
    <mergeCell ref="V22:W22"/>
    <mergeCell ref="N23:O23"/>
    <mergeCell ref="P23:S23"/>
    <mergeCell ref="T23:U23"/>
    <mergeCell ref="V23:W23"/>
    <mergeCell ref="N24:O24"/>
    <mergeCell ref="P24:S24"/>
    <mergeCell ref="T24:U24"/>
    <mergeCell ref="V24:W24"/>
    <mergeCell ref="N25:O25"/>
    <mergeCell ref="P25:S25"/>
    <mergeCell ref="T25:U25"/>
    <mergeCell ref="V25:W25"/>
    <mergeCell ref="N26:S26"/>
    <mergeCell ref="T26:W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I27"/>
  <sheetViews>
    <sheetView topLeftCell="N1" zoomScale="70" zoomScaleNormal="70" workbookViewId="0">
      <selection activeCell="Z12" sqref="Z12"/>
    </sheetView>
  </sheetViews>
  <sheetFormatPr defaultColWidth="8.85546875" defaultRowHeight="14.25"/>
  <cols>
    <col min="1" max="1" width="28.42578125" style="1" bestFit="1" customWidth="1"/>
    <col min="2" max="2" width="19.28515625" style="1" bestFit="1" customWidth="1"/>
    <col min="3" max="3" width="6.28515625" style="1" bestFit="1" customWidth="1"/>
    <col min="4" max="4" width="18.7109375" style="1" bestFit="1" customWidth="1"/>
    <col min="5" max="5" width="23.28515625" style="1" bestFit="1" customWidth="1"/>
    <col min="6" max="6" width="1.42578125" style="3" customWidth="1"/>
    <col min="7" max="7" width="34.85546875" style="1" bestFit="1" customWidth="1"/>
    <col min="8" max="8" width="9.5703125" style="1" customWidth="1"/>
    <col min="9" max="9" width="23.85546875" style="1" customWidth="1"/>
    <col min="10" max="10" width="1.42578125" style="1" customWidth="1"/>
    <col min="11" max="11" width="24" style="1" bestFit="1" customWidth="1"/>
    <col min="12" max="12" width="23.28515625" style="1" customWidth="1"/>
    <col min="13" max="13" width="1.28515625" style="1" customWidth="1"/>
    <col min="14" max="14" width="25.5703125" style="1" bestFit="1" customWidth="1"/>
    <col min="15" max="16" width="14" style="1" customWidth="1"/>
    <col min="17" max="17" width="21.140625" style="1" bestFit="1" customWidth="1"/>
    <col min="18" max="23" width="14" style="1" customWidth="1"/>
    <col min="24" max="24" width="11.7109375" style="1" bestFit="1" customWidth="1"/>
    <col min="25" max="25" width="10.7109375" style="1" bestFit="1" customWidth="1"/>
    <col min="26" max="26" width="24.140625" style="1" customWidth="1"/>
    <col min="27" max="27" width="10.7109375" style="1" customWidth="1"/>
    <col min="28" max="28" width="1.140625" style="1" customWidth="1"/>
    <col min="29" max="29" width="40.140625" style="1" customWidth="1"/>
    <col min="30" max="30" width="30.7109375" style="1" bestFit="1" customWidth="1"/>
    <col min="31" max="31" width="39.140625" style="1" bestFit="1" customWidth="1"/>
    <col min="32" max="32" width="42.7109375" style="1" bestFit="1" customWidth="1"/>
    <col min="33" max="33" width="48.42578125" style="1" bestFit="1" customWidth="1"/>
    <col min="34" max="34" width="40" style="1" customWidth="1"/>
    <col min="35" max="35" width="12.5703125" style="1" customWidth="1"/>
    <col min="36" max="37" width="36.140625" style="1" customWidth="1"/>
    <col min="38" max="16384" width="8.85546875" style="1"/>
  </cols>
  <sheetData>
    <row r="1" spans="1:35" ht="15.75">
      <c r="A1" s="107" t="s">
        <v>96</v>
      </c>
      <c r="B1" s="108"/>
      <c r="C1" s="108"/>
      <c r="D1" s="108"/>
      <c r="E1" s="109"/>
      <c r="F1" s="4"/>
      <c r="G1" s="114" t="s">
        <v>8</v>
      </c>
      <c r="H1" s="114"/>
      <c r="I1" s="114"/>
      <c r="N1" s="112" t="s">
        <v>39</v>
      </c>
      <c r="O1" s="112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C1" s="66" t="s">
        <v>53</v>
      </c>
      <c r="AD1" s="7"/>
      <c r="AE1" s="7"/>
      <c r="AF1" s="7"/>
      <c r="AG1" s="7"/>
      <c r="AH1" s="7"/>
      <c r="AI1" s="7"/>
    </row>
    <row r="2" spans="1:35" ht="15.75">
      <c r="A2" s="2"/>
      <c r="B2" s="63" t="s">
        <v>6</v>
      </c>
      <c r="C2" s="63" t="s">
        <v>4</v>
      </c>
      <c r="D2" s="63" t="s">
        <v>5</v>
      </c>
      <c r="E2" s="63" t="s">
        <v>7</v>
      </c>
      <c r="G2" s="2" t="s">
        <v>9</v>
      </c>
      <c r="H2" s="2"/>
      <c r="I2" s="17">
        <f>E12</f>
        <v>74751908000</v>
      </c>
      <c r="K2" s="2" t="s">
        <v>22</v>
      </c>
      <c r="L2" s="2">
        <f>I15+I17</f>
        <v>1961885730.0031409</v>
      </c>
      <c r="N2" s="8"/>
      <c r="O2" s="104" t="s">
        <v>36</v>
      </c>
      <c r="P2" s="104"/>
      <c r="Q2" s="65" t="s">
        <v>101</v>
      </c>
      <c r="R2" s="104" t="s">
        <v>37</v>
      </c>
      <c r="S2" s="104"/>
      <c r="T2" s="104" t="s">
        <v>38</v>
      </c>
      <c r="U2" s="104"/>
      <c r="V2" s="104" t="s">
        <v>39</v>
      </c>
      <c r="W2" s="104"/>
      <c r="X2" s="6"/>
      <c r="Y2" s="6"/>
      <c r="Z2" s="6"/>
      <c r="AA2" s="6"/>
      <c r="AC2" s="9"/>
      <c r="AD2" s="65" t="s">
        <v>54</v>
      </c>
      <c r="AE2" s="65" t="s">
        <v>55</v>
      </c>
      <c r="AF2" s="65" t="s">
        <v>56</v>
      </c>
      <c r="AG2" s="7"/>
    </row>
    <row r="3" spans="1:35" ht="15">
      <c r="A3" s="29" t="s">
        <v>0</v>
      </c>
      <c r="B3" s="31">
        <v>700586000</v>
      </c>
      <c r="C3" s="33">
        <v>1</v>
      </c>
      <c r="D3" s="26">
        <f t="shared" ref="D3:D11" si="0">B3*C3</f>
        <v>700586000</v>
      </c>
      <c r="E3" s="17">
        <f t="shared" ref="E3:E11" si="1">D3*50.75</f>
        <v>35554739500</v>
      </c>
      <c r="G3" s="2" t="s">
        <v>10</v>
      </c>
      <c r="H3" s="2">
        <v>0.1</v>
      </c>
      <c r="I3" s="17">
        <f>H3*I2</f>
        <v>7475190800</v>
      </c>
      <c r="K3" s="2" t="s">
        <v>23</v>
      </c>
      <c r="L3" s="2">
        <f>I14+I16</f>
        <v>2615847640.0041881</v>
      </c>
      <c r="N3" s="8" t="s">
        <v>9</v>
      </c>
      <c r="O3" s="103">
        <f>E12</f>
        <v>74751908000</v>
      </c>
      <c r="P3" s="103"/>
      <c r="Q3" s="61">
        <v>0.04</v>
      </c>
      <c r="R3" s="103">
        <f>O3*Q3</f>
        <v>2990076320</v>
      </c>
      <c r="S3" s="103"/>
      <c r="T3" s="102">
        <v>25</v>
      </c>
      <c r="U3" s="102"/>
      <c r="V3" s="103">
        <f>(O3-R3)/T3</f>
        <v>2870473267.1999998</v>
      </c>
      <c r="W3" s="103"/>
      <c r="X3" s="6"/>
      <c r="Y3" s="6"/>
      <c r="Z3" s="6"/>
      <c r="AA3" s="6"/>
      <c r="AC3" s="9" t="s">
        <v>32</v>
      </c>
      <c r="AD3" s="21">
        <f>9.8*AD20*0.92*24*365*1000</f>
        <v>35541072000</v>
      </c>
      <c r="AE3" s="21">
        <f>L17</f>
        <v>42924000000</v>
      </c>
      <c r="AF3" s="21">
        <f>AE3</f>
        <v>42924000000</v>
      </c>
      <c r="AG3" s="7"/>
    </row>
    <row r="4" spans="1:35" ht="15">
      <c r="A4" s="29" t="s">
        <v>25</v>
      </c>
      <c r="B4" s="31">
        <v>90700000</v>
      </c>
      <c r="C4" s="33">
        <v>1</v>
      </c>
      <c r="D4" s="26">
        <f t="shared" si="0"/>
        <v>90700000</v>
      </c>
      <c r="E4" s="17">
        <f t="shared" si="1"/>
        <v>4603025000</v>
      </c>
      <c r="G4" s="2" t="s">
        <v>11</v>
      </c>
      <c r="H4" s="2">
        <v>0.33</v>
      </c>
      <c r="I4" s="17">
        <f>H4*I2</f>
        <v>24668129640</v>
      </c>
      <c r="N4" s="8" t="s">
        <v>42</v>
      </c>
      <c r="O4" s="103">
        <f>I8</f>
        <v>14950381600</v>
      </c>
      <c r="P4" s="103"/>
      <c r="Q4" s="61">
        <v>0.04</v>
      </c>
      <c r="R4" s="103">
        <f>O4*Q4</f>
        <v>598015264</v>
      </c>
      <c r="S4" s="103"/>
      <c r="T4" s="102">
        <v>25</v>
      </c>
      <c r="U4" s="102"/>
      <c r="V4" s="103">
        <f>(O4-R4)/T4</f>
        <v>574094653.44000006</v>
      </c>
      <c r="W4" s="103"/>
      <c r="X4" s="6"/>
      <c r="Y4" s="6"/>
      <c r="Z4" s="6"/>
      <c r="AA4" s="6"/>
      <c r="AC4" s="9" t="s">
        <v>59</v>
      </c>
      <c r="AD4" s="21">
        <f>L19</f>
        <v>5220223431.8012505</v>
      </c>
      <c r="AE4" s="21">
        <f>10695230090+SUM(I14:I18)</f>
        <v>15926925370.008377</v>
      </c>
      <c r="AF4" s="21">
        <f>(L16*0.9*0.9)+SUM(I14:I18)</f>
        <v>10528786751.016857</v>
      </c>
      <c r="AG4" s="7"/>
      <c r="AH4" s="7"/>
      <c r="AI4" s="7"/>
    </row>
    <row r="5" spans="1:35" ht="15">
      <c r="A5" s="30" t="s">
        <v>26</v>
      </c>
      <c r="B5" s="32">
        <v>80920000</v>
      </c>
      <c r="C5" s="34">
        <v>1</v>
      </c>
      <c r="D5" s="26">
        <f t="shared" si="0"/>
        <v>80920000</v>
      </c>
      <c r="E5" s="17">
        <f t="shared" si="1"/>
        <v>4106690000</v>
      </c>
      <c r="G5" s="2" t="s">
        <v>12</v>
      </c>
      <c r="H5" s="2">
        <v>0.2</v>
      </c>
      <c r="I5" s="17">
        <f>H5*I2</f>
        <v>14950381600</v>
      </c>
      <c r="N5" s="8" t="s">
        <v>40</v>
      </c>
      <c r="O5" s="103">
        <f>L2</f>
        <v>1961885730.0031409</v>
      </c>
      <c r="P5" s="103"/>
      <c r="Q5" s="61">
        <v>0.04</v>
      </c>
      <c r="R5" s="103">
        <f>O5*Q5</f>
        <v>78475429.200125635</v>
      </c>
      <c r="S5" s="103"/>
      <c r="T5" s="102">
        <v>25</v>
      </c>
      <c r="U5" s="102"/>
      <c r="V5" s="103">
        <f>(O5-R5)/T5</f>
        <v>75336412.032120615</v>
      </c>
      <c r="W5" s="103"/>
      <c r="X5" s="6"/>
      <c r="Y5" s="6"/>
      <c r="Z5" s="6"/>
      <c r="AA5" s="6"/>
      <c r="AC5" s="9" t="s">
        <v>60</v>
      </c>
      <c r="AD5" s="21">
        <f>AD3-AD4</f>
        <v>30320848568.19875</v>
      </c>
      <c r="AE5" s="21">
        <f>AE3-AE4</f>
        <v>26997074629.991623</v>
      </c>
      <c r="AF5" s="21">
        <f>AF3-AF4</f>
        <v>32395213248.983143</v>
      </c>
      <c r="AG5" s="7"/>
      <c r="AH5" s="7"/>
      <c r="AI5" s="7"/>
    </row>
    <row r="6" spans="1:35" ht="15">
      <c r="A6" s="30" t="s">
        <v>27</v>
      </c>
      <c r="B6" s="32">
        <v>280750000</v>
      </c>
      <c r="C6" s="34">
        <v>1</v>
      </c>
      <c r="D6" s="26">
        <f t="shared" si="0"/>
        <v>280750000</v>
      </c>
      <c r="E6" s="17">
        <f t="shared" si="1"/>
        <v>14248062500</v>
      </c>
      <c r="G6" s="2" t="s">
        <v>13</v>
      </c>
      <c r="H6" s="2">
        <v>0.15</v>
      </c>
      <c r="I6" s="17">
        <f>H6*I7</f>
        <v>75431634.375</v>
      </c>
      <c r="K6" s="28" t="s">
        <v>100</v>
      </c>
      <c r="N6" s="8" t="s">
        <v>43</v>
      </c>
      <c r="O6" s="111">
        <f>I9</f>
        <v>137374300836.875</v>
      </c>
      <c r="P6" s="111"/>
      <c r="Q6" s="61">
        <v>0.04</v>
      </c>
      <c r="R6" s="103">
        <f>O6*Q6</f>
        <v>5494972033.4750004</v>
      </c>
      <c r="S6" s="103"/>
      <c r="T6" s="102">
        <v>25</v>
      </c>
      <c r="U6" s="102"/>
      <c r="V6" s="103">
        <f>(O6-R6)/T6</f>
        <v>5275173152.1359997</v>
      </c>
      <c r="W6" s="103"/>
      <c r="X6" s="6"/>
      <c r="Y6" s="6"/>
      <c r="Z6" s="6"/>
      <c r="AA6" s="6"/>
      <c r="AC6" s="7"/>
      <c r="AD6" s="7"/>
      <c r="AE6" s="7"/>
      <c r="AF6" s="7"/>
      <c r="AG6" s="7"/>
      <c r="AH6" s="7"/>
      <c r="AI6" s="7"/>
    </row>
    <row r="7" spans="1:35" ht="15">
      <c r="A7" s="30" t="s">
        <v>1</v>
      </c>
      <c r="B7" s="32">
        <v>150500000</v>
      </c>
      <c r="C7" s="34">
        <v>1</v>
      </c>
      <c r="D7" s="26">
        <f t="shared" si="0"/>
        <v>150500000</v>
      </c>
      <c r="E7" s="17">
        <f t="shared" si="1"/>
        <v>7637875000</v>
      </c>
      <c r="G7" s="2" t="s">
        <v>29</v>
      </c>
      <c r="H7" s="2"/>
      <c r="I7" s="17">
        <v>502877562.5</v>
      </c>
      <c r="K7" s="2" t="s">
        <v>97</v>
      </c>
      <c r="L7" s="2">
        <v>500000</v>
      </c>
      <c r="N7" s="8" t="s">
        <v>44</v>
      </c>
      <c r="O7" s="103">
        <f>I3</f>
        <v>7475190800</v>
      </c>
      <c r="P7" s="103"/>
      <c r="Q7" s="61">
        <v>0.04</v>
      </c>
      <c r="R7" s="103">
        <f>O7*Q7</f>
        <v>299007632</v>
      </c>
      <c r="S7" s="103"/>
      <c r="T7" s="102">
        <v>25</v>
      </c>
      <c r="U7" s="102"/>
      <c r="V7" s="103">
        <f>(O7-R7)/T7</f>
        <v>287047326.72000003</v>
      </c>
      <c r="W7" s="103"/>
      <c r="X7" s="6"/>
      <c r="Y7" s="6"/>
      <c r="Z7" s="6"/>
      <c r="AA7" s="6"/>
      <c r="AC7" s="8" t="s">
        <v>61</v>
      </c>
      <c r="AD7" s="67" t="s">
        <v>62</v>
      </c>
      <c r="AE7" s="67" t="s">
        <v>48</v>
      </c>
      <c r="AF7" s="67" t="s">
        <v>63</v>
      </c>
      <c r="AG7" s="67" t="s">
        <v>64</v>
      </c>
      <c r="AH7" s="7"/>
      <c r="AI7" s="7"/>
    </row>
    <row r="8" spans="1:35" ht="15.75">
      <c r="A8" s="30" t="s">
        <v>87</v>
      </c>
      <c r="B8" s="32">
        <v>11056000</v>
      </c>
      <c r="C8" s="34">
        <v>1</v>
      </c>
      <c r="D8" s="26">
        <f t="shared" si="0"/>
        <v>11056000</v>
      </c>
      <c r="E8" s="17">
        <f t="shared" si="1"/>
        <v>561092000</v>
      </c>
      <c r="G8" s="2" t="s">
        <v>14</v>
      </c>
      <c r="H8" s="2">
        <v>0.2</v>
      </c>
      <c r="I8" s="17">
        <f>H8*I2</f>
        <v>14950381600</v>
      </c>
      <c r="K8" s="2" t="s">
        <v>98</v>
      </c>
      <c r="L8" s="2">
        <v>9.8000000000000007</v>
      </c>
      <c r="N8" s="13"/>
      <c r="O8" s="106"/>
      <c r="P8" s="106"/>
      <c r="Q8" s="106"/>
      <c r="R8" s="106"/>
      <c r="S8" s="106"/>
      <c r="T8" s="110" t="s">
        <v>41</v>
      </c>
      <c r="U8" s="110"/>
      <c r="V8" s="103">
        <f>SUM(V3:W7)</f>
        <v>9082124811.52812</v>
      </c>
      <c r="W8" s="103"/>
      <c r="X8" s="6"/>
      <c r="Y8" s="6"/>
      <c r="Z8" s="6"/>
      <c r="AA8" s="6"/>
      <c r="AC8" s="8" t="s">
        <v>65</v>
      </c>
      <c r="AD8" s="8"/>
      <c r="AE8" s="9" t="s">
        <v>66</v>
      </c>
      <c r="AF8" s="9" t="s">
        <v>66</v>
      </c>
      <c r="AG8" s="9" t="s">
        <v>67</v>
      </c>
      <c r="AH8" s="7"/>
      <c r="AI8" s="7"/>
    </row>
    <row r="9" spans="1:35" ht="15">
      <c r="A9" s="30" t="s">
        <v>86</v>
      </c>
      <c r="B9" s="32">
        <v>9076000</v>
      </c>
      <c r="C9" s="34">
        <v>7</v>
      </c>
      <c r="D9" s="26">
        <f t="shared" si="0"/>
        <v>63532000</v>
      </c>
      <c r="E9" s="17">
        <f t="shared" si="1"/>
        <v>3224249000</v>
      </c>
      <c r="H9" s="5" t="s">
        <v>5</v>
      </c>
      <c r="I9" s="17">
        <f>SUM(I2:I8)</f>
        <v>137374300836.875</v>
      </c>
      <c r="K9" s="2" t="s">
        <v>99</v>
      </c>
      <c r="L9" s="2">
        <f>3412/0.350824216</f>
        <v>9725.668424211628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C9" s="8" t="s">
        <v>68</v>
      </c>
      <c r="AD9" s="9" t="s">
        <v>69</v>
      </c>
      <c r="AE9" s="21">
        <f>L17-I19</f>
        <v>31152685619.981155</v>
      </c>
      <c r="AF9" s="21">
        <f>(AE9*(((1-((1+0.05)^-25)))/0.05))+AE9</f>
        <v>470216909831.41522</v>
      </c>
      <c r="AG9" s="9">
        <f>((((AF9/I9)^(1/25)))-1)*100</f>
        <v>5.0450784920558212</v>
      </c>
      <c r="AH9" s="7"/>
      <c r="AI9" s="7"/>
    </row>
    <row r="10" spans="1:35" ht="15.75">
      <c r="A10" s="30" t="s">
        <v>2</v>
      </c>
      <c r="B10" s="32">
        <v>15500000</v>
      </c>
      <c r="C10" s="34">
        <v>3</v>
      </c>
      <c r="D10" s="26">
        <f t="shared" si="0"/>
        <v>46500000</v>
      </c>
      <c r="E10" s="17">
        <f t="shared" si="1"/>
        <v>2359875000</v>
      </c>
      <c r="N10" s="64" t="s">
        <v>49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C10" s="8" t="s">
        <v>70</v>
      </c>
      <c r="AD10" s="22">
        <v>0.1</v>
      </c>
      <c r="AE10" s="21">
        <f>AD5</f>
        <v>30320848568.19875</v>
      </c>
      <c r="AF10" s="21">
        <f>(AE10*(((1-((1+0.05)^-25)))/0.05))+AE10</f>
        <v>457661207483.82947</v>
      </c>
      <c r="AG10" s="9">
        <f>((((AF10/I9)^(1/25)))-1)*100</f>
        <v>4.9314186041328867</v>
      </c>
      <c r="AH10" s="7"/>
      <c r="AI10" s="7"/>
    </row>
    <row r="11" spans="1:35" ht="15.75">
      <c r="A11" s="30" t="s">
        <v>3</v>
      </c>
      <c r="B11" s="32">
        <v>48400000</v>
      </c>
      <c r="C11" s="34">
        <v>1</v>
      </c>
      <c r="D11" s="26">
        <f t="shared" si="0"/>
        <v>48400000</v>
      </c>
      <c r="E11" s="17">
        <f t="shared" si="1"/>
        <v>2456300000</v>
      </c>
      <c r="N11" s="104" t="s">
        <v>45</v>
      </c>
      <c r="O11" s="104"/>
      <c r="P11" s="104" t="s">
        <v>46</v>
      </c>
      <c r="Q11" s="104"/>
      <c r="R11" s="104"/>
      <c r="S11" s="104" t="s">
        <v>47</v>
      </c>
      <c r="T11" s="104"/>
      <c r="U11" s="104"/>
      <c r="V11" s="104" t="s">
        <v>48</v>
      </c>
      <c r="W11" s="104"/>
      <c r="X11" s="104"/>
      <c r="Y11" s="65" t="s">
        <v>49</v>
      </c>
      <c r="Z11" s="88"/>
      <c r="AA11" s="88"/>
      <c r="AC11" s="8" t="s">
        <v>71</v>
      </c>
      <c r="AD11" s="22">
        <v>0.1</v>
      </c>
      <c r="AE11" s="21">
        <f>AE5</f>
        <v>26997074629.991623</v>
      </c>
      <c r="AF11" s="21">
        <f>(AE11*(((1-((1+0.05)^-25)))/0.05))+AE11</f>
        <v>407492347910.46686</v>
      </c>
      <c r="AG11" s="9">
        <f>((((AF11/I9)^(1/25)))-1)*100</f>
        <v>4.445217472456342</v>
      </c>
      <c r="AH11" s="7"/>
      <c r="AI11" s="7"/>
    </row>
    <row r="12" spans="1:35" ht="15">
      <c r="D12" s="5" t="s">
        <v>5</v>
      </c>
      <c r="E12" s="17">
        <f>SUM(E3:E11)</f>
        <v>74751908000</v>
      </c>
      <c r="G12" s="107" t="s">
        <v>15</v>
      </c>
      <c r="H12" s="108"/>
      <c r="I12" s="109"/>
      <c r="K12" s="2" t="s">
        <v>24</v>
      </c>
      <c r="L12" s="14">
        <f>L9*1000</f>
        <v>9725668.4242116287</v>
      </c>
      <c r="N12" s="102">
        <v>2022</v>
      </c>
      <c r="O12" s="102"/>
      <c r="P12" s="102">
        <v>2</v>
      </c>
      <c r="Q12" s="102"/>
      <c r="R12" s="102"/>
      <c r="S12" s="103">
        <f>I9</f>
        <v>137374300836.875</v>
      </c>
      <c r="T12" s="103"/>
      <c r="U12" s="103"/>
      <c r="V12" s="103">
        <f>L17-I19</f>
        <v>31152685619.981155</v>
      </c>
      <c r="W12" s="103"/>
      <c r="X12" s="103"/>
      <c r="Y12" s="15">
        <f>(V12/S12)</f>
        <v>0.22677229605683952</v>
      </c>
      <c r="Z12" s="89">
        <f>(V12/((1.05)^25))+(V12/(1.05^2))+(V12/(1.05^3))+(V12/(1.05^4))+(V12/(1.05^5))</f>
        <v>114405075628.632</v>
      </c>
      <c r="AA12" s="87"/>
      <c r="AC12" s="8" t="s">
        <v>72</v>
      </c>
      <c r="AD12" s="22">
        <v>0.1</v>
      </c>
      <c r="AE12" s="21">
        <f>AF5</f>
        <v>32395213248.983143</v>
      </c>
      <c r="AF12" s="21">
        <f>(AE12*(((1-((1+0.05)^-25)))/0.05))+AE12</f>
        <v>488971552985.35028</v>
      </c>
      <c r="AG12" s="9">
        <f>((((AF12/I9)^(1/25)))-1)*100</f>
        <v>5.209540527321721</v>
      </c>
      <c r="AH12" s="7"/>
      <c r="AI12" s="7"/>
    </row>
    <row r="13" spans="1:35" ht="15">
      <c r="G13" s="2" t="s">
        <v>16</v>
      </c>
      <c r="H13" s="2"/>
      <c r="I13" s="17">
        <f>L16</f>
        <v>6539619100.0104694</v>
      </c>
      <c r="K13" s="2" t="s">
        <v>34</v>
      </c>
      <c r="L13" s="19">
        <v>6.8000000000000005E-2</v>
      </c>
      <c r="N13" s="102">
        <v>2023</v>
      </c>
      <c r="O13" s="102"/>
      <c r="P13" s="102">
        <v>3</v>
      </c>
      <c r="Q13" s="102"/>
      <c r="R13" s="102"/>
      <c r="S13" s="103">
        <f>S12-V12</f>
        <v>106221615216.89384</v>
      </c>
      <c r="T13" s="103"/>
      <c r="U13" s="103"/>
      <c r="V13" s="103">
        <f>V12</f>
        <v>31152685619.981155</v>
      </c>
      <c r="W13" s="103"/>
      <c r="X13" s="103"/>
      <c r="Y13" s="15">
        <f>(V13/S13)</f>
        <v>0.29328009705341523</v>
      </c>
      <c r="Z13" s="89">
        <f>(V13/(1.05^6))+(V13/(1.05^7))+(V13/(1.05^8))+(V13/(1.05^9))+(V13/(1.05^10))</f>
        <v>105677955070.51729</v>
      </c>
      <c r="AA13" s="87"/>
      <c r="AC13" s="10"/>
      <c r="AD13" s="7"/>
      <c r="AE13" s="7"/>
      <c r="AF13" s="7"/>
      <c r="AG13" s="7"/>
      <c r="AH13" s="7"/>
      <c r="AI13" s="7"/>
    </row>
    <row r="14" spans="1:35" ht="15.75">
      <c r="G14" s="2" t="s">
        <v>17</v>
      </c>
      <c r="H14" s="2">
        <v>0.2</v>
      </c>
      <c r="I14" s="17">
        <f>H14*I13</f>
        <v>1307923820.002094</v>
      </c>
      <c r="K14" s="2" t="s">
        <v>35</v>
      </c>
      <c r="L14" s="19">
        <f>L13*50.75</f>
        <v>3.4510000000000001</v>
      </c>
      <c r="N14" s="102">
        <v>2024</v>
      </c>
      <c r="O14" s="102"/>
      <c r="P14" s="102">
        <v>4</v>
      </c>
      <c r="Q14" s="102"/>
      <c r="R14" s="102"/>
      <c r="S14" s="103">
        <f>S13-V13</f>
        <v>75068929596.912689</v>
      </c>
      <c r="T14" s="103"/>
      <c r="U14" s="103"/>
      <c r="V14" s="103">
        <f>V12</f>
        <v>31152685619.981155</v>
      </c>
      <c r="W14" s="103"/>
      <c r="X14" s="103"/>
      <c r="Y14" s="15">
        <f>(V14/S14)</f>
        <v>0.41498774242895758</v>
      </c>
      <c r="Z14" s="89">
        <f>(V14/(1.05^11))+(V14/(1.05^12))+(V14/(1.05^13))+(V14/(1.05^14))+(V14/(1.05^15))</f>
        <v>82801443016.628464</v>
      </c>
      <c r="AA14" s="87"/>
      <c r="AC14" s="66" t="s">
        <v>73</v>
      </c>
      <c r="AD14" s="7"/>
      <c r="AE14" s="7"/>
      <c r="AF14" s="7"/>
      <c r="AG14" s="7"/>
      <c r="AH14" s="7"/>
      <c r="AI14" s="7"/>
    </row>
    <row r="15" spans="1:35" ht="15.75">
      <c r="G15" s="2" t="s">
        <v>18</v>
      </c>
      <c r="H15" s="2">
        <f>H14</f>
        <v>0.2</v>
      </c>
      <c r="I15" s="17">
        <f>I14</f>
        <v>1307923820.002094</v>
      </c>
      <c r="K15" s="2" t="s">
        <v>30</v>
      </c>
      <c r="L15" s="19">
        <v>22479.470399999998</v>
      </c>
      <c r="N15" s="102">
        <v>2025</v>
      </c>
      <c r="O15" s="102"/>
      <c r="P15" s="102">
        <v>5</v>
      </c>
      <c r="Q15" s="102"/>
      <c r="R15" s="102"/>
      <c r="S15" s="103">
        <f>S14-V14</f>
        <v>43916243976.931534</v>
      </c>
      <c r="T15" s="103"/>
      <c r="U15" s="103"/>
      <c r="V15" s="103">
        <f>V12</f>
        <v>31152685619.981155</v>
      </c>
      <c r="W15" s="103"/>
      <c r="X15" s="103"/>
      <c r="Y15" s="15">
        <f>(V15/S15)</f>
        <v>0.70936589286518081</v>
      </c>
      <c r="Z15" s="89">
        <f>(V15/(1.05^16))+(V15/(1.05^17))+(V15/(1.05^18))+(V15/(1.05^19))+(V15/(1.05^20))</f>
        <v>64877097224.875443</v>
      </c>
      <c r="AA15" s="87"/>
      <c r="AC15" s="65" t="s">
        <v>74</v>
      </c>
      <c r="AD15" s="65" t="s">
        <v>75</v>
      </c>
      <c r="AE15" s="65" t="s">
        <v>76</v>
      </c>
      <c r="AF15" s="65" t="s">
        <v>77</v>
      </c>
      <c r="AG15" s="65" t="s">
        <v>78</v>
      </c>
      <c r="AH15" s="7"/>
      <c r="AI15" s="7"/>
    </row>
    <row r="16" spans="1:35" ht="15">
      <c r="G16" s="2" t="s">
        <v>19</v>
      </c>
      <c r="H16" s="2">
        <f>H14</f>
        <v>0.2</v>
      </c>
      <c r="I16" s="17">
        <f>I14</f>
        <v>1307923820.002094</v>
      </c>
      <c r="K16" s="2" t="s">
        <v>16</v>
      </c>
      <c r="L16" s="27">
        <f>(L14*L12*500*365*24)/L15</f>
        <v>6539619100.0104694</v>
      </c>
      <c r="N16" s="102">
        <v>2045</v>
      </c>
      <c r="O16" s="102"/>
      <c r="P16" s="102">
        <v>25</v>
      </c>
      <c r="Q16" s="102"/>
      <c r="R16" s="102"/>
      <c r="S16" s="103">
        <f>S15-(V15*20)</f>
        <v>-579137468422.69153</v>
      </c>
      <c r="T16" s="103"/>
      <c r="U16" s="103"/>
      <c r="V16" s="103">
        <f>V12</f>
        <v>31152685619.981155</v>
      </c>
      <c r="W16" s="103"/>
      <c r="X16" s="103"/>
      <c r="Y16" s="15">
        <f>V16/-S16</f>
        <v>5.3791521561930671E-2</v>
      </c>
      <c r="Z16" s="89">
        <f>(V16/(1.05^21))+(V16/(1.05^22))+(V16/(1.05^23))+(V16/(1.05^24))+(V16/(1.05^25))</f>
        <v>50832903280.20816</v>
      </c>
      <c r="AA16" s="87"/>
      <c r="AC16" s="18">
        <f>(O3-R3-V3)/25</f>
        <v>2755654336.5120001</v>
      </c>
      <c r="AD16" s="18">
        <f>(O6-R6-V6)/25</f>
        <v>5064166226.05056</v>
      </c>
      <c r="AE16" s="18">
        <f>AC16+AD16+I19</f>
        <v>19591134942.581406</v>
      </c>
      <c r="AF16" s="18">
        <f>L17</f>
        <v>42924000000</v>
      </c>
      <c r="AG16" s="16">
        <f>(AE16/AF16)*500</f>
        <v>228.20723770596177</v>
      </c>
      <c r="AH16" s="7"/>
      <c r="AI16" s="7"/>
    </row>
    <row r="17" spans="7:32" ht="15.75">
      <c r="G17" s="2" t="s">
        <v>20</v>
      </c>
      <c r="H17" s="2">
        <v>0.1</v>
      </c>
      <c r="I17" s="17">
        <f>H17*I13</f>
        <v>653961910.00104702</v>
      </c>
      <c r="K17" s="2" t="s">
        <v>31</v>
      </c>
      <c r="L17" s="20">
        <f>L7*L8*365*24</f>
        <v>42924000000</v>
      </c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1" t="s">
        <v>50</v>
      </c>
      <c r="Y17" s="15">
        <f>AVERAGE(Y12:Y16)</f>
        <v>0.33963950999326475</v>
      </c>
      <c r="Z17" s="89">
        <f>SUM(Z12:Z16)</f>
        <v>418594474220.86133</v>
      </c>
      <c r="AA17" s="87"/>
    </row>
    <row r="18" spans="7:32" ht="15">
      <c r="G18" s="2" t="s">
        <v>21</v>
      </c>
      <c r="H18" s="2">
        <f>H17</f>
        <v>0.1</v>
      </c>
      <c r="I18" s="17">
        <f>H18*I13</f>
        <v>653961910.00104702</v>
      </c>
      <c r="K18" s="2" t="s">
        <v>32</v>
      </c>
      <c r="L18" s="19">
        <f>L17*((1-1.065^-25)/0.065)</f>
        <v>523581660546.32507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E18" s="2" t="s">
        <v>123</v>
      </c>
      <c r="AF18" s="2">
        <f>AF16-AE16</f>
        <v>23332865057.418594</v>
      </c>
    </row>
    <row r="19" spans="7:32" ht="15.75">
      <c r="H19" s="5" t="s">
        <v>5</v>
      </c>
      <c r="I19" s="17">
        <f>SUM(I13:I18)</f>
        <v>11771314380.018847</v>
      </c>
      <c r="K19" s="2" t="s">
        <v>33</v>
      </c>
      <c r="L19" s="19">
        <f>(0.95*I9)/25</f>
        <v>5220223431.8012505</v>
      </c>
      <c r="N19" s="64" t="s">
        <v>52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C19" s="23" t="s">
        <v>57</v>
      </c>
      <c r="AD19" s="24"/>
      <c r="AE19" s="2" t="s">
        <v>124</v>
      </c>
      <c r="AF19" s="2">
        <f>0.12*E12</f>
        <v>8970228960</v>
      </c>
    </row>
    <row r="20" spans="7:32" ht="15.75">
      <c r="N20" s="104" t="s">
        <v>45</v>
      </c>
      <c r="O20" s="104"/>
      <c r="P20" s="104" t="s">
        <v>48</v>
      </c>
      <c r="Q20" s="104"/>
      <c r="R20" s="104"/>
      <c r="S20" s="104"/>
      <c r="T20" s="104" t="s">
        <v>47</v>
      </c>
      <c r="U20" s="104"/>
      <c r="V20" s="104" t="s">
        <v>39</v>
      </c>
      <c r="W20" s="104"/>
      <c r="X20" s="12"/>
      <c r="Y20" s="6"/>
      <c r="Z20" s="6"/>
      <c r="AA20" s="6"/>
      <c r="AC20" s="23" t="s">
        <v>58</v>
      </c>
      <c r="AD20" s="25">
        <f>500*0.9</f>
        <v>450</v>
      </c>
      <c r="AE20" s="2" t="s">
        <v>125</v>
      </c>
      <c r="AF20" s="2">
        <f>V12/AF19</f>
        <v>3.4728974877784116</v>
      </c>
    </row>
    <row r="21" spans="7:32" ht="15">
      <c r="I21" s="1">
        <f>I13*0.1</f>
        <v>653961910.00104702</v>
      </c>
      <c r="N21" s="102">
        <v>2022</v>
      </c>
      <c r="O21" s="102"/>
      <c r="P21" s="103">
        <f>V12</f>
        <v>31152685619.981155</v>
      </c>
      <c r="Q21" s="103"/>
      <c r="R21" s="103"/>
      <c r="S21" s="103"/>
      <c r="T21" s="103">
        <f>S12</f>
        <v>137374300836.875</v>
      </c>
      <c r="U21" s="103"/>
      <c r="V21" s="103">
        <f>T21-V8</f>
        <v>128292176025.34688</v>
      </c>
      <c r="W21" s="103"/>
      <c r="X21" s="12"/>
      <c r="Y21" s="6"/>
      <c r="Z21" s="6"/>
      <c r="AA21" s="6"/>
    </row>
    <row r="22" spans="7:32" ht="15">
      <c r="I22" s="1">
        <f>I13+I21</f>
        <v>7193581010.0115166</v>
      </c>
      <c r="N22" s="102">
        <v>2023</v>
      </c>
      <c r="O22" s="102"/>
      <c r="P22" s="103">
        <f>P21</f>
        <v>31152685619.981155</v>
      </c>
      <c r="Q22" s="103"/>
      <c r="R22" s="103"/>
      <c r="S22" s="103"/>
      <c r="T22" s="103">
        <f>T21-P22</f>
        <v>106221615216.89384</v>
      </c>
      <c r="U22" s="103"/>
      <c r="V22" s="103">
        <f>V21-V8</f>
        <v>119210051213.81876</v>
      </c>
      <c r="W22" s="103"/>
      <c r="X22" s="12"/>
      <c r="Y22" s="6"/>
      <c r="Z22" s="6"/>
      <c r="AA22" s="6"/>
    </row>
    <row r="23" spans="7:32" ht="15">
      <c r="I23" s="1">
        <f>SUM(I22,I14,I15,I16,I17,I18)</f>
        <v>12425276290.019894</v>
      </c>
      <c r="N23" s="102">
        <v>2024</v>
      </c>
      <c r="O23" s="102"/>
      <c r="P23" s="103">
        <f>P21</f>
        <v>31152685619.981155</v>
      </c>
      <c r="Q23" s="103"/>
      <c r="R23" s="103"/>
      <c r="S23" s="103"/>
      <c r="T23" s="103">
        <f>T22-P23</f>
        <v>75068929596.912689</v>
      </c>
      <c r="U23" s="103"/>
      <c r="V23" s="103">
        <f>V22-V8</f>
        <v>110127926402.29063</v>
      </c>
      <c r="W23" s="103"/>
      <c r="X23" s="12"/>
      <c r="Y23" s="6"/>
      <c r="Z23" s="6"/>
      <c r="AA23" s="6"/>
    </row>
    <row r="24" spans="7:32" ht="15">
      <c r="I24" s="1">
        <f>I13-I21</f>
        <v>5885657190.0094223</v>
      </c>
      <c r="N24" s="102">
        <v>2025</v>
      </c>
      <c r="O24" s="102"/>
      <c r="P24" s="103">
        <f>P21</f>
        <v>31152685619.981155</v>
      </c>
      <c r="Q24" s="103"/>
      <c r="R24" s="103"/>
      <c r="S24" s="103"/>
      <c r="T24" s="103">
        <f>T23-P24</f>
        <v>43916243976.931534</v>
      </c>
      <c r="U24" s="103"/>
      <c r="V24" s="103">
        <f>V23-V8</f>
        <v>101045801590.76251</v>
      </c>
      <c r="W24" s="103"/>
      <c r="X24" s="12"/>
      <c r="Y24" s="6"/>
      <c r="Z24" s="6"/>
      <c r="AA24" s="6"/>
    </row>
    <row r="25" spans="7:32" ht="15">
      <c r="I25" s="1">
        <f>SUM(I24,I14,I15,I16,I17,I18)</f>
        <v>11117352470.017799</v>
      </c>
      <c r="N25" s="102" t="s">
        <v>51</v>
      </c>
      <c r="O25" s="102"/>
      <c r="P25" s="103">
        <f>AVERAGE(P21:S24)</f>
        <v>31152685619.981155</v>
      </c>
      <c r="Q25" s="103"/>
      <c r="R25" s="103"/>
      <c r="S25" s="103"/>
      <c r="T25" s="103">
        <f>AVERAGE(T21:U24)</f>
        <v>90645272406.903259</v>
      </c>
      <c r="U25" s="103"/>
      <c r="V25" s="103">
        <f>AVERAGE(V21:W24)</f>
        <v>114668988808.0547</v>
      </c>
      <c r="W25" s="103"/>
      <c r="X25" s="12"/>
      <c r="Y25" s="6"/>
      <c r="Z25" s="6"/>
      <c r="AA25" s="6"/>
    </row>
    <row r="26" spans="7:32" ht="15.75">
      <c r="N26" s="128" t="s">
        <v>52</v>
      </c>
      <c r="O26" s="128"/>
      <c r="P26" s="128"/>
      <c r="Q26" s="128"/>
      <c r="R26" s="128"/>
      <c r="S26" s="128"/>
      <c r="T26" s="105">
        <f>T21/P21</f>
        <v>4.4097097281642998</v>
      </c>
      <c r="U26" s="105"/>
      <c r="V26" s="105"/>
      <c r="W26" s="105"/>
      <c r="X26" s="12"/>
      <c r="Y26" s="6"/>
      <c r="Z26" s="6"/>
      <c r="AA26" s="6"/>
    </row>
    <row r="27" spans="7:32" ht="15"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</sheetData>
  <mergeCells count="82">
    <mergeCell ref="N17:W17"/>
    <mergeCell ref="N20:O20"/>
    <mergeCell ref="P20:S20"/>
    <mergeCell ref="T20:U20"/>
    <mergeCell ref="V20:W20"/>
    <mergeCell ref="N25:O25"/>
    <mergeCell ref="P25:S25"/>
    <mergeCell ref="T25:U25"/>
    <mergeCell ref="V25:W25"/>
    <mergeCell ref="N26:S26"/>
    <mergeCell ref="T26:W26"/>
    <mergeCell ref="N23:O23"/>
    <mergeCell ref="P23:S23"/>
    <mergeCell ref="T23:U23"/>
    <mergeCell ref="V23:W23"/>
    <mergeCell ref="N24:O24"/>
    <mergeCell ref="P24:S24"/>
    <mergeCell ref="T24:U24"/>
    <mergeCell ref="V24:W24"/>
    <mergeCell ref="N21:O21"/>
    <mergeCell ref="P21:S21"/>
    <mergeCell ref="T21:U21"/>
    <mergeCell ref="V21:W21"/>
    <mergeCell ref="N22:O22"/>
    <mergeCell ref="P22:S22"/>
    <mergeCell ref="T22:U22"/>
    <mergeCell ref="V22:W22"/>
    <mergeCell ref="N16:O16"/>
    <mergeCell ref="P16:R16"/>
    <mergeCell ref="S16:U16"/>
    <mergeCell ref="V16:X16"/>
    <mergeCell ref="N14:O14"/>
    <mergeCell ref="P14:R14"/>
    <mergeCell ref="S14:U14"/>
    <mergeCell ref="V14:X14"/>
    <mergeCell ref="N15:O15"/>
    <mergeCell ref="P15:R15"/>
    <mergeCell ref="S15:U15"/>
    <mergeCell ref="V15:X15"/>
    <mergeCell ref="V12:X12"/>
    <mergeCell ref="N13:O13"/>
    <mergeCell ref="P13:R13"/>
    <mergeCell ref="S13:U13"/>
    <mergeCell ref="V13:X13"/>
    <mergeCell ref="V8:W8"/>
    <mergeCell ref="N1:O1"/>
    <mergeCell ref="O8:S8"/>
    <mergeCell ref="N11:O11"/>
    <mergeCell ref="P11:R11"/>
    <mergeCell ref="S11:U11"/>
    <mergeCell ref="V11:X11"/>
    <mergeCell ref="T6:U6"/>
    <mergeCell ref="V6:W6"/>
    <mergeCell ref="O7:P7"/>
    <mergeCell ref="R7:S7"/>
    <mergeCell ref="T7:U7"/>
    <mergeCell ref="V7:W7"/>
    <mergeCell ref="T4:U4"/>
    <mergeCell ref="V4:W4"/>
    <mergeCell ref="V5:W5"/>
    <mergeCell ref="T2:U2"/>
    <mergeCell ref="V2:W2"/>
    <mergeCell ref="O3:P3"/>
    <mergeCell ref="R3:S3"/>
    <mergeCell ref="T3:U3"/>
    <mergeCell ref="V3:W3"/>
    <mergeCell ref="A1:E1"/>
    <mergeCell ref="G1:I1"/>
    <mergeCell ref="G12:I12"/>
    <mergeCell ref="O2:P2"/>
    <mergeCell ref="R2:S2"/>
    <mergeCell ref="O4:P4"/>
    <mergeCell ref="R4:S4"/>
    <mergeCell ref="O6:P6"/>
    <mergeCell ref="R6:S6"/>
    <mergeCell ref="N12:O12"/>
    <mergeCell ref="P12:R12"/>
    <mergeCell ref="S12:U12"/>
    <mergeCell ref="O5:P5"/>
    <mergeCell ref="R5:S5"/>
    <mergeCell ref="T5:U5"/>
    <mergeCell ref="T8:U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topLeftCell="D87" zoomScaleNormal="100" workbookViewId="0">
      <selection activeCell="K106" sqref="K106"/>
    </sheetView>
  </sheetViews>
  <sheetFormatPr defaultRowHeight="12"/>
  <cols>
    <col min="1" max="1" width="19.5703125" style="90" bestFit="1" customWidth="1"/>
    <col min="2" max="26" width="16" style="90" bestFit="1" customWidth="1"/>
    <col min="27" max="16384" width="9.140625" style="90"/>
  </cols>
  <sheetData>
    <row r="1" spans="1:26">
      <c r="A1" s="95" t="s">
        <v>157</v>
      </c>
      <c r="B1" s="95"/>
    </row>
    <row r="2" spans="1:26">
      <c r="A2" s="90" t="s">
        <v>155</v>
      </c>
      <c r="B2" s="91">
        <v>137374300836.875</v>
      </c>
    </row>
    <row r="3" spans="1:26">
      <c r="A3" s="90" t="s">
        <v>31</v>
      </c>
      <c r="B3" s="90">
        <v>38631600000</v>
      </c>
    </row>
    <row r="4" spans="1:26">
      <c r="A4" s="90" t="s">
        <v>151</v>
      </c>
      <c r="B4" s="90">
        <v>0.04</v>
      </c>
    </row>
    <row r="5" spans="1:26" ht="12.75" thickBot="1">
      <c r="A5" s="90" t="s">
        <v>152</v>
      </c>
      <c r="B5" s="90">
        <v>11771314380.018847</v>
      </c>
    </row>
    <row r="6" spans="1:26" ht="12.75" thickBot="1">
      <c r="A6" s="92" t="s">
        <v>150</v>
      </c>
      <c r="B6" s="93">
        <v>1</v>
      </c>
      <c r="C6" s="90">
        <v>2</v>
      </c>
      <c r="D6" s="90">
        <v>3</v>
      </c>
      <c r="E6" s="90">
        <v>4</v>
      </c>
      <c r="F6" s="90">
        <v>5</v>
      </c>
      <c r="G6" s="90">
        <v>6</v>
      </c>
      <c r="H6" s="90">
        <v>7</v>
      </c>
      <c r="I6" s="90">
        <v>8</v>
      </c>
      <c r="J6" s="90">
        <v>9</v>
      </c>
      <c r="K6" s="90">
        <v>10</v>
      </c>
      <c r="L6" s="90">
        <v>11</v>
      </c>
      <c r="M6" s="90">
        <v>12</v>
      </c>
      <c r="N6" s="90">
        <v>13</v>
      </c>
      <c r="O6" s="90">
        <v>14</v>
      </c>
      <c r="P6" s="90">
        <v>15</v>
      </c>
      <c r="Q6" s="90">
        <v>16</v>
      </c>
      <c r="R6" s="90">
        <v>17</v>
      </c>
      <c r="S6" s="90">
        <v>18</v>
      </c>
      <c r="T6" s="90">
        <v>19</v>
      </c>
      <c r="U6" s="90">
        <v>20</v>
      </c>
      <c r="V6" s="90">
        <v>21</v>
      </c>
      <c r="W6" s="90">
        <v>22</v>
      </c>
      <c r="X6" s="90">
        <v>23</v>
      </c>
      <c r="Y6" s="90">
        <v>24</v>
      </c>
      <c r="Z6" s="90">
        <v>25</v>
      </c>
    </row>
    <row r="8" spans="1:26">
      <c r="A8" s="90" t="s">
        <v>153</v>
      </c>
      <c r="B8" s="91">
        <f>$B$3*((1-(1.04^(-(B6))))/0.04)</f>
        <v>37145769230.76931</v>
      </c>
      <c r="C8" s="91">
        <f t="shared" ref="C8:Z8" si="0">$B$3*((1-(1.04^(-(C6))))/0.04)</f>
        <v>72862855029.585907</v>
      </c>
      <c r="D8" s="91">
        <f t="shared" si="0"/>
        <v>107206206759.21713</v>
      </c>
      <c r="E8" s="91">
        <f t="shared" si="0"/>
        <v>140228660345.40118</v>
      </c>
      <c r="F8" s="91">
        <f t="shared" si="0"/>
        <v>171981019562.88589</v>
      </c>
      <c r="G8" s="91">
        <f t="shared" si="0"/>
        <v>202512134195.08255</v>
      </c>
      <c r="H8" s="91">
        <f t="shared" si="0"/>
        <v>231868975187.57925</v>
      </c>
      <c r="I8" s="91">
        <f t="shared" si="0"/>
        <v>260096706911.13406</v>
      </c>
      <c r="J8" s="91">
        <f t="shared" si="0"/>
        <v>287238756645.32135</v>
      </c>
      <c r="K8" s="91">
        <f t="shared" si="0"/>
        <v>313336881389.73206</v>
      </c>
      <c r="L8" s="91">
        <f t="shared" si="0"/>
        <v>338431232105.51147</v>
      </c>
      <c r="M8" s="91">
        <f t="shared" si="0"/>
        <v>362560415486.06891</v>
      </c>
      <c r="N8" s="91">
        <f t="shared" si="0"/>
        <v>385761553351.98932</v>
      </c>
      <c r="O8" s="91">
        <f t="shared" si="0"/>
        <v>408070339761.52814</v>
      </c>
      <c r="P8" s="91">
        <f t="shared" si="0"/>
        <v>429521095924.54639</v>
      </c>
      <c r="Q8" s="91">
        <f t="shared" si="0"/>
        <v>450146823004.37158</v>
      </c>
      <c r="R8" s="91">
        <f t="shared" si="0"/>
        <v>469979252888.81885</v>
      </c>
      <c r="S8" s="91">
        <f t="shared" si="0"/>
        <v>489048897008.47968</v>
      </c>
      <c r="T8" s="91">
        <f t="shared" si="0"/>
        <v>507385093277.38428</v>
      </c>
      <c r="U8" s="91">
        <f t="shared" si="0"/>
        <v>525016051228.25415</v>
      </c>
      <c r="V8" s="91">
        <f t="shared" si="0"/>
        <v>541968895411.78296</v>
      </c>
      <c r="W8" s="91">
        <f t="shared" si="0"/>
        <v>558269707126.71436</v>
      </c>
      <c r="X8" s="91">
        <f t="shared" si="0"/>
        <v>573943564544.9176</v>
      </c>
      <c r="Y8" s="91">
        <f t="shared" si="0"/>
        <v>589014581293.19006</v>
      </c>
      <c r="Z8" s="91">
        <f t="shared" si="0"/>
        <v>603505943551.14429</v>
      </c>
    </row>
    <row r="9" spans="1:26">
      <c r="A9" s="90" t="s">
        <v>37</v>
      </c>
      <c r="B9" s="91">
        <f>$B$3*((1+0.04)^-(B6))</f>
        <v>37145769230.769226</v>
      </c>
      <c r="C9" s="91">
        <f t="shared" ref="C9:Y9" si="1">$B$3*((1+0.04)^-(C6))</f>
        <v>35717085798.816566</v>
      </c>
      <c r="D9" s="91">
        <f t="shared" si="1"/>
        <v>34343351729.631313</v>
      </c>
      <c r="E9" s="91">
        <f t="shared" si="1"/>
        <v>33022453586.183952</v>
      </c>
      <c r="F9" s="91">
        <f t="shared" si="1"/>
        <v>31752359217.484566</v>
      </c>
      <c r="G9" s="91">
        <f t="shared" si="1"/>
        <v>30531114632.196697</v>
      </c>
      <c r="H9" s="91">
        <f t="shared" si="1"/>
        <v>29356840992.49683</v>
      </c>
      <c r="I9" s="91">
        <f t="shared" si="1"/>
        <v>28227731723.554638</v>
      </c>
      <c r="J9" s="91">
        <f t="shared" si="1"/>
        <v>27142049734.187145</v>
      </c>
      <c r="K9" s="91">
        <f t="shared" si="1"/>
        <v>26098124744.410717</v>
      </c>
      <c r="L9" s="91">
        <f t="shared" si="1"/>
        <v>25094350715.779541</v>
      </c>
      <c r="M9" s="91">
        <f t="shared" si="1"/>
        <v>24129183380.557243</v>
      </c>
      <c r="N9" s="91">
        <f t="shared" si="1"/>
        <v>23201137865.920425</v>
      </c>
      <c r="O9" s="91">
        <f t="shared" si="1"/>
        <v>22308786409.538872</v>
      </c>
      <c r="P9" s="91">
        <f t="shared" si="1"/>
        <v>21450756163.018147</v>
      </c>
      <c r="Q9" s="91">
        <f t="shared" si="1"/>
        <v>20625727079.825138</v>
      </c>
      <c r="R9" s="91">
        <f t="shared" si="1"/>
        <v>19832429884.447247</v>
      </c>
      <c r="S9" s="91">
        <f t="shared" si="1"/>
        <v>19069644119.660812</v>
      </c>
      <c r="T9" s="91">
        <f t="shared" si="1"/>
        <v>18336196268.904629</v>
      </c>
      <c r="U9" s="91">
        <f t="shared" si="1"/>
        <v>17630957950.869835</v>
      </c>
      <c r="V9" s="91">
        <f t="shared" si="1"/>
        <v>16952844183.528683</v>
      </c>
      <c r="W9" s="91">
        <f t="shared" si="1"/>
        <v>16300811714.931427</v>
      </c>
      <c r="X9" s="91">
        <f t="shared" si="1"/>
        <v>15673857418.203297</v>
      </c>
      <c r="Y9" s="91">
        <f t="shared" si="1"/>
        <v>15071016748.2724</v>
      </c>
      <c r="Z9" s="91">
        <f>$B$3*((1+0.04)^-(Z6))</f>
        <v>14491362257.954227</v>
      </c>
    </row>
    <row r="10" spans="1:26">
      <c r="A10" s="90" t="s">
        <v>154</v>
      </c>
      <c r="B10" s="94">
        <f>B8+B9</f>
        <v>74291538461.538544</v>
      </c>
      <c r="C10" s="94">
        <f>C8+C9</f>
        <v>108579940828.40247</v>
      </c>
      <c r="D10" s="94">
        <f t="shared" ref="D10:Z10" si="2">D8+D9</f>
        <v>141549558488.84845</v>
      </c>
      <c r="E10" s="94">
        <f t="shared" si="2"/>
        <v>173251113931.58514</v>
      </c>
      <c r="F10" s="94">
        <f t="shared" si="2"/>
        <v>203733378780.37045</v>
      </c>
      <c r="G10" s="94">
        <f t="shared" si="2"/>
        <v>233043248827.27924</v>
      </c>
      <c r="H10" s="94">
        <f t="shared" si="2"/>
        <v>261225816180.07608</v>
      </c>
      <c r="I10" s="94">
        <f t="shared" si="2"/>
        <v>288324438634.68872</v>
      </c>
      <c r="J10" s="94">
        <f t="shared" si="2"/>
        <v>314380806379.50848</v>
      </c>
      <c r="K10" s="94">
        <f t="shared" si="2"/>
        <v>339435006134.14276</v>
      </c>
      <c r="L10" s="94">
        <f t="shared" si="2"/>
        <v>363525582821.29102</v>
      </c>
      <c r="M10" s="94">
        <f t="shared" si="2"/>
        <v>386689598866.62616</v>
      </c>
      <c r="N10" s="94">
        <f t="shared" si="2"/>
        <v>408962691217.90973</v>
      </c>
      <c r="O10" s="94">
        <f t="shared" si="2"/>
        <v>430379126171.06702</v>
      </c>
      <c r="P10" s="94">
        <f t="shared" si="2"/>
        <v>450971852087.56451</v>
      </c>
      <c r="Q10" s="94">
        <f t="shared" si="2"/>
        <v>470772550084.19672</v>
      </c>
      <c r="R10" s="94">
        <f t="shared" si="2"/>
        <v>489811682773.26611</v>
      </c>
      <c r="S10" s="94">
        <f t="shared" si="2"/>
        <v>508118541128.1405</v>
      </c>
      <c r="T10" s="94">
        <f t="shared" si="2"/>
        <v>525721289546.28888</v>
      </c>
      <c r="U10" s="94">
        <f t="shared" si="2"/>
        <v>542647009179.12396</v>
      </c>
      <c r="V10" s="94">
        <f t="shared" si="2"/>
        <v>558921739595.31165</v>
      </c>
      <c r="W10" s="94">
        <f t="shared" si="2"/>
        <v>574570518841.64575</v>
      </c>
      <c r="X10" s="94">
        <f t="shared" si="2"/>
        <v>589617421963.12085</v>
      </c>
      <c r="Y10" s="94">
        <f t="shared" si="2"/>
        <v>604085598041.4624</v>
      </c>
      <c r="Z10" s="94">
        <f t="shared" si="2"/>
        <v>617997305809.09851</v>
      </c>
    </row>
    <row r="12" spans="1:26">
      <c r="A12" s="90" t="s">
        <v>59</v>
      </c>
      <c r="B12" s="91">
        <f>$B$5*((1-(1.04^(-1)))/0.04)</f>
        <v>11318571519.248917</v>
      </c>
      <c r="C12" s="91">
        <f>$B$5*((1-(1.04^(-(C6))))/0.04)</f>
        <v>22201813364.68055</v>
      </c>
      <c r="D12" s="91">
        <f t="shared" ref="D12:Z12" si="3">$B$5*((1-(1.04^(-(D6))))/0.04)</f>
        <v>32666468985.287853</v>
      </c>
      <c r="E12" s="91">
        <f t="shared" si="3"/>
        <v>42728637851.256477</v>
      </c>
      <c r="F12" s="91">
        <f t="shared" si="3"/>
        <v>52403800222.380157</v>
      </c>
      <c r="G12" s="91">
        <f t="shared" si="3"/>
        <v>61706840963.845184</v>
      </c>
      <c r="H12" s="91">
        <f t="shared" si="3"/>
        <v>70652072446.023071</v>
      </c>
      <c r="I12" s="91">
        <f t="shared" si="3"/>
        <v>79253256563.501892</v>
      </c>
      <c r="J12" s="91">
        <f t="shared" si="3"/>
        <v>87523625907.231506</v>
      </c>
      <c r="K12" s="91">
        <f t="shared" si="3"/>
        <v>95475904122.35611</v>
      </c>
      <c r="L12" s="91">
        <f t="shared" si="3"/>
        <v>103122325483.05283</v>
      </c>
      <c r="M12" s="91">
        <f t="shared" si="3"/>
        <v>110474653714.49203</v>
      </c>
      <c r="N12" s="91">
        <f t="shared" si="3"/>
        <v>117544200090.87585</v>
      </c>
      <c r="O12" s="91">
        <f t="shared" si="3"/>
        <v>124341840837.39873</v>
      </c>
      <c r="P12" s="91">
        <f t="shared" si="3"/>
        <v>130878033862.90154</v>
      </c>
      <c r="Q12" s="91">
        <f t="shared" si="3"/>
        <v>137162834848.96193</v>
      </c>
      <c r="R12" s="91">
        <f t="shared" si="3"/>
        <v>143205912720.17383</v>
      </c>
      <c r="S12" s="91">
        <f t="shared" si="3"/>
        <v>149016564519.41605</v>
      </c>
      <c r="T12" s="91">
        <f t="shared" si="3"/>
        <v>154603729710.99509</v>
      </c>
      <c r="U12" s="91">
        <f t="shared" si="3"/>
        <v>159976003933.66724</v>
      </c>
      <c r="V12" s="91">
        <f t="shared" si="3"/>
        <v>165141652224.69821</v>
      </c>
      <c r="W12" s="91">
        <f t="shared" si="3"/>
        <v>170108621735.30484</v>
      </c>
      <c r="X12" s="91">
        <f t="shared" si="3"/>
        <v>174884553957.04199</v>
      </c>
      <c r="Y12" s="91">
        <f t="shared" si="3"/>
        <v>179476796477.94315</v>
      </c>
      <c r="Z12" s="91">
        <f t="shared" si="3"/>
        <v>183892414286.50192</v>
      </c>
    </row>
    <row r="13" spans="1:26">
      <c r="A13" s="90" t="s">
        <v>156</v>
      </c>
      <c r="B13" s="94">
        <f>$B$2+B12</f>
        <v>148692872356.1239</v>
      </c>
      <c r="C13" s="94">
        <f>$B$2+C12</f>
        <v>159576114201.55554</v>
      </c>
      <c r="D13" s="94">
        <f t="shared" ref="D13:Z13" si="4">$B$2+D12</f>
        <v>170040769822.16284</v>
      </c>
      <c r="E13" s="94">
        <f t="shared" si="4"/>
        <v>180102938688.13147</v>
      </c>
      <c r="F13" s="94">
        <f t="shared" si="4"/>
        <v>189778101059.25516</v>
      </c>
      <c r="G13" s="94">
        <f t="shared" si="4"/>
        <v>199081141800.72018</v>
      </c>
      <c r="H13" s="94">
        <f t="shared" si="4"/>
        <v>208026373282.89807</v>
      </c>
      <c r="I13" s="94">
        <f t="shared" si="4"/>
        <v>216627557400.37689</v>
      </c>
      <c r="J13" s="94">
        <f t="shared" si="4"/>
        <v>224897926744.10651</v>
      </c>
      <c r="K13" s="94">
        <f t="shared" si="4"/>
        <v>232850204959.23111</v>
      </c>
      <c r="L13" s="94">
        <f t="shared" si="4"/>
        <v>240496626319.92783</v>
      </c>
      <c r="M13" s="94">
        <f t="shared" si="4"/>
        <v>247848954551.36703</v>
      </c>
      <c r="N13" s="94">
        <f t="shared" si="4"/>
        <v>254918500927.75085</v>
      </c>
      <c r="O13" s="94">
        <f t="shared" si="4"/>
        <v>261716141674.27374</v>
      </c>
      <c r="P13" s="94">
        <f t="shared" si="4"/>
        <v>268252334699.77655</v>
      </c>
      <c r="Q13" s="94">
        <f t="shared" si="4"/>
        <v>274537135685.83691</v>
      </c>
      <c r="R13" s="94">
        <f t="shared" si="4"/>
        <v>280580213557.04883</v>
      </c>
      <c r="S13" s="94">
        <f t="shared" si="4"/>
        <v>286390865356.29102</v>
      </c>
      <c r="T13" s="94">
        <f t="shared" si="4"/>
        <v>291978030547.87012</v>
      </c>
      <c r="U13" s="94">
        <f t="shared" si="4"/>
        <v>297350304770.54224</v>
      </c>
      <c r="V13" s="94">
        <f t="shared" si="4"/>
        <v>302515953061.57324</v>
      </c>
      <c r="W13" s="94">
        <f t="shared" si="4"/>
        <v>307482922572.17981</v>
      </c>
      <c r="X13" s="94">
        <f t="shared" si="4"/>
        <v>312258854793.91699</v>
      </c>
      <c r="Y13" s="94">
        <f t="shared" si="4"/>
        <v>316851097314.81812</v>
      </c>
      <c r="Z13" s="94">
        <f t="shared" si="4"/>
        <v>321266715123.37695</v>
      </c>
    </row>
    <row r="16" spans="1:26">
      <c r="B16" s="90" t="s">
        <v>149</v>
      </c>
      <c r="C16" s="90" t="s">
        <v>156</v>
      </c>
      <c r="D16" s="90" t="s">
        <v>154</v>
      </c>
    </row>
    <row r="17" spans="2:4">
      <c r="B17" s="90">
        <v>1</v>
      </c>
      <c r="C17" s="94">
        <f>B13</f>
        <v>148692872356.1239</v>
      </c>
      <c r="D17" s="94">
        <f>B10</f>
        <v>74291538461.538544</v>
      </c>
    </row>
    <row r="18" spans="2:4">
      <c r="B18" s="90">
        <v>2</v>
      </c>
      <c r="C18" s="94">
        <f>C13</f>
        <v>159576114201.55554</v>
      </c>
      <c r="D18" s="94">
        <f>C10</f>
        <v>108579940828.40247</v>
      </c>
    </row>
    <row r="19" spans="2:4">
      <c r="B19" s="90">
        <v>3</v>
      </c>
      <c r="C19" s="94">
        <f>D13</f>
        <v>170040769822.16284</v>
      </c>
      <c r="D19" s="94">
        <f>D10</f>
        <v>141549558488.84845</v>
      </c>
    </row>
    <row r="20" spans="2:4">
      <c r="B20" s="90">
        <v>4</v>
      </c>
      <c r="C20" s="94">
        <f>E13</f>
        <v>180102938688.13147</v>
      </c>
      <c r="D20" s="94">
        <f>E10</f>
        <v>173251113931.58514</v>
      </c>
    </row>
    <row r="21" spans="2:4">
      <c r="B21" s="90">
        <v>5</v>
      </c>
      <c r="C21" s="94">
        <f>F13</f>
        <v>189778101059.25516</v>
      </c>
      <c r="D21" s="94">
        <f>F10</f>
        <v>203733378780.37045</v>
      </c>
    </row>
    <row r="22" spans="2:4">
      <c r="B22" s="90">
        <v>6</v>
      </c>
      <c r="C22" s="94">
        <f>G13</f>
        <v>199081141800.72018</v>
      </c>
      <c r="D22" s="94">
        <f>G10</f>
        <v>233043248827.27924</v>
      </c>
    </row>
    <row r="23" spans="2:4">
      <c r="B23" s="90">
        <v>7</v>
      </c>
      <c r="C23" s="94">
        <f>H13</f>
        <v>208026373282.89807</v>
      </c>
      <c r="D23" s="94">
        <f>H10</f>
        <v>261225816180.07608</v>
      </c>
    </row>
    <row r="24" spans="2:4">
      <c r="B24" s="90">
        <v>8</v>
      </c>
      <c r="C24" s="94">
        <f>I13</f>
        <v>216627557400.37689</v>
      </c>
      <c r="D24" s="94">
        <f>I10</f>
        <v>288324438634.68872</v>
      </c>
    </row>
    <row r="25" spans="2:4">
      <c r="B25" s="90">
        <v>9</v>
      </c>
      <c r="C25" s="94">
        <f>J13</f>
        <v>224897926744.10651</v>
      </c>
      <c r="D25" s="94">
        <f>J10</f>
        <v>314380806379.50848</v>
      </c>
    </row>
    <row r="26" spans="2:4">
      <c r="B26" s="90">
        <v>10</v>
      </c>
      <c r="C26" s="94">
        <f>K13</f>
        <v>232850204959.23111</v>
      </c>
      <c r="D26" s="94">
        <f>K10</f>
        <v>339435006134.14276</v>
      </c>
    </row>
    <row r="27" spans="2:4">
      <c r="B27" s="90">
        <v>11</v>
      </c>
      <c r="C27" s="94">
        <f>L13</f>
        <v>240496626319.92783</v>
      </c>
      <c r="D27" s="94">
        <f>L10</f>
        <v>363525582821.29102</v>
      </c>
    </row>
    <row r="28" spans="2:4">
      <c r="B28" s="90">
        <v>12</v>
      </c>
      <c r="C28" s="94">
        <f>M13</f>
        <v>247848954551.36703</v>
      </c>
      <c r="D28" s="94">
        <f>M10</f>
        <v>386689598866.62616</v>
      </c>
    </row>
    <row r="29" spans="2:4">
      <c r="B29" s="90">
        <v>13</v>
      </c>
      <c r="C29" s="94">
        <f>N13</f>
        <v>254918500927.75085</v>
      </c>
      <c r="D29" s="94">
        <f>N10</f>
        <v>408962691217.90973</v>
      </c>
    </row>
    <row r="30" spans="2:4">
      <c r="B30" s="90">
        <v>14</v>
      </c>
      <c r="C30" s="94">
        <f>O13</f>
        <v>261716141674.27374</v>
      </c>
      <c r="D30" s="94">
        <f>O10</f>
        <v>430379126171.06702</v>
      </c>
    </row>
    <row r="31" spans="2:4">
      <c r="B31" s="90">
        <v>15</v>
      </c>
      <c r="C31" s="94">
        <f>P13</f>
        <v>268252334699.77655</v>
      </c>
      <c r="D31" s="94">
        <f>P10</f>
        <v>450971852087.56451</v>
      </c>
    </row>
    <row r="32" spans="2:4">
      <c r="B32" s="90">
        <v>16</v>
      </c>
      <c r="C32" s="94">
        <f>Q13</f>
        <v>274537135685.83691</v>
      </c>
      <c r="D32" s="94">
        <f>Q10</f>
        <v>470772550084.19672</v>
      </c>
    </row>
    <row r="33" spans="1:4">
      <c r="B33" s="90">
        <v>17</v>
      </c>
      <c r="C33" s="94">
        <f>R13</f>
        <v>280580213557.04883</v>
      </c>
      <c r="D33" s="94">
        <f>R10</f>
        <v>489811682773.26611</v>
      </c>
    </row>
    <row r="34" spans="1:4">
      <c r="B34" s="90">
        <v>18</v>
      </c>
      <c r="C34" s="94">
        <f>S13</f>
        <v>286390865356.29102</v>
      </c>
      <c r="D34" s="94">
        <f>S10</f>
        <v>508118541128.1405</v>
      </c>
    </row>
    <row r="35" spans="1:4">
      <c r="B35" s="90">
        <v>19</v>
      </c>
      <c r="C35" s="94">
        <f>T13</f>
        <v>291978030547.87012</v>
      </c>
      <c r="D35" s="94">
        <f>T10</f>
        <v>525721289546.28888</v>
      </c>
    </row>
    <row r="36" spans="1:4">
      <c r="B36" s="90">
        <v>20</v>
      </c>
      <c r="C36" s="94">
        <f>U13</f>
        <v>297350304770.54224</v>
      </c>
      <c r="D36" s="94">
        <f>U10</f>
        <v>542647009179.12396</v>
      </c>
    </row>
    <row r="37" spans="1:4">
      <c r="B37" s="90">
        <v>21</v>
      </c>
      <c r="C37" s="94">
        <f>V13</f>
        <v>302515953061.57324</v>
      </c>
      <c r="D37" s="94">
        <f>V10</f>
        <v>558921739595.31165</v>
      </c>
    </row>
    <row r="38" spans="1:4">
      <c r="B38" s="90">
        <v>22</v>
      </c>
      <c r="C38" s="94">
        <f>W13</f>
        <v>307482922572.17981</v>
      </c>
      <c r="D38" s="94">
        <f>W10</f>
        <v>574570518841.64575</v>
      </c>
    </row>
    <row r="39" spans="1:4">
      <c r="B39" s="90">
        <v>23</v>
      </c>
      <c r="C39" s="94">
        <f>X13</f>
        <v>312258854793.91699</v>
      </c>
      <c r="D39" s="94">
        <f>X10</f>
        <v>589617421963.12085</v>
      </c>
    </row>
    <row r="40" spans="1:4">
      <c r="B40" s="90">
        <v>24</v>
      </c>
      <c r="C40" s="94">
        <f>Y13</f>
        <v>316851097314.81812</v>
      </c>
      <c r="D40" s="94">
        <f>Y10</f>
        <v>604085598041.4624</v>
      </c>
    </row>
    <row r="41" spans="1:4">
      <c r="B41" s="90">
        <v>25</v>
      </c>
      <c r="C41" s="94">
        <f>Z13</f>
        <v>321266715123.37695</v>
      </c>
      <c r="D41" s="94">
        <f>Z10</f>
        <v>617997305809.09851</v>
      </c>
    </row>
    <row r="44" spans="1:4">
      <c r="A44" s="113" t="s">
        <v>158</v>
      </c>
      <c r="B44" s="113"/>
    </row>
    <row r="45" spans="1:4">
      <c r="A45" s="90" t="s">
        <v>155</v>
      </c>
      <c r="B45" s="91">
        <v>137374300836.875</v>
      </c>
    </row>
    <row r="46" spans="1:4">
      <c r="A46" s="90" t="s">
        <v>31</v>
      </c>
      <c r="B46" s="90">
        <v>42924000000</v>
      </c>
    </row>
    <row r="47" spans="1:4">
      <c r="A47" s="90" t="s">
        <v>151</v>
      </c>
      <c r="B47" s="90">
        <v>0.04</v>
      </c>
    </row>
    <row r="48" spans="1:4" ht="12.75" thickBot="1">
      <c r="A48" s="90" t="s">
        <v>152</v>
      </c>
      <c r="B48" s="90">
        <v>12425276290.019894</v>
      </c>
    </row>
    <row r="49" spans="1:26" ht="12.75" thickBot="1">
      <c r="A49" s="92" t="s">
        <v>150</v>
      </c>
      <c r="B49" s="93">
        <v>1</v>
      </c>
      <c r="C49" s="90">
        <v>2</v>
      </c>
      <c r="D49" s="90">
        <v>3</v>
      </c>
      <c r="E49" s="90">
        <v>4</v>
      </c>
      <c r="F49" s="90">
        <v>5</v>
      </c>
      <c r="G49" s="90">
        <v>6</v>
      </c>
      <c r="H49" s="90">
        <v>7</v>
      </c>
      <c r="I49" s="90">
        <v>8</v>
      </c>
      <c r="J49" s="90">
        <v>9</v>
      </c>
      <c r="K49" s="90">
        <v>10</v>
      </c>
      <c r="L49" s="90">
        <v>11</v>
      </c>
      <c r="M49" s="90">
        <v>12</v>
      </c>
      <c r="N49" s="90">
        <v>13</v>
      </c>
      <c r="O49" s="90">
        <v>14</v>
      </c>
      <c r="P49" s="90">
        <v>15</v>
      </c>
      <c r="Q49" s="90">
        <v>16</v>
      </c>
      <c r="R49" s="90">
        <v>17</v>
      </c>
      <c r="S49" s="90">
        <v>18</v>
      </c>
      <c r="T49" s="90">
        <v>19</v>
      </c>
      <c r="U49" s="90">
        <v>20</v>
      </c>
      <c r="V49" s="90">
        <v>21</v>
      </c>
      <c r="W49" s="90">
        <v>22</v>
      </c>
      <c r="X49" s="90">
        <v>23</v>
      </c>
      <c r="Y49" s="90">
        <v>24</v>
      </c>
      <c r="Z49" s="90">
        <v>25</v>
      </c>
    </row>
    <row r="51" spans="1:26">
      <c r="A51" s="90" t="s">
        <v>153</v>
      </c>
      <c r="B51" s="91">
        <f>$B$46*((1-(1.04^(-(B49))))/0.04)</f>
        <v>41273076923.077011</v>
      </c>
      <c r="C51" s="91">
        <f t="shared" ref="C51:Z51" si="5">$B$46*((1-(1.04^(-(C49))))/0.04)</f>
        <v>80958727810.651001</v>
      </c>
      <c r="D51" s="91">
        <f t="shared" si="5"/>
        <v>119118007510.24126</v>
      </c>
      <c r="E51" s="91">
        <f t="shared" si="5"/>
        <v>155809622606.00134</v>
      </c>
      <c r="F51" s="91">
        <f t="shared" si="5"/>
        <v>191090021736.53989</v>
      </c>
      <c r="G51" s="91">
        <f t="shared" si="5"/>
        <v>225013482438.98062</v>
      </c>
      <c r="H51" s="91">
        <f t="shared" si="5"/>
        <v>257632194652.86584</v>
      </c>
      <c r="I51" s="91">
        <f t="shared" si="5"/>
        <v>288996341012.37115</v>
      </c>
      <c r="J51" s="91">
        <f t="shared" si="5"/>
        <v>319154174050.35706</v>
      </c>
      <c r="K51" s="91">
        <f t="shared" si="5"/>
        <v>348152090433.03558</v>
      </c>
      <c r="L51" s="91">
        <f t="shared" si="5"/>
        <v>376034702339.45721</v>
      </c>
      <c r="M51" s="91">
        <f t="shared" si="5"/>
        <v>402844906095.63214</v>
      </c>
      <c r="N51" s="91">
        <f t="shared" si="5"/>
        <v>428623948168.87701</v>
      </c>
      <c r="O51" s="91">
        <f t="shared" si="5"/>
        <v>453411488623.92017</v>
      </c>
      <c r="P51" s="91">
        <f t="shared" si="5"/>
        <v>477245662138.38483</v>
      </c>
      <c r="Q51" s="91">
        <f t="shared" si="5"/>
        <v>500163136671.52399</v>
      </c>
      <c r="R51" s="91">
        <f t="shared" si="5"/>
        <v>522199169876.46539</v>
      </c>
      <c r="S51" s="91">
        <f t="shared" si="5"/>
        <v>543387663342.75519</v>
      </c>
      <c r="T51" s="91">
        <f t="shared" si="5"/>
        <v>563761214752.64917</v>
      </c>
      <c r="U51" s="91">
        <f t="shared" si="5"/>
        <v>583351168031.39343</v>
      </c>
      <c r="V51" s="91">
        <f t="shared" si="5"/>
        <v>602187661568.64771</v>
      </c>
      <c r="W51" s="91">
        <f t="shared" si="5"/>
        <v>620299674585.23816</v>
      </c>
      <c r="X51" s="91">
        <f t="shared" si="5"/>
        <v>637715071716.57507</v>
      </c>
      <c r="Y51" s="91">
        <f t="shared" si="5"/>
        <v>654460645881.32227</v>
      </c>
      <c r="Z51" s="91">
        <f t="shared" si="5"/>
        <v>670562159501.27148</v>
      </c>
    </row>
    <row r="52" spans="1:26">
      <c r="A52" s="90" t="s">
        <v>37</v>
      </c>
      <c r="B52" s="91">
        <f>$B$46*((1+0.04)^-(B49))</f>
        <v>41273076923.07692</v>
      </c>
      <c r="C52" s="91">
        <f t="shared" ref="C52:Z52" si="6">$B$46*((1+0.04)^-(C49))</f>
        <v>39685650887.573959</v>
      </c>
      <c r="D52" s="91">
        <f t="shared" si="6"/>
        <v>38159279699.590347</v>
      </c>
      <c r="E52" s="91">
        <f t="shared" si="6"/>
        <v>36691615095.759949</v>
      </c>
      <c r="F52" s="91">
        <f t="shared" si="6"/>
        <v>35280399130.538406</v>
      </c>
      <c r="G52" s="91">
        <f t="shared" si="6"/>
        <v>33923460702.440773</v>
      </c>
      <c r="H52" s="91">
        <f t="shared" si="6"/>
        <v>32618712213.885365</v>
      </c>
      <c r="I52" s="91">
        <f t="shared" si="6"/>
        <v>31364146359.505154</v>
      </c>
      <c r="J52" s="91">
        <f t="shared" si="6"/>
        <v>30157833037.985718</v>
      </c>
      <c r="K52" s="91">
        <f t="shared" si="6"/>
        <v>28997916382.678574</v>
      </c>
      <c r="L52" s="91">
        <f t="shared" si="6"/>
        <v>27882611906.421711</v>
      </c>
      <c r="M52" s="91">
        <f t="shared" si="6"/>
        <v>26810203756.174717</v>
      </c>
      <c r="N52" s="91">
        <f t="shared" si="6"/>
        <v>25779042073.244919</v>
      </c>
      <c r="O52" s="91">
        <f t="shared" si="6"/>
        <v>24787540455.043194</v>
      </c>
      <c r="P52" s="91">
        <f t="shared" si="6"/>
        <v>23834173514.464607</v>
      </c>
      <c r="Q52" s="91">
        <f t="shared" si="6"/>
        <v>22917474533.139042</v>
      </c>
      <c r="R52" s="91">
        <f t="shared" si="6"/>
        <v>22036033204.941387</v>
      </c>
      <c r="S52" s="91">
        <f t="shared" si="6"/>
        <v>21188493466.289791</v>
      </c>
      <c r="T52" s="91">
        <f t="shared" si="6"/>
        <v>20373551409.894032</v>
      </c>
      <c r="U52" s="91">
        <f t="shared" si="6"/>
        <v>19589953278.744259</v>
      </c>
      <c r="V52" s="91">
        <f t="shared" si="6"/>
        <v>18836493537.254093</v>
      </c>
      <c r="W52" s="91">
        <f t="shared" si="6"/>
        <v>18112013016.590473</v>
      </c>
      <c r="X52" s="91">
        <f t="shared" si="6"/>
        <v>17415397131.336994</v>
      </c>
      <c r="Y52" s="91">
        <f t="shared" si="6"/>
        <v>16745574164.74711</v>
      </c>
      <c r="Z52" s="91">
        <f t="shared" si="6"/>
        <v>16101513619.949141</v>
      </c>
    </row>
    <row r="53" spans="1:26">
      <c r="A53" s="90" t="s">
        <v>154</v>
      </c>
      <c r="B53" s="94">
        <f>B51+B52</f>
        <v>82546153846.153931</v>
      </c>
      <c r="C53" s="94">
        <f t="shared" ref="C53:Z53" si="7">C51+C52</f>
        <v>120644378698.22496</v>
      </c>
      <c r="D53" s="94">
        <f t="shared" si="7"/>
        <v>157277287209.8316</v>
      </c>
      <c r="E53" s="94">
        <f t="shared" si="7"/>
        <v>192501237701.76129</v>
      </c>
      <c r="F53" s="94">
        <f t="shared" si="7"/>
        <v>226370420867.07831</v>
      </c>
      <c r="G53" s="94">
        <f t="shared" si="7"/>
        <v>258936943141.42139</v>
      </c>
      <c r="H53" s="94">
        <f t="shared" si="7"/>
        <v>290250906866.75122</v>
      </c>
      <c r="I53" s="94">
        <f t="shared" si="7"/>
        <v>320360487371.87628</v>
      </c>
      <c r="J53" s="94">
        <f t="shared" si="7"/>
        <v>349312007088.34277</v>
      </c>
      <c r="K53" s="94">
        <f t="shared" si="7"/>
        <v>377150006815.71417</v>
      </c>
      <c r="L53" s="94">
        <f t="shared" si="7"/>
        <v>403917314245.87891</v>
      </c>
      <c r="M53" s="94">
        <f t="shared" si="7"/>
        <v>429655109851.80688</v>
      </c>
      <c r="N53" s="94">
        <f t="shared" si="7"/>
        <v>454402990242.12195</v>
      </c>
      <c r="O53" s="94">
        <f t="shared" si="7"/>
        <v>478199029078.96338</v>
      </c>
      <c r="P53" s="94">
        <f t="shared" si="7"/>
        <v>501079835652.84943</v>
      </c>
      <c r="Q53" s="94">
        <f t="shared" si="7"/>
        <v>523080611204.66302</v>
      </c>
      <c r="R53" s="94">
        <f t="shared" si="7"/>
        <v>544235203081.4068</v>
      </c>
      <c r="S53" s="94">
        <f t="shared" si="7"/>
        <v>564576156809.04492</v>
      </c>
      <c r="T53" s="94">
        <f t="shared" si="7"/>
        <v>584134766162.54321</v>
      </c>
      <c r="U53" s="94">
        <f t="shared" si="7"/>
        <v>602941121310.1377</v>
      </c>
      <c r="V53" s="94">
        <f t="shared" si="7"/>
        <v>621024155105.90186</v>
      </c>
      <c r="W53" s="94">
        <f t="shared" si="7"/>
        <v>638411687601.82861</v>
      </c>
      <c r="X53" s="94">
        <f t="shared" si="7"/>
        <v>655130468847.91211</v>
      </c>
      <c r="Y53" s="94">
        <f t="shared" si="7"/>
        <v>671206220046.06934</v>
      </c>
      <c r="Z53" s="94">
        <f t="shared" si="7"/>
        <v>686663673121.22058</v>
      </c>
    </row>
    <row r="55" spans="1:26">
      <c r="A55" s="90" t="s">
        <v>59</v>
      </c>
      <c r="B55" s="91">
        <f>$B$48*((1-(1.04^(-(B49))))/0.04)</f>
        <v>11947381048.096079</v>
      </c>
      <c r="C55" s="91">
        <f t="shared" ref="C55:Z55" si="8">$B$48*((1-(1.04^(-(C49))))/0.04)</f>
        <v>23435247440.496136</v>
      </c>
      <c r="D55" s="91">
        <f t="shared" si="8"/>
        <v>34481272817.803848</v>
      </c>
      <c r="E55" s="91">
        <f t="shared" si="8"/>
        <v>45102451065.215172</v>
      </c>
      <c r="F55" s="91">
        <f t="shared" si="8"/>
        <v>55315122456.956833</v>
      </c>
      <c r="G55" s="91">
        <f t="shared" si="8"/>
        <v>65134998795.169922</v>
      </c>
      <c r="H55" s="91">
        <f t="shared" si="8"/>
        <v>74577187581.913239</v>
      </c>
      <c r="I55" s="91">
        <f t="shared" si="8"/>
        <v>83656215261.474213</v>
      </c>
      <c r="J55" s="91">
        <f t="shared" si="8"/>
        <v>92386049568.74437</v>
      </c>
      <c r="K55" s="91">
        <f t="shared" si="8"/>
        <v>100780121018.04256</v>
      </c>
      <c r="L55" s="91">
        <f t="shared" si="8"/>
        <v>108851343565.44464</v>
      </c>
      <c r="M55" s="91">
        <f t="shared" si="8"/>
        <v>116612134476.40826</v>
      </c>
      <c r="N55" s="91">
        <f t="shared" si="8"/>
        <v>124074433429.25784</v>
      </c>
      <c r="O55" s="91">
        <f t="shared" si="8"/>
        <v>131249720883.92088</v>
      </c>
      <c r="P55" s="91">
        <f t="shared" si="8"/>
        <v>138149035744.17386</v>
      </c>
      <c r="Q55" s="91">
        <f t="shared" si="8"/>
        <v>144782992340.57092</v>
      </c>
      <c r="R55" s="91">
        <f t="shared" si="8"/>
        <v>151161796760.18347</v>
      </c>
      <c r="S55" s="91">
        <f t="shared" si="8"/>
        <v>157295262548.27249</v>
      </c>
      <c r="T55" s="91">
        <f t="shared" si="8"/>
        <v>163192825806.05035</v>
      </c>
      <c r="U55" s="91">
        <f t="shared" si="8"/>
        <v>168863559707.75986</v>
      </c>
      <c r="V55" s="91">
        <f t="shared" si="8"/>
        <v>174316188459.40366</v>
      </c>
      <c r="W55" s="91">
        <f t="shared" si="8"/>
        <v>179559100720.59955</v>
      </c>
      <c r="X55" s="91">
        <f t="shared" si="8"/>
        <v>184600362510.211</v>
      </c>
      <c r="Y55" s="91">
        <f t="shared" si="8"/>
        <v>189447729615.60666</v>
      </c>
      <c r="Z55" s="91">
        <f t="shared" si="8"/>
        <v>194108659524.64093</v>
      </c>
    </row>
    <row r="56" spans="1:26">
      <c r="A56" s="90" t="s">
        <v>156</v>
      </c>
      <c r="B56" s="94">
        <f>$B$45+B55</f>
        <v>149321681884.97107</v>
      </c>
      <c r="C56" s="94">
        <f t="shared" ref="C56:Z56" si="9">$B$45+C55</f>
        <v>160809548277.37112</v>
      </c>
      <c r="D56" s="94">
        <f t="shared" si="9"/>
        <v>171855573654.67883</v>
      </c>
      <c r="E56" s="94">
        <f t="shared" si="9"/>
        <v>182476751902.09018</v>
      </c>
      <c r="F56" s="94">
        <f t="shared" si="9"/>
        <v>192689423293.83185</v>
      </c>
      <c r="G56" s="94">
        <f t="shared" si="9"/>
        <v>202509299632.04492</v>
      </c>
      <c r="H56" s="94">
        <f t="shared" si="9"/>
        <v>211951488418.78824</v>
      </c>
      <c r="I56" s="94">
        <f t="shared" si="9"/>
        <v>221030516098.34921</v>
      </c>
      <c r="J56" s="94">
        <f t="shared" si="9"/>
        <v>229760350405.61938</v>
      </c>
      <c r="K56" s="94">
        <f t="shared" si="9"/>
        <v>238154421854.91754</v>
      </c>
      <c r="L56" s="94">
        <f t="shared" si="9"/>
        <v>246225644402.31964</v>
      </c>
      <c r="M56" s="94">
        <f t="shared" si="9"/>
        <v>253986435313.28326</v>
      </c>
      <c r="N56" s="94">
        <f t="shared" si="9"/>
        <v>261448734266.13284</v>
      </c>
      <c r="O56" s="94">
        <f t="shared" si="9"/>
        <v>268624021720.7959</v>
      </c>
      <c r="P56" s="94">
        <f t="shared" si="9"/>
        <v>275523336581.04883</v>
      </c>
      <c r="Q56" s="94">
        <f t="shared" si="9"/>
        <v>282157293177.44592</v>
      </c>
      <c r="R56" s="94">
        <f t="shared" si="9"/>
        <v>288536097597.05847</v>
      </c>
      <c r="S56" s="94">
        <f t="shared" si="9"/>
        <v>294669563385.14746</v>
      </c>
      <c r="T56" s="94">
        <f t="shared" si="9"/>
        <v>300567126642.92535</v>
      </c>
      <c r="U56" s="94">
        <f t="shared" si="9"/>
        <v>306237860544.63489</v>
      </c>
      <c r="V56" s="94">
        <f t="shared" si="9"/>
        <v>311690489296.27869</v>
      </c>
      <c r="W56" s="94">
        <f t="shared" si="9"/>
        <v>316933401557.47455</v>
      </c>
      <c r="X56" s="94">
        <f t="shared" si="9"/>
        <v>321974663347.086</v>
      </c>
      <c r="Y56" s="94">
        <f t="shared" si="9"/>
        <v>326822030452.48169</v>
      </c>
      <c r="Z56" s="94">
        <f t="shared" si="9"/>
        <v>331482960361.51593</v>
      </c>
    </row>
    <row r="59" spans="1:26">
      <c r="B59" s="90" t="s">
        <v>149</v>
      </c>
      <c r="C59" s="90" t="s">
        <v>156</v>
      </c>
      <c r="D59" s="90" t="s">
        <v>154</v>
      </c>
    </row>
    <row r="60" spans="1:26">
      <c r="B60" s="90">
        <v>1</v>
      </c>
      <c r="C60" s="94">
        <f>B56</f>
        <v>149321681884.97107</v>
      </c>
      <c r="D60" s="94">
        <f>B53</f>
        <v>82546153846.153931</v>
      </c>
    </row>
    <row r="61" spans="1:26">
      <c r="B61" s="90">
        <v>2</v>
      </c>
      <c r="C61" s="94">
        <f>C56</f>
        <v>160809548277.37112</v>
      </c>
      <c r="D61" s="94">
        <f>C53</f>
        <v>120644378698.22496</v>
      </c>
    </row>
    <row r="62" spans="1:26">
      <c r="B62" s="90">
        <v>3</v>
      </c>
      <c r="C62" s="94">
        <f>D56</f>
        <v>171855573654.67883</v>
      </c>
      <c r="D62" s="94">
        <f>D53</f>
        <v>157277287209.8316</v>
      </c>
    </row>
    <row r="63" spans="1:26">
      <c r="B63" s="90">
        <v>4</v>
      </c>
      <c r="C63" s="94">
        <f>E56</f>
        <v>182476751902.09018</v>
      </c>
      <c r="D63" s="94">
        <f>E53</f>
        <v>192501237701.76129</v>
      </c>
    </row>
    <row r="64" spans="1:26">
      <c r="B64" s="90">
        <v>5</v>
      </c>
      <c r="C64" s="94">
        <f>F56</f>
        <v>192689423293.83185</v>
      </c>
      <c r="D64" s="94">
        <f>F53</f>
        <v>226370420867.07831</v>
      </c>
    </row>
    <row r="65" spans="2:4">
      <c r="B65" s="90">
        <v>6</v>
      </c>
      <c r="C65" s="94">
        <f>G56</f>
        <v>202509299632.04492</v>
      </c>
      <c r="D65" s="94">
        <f>G53</f>
        <v>258936943141.42139</v>
      </c>
    </row>
    <row r="66" spans="2:4">
      <c r="B66" s="90">
        <v>7</v>
      </c>
      <c r="C66" s="94">
        <f>H56</f>
        <v>211951488418.78824</v>
      </c>
      <c r="D66" s="94">
        <f>H53</f>
        <v>290250906866.75122</v>
      </c>
    </row>
    <row r="67" spans="2:4">
      <c r="B67" s="90">
        <v>8</v>
      </c>
      <c r="C67" s="94">
        <f>I56</f>
        <v>221030516098.34921</v>
      </c>
      <c r="D67" s="94">
        <f>I53</f>
        <v>320360487371.87628</v>
      </c>
    </row>
    <row r="68" spans="2:4">
      <c r="B68" s="90">
        <v>9</v>
      </c>
      <c r="C68" s="94">
        <f>J56</f>
        <v>229760350405.61938</v>
      </c>
      <c r="D68" s="94">
        <f>J53</f>
        <v>349312007088.34277</v>
      </c>
    </row>
    <row r="69" spans="2:4">
      <c r="B69" s="90">
        <v>10</v>
      </c>
      <c r="C69" s="94">
        <f>K56</f>
        <v>238154421854.91754</v>
      </c>
      <c r="D69" s="94">
        <f>K53</f>
        <v>377150006815.71417</v>
      </c>
    </row>
    <row r="70" spans="2:4">
      <c r="B70" s="90">
        <v>11</v>
      </c>
      <c r="C70" s="94">
        <f>L56</f>
        <v>246225644402.31964</v>
      </c>
      <c r="D70" s="94">
        <f>L53</f>
        <v>403917314245.87891</v>
      </c>
    </row>
    <row r="71" spans="2:4">
      <c r="B71" s="90">
        <v>12</v>
      </c>
      <c r="C71" s="94">
        <f>M56</f>
        <v>253986435313.28326</v>
      </c>
      <c r="D71" s="94">
        <f>M53</f>
        <v>429655109851.80688</v>
      </c>
    </row>
    <row r="72" spans="2:4">
      <c r="B72" s="90">
        <v>13</v>
      </c>
      <c r="C72" s="94">
        <f>N56</f>
        <v>261448734266.13284</v>
      </c>
      <c r="D72" s="94">
        <f>N53</f>
        <v>454402990242.12195</v>
      </c>
    </row>
    <row r="73" spans="2:4">
      <c r="B73" s="90">
        <v>14</v>
      </c>
      <c r="C73" s="94">
        <f>O56</f>
        <v>268624021720.7959</v>
      </c>
      <c r="D73" s="94">
        <f>O53</f>
        <v>478199029078.96338</v>
      </c>
    </row>
    <row r="74" spans="2:4">
      <c r="B74" s="90">
        <v>15</v>
      </c>
      <c r="C74" s="94">
        <f>P56</f>
        <v>275523336581.04883</v>
      </c>
      <c r="D74" s="94">
        <f>P53</f>
        <v>501079835652.84943</v>
      </c>
    </row>
    <row r="75" spans="2:4">
      <c r="B75" s="90">
        <v>16</v>
      </c>
      <c r="C75" s="94">
        <f>Q56</f>
        <v>282157293177.44592</v>
      </c>
      <c r="D75" s="94">
        <f>Q53</f>
        <v>523080611204.66302</v>
      </c>
    </row>
    <row r="76" spans="2:4">
      <c r="B76" s="90">
        <v>17</v>
      </c>
      <c r="C76" s="94">
        <f>R56</f>
        <v>288536097597.05847</v>
      </c>
      <c r="D76" s="94">
        <f>R53</f>
        <v>544235203081.4068</v>
      </c>
    </row>
    <row r="77" spans="2:4">
      <c r="B77" s="90">
        <v>18</v>
      </c>
      <c r="C77" s="94">
        <f>S56</f>
        <v>294669563385.14746</v>
      </c>
      <c r="D77" s="94">
        <f>S53</f>
        <v>564576156809.04492</v>
      </c>
    </row>
    <row r="78" spans="2:4">
      <c r="B78" s="90">
        <v>19</v>
      </c>
      <c r="C78" s="94">
        <f>T56</f>
        <v>300567126642.92535</v>
      </c>
      <c r="D78" s="94">
        <f>T53</f>
        <v>584134766162.54321</v>
      </c>
    </row>
    <row r="79" spans="2:4">
      <c r="B79" s="90">
        <v>20</v>
      </c>
      <c r="C79" s="94">
        <f>U56</f>
        <v>306237860544.63489</v>
      </c>
      <c r="D79" s="94">
        <f>U53</f>
        <v>602941121310.1377</v>
      </c>
    </row>
    <row r="80" spans="2:4">
      <c r="B80" s="90">
        <v>21</v>
      </c>
      <c r="C80" s="94">
        <f>V56</f>
        <v>311690489296.27869</v>
      </c>
      <c r="D80" s="94">
        <f>V53</f>
        <v>621024155105.90186</v>
      </c>
    </row>
    <row r="81" spans="1:26">
      <c r="B81" s="90">
        <v>22</v>
      </c>
      <c r="C81" s="94">
        <f>W56</f>
        <v>316933401557.47455</v>
      </c>
      <c r="D81" s="94">
        <f>W53</f>
        <v>638411687601.82861</v>
      </c>
    </row>
    <row r="82" spans="1:26">
      <c r="B82" s="90">
        <v>23</v>
      </c>
      <c r="C82" s="94">
        <f>X56</f>
        <v>321974663347.086</v>
      </c>
      <c r="D82" s="94">
        <f>X53</f>
        <v>655130468847.91211</v>
      </c>
    </row>
    <row r="83" spans="1:26">
      <c r="B83" s="90">
        <v>24</v>
      </c>
      <c r="C83" s="94">
        <f>Y56</f>
        <v>326822030452.48169</v>
      </c>
      <c r="D83" s="94">
        <f>Y53</f>
        <v>671206220046.06934</v>
      </c>
    </row>
    <row r="84" spans="1:26">
      <c r="B84" s="90">
        <v>25</v>
      </c>
      <c r="C84" s="94">
        <f>Z56</f>
        <v>331482960361.51593</v>
      </c>
      <c r="D84" s="94">
        <f>Z53</f>
        <v>686663673121.22058</v>
      </c>
    </row>
    <row r="88" spans="1:26">
      <c r="A88" s="113" t="s">
        <v>160</v>
      </c>
      <c r="B88" s="113"/>
    </row>
    <row r="89" spans="1:26">
      <c r="A89" s="90" t="s">
        <v>155</v>
      </c>
      <c r="B89" s="91">
        <v>137374300836.875</v>
      </c>
    </row>
    <row r="90" spans="1:26">
      <c r="A90" s="90" t="s">
        <v>31</v>
      </c>
      <c r="B90" s="90">
        <v>42924000000</v>
      </c>
    </row>
    <row r="91" spans="1:26">
      <c r="A91" s="90" t="s">
        <v>151</v>
      </c>
      <c r="B91" s="90">
        <v>0.04</v>
      </c>
    </row>
    <row r="92" spans="1:26" ht="12.75" thickBot="1">
      <c r="A92" s="90" t="s">
        <v>152</v>
      </c>
      <c r="B92" s="90">
        <v>11117352470.017799</v>
      </c>
    </row>
    <row r="93" spans="1:26" ht="12.75" thickBot="1">
      <c r="A93" s="92" t="s">
        <v>150</v>
      </c>
      <c r="B93" s="93">
        <v>1</v>
      </c>
      <c r="C93" s="90">
        <v>2</v>
      </c>
      <c r="D93" s="90">
        <v>3</v>
      </c>
      <c r="E93" s="90">
        <v>4</v>
      </c>
      <c r="F93" s="90">
        <v>5</v>
      </c>
      <c r="G93" s="90">
        <v>6</v>
      </c>
      <c r="H93" s="90">
        <v>7</v>
      </c>
      <c r="I93" s="90">
        <v>8</v>
      </c>
      <c r="J93" s="90">
        <v>9</v>
      </c>
      <c r="K93" s="90">
        <v>10</v>
      </c>
      <c r="L93" s="90">
        <v>11</v>
      </c>
      <c r="M93" s="90">
        <v>12</v>
      </c>
      <c r="N93" s="90">
        <v>13</v>
      </c>
      <c r="O93" s="90">
        <v>14</v>
      </c>
      <c r="P93" s="90">
        <v>15</v>
      </c>
      <c r="Q93" s="90">
        <v>16</v>
      </c>
      <c r="R93" s="90">
        <v>17</v>
      </c>
      <c r="S93" s="90">
        <v>18</v>
      </c>
      <c r="T93" s="90">
        <v>19</v>
      </c>
      <c r="U93" s="90">
        <v>20</v>
      </c>
      <c r="V93" s="90">
        <v>21</v>
      </c>
      <c r="W93" s="90">
        <v>22</v>
      </c>
      <c r="X93" s="90">
        <v>23</v>
      </c>
      <c r="Y93" s="90">
        <v>24</v>
      </c>
      <c r="Z93" s="90">
        <v>25</v>
      </c>
    </row>
    <row r="95" spans="1:26">
      <c r="A95" s="90" t="s">
        <v>153</v>
      </c>
      <c r="B95" s="91">
        <f>$B$90*((1-(1.04^(-(B93))))/0.04)</f>
        <v>41273076923.077011</v>
      </c>
      <c r="C95" s="91">
        <f t="shared" ref="C95:Z95" si="10">$B$90*((1-(1.04^(-(C93))))/0.04)</f>
        <v>80958727810.651001</v>
      </c>
      <c r="D95" s="91">
        <f t="shared" si="10"/>
        <v>119118007510.24126</v>
      </c>
      <c r="E95" s="91">
        <f t="shared" si="10"/>
        <v>155809622606.00134</v>
      </c>
      <c r="F95" s="91">
        <f t="shared" si="10"/>
        <v>191090021736.53989</v>
      </c>
      <c r="G95" s="91">
        <f t="shared" si="10"/>
        <v>225013482438.98062</v>
      </c>
      <c r="H95" s="91">
        <f t="shared" si="10"/>
        <v>257632194652.86584</v>
      </c>
      <c r="I95" s="91">
        <f t="shared" si="10"/>
        <v>288996341012.37115</v>
      </c>
      <c r="J95" s="91">
        <f t="shared" si="10"/>
        <v>319154174050.35706</v>
      </c>
      <c r="K95" s="91">
        <f t="shared" si="10"/>
        <v>348152090433.03558</v>
      </c>
      <c r="L95" s="91">
        <f t="shared" si="10"/>
        <v>376034702339.45721</v>
      </c>
      <c r="M95" s="91">
        <f t="shared" si="10"/>
        <v>402844906095.63214</v>
      </c>
      <c r="N95" s="91">
        <f t="shared" si="10"/>
        <v>428623948168.87701</v>
      </c>
      <c r="O95" s="91">
        <f t="shared" si="10"/>
        <v>453411488623.92017</v>
      </c>
      <c r="P95" s="91">
        <f t="shared" si="10"/>
        <v>477245662138.38483</v>
      </c>
      <c r="Q95" s="91">
        <f t="shared" si="10"/>
        <v>500163136671.52399</v>
      </c>
      <c r="R95" s="91">
        <f t="shared" si="10"/>
        <v>522199169876.46539</v>
      </c>
      <c r="S95" s="91">
        <f t="shared" si="10"/>
        <v>543387663342.75519</v>
      </c>
      <c r="T95" s="91">
        <f t="shared" si="10"/>
        <v>563761214752.64917</v>
      </c>
      <c r="U95" s="91">
        <f t="shared" si="10"/>
        <v>583351168031.39343</v>
      </c>
      <c r="V95" s="91">
        <f t="shared" si="10"/>
        <v>602187661568.64771</v>
      </c>
      <c r="W95" s="91">
        <f t="shared" si="10"/>
        <v>620299674585.23816</v>
      </c>
      <c r="X95" s="91">
        <f t="shared" si="10"/>
        <v>637715071716.57507</v>
      </c>
      <c r="Y95" s="91">
        <f t="shared" si="10"/>
        <v>654460645881.32227</v>
      </c>
      <c r="Z95" s="91">
        <f t="shared" si="10"/>
        <v>670562159501.27148</v>
      </c>
    </row>
    <row r="96" spans="1:26">
      <c r="A96" s="90" t="s">
        <v>37</v>
      </c>
      <c r="B96" s="91">
        <f>$B$90*((1+0.04)^-(B93))</f>
        <v>41273076923.07692</v>
      </c>
      <c r="C96" s="91">
        <f t="shared" ref="C96:Z96" si="11">$B$90*((1+0.04)^-(C93))</f>
        <v>39685650887.573959</v>
      </c>
      <c r="D96" s="91">
        <f t="shared" si="11"/>
        <v>38159279699.590347</v>
      </c>
      <c r="E96" s="91">
        <f t="shared" si="11"/>
        <v>36691615095.759949</v>
      </c>
      <c r="F96" s="91">
        <f t="shared" si="11"/>
        <v>35280399130.538406</v>
      </c>
      <c r="G96" s="91">
        <f t="shared" si="11"/>
        <v>33923460702.440773</v>
      </c>
      <c r="H96" s="91">
        <f t="shared" si="11"/>
        <v>32618712213.885365</v>
      </c>
      <c r="I96" s="91">
        <f t="shared" si="11"/>
        <v>31364146359.505154</v>
      </c>
      <c r="J96" s="91">
        <f t="shared" si="11"/>
        <v>30157833037.985718</v>
      </c>
      <c r="K96" s="91">
        <f t="shared" si="11"/>
        <v>28997916382.678574</v>
      </c>
      <c r="L96" s="91">
        <f t="shared" si="11"/>
        <v>27882611906.421711</v>
      </c>
      <c r="M96" s="91">
        <f t="shared" si="11"/>
        <v>26810203756.174717</v>
      </c>
      <c r="N96" s="91">
        <f t="shared" si="11"/>
        <v>25779042073.244919</v>
      </c>
      <c r="O96" s="91">
        <f t="shared" si="11"/>
        <v>24787540455.043194</v>
      </c>
      <c r="P96" s="91">
        <f t="shared" si="11"/>
        <v>23834173514.464607</v>
      </c>
      <c r="Q96" s="91">
        <f t="shared" si="11"/>
        <v>22917474533.139042</v>
      </c>
      <c r="R96" s="91">
        <f t="shared" si="11"/>
        <v>22036033204.941387</v>
      </c>
      <c r="S96" s="91">
        <f t="shared" si="11"/>
        <v>21188493466.289791</v>
      </c>
      <c r="T96" s="91">
        <f t="shared" si="11"/>
        <v>20373551409.894032</v>
      </c>
      <c r="U96" s="91">
        <f t="shared" si="11"/>
        <v>19589953278.744259</v>
      </c>
      <c r="V96" s="91">
        <f t="shared" si="11"/>
        <v>18836493537.254093</v>
      </c>
      <c r="W96" s="91">
        <f t="shared" si="11"/>
        <v>18112013016.590473</v>
      </c>
      <c r="X96" s="91">
        <f t="shared" si="11"/>
        <v>17415397131.336994</v>
      </c>
      <c r="Y96" s="91">
        <f t="shared" si="11"/>
        <v>16745574164.74711</v>
      </c>
      <c r="Z96" s="91">
        <f t="shared" si="11"/>
        <v>16101513619.949141</v>
      </c>
    </row>
    <row r="97" spans="1:26">
      <c r="A97" s="90" t="s">
        <v>154</v>
      </c>
      <c r="B97" s="94">
        <f>B95+B96</f>
        <v>82546153846.153931</v>
      </c>
      <c r="C97" s="94">
        <f t="shared" ref="C97:Z97" si="12">C95+C96</f>
        <v>120644378698.22496</v>
      </c>
      <c r="D97" s="94">
        <f t="shared" si="12"/>
        <v>157277287209.8316</v>
      </c>
      <c r="E97" s="94">
        <f t="shared" si="12"/>
        <v>192501237701.76129</v>
      </c>
      <c r="F97" s="94">
        <f t="shared" si="12"/>
        <v>226370420867.07831</v>
      </c>
      <c r="G97" s="94">
        <f t="shared" si="12"/>
        <v>258936943141.42139</v>
      </c>
      <c r="H97" s="94">
        <f t="shared" si="12"/>
        <v>290250906866.75122</v>
      </c>
      <c r="I97" s="94">
        <f t="shared" si="12"/>
        <v>320360487371.87628</v>
      </c>
      <c r="J97" s="94">
        <f t="shared" si="12"/>
        <v>349312007088.34277</v>
      </c>
      <c r="K97" s="94">
        <f t="shared" si="12"/>
        <v>377150006815.71417</v>
      </c>
      <c r="L97" s="94">
        <f t="shared" si="12"/>
        <v>403917314245.87891</v>
      </c>
      <c r="M97" s="94">
        <f t="shared" si="12"/>
        <v>429655109851.80688</v>
      </c>
      <c r="N97" s="94">
        <f t="shared" si="12"/>
        <v>454402990242.12195</v>
      </c>
      <c r="O97" s="94">
        <f t="shared" si="12"/>
        <v>478199029078.96338</v>
      </c>
      <c r="P97" s="94">
        <f t="shared" si="12"/>
        <v>501079835652.84943</v>
      </c>
      <c r="Q97" s="94">
        <f t="shared" si="12"/>
        <v>523080611204.66302</v>
      </c>
      <c r="R97" s="94">
        <f t="shared" si="12"/>
        <v>544235203081.4068</v>
      </c>
      <c r="S97" s="94">
        <f t="shared" si="12"/>
        <v>564576156809.04492</v>
      </c>
      <c r="T97" s="94">
        <f t="shared" si="12"/>
        <v>584134766162.54321</v>
      </c>
      <c r="U97" s="94">
        <f t="shared" si="12"/>
        <v>602941121310.1377</v>
      </c>
      <c r="V97" s="94">
        <f t="shared" si="12"/>
        <v>621024155105.90186</v>
      </c>
      <c r="W97" s="94">
        <f t="shared" si="12"/>
        <v>638411687601.82861</v>
      </c>
      <c r="X97" s="94">
        <f t="shared" si="12"/>
        <v>655130468847.91211</v>
      </c>
      <c r="Y97" s="94">
        <f t="shared" si="12"/>
        <v>671206220046.06934</v>
      </c>
      <c r="Z97" s="94">
        <f t="shared" si="12"/>
        <v>686663673121.22058</v>
      </c>
    </row>
    <row r="99" spans="1:26">
      <c r="A99" s="90" t="s">
        <v>59</v>
      </c>
      <c r="B99" s="91">
        <f>$B$92*((1-(1.04^(-(B93))))/0.04)</f>
        <v>10689761990.401754</v>
      </c>
      <c r="C99" s="91">
        <f t="shared" ref="C99:Z99" si="13">$B$92*((1-(1.04^(-(C93))))/0.04)</f>
        <v>20968379288.864964</v>
      </c>
      <c r="D99" s="91">
        <f t="shared" si="13"/>
        <v>30851665152.771862</v>
      </c>
      <c r="E99" s="91">
        <f t="shared" si="13"/>
        <v>40354824637.297783</v>
      </c>
      <c r="F99" s="91">
        <f t="shared" si="13"/>
        <v>49492477987.803482</v>
      </c>
      <c r="G99" s="91">
        <f t="shared" si="13"/>
        <v>58278683132.520454</v>
      </c>
      <c r="H99" s="91">
        <f t="shared" si="13"/>
        <v>66726957310.132904</v>
      </c>
      <c r="I99" s="91">
        <f t="shared" si="13"/>
        <v>74850297865.529556</v>
      </c>
      <c r="J99" s="91">
        <f t="shared" si="13"/>
        <v>82661202245.718658</v>
      </c>
      <c r="K99" s="91">
        <f t="shared" si="13"/>
        <v>90171687226.669662</v>
      </c>
      <c r="L99" s="91">
        <f t="shared" si="13"/>
        <v>97393307400.660995</v>
      </c>
      <c r="M99" s="91">
        <f t="shared" si="13"/>
        <v>104337172952.57582</v>
      </c>
      <c r="N99" s="91">
        <f t="shared" si="13"/>
        <v>111013966752.49387</v>
      </c>
      <c r="O99" s="91">
        <f t="shared" si="13"/>
        <v>117433960790.87657</v>
      </c>
      <c r="P99" s="91">
        <f t="shared" si="13"/>
        <v>123607031981.62923</v>
      </c>
      <c r="Q99" s="91">
        <f t="shared" si="13"/>
        <v>129542677357.35294</v>
      </c>
      <c r="R99" s="91">
        <f t="shared" si="13"/>
        <v>135250028680.16417</v>
      </c>
      <c r="S99" s="91">
        <f t="shared" si="13"/>
        <v>140737866490.55957</v>
      </c>
      <c r="T99" s="91">
        <f t="shared" si="13"/>
        <v>146014633615.93979</v>
      </c>
      <c r="U99" s="91">
        <f t="shared" si="13"/>
        <v>151088448159.57462</v>
      </c>
      <c r="V99" s="91">
        <f t="shared" si="13"/>
        <v>155967115989.99274</v>
      </c>
      <c r="W99" s="91">
        <f t="shared" si="13"/>
        <v>160658142750.01013</v>
      </c>
      <c r="X99" s="91">
        <f t="shared" si="13"/>
        <v>165168745403.87299</v>
      </c>
      <c r="Y99" s="91">
        <f t="shared" si="13"/>
        <v>169505863340.27963</v>
      </c>
      <c r="Z99" s="91">
        <f t="shared" si="13"/>
        <v>173676169048.36292</v>
      </c>
    </row>
    <row r="100" spans="1:26">
      <c r="A100" s="90" t="s">
        <v>156</v>
      </c>
      <c r="B100" s="94">
        <f>$B$89+B99</f>
        <v>148064062827.27676</v>
      </c>
      <c r="C100" s="94">
        <f t="shared" ref="C100:Z100" si="14">$B$89+C99</f>
        <v>158342680125.73996</v>
      </c>
      <c r="D100" s="94">
        <f t="shared" si="14"/>
        <v>168225965989.64685</v>
      </c>
      <c r="E100" s="94">
        <f t="shared" si="14"/>
        <v>177729125474.17279</v>
      </c>
      <c r="F100" s="94">
        <f t="shared" si="14"/>
        <v>186866778824.67847</v>
      </c>
      <c r="G100" s="94">
        <f t="shared" si="14"/>
        <v>195652983969.39545</v>
      </c>
      <c r="H100" s="94">
        <f t="shared" si="14"/>
        <v>204101258147.0079</v>
      </c>
      <c r="I100" s="94">
        <f t="shared" si="14"/>
        <v>212224598702.40454</v>
      </c>
      <c r="J100" s="94">
        <f t="shared" si="14"/>
        <v>220035503082.59366</v>
      </c>
      <c r="K100" s="94">
        <f t="shared" si="14"/>
        <v>227545988063.54468</v>
      </c>
      <c r="L100" s="94">
        <f t="shared" si="14"/>
        <v>234767608237.53601</v>
      </c>
      <c r="M100" s="94">
        <f t="shared" si="14"/>
        <v>241711473789.45081</v>
      </c>
      <c r="N100" s="94">
        <f t="shared" si="14"/>
        <v>248388267589.36887</v>
      </c>
      <c r="O100" s="94">
        <f t="shared" si="14"/>
        <v>254808261627.75159</v>
      </c>
      <c r="P100" s="94">
        <f t="shared" si="14"/>
        <v>260981332818.50421</v>
      </c>
      <c r="Q100" s="94">
        <f t="shared" si="14"/>
        <v>266916978194.22794</v>
      </c>
      <c r="R100" s="94">
        <f t="shared" si="14"/>
        <v>272624329517.03918</v>
      </c>
      <c r="S100" s="94">
        <f t="shared" si="14"/>
        <v>278112167327.43457</v>
      </c>
      <c r="T100" s="94">
        <f t="shared" si="14"/>
        <v>283388934452.81482</v>
      </c>
      <c r="U100" s="94">
        <f t="shared" si="14"/>
        <v>288462748996.44958</v>
      </c>
      <c r="V100" s="94">
        <f t="shared" si="14"/>
        <v>293341416826.86774</v>
      </c>
      <c r="W100" s="94">
        <f t="shared" si="14"/>
        <v>298032443586.88513</v>
      </c>
      <c r="X100" s="94">
        <f t="shared" si="14"/>
        <v>302543046240.74799</v>
      </c>
      <c r="Y100" s="94">
        <f t="shared" si="14"/>
        <v>306880164177.15466</v>
      </c>
      <c r="Z100" s="94">
        <f t="shared" si="14"/>
        <v>311050469885.23792</v>
      </c>
    </row>
    <row r="103" spans="1:26">
      <c r="B103" s="90" t="s">
        <v>149</v>
      </c>
      <c r="C103" s="90" t="s">
        <v>156</v>
      </c>
      <c r="D103" s="90" t="s">
        <v>154</v>
      </c>
    </row>
    <row r="104" spans="1:26">
      <c r="B104" s="90">
        <v>1</v>
      </c>
      <c r="C104" s="94">
        <f>B100</f>
        <v>148064062827.27676</v>
      </c>
      <c r="D104" s="94">
        <f>B97</f>
        <v>82546153846.153931</v>
      </c>
    </row>
    <row r="105" spans="1:26">
      <c r="B105" s="90">
        <v>2</v>
      </c>
      <c r="C105" s="94">
        <f>C100</f>
        <v>158342680125.73996</v>
      </c>
      <c r="D105" s="94">
        <f>C97</f>
        <v>120644378698.22496</v>
      </c>
    </row>
    <row r="106" spans="1:26">
      <c r="B106" s="90">
        <v>3</v>
      </c>
      <c r="C106" s="94">
        <f>D100</f>
        <v>168225965989.64685</v>
      </c>
      <c r="D106" s="94">
        <f>D97</f>
        <v>157277287209.8316</v>
      </c>
    </row>
    <row r="107" spans="1:26">
      <c r="B107" s="90">
        <v>4</v>
      </c>
      <c r="C107" s="94">
        <f>E100</f>
        <v>177729125474.17279</v>
      </c>
      <c r="D107" s="94">
        <f>E97</f>
        <v>192501237701.76129</v>
      </c>
    </row>
    <row r="108" spans="1:26">
      <c r="B108" s="90">
        <v>5</v>
      </c>
      <c r="C108" s="94">
        <f>F100</f>
        <v>186866778824.67847</v>
      </c>
      <c r="D108" s="94">
        <f>F97</f>
        <v>226370420867.07831</v>
      </c>
    </row>
    <row r="109" spans="1:26">
      <c r="B109" s="90">
        <v>6</v>
      </c>
      <c r="C109" s="94">
        <f>G100</f>
        <v>195652983969.39545</v>
      </c>
      <c r="D109" s="94">
        <f>G97</f>
        <v>258936943141.42139</v>
      </c>
    </row>
    <row r="110" spans="1:26">
      <c r="B110" s="90">
        <v>7</v>
      </c>
      <c r="C110" s="94">
        <f>H100</f>
        <v>204101258147.0079</v>
      </c>
      <c r="D110" s="94">
        <f>H97</f>
        <v>290250906866.75122</v>
      </c>
    </row>
    <row r="111" spans="1:26">
      <c r="B111" s="90">
        <v>8</v>
      </c>
      <c r="C111" s="94">
        <f>I100</f>
        <v>212224598702.40454</v>
      </c>
      <c r="D111" s="94">
        <f>I97</f>
        <v>320360487371.87628</v>
      </c>
    </row>
    <row r="112" spans="1:26">
      <c r="B112" s="90">
        <v>9</v>
      </c>
      <c r="C112" s="94">
        <f>J100</f>
        <v>220035503082.59366</v>
      </c>
      <c r="D112" s="94">
        <f>J97</f>
        <v>349312007088.34277</v>
      </c>
    </row>
    <row r="113" spans="2:4">
      <c r="B113" s="90">
        <v>10</v>
      </c>
      <c r="C113" s="94">
        <f>K100</f>
        <v>227545988063.54468</v>
      </c>
      <c r="D113" s="94">
        <f>K97</f>
        <v>377150006815.71417</v>
      </c>
    </row>
    <row r="114" spans="2:4">
      <c r="B114" s="90">
        <v>11</v>
      </c>
      <c r="C114" s="94">
        <f>L100</f>
        <v>234767608237.53601</v>
      </c>
      <c r="D114" s="94">
        <f>L97</f>
        <v>403917314245.87891</v>
      </c>
    </row>
    <row r="115" spans="2:4">
      <c r="B115" s="90">
        <v>12</v>
      </c>
      <c r="C115" s="94">
        <f>M100</f>
        <v>241711473789.45081</v>
      </c>
      <c r="D115" s="94">
        <f>M97</f>
        <v>429655109851.80688</v>
      </c>
    </row>
    <row r="116" spans="2:4">
      <c r="B116" s="90">
        <v>13</v>
      </c>
      <c r="C116" s="94">
        <f>N100</f>
        <v>248388267589.36887</v>
      </c>
      <c r="D116" s="94">
        <f>N97</f>
        <v>454402990242.12195</v>
      </c>
    </row>
    <row r="117" spans="2:4">
      <c r="B117" s="90">
        <v>14</v>
      </c>
      <c r="C117" s="94">
        <f>O100</f>
        <v>254808261627.75159</v>
      </c>
      <c r="D117" s="94">
        <f>O97</f>
        <v>478199029078.96338</v>
      </c>
    </row>
    <row r="118" spans="2:4">
      <c r="B118" s="90">
        <v>15</v>
      </c>
      <c r="C118" s="94">
        <f>P100</f>
        <v>260981332818.50421</v>
      </c>
      <c r="D118" s="94">
        <f>P97</f>
        <v>501079835652.84943</v>
      </c>
    </row>
    <row r="119" spans="2:4">
      <c r="B119" s="90">
        <v>16</v>
      </c>
      <c r="C119" s="94">
        <f>Q100</f>
        <v>266916978194.22794</v>
      </c>
      <c r="D119" s="94">
        <f>Q97</f>
        <v>523080611204.66302</v>
      </c>
    </row>
    <row r="120" spans="2:4">
      <c r="B120" s="90">
        <v>17</v>
      </c>
      <c r="C120" s="94">
        <f>R100</f>
        <v>272624329517.03918</v>
      </c>
      <c r="D120" s="94">
        <f>R97</f>
        <v>544235203081.4068</v>
      </c>
    </row>
    <row r="121" spans="2:4">
      <c r="B121" s="90">
        <v>18</v>
      </c>
      <c r="C121" s="94">
        <f>S100</f>
        <v>278112167327.43457</v>
      </c>
      <c r="D121" s="94">
        <f>S97</f>
        <v>564576156809.04492</v>
      </c>
    </row>
    <row r="122" spans="2:4">
      <c r="B122" s="90">
        <v>19</v>
      </c>
      <c r="C122" s="94">
        <f>T100</f>
        <v>283388934452.81482</v>
      </c>
      <c r="D122" s="94">
        <f>T97</f>
        <v>584134766162.54321</v>
      </c>
    </row>
    <row r="123" spans="2:4">
      <c r="B123" s="90">
        <v>20</v>
      </c>
      <c r="C123" s="94">
        <f>U100</f>
        <v>288462748996.44958</v>
      </c>
      <c r="D123" s="94">
        <f>U97</f>
        <v>602941121310.1377</v>
      </c>
    </row>
    <row r="124" spans="2:4">
      <c r="B124" s="90">
        <v>21</v>
      </c>
      <c r="C124" s="94">
        <f>V100</f>
        <v>293341416826.86774</v>
      </c>
      <c r="D124" s="94">
        <f>V97</f>
        <v>621024155105.90186</v>
      </c>
    </row>
    <row r="125" spans="2:4">
      <c r="B125" s="90">
        <v>22</v>
      </c>
      <c r="C125" s="94">
        <f>W100</f>
        <v>298032443586.88513</v>
      </c>
      <c r="D125" s="94">
        <f>W97</f>
        <v>638411687601.82861</v>
      </c>
    </row>
    <row r="126" spans="2:4">
      <c r="B126" s="90">
        <v>23</v>
      </c>
      <c r="C126" s="94">
        <f>X100</f>
        <v>302543046240.74799</v>
      </c>
      <c r="D126" s="94">
        <f>X97</f>
        <v>655130468847.91211</v>
      </c>
    </row>
    <row r="127" spans="2:4">
      <c r="B127" s="90">
        <v>24</v>
      </c>
      <c r="C127" s="94">
        <f>Y100</f>
        <v>306880164177.15466</v>
      </c>
      <c r="D127" s="94">
        <f>Y97</f>
        <v>671206220046.06934</v>
      </c>
    </row>
    <row r="128" spans="2:4">
      <c r="B128" s="90">
        <v>25</v>
      </c>
      <c r="C128" s="94">
        <f>Z100</f>
        <v>311050469885.23792</v>
      </c>
      <c r="D128" s="94">
        <f>Z97</f>
        <v>686663673121.22058</v>
      </c>
    </row>
  </sheetData>
  <mergeCells count="2">
    <mergeCell ref="A44:B44"/>
    <mergeCell ref="A88:B8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RELATIVE COST O&amp;M</vt:lpstr>
      <vt:lpstr>CASE 1</vt:lpstr>
      <vt:lpstr>CASE 1 Graph</vt:lpstr>
      <vt:lpstr>CASE 2</vt:lpstr>
      <vt:lpstr>CASE 2 Graph</vt:lpstr>
      <vt:lpstr>CASE 3 US</vt:lpstr>
      <vt:lpstr>CASE 3 CHI</vt:lpstr>
      <vt:lpstr>CASE 3 EU</vt:lpstr>
      <vt:lpstr>CASE 3 Graph</vt:lpstr>
      <vt:lpstr>SELECTION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2020-04-22T14:27:34Z</dcterms:created>
  <dcterms:modified xsi:type="dcterms:W3CDTF">2020-06-06T07:18:21Z</dcterms:modified>
</cp:coreProperties>
</file>