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90" yWindow="75" windowWidth="10815" windowHeight="8040" tabRatio="836" firstSheet="1" activeTab="1"/>
  </bookViews>
  <sheets>
    <sheet name="RELATIVE COST O&amp;M" sheetId="2" r:id="rId1"/>
    <sheet name="CASE 1" sheetId="5" r:id="rId2"/>
    <sheet name="CASE 2" sheetId="6" r:id="rId3"/>
    <sheet name="CASE 3 US" sheetId="9" r:id="rId4"/>
    <sheet name="CASE 3 CHI" sheetId="10" r:id="rId5"/>
    <sheet name="CASE 3 EU" sheetId="1" r:id="rId6"/>
    <sheet name="SELECTION" sheetId="11" r:id="rId7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2" i="11" l="1"/>
  <c r="F52" i="11"/>
  <c r="D52" i="11"/>
  <c r="Z17" i="1"/>
  <c r="Z16" i="1"/>
  <c r="Z15" i="1"/>
  <c r="Z14" i="1"/>
  <c r="Z13" i="1"/>
  <c r="Z12" i="1"/>
  <c r="H51" i="11"/>
  <c r="F51" i="11"/>
  <c r="D51" i="11"/>
  <c r="H50" i="11"/>
  <c r="F50" i="11"/>
  <c r="D50" i="11"/>
  <c r="H49" i="11"/>
  <c r="D49" i="11"/>
  <c r="F49" i="11"/>
  <c r="H47" i="11"/>
  <c r="D47" i="11"/>
  <c r="F47" i="11"/>
  <c r="H48" i="11"/>
  <c r="D48" i="11"/>
  <c r="F48" i="11"/>
  <c r="H46" i="11"/>
  <c r="D46" i="11"/>
  <c r="F46" i="11"/>
  <c r="H40" i="11"/>
  <c r="H39" i="11"/>
  <c r="H38" i="11"/>
  <c r="C40" i="11"/>
  <c r="C39" i="11"/>
  <c r="C38" i="11"/>
  <c r="T26" i="5" l="1"/>
  <c r="AF20" i="1" l="1"/>
  <c r="AE20" i="10"/>
  <c r="AD20" i="9"/>
  <c r="AD19" i="9"/>
  <c r="AE19" i="10"/>
  <c r="AF19" i="1"/>
  <c r="AF18" i="1"/>
  <c r="AD18" i="9"/>
  <c r="AE18" i="10"/>
  <c r="AF12" i="1"/>
  <c r="AF11" i="1"/>
  <c r="AF10" i="1"/>
  <c r="AF9" i="1"/>
  <c r="D32" i="11"/>
  <c r="I21" i="1"/>
  <c r="D30" i="11"/>
  <c r="D26" i="11"/>
  <c r="L19" i="1" l="1"/>
  <c r="O3" i="10" l="1"/>
  <c r="E12" i="10"/>
  <c r="O3" i="9"/>
  <c r="AB20" i="10"/>
  <c r="H18" i="10"/>
  <c r="L17" i="10"/>
  <c r="AC3" i="10" s="1"/>
  <c r="H16" i="10"/>
  <c r="H15" i="10"/>
  <c r="L14" i="10"/>
  <c r="D11" i="10"/>
  <c r="E11" i="10" s="1"/>
  <c r="D10" i="10"/>
  <c r="E10" i="10" s="1"/>
  <c r="L9" i="10"/>
  <c r="L12" i="10" s="1"/>
  <c r="D9" i="10"/>
  <c r="E9" i="10" s="1"/>
  <c r="D8" i="10"/>
  <c r="E8" i="10" s="1"/>
  <c r="D7" i="10"/>
  <c r="E7" i="10" s="1"/>
  <c r="I6" i="10"/>
  <c r="D6" i="10"/>
  <c r="E6" i="10" s="1"/>
  <c r="D5" i="10"/>
  <c r="E5" i="10" s="1"/>
  <c r="D4" i="10"/>
  <c r="E4" i="10" s="1"/>
  <c r="AB3" i="10"/>
  <c r="D3" i="10"/>
  <c r="E3" i="10" s="1"/>
  <c r="AB20" i="9"/>
  <c r="L18" i="9"/>
  <c r="H18" i="9"/>
  <c r="L17" i="9"/>
  <c r="AC3" i="9" s="1"/>
  <c r="H16" i="9"/>
  <c r="H15" i="9"/>
  <c r="L14" i="9"/>
  <c r="E11" i="9"/>
  <c r="D11" i="9"/>
  <c r="D10" i="9"/>
  <c r="E10" i="9" s="1"/>
  <c r="L9" i="9"/>
  <c r="L12" i="9" s="1"/>
  <c r="E9" i="9"/>
  <c r="D9" i="9"/>
  <c r="E8" i="9"/>
  <c r="D8" i="9"/>
  <c r="D7" i="9"/>
  <c r="E7" i="9" s="1"/>
  <c r="I6" i="9"/>
  <c r="D6" i="9"/>
  <c r="E6" i="9" s="1"/>
  <c r="E5" i="9"/>
  <c r="D5" i="9"/>
  <c r="D4" i="9"/>
  <c r="E4" i="9" s="1"/>
  <c r="AB3" i="9"/>
  <c r="D3" i="9"/>
  <c r="E3" i="9" s="1"/>
  <c r="E12" i="9" s="1"/>
  <c r="R4" i="5"/>
  <c r="R5" i="5"/>
  <c r="R6" i="5"/>
  <c r="R7" i="5"/>
  <c r="R3" i="5"/>
  <c r="R4" i="6"/>
  <c r="R5" i="6"/>
  <c r="R6" i="6"/>
  <c r="R7" i="6"/>
  <c r="R3" i="6"/>
  <c r="AD3" i="10" l="1"/>
  <c r="L16" i="10"/>
  <c r="L18" i="10"/>
  <c r="AD16" i="10"/>
  <c r="I2" i="9"/>
  <c r="L16" i="9"/>
  <c r="AD3" i="9"/>
  <c r="AD16" i="9"/>
  <c r="L9" i="1"/>
  <c r="L9" i="6"/>
  <c r="L9" i="5"/>
  <c r="I13" i="10" l="1"/>
  <c r="I2" i="10"/>
  <c r="I8" i="9"/>
  <c r="O4" i="9" s="1"/>
  <c r="I5" i="9"/>
  <c r="I4" i="9"/>
  <c r="I3" i="9"/>
  <c r="O7" i="9" s="1"/>
  <c r="I13" i="9"/>
  <c r="R3" i="9"/>
  <c r="V3" i="9"/>
  <c r="AB20" i="6"/>
  <c r="H18" i="6"/>
  <c r="L17" i="6"/>
  <c r="AD16" i="6" s="1"/>
  <c r="H16" i="6"/>
  <c r="H15" i="6"/>
  <c r="L14" i="6"/>
  <c r="E11" i="6"/>
  <c r="D11" i="6"/>
  <c r="D10" i="6"/>
  <c r="E10" i="6" s="1"/>
  <c r="L12" i="6"/>
  <c r="L16" i="6" s="1"/>
  <c r="D9" i="6"/>
  <c r="E9" i="6" s="1"/>
  <c r="E8" i="6"/>
  <c r="D8" i="6"/>
  <c r="D7" i="6"/>
  <c r="E7" i="6" s="1"/>
  <c r="I6" i="6"/>
  <c r="D6" i="6"/>
  <c r="E6" i="6" s="1"/>
  <c r="E5" i="6"/>
  <c r="D5" i="6"/>
  <c r="D4" i="6"/>
  <c r="E4" i="6" s="1"/>
  <c r="AC3" i="6"/>
  <c r="AD3" i="6" s="1"/>
  <c r="AB3" i="6"/>
  <c r="D3" i="6"/>
  <c r="E3" i="6" s="1"/>
  <c r="AB20" i="5"/>
  <c r="H18" i="5"/>
  <c r="L17" i="5"/>
  <c r="L18" i="5" s="1"/>
  <c r="H16" i="5"/>
  <c r="H15" i="5"/>
  <c r="L14" i="5"/>
  <c r="D11" i="5"/>
  <c r="E11" i="5" s="1"/>
  <c r="D10" i="5"/>
  <c r="E10" i="5" s="1"/>
  <c r="L12" i="5"/>
  <c r="D9" i="5"/>
  <c r="E9" i="5" s="1"/>
  <c r="D8" i="5"/>
  <c r="E8" i="5" s="1"/>
  <c r="D7" i="5"/>
  <c r="E7" i="5" s="1"/>
  <c r="I6" i="5"/>
  <c r="D6" i="5"/>
  <c r="E6" i="5" s="1"/>
  <c r="D5" i="5"/>
  <c r="E5" i="5" s="1"/>
  <c r="D4" i="5"/>
  <c r="E4" i="5" s="1"/>
  <c r="AB3" i="5"/>
  <c r="D3" i="5"/>
  <c r="E3" i="5" s="1"/>
  <c r="AD20" i="1"/>
  <c r="AD3" i="1" s="1"/>
  <c r="D8" i="2"/>
  <c r="E8" i="2" s="1"/>
  <c r="E5" i="2"/>
  <c r="E12" i="2"/>
  <c r="L14" i="1"/>
  <c r="L12" i="1"/>
  <c r="L16" i="1" s="1"/>
  <c r="L17" i="1"/>
  <c r="D4" i="2"/>
  <c r="E4" i="2" s="1"/>
  <c r="J4" i="2"/>
  <c r="K4" i="2" s="1"/>
  <c r="P4" i="2"/>
  <c r="Q4" i="2" s="1"/>
  <c r="D5" i="2"/>
  <c r="J5" i="2"/>
  <c r="K5" i="2" s="1"/>
  <c r="P5" i="2"/>
  <c r="Q5" i="2" s="1"/>
  <c r="D6" i="2"/>
  <c r="E6" i="2" s="1"/>
  <c r="J6" i="2"/>
  <c r="K6" i="2" s="1"/>
  <c r="P6" i="2"/>
  <c r="Q6" i="2" s="1"/>
  <c r="D7" i="2"/>
  <c r="E7" i="2" s="1"/>
  <c r="J7" i="2"/>
  <c r="K7" i="2" s="1"/>
  <c r="P7" i="2"/>
  <c r="Q7" i="2" s="1"/>
  <c r="J8" i="2"/>
  <c r="K8" i="2" s="1"/>
  <c r="P8" i="2"/>
  <c r="Q8" i="2" s="1"/>
  <c r="D9" i="2"/>
  <c r="E9" i="2" s="1"/>
  <c r="J9" i="2"/>
  <c r="K9" i="2" s="1"/>
  <c r="P9" i="2"/>
  <c r="Q9" i="2" s="1"/>
  <c r="D10" i="2"/>
  <c r="E10" i="2" s="1"/>
  <c r="J10" i="2"/>
  <c r="K10" i="2" s="1"/>
  <c r="P10" i="2"/>
  <c r="Q10" i="2" s="1"/>
  <c r="D11" i="2"/>
  <c r="E11" i="2" s="1"/>
  <c r="J11" i="2"/>
  <c r="K11" i="2" s="1"/>
  <c r="P11" i="2"/>
  <c r="Q11" i="2" s="1"/>
  <c r="D12" i="2"/>
  <c r="J12" i="2"/>
  <c r="K12" i="2" s="1"/>
  <c r="P12" i="2"/>
  <c r="Q12" i="2" s="1"/>
  <c r="E19" i="2"/>
  <c r="K19" i="2"/>
  <c r="Q19" i="2"/>
  <c r="R3" i="10" l="1"/>
  <c r="V3" i="10"/>
  <c r="I8" i="10"/>
  <c r="O4" i="10" s="1"/>
  <c r="I5" i="10"/>
  <c r="I4" i="10"/>
  <c r="I3" i="10"/>
  <c r="O7" i="10" s="1"/>
  <c r="I17" i="10"/>
  <c r="I14" i="10"/>
  <c r="I18" i="10"/>
  <c r="R4" i="9"/>
  <c r="V4" i="9"/>
  <c r="AA16" i="9"/>
  <c r="I17" i="9"/>
  <c r="I14" i="9"/>
  <c r="I18" i="9"/>
  <c r="R7" i="9"/>
  <c r="V7" i="9"/>
  <c r="I9" i="9"/>
  <c r="L16" i="5"/>
  <c r="I13" i="5" s="1"/>
  <c r="I13" i="6"/>
  <c r="I18" i="6"/>
  <c r="E12" i="6"/>
  <c r="L18" i="6"/>
  <c r="E12" i="5"/>
  <c r="AD16" i="5"/>
  <c r="AC3" i="5"/>
  <c r="Q13" i="2"/>
  <c r="Q15" i="2" s="1"/>
  <c r="K13" i="2"/>
  <c r="K15" i="2" s="1"/>
  <c r="E13" i="2"/>
  <c r="E15" i="2" s="1"/>
  <c r="AF16" i="1"/>
  <c r="AA16" i="10" l="1"/>
  <c r="I15" i="10"/>
  <c r="L2" i="10" s="1"/>
  <c r="O5" i="10" s="1"/>
  <c r="I16" i="10"/>
  <c r="L3" i="10" s="1"/>
  <c r="R4" i="10"/>
  <c r="V4" i="10" s="1"/>
  <c r="R7" i="10"/>
  <c r="V7" i="10"/>
  <c r="I9" i="10"/>
  <c r="S12" i="9"/>
  <c r="L19" i="9"/>
  <c r="AB4" i="9" s="1"/>
  <c r="AB5" i="9" s="1"/>
  <c r="AC10" i="9" s="1"/>
  <c r="AD10" i="9" s="1"/>
  <c r="AE10" i="9" s="1"/>
  <c r="O6" i="9"/>
  <c r="I16" i="9"/>
  <c r="L3" i="9"/>
  <c r="I15" i="9"/>
  <c r="I17" i="6"/>
  <c r="I14" i="6"/>
  <c r="O3" i="6"/>
  <c r="I2" i="6"/>
  <c r="AD3" i="5"/>
  <c r="I2" i="5"/>
  <c r="O3" i="5"/>
  <c r="I17" i="5"/>
  <c r="I14" i="5"/>
  <c r="I18" i="5"/>
  <c r="E17" i="2"/>
  <c r="E16" i="2"/>
  <c r="E21" i="2"/>
  <c r="E18" i="2"/>
  <c r="K18" i="2"/>
  <c r="K21" i="2"/>
  <c r="K17" i="2"/>
  <c r="K16" i="2"/>
  <c r="Q17" i="2"/>
  <c r="Q16" i="2"/>
  <c r="Q18" i="2"/>
  <c r="Q21" i="2"/>
  <c r="AE3" i="1"/>
  <c r="L19" i="10" l="1"/>
  <c r="AB4" i="10" s="1"/>
  <c r="AB5" i="10" s="1"/>
  <c r="AC10" i="10" s="1"/>
  <c r="AD10" i="10" s="1"/>
  <c r="AE10" i="10" s="1"/>
  <c r="S12" i="10"/>
  <c r="O6" i="10"/>
  <c r="V5" i="10"/>
  <c r="R5" i="10"/>
  <c r="AD4" i="10"/>
  <c r="AD5" i="10" s="1"/>
  <c r="AC12" i="10" s="1"/>
  <c r="AD12" i="10" s="1"/>
  <c r="AE12" i="10" s="1"/>
  <c r="AC4" i="10"/>
  <c r="AC5" i="10" s="1"/>
  <c r="AC11" i="10" s="1"/>
  <c r="AD11" i="10" s="1"/>
  <c r="AE11" i="10" s="1"/>
  <c r="I19" i="10"/>
  <c r="L2" i="9"/>
  <c r="O5" i="9" s="1"/>
  <c r="I19" i="9"/>
  <c r="V6" i="9"/>
  <c r="AB16" i="9" s="1"/>
  <c r="AC16" i="9" s="1"/>
  <c r="AE16" i="9" s="1"/>
  <c r="R6" i="9"/>
  <c r="T21" i="9"/>
  <c r="AD4" i="9"/>
  <c r="AD5" i="9" s="1"/>
  <c r="AC12" i="9" s="1"/>
  <c r="AD12" i="9" s="1"/>
  <c r="AE12" i="9" s="1"/>
  <c r="AC4" i="9"/>
  <c r="AC5" i="9" s="1"/>
  <c r="AC11" i="9" s="1"/>
  <c r="AD11" i="9" s="1"/>
  <c r="AE11" i="9" s="1"/>
  <c r="V3" i="6"/>
  <c r="AA16" i="6" s="1"/>
  <c r="I16" i="6"/>
  <c r="L3" i="6" s="1"/>
  <c r="I15" i="6"/>
  <c r="I8" i="6"/>
  <c r="O4" i="6" s="1"/>
  <c r="I5" i="6"/>
  <c r="I4" i="6"/>
  <c r="I3" i="6"/>
  <c r="O7" i="6" s="1"/>
  <c r="V3" i="5"/>
  <c r="I15" i="5"/>
  <c r="I16" i="5"/>
  <c r="L3" i="5"/>
  <c r="I8" i="5"/>
  <c r="O4" i="5" s="1"/>
  <c r="I5" i="5"/>
  <c r="I4" i="5"/>
  <c r="I3" i="5"/>
  <c r="O7" i="5" s="1"/>
  <c r="E22" i="2"/>
  <c r="K22" i="2"/>
  <c r="Q22" i="2"/>
  <c r="AF3" i="1"/>
  <c r="L18" i="1"/>
  <c r="H18" i="1"/>
  <c r="V12" i="10" l="1"/>
  <c r="AC9" i="10"/>
  <c r="AD9" i="10" s="1"/>
  <c r="AE9" i="10" s="1"/>
  <c r="R6" i="10"/>
  <c r="V6" i="10" s="1"/>
  <c r="V8" i="10" s="1"/>
  <c r="S13" i="10"/>
  <c r="T21" i="10"/>
  <c r="V12" i="9"/>
  <c r="AC9" i="9"/>
  <c r="AD9" i="9" s="1"/>
  <c r="AE9" i="9" s="1"/>
  <c r="R5" i="9"/>
  <c r="V5" i="9" s="1"/>
  <c r="V8" i="9" s="1"/>
  <c r="V21" i="9" s="1"/>
  <c r="L2" i="5"/>
  <c r="O5" i="5" s="1"/>
  <c r="I19" i="5"/>
  <c r="V12" i="5" s="1"/>
  <c r="AD4" i="6"/>
  <c r="AD5" i="6" s="1"/>
  <c r="AC12" i="6" s="1"/>
  <c r="AD12" i="6" s="1"/>
  <c r="AC4" i="6"/>
  <c r="AC5" i="6" s="1"/>
  <c r="AC11" i="6" s="1"/>
  <c r="AD11" i="6" s="1"/>
  <c r="L2" i="6"/>
  <c r="O5" i="6" s="1"/>
  <c r="I19" i="6"/>
  <c r="V4" i="6"/>
  <c r="V7" i="6"/>
  <c r="I9" i="6"/>
  <c r="AA16" i="5"/>
  <c r="V4" i="5"/>
  <c r="V5" i="5"/>
  <c r="V7" i="5"/>
  <c r="I9" i="5"/>
  <c r="AD4" i="5"/>
  <c r="AD5" i="5" s="1"/>
  <c r="AC12" i="5" s="1"/>
  <c r="AD12" i="5" s="1"/>
  <c r="AE12" i="5" s="1"/>
  <c r="AC4" i="5"/>
  <c r="AC5" i="5" s="1"/>
  <c r="AC11" i="5" s="1"/>
  <c r="AD11" i="5" s="1"/>
  <c r="I13" i="1"/>
  <c r="D5" i="1"/>
  <c r="E5" i="1" s="1"/>
  <c r="D6" i="1"/>
  <c r="E6" i="1" s="1"/>
  <c r="V21" i="10" l="1"/>
  <c r="AB16" i="10"/>
  <c r="AC16" i="10" s="1"/>
  <c r="AE16" i="10" s="1"/>
  <c r="V16" i="10"/>
  <c r="V15" i="10"/>
  <c r="Y12" i="10"/>
  <c r="P21" i="10"/>
  <c r="V14" i="10"/>
  <c r="V13" i="10"/>
  <c r="Y13" i="10" s="1"/>
  <c r="V22" i="9"/>
  <c r="V23" i="9" s="1"/>
  <c r="V24" i="9" s="1"/>
  <c r="V13" i="9"/>
  <c r="Y13" i="9" s="1"/>
  <c r="V15" i="9"/>
  <c r="Y12" i="9"/>
  <c r="V14" i="9"/>
  <c r="P21" i="9"/>
  <c r="V16" i="9"/>
  <c r="S13" i="9"/>
  <c r="AE11" i="5"/>
  <c r="AC9" i="5"/>
  <c r="AD9" i="5" s="1"/>
  <c r="AE9" i="5" s="1"/>
  <c r="AC9" i="6"/>
  <c r="AD9" i="6" s="1"/>
  <c r="AE9" i="6" s="1"/>
  <c r="V12" i="6"/>
  <c r="L19" i="6"/>
  <c r="AB4" i="6" s="1"/>
  <c r="AB5" i="6" s="1"/>
  <c r="AC10" i="6" s="1"/>
  <c r="AD10" i="6" s="1"/>
  <c r="AE10" i="6" s="1"/>
  <c r="O6" i="6"/>
  <c r="S12" i="6"/>
  <c r="AE12" i="6"/>
  <c r="V5" i="6"/>
  <c r="AE11" i="6"/>
  <c r="P21" i="5"/>
  <c r="V16" i="5"/>
  <c r="V13" i="5"/>
  <c r="V15" i="5"/>
  <c r="V14" i="5"/>
  <c r="O6" i="5"/>
  <c r="L19" i="5"/>
  <c r="AB4" i="5" s="1"/>
  <c r="AB5" i="5" s="1"/>
  <c r="AC10" i="5" s="1"/>
  <c r="AD10" i="5" s="1"/>
  <c r="AE10" i="5" s="1"/>
  <c r="S12" i="5"/>
  <c r="D11" i="1"/>
  <c r="E11" i="1" s="1"/>
  <c r="D10" i="1"/>
  <c r="E10" i="1" s="1"/>
  <c r="D9" i="1"/>
  <c r="E9" i="1" s="1"/>
  <c r="D8" i="1"/>
  <c r="E8" i="1" s="1"/>
  <c r="D7" i="1"/>
  <c r="E7" i="1" s="1"/>
  <c r="D4" i="1"/>
  <c r="E4" i="1" s="1"/>
  <c r="D3" i="1"/>
  <c r="E3" i="1" s="1"/>
  <c r="I18" i="1"/>
  <c r="I17" i="1"/>
  <c r="H16" i="1"/>
  <c r="H15" i="1"/>
  <c r="I14" i="1"/>
  <c r="I6" i="1"/>
  <c r="P22" i="10" l="1"/>
  <c r="T22" i="10" s="1"/>
  <c r="P25" i="10"/>
  <c r="P23" i="10"/>
  <c r="P24" i="10"/>
  <c r="S14" i="10"/>
  <c r="S15" i="10" s="1"/>
  <c r="S16" i="10" s="1"/>
  <c r="Y16" i="10" s="1"/>
  <c r="V25" i="10"/>
  <c r="V22" i="10"/>
  <c r="V23" i="10" s="1"/>
  <c r="V24" i="10" s="1"/>
  <c r="T26" i="10"/>
  <c r="P22" i="9"/>
  <c r="T22" i="9" s="1"/>
  <c r="P23" i="9"/>
  <c r="P24" i="9"/>
  <c r="T26" i="9"/>
  <c r="Y14" i="9"/>
  <c r="Y16" i="9"/>
  <c r="S14" i="9"/>
  <c r="S15" i="9" s="1"/>
  <c r="S16" i="9" s="1"/>
  <c r="V25" i="9"/>
  <c r="V15" i="6"/>
  <c r="Y12" i="6"/>
  <c r="V14" i="6"/>
  <c r="P21" i="6"/>
  <c r="V16" i="6"/>
  <c r="V13" i="6"/>
  <c r="S13" i="6"/>
  <c r="S14" i="6" s="1"/>
  <c r="S15" i="6" s="1"/>
  <c r="S16" i="6" s="1"/>
  <c r="T21" i="6"/>
  <c r="S13" i="5"/>
  <c r="S14" i="5" s="1"/>
  <c r="S15" i="5" s="1"/>
  <c r="S16" i="5" s="1"/>
  <c r="Y16" i="5" s="1"/>
  <c r="T21" i="5"/>
  <c r="Y12" i="5"/>
  <c r="P22" i="5"/>
  <c r="P24" i="5"/>
  <c r="P25" i="5" s="1"/>
  <c r="P23" i="5"/>
  <c r="I16" i="1"/>
  <c r="L3" i="1" s="1"/>
  <c r="I15" i="1"/>
  <c r="L2" i="1" s="1"/>
  <c r="O5" i="1" s="1"/>
  <c r="E12" i="1"/>
  <c r="T23" i="10" l="1"/>
  <c r="T24" i="10" s="1"/>
  <c r="T25" i="10"/>
  <c r="Y14" i="10"/>
  <c r="Y15" i="10"/>
  <c r="T23" i="9"/>
  <c r="T24" i="9" s="1"/>
  <c r="T25" i="9"/>
  <c r="R5" i="1"/>
  <c r="V5" i="1" s="1"/>
  <c r="P25" i="9"/>
  <c r="Y15" i="9"/>
  <c r="Y17" i="9" s="1"/>
  <c r="T26" i="6"/>
  <c r="V6" i="6"/>
  <c r="V8" i="6" s="1"/>
  <c r="V21" i="6" s="1"/>
  <c r="P22" i="6"/>
  <c r="T22" i="6" s="1"/>
  <c r="P23" i="6"/>
  <c r="P25" i="6" s="1"/>
  <c r="P24" i="6"/>
  <c r="Y14" i="6"/>
  <c r="Y13" i="6"/>
  <c r="Y16" i="6"/>
  <c r="Y15" i="6"/>
  <c r="Y15" i="5"/>
  <c r="V6" i="5"/>
  <c r="V8" i="5" s="1"/>
  <c r="V21" i="5" s="1"/>
  <c r="Y14" i="5"/>
  <c r="T22" i="5"/>
  <c r="T23" i="5" s="1"/>
  <c r="T24" i="5" s="1"/>
  <c r="Y13" i="5"/>
  <c r="Y17" i="5" s="1"/>
  <c r="AF4" i="1"/>
  <c r="AF5" i="1" s="1"/>
  <c r="AE12" i="1" s="1"/>
  <c r="I19" i="1"/>
  <c r="AE4" i="1"/>
  <c r="AE5" i="1" s="1"/>
  <c r="AE11" i="1" s="1"/>
  <c r="I2" i="1"/>
  <c r="I8" i="1" s="1"/>
  <c r="O4" i="1" s="1"/>
  <c r="O3" i="1"/>
  <c r="R3" i="1" s="1"/>
  <c r="Y17" i="10" l="1"/>
  <c r="R4" i="1"/>
  <c r="V4" i="1" s="1"/>
  <c r="V12" i="1"/>
  <c r="AE9" i="1"/>
  <c r="Y17" i="6"/>
  <c r="T23" i="6"/>
  <c r="T24" i="6" s="1"/>
  <c r="T25" i="6"/>
  <c r="V22" i="6"/>
  <c r="V23" i="6" s="1"/>
  <c r="V24" i="6" s="1"/>
  <c r="AB16" i="6"/>
  <c r="AC16" i="6" s="1"/>
  <c r="AE16" i="6" s="1"/>
  <c r="V22" i="5"/>
  <c r="V23" i="5" s="1"/>
  <c r="V24" i="5" s="1"/>
  <c r="T25" i="5"/>
  <c r="AB16" i="5"/>
  <c r="AC16" i="5" s="1"/>
  <c r="AE16" i="5" s="1"/>
  <c r="I3" i="1"/>
  <c r="O7" i="1" s="1"/>
  <c r="I4" i="1"/>
  <c r="I5" i="1"/>
  <c r="I9" i="1" s="1"/>
  <c r="V3" i="1"/>
  <c r="R7" i="1" l="1"/>
  <c r="V7" i="1" s="1"/>
  <c r="V25" i="5"/>
  <c r="V25" i="6"/>
  <c r="V15" i="1"/>
  <c r="V14" i="1"/>
  <c r="V13" i="1"/>
  <c r="P21" i="1"/>
  <c r="V16" i="1"/>
  <c r="O6" i="1"/>
  <c r="R6" i="1" s="1"/>
  <c r="S12" i="1"/>
  <c r="AG12" i="1"/>
  <c r="AG9" i="1"/>
  <c r="AD4" i="1"/>
  <c r="AD5" i="1" s="1"/>
  <c r="AE10" i="1" s="1"/>
  <c r="AG10" i="1" s="1"/>
  <c r="AG11" i="1"/>
  <c r="AC16" i="1"/>
  <c r="P22" i="1" l="1"/>
  <c r="P24" i="1"/>
  <c r="P25" i="1" s="1"/>
  <c r="P23" i="1"/>
  <c r="T21" i="1"/>
  <c r="Y12" i="1"/>
  <c r="S13" i="1"/>
  <c r="V6" i="1"/>
  <c r="V8" i="1" s="1"/>
  <c r="V21" i="1" l="1"/>
  <c r="T22" i="1"/>
  <c r="T23" i="1" s="1"/>
  <c r="T24" i="1" s="1"/>
  <c r="T26" i="1"/>
  <c r="AD16" i="1"/>
  <c r="AE16" i="1" s="1"/>
  <c r="AG16" i="1" s="1"/>
  <c r="S14" i="1"/>
  <c r="Y13" i="1"/>
  <c r="T25" i="1" l="1"/>
  <c r="Y14" i="1"/>
  <c r="S15" i="1"/>
  <c r="Y15" i="1" s="1"/>
  <c r="V22" i="1"/>
  <c r="V23" i="1" s="1"/>
  <c r="V24" i="1" s="1"/>
  <c r="S16" i="1" l="1"/>
  <c r="Y16" i="1" s="1"/>
  <c r="Y17" i="1" s="1"/>
  <c r="V25" i="1"/>
</calcChain>
</file>

<file path=xl/sharedStrings.xml><?xml version="1.0" encoding="utf-8"?>
<sst xmlns="http://schemas.openxmlformats.org/spreadsheetml/2006/main" count="673" uniqueCount="150">
  <si>
    <t>Boiler</t>
  </si>
  <si>
    <t>Condenser</t>
  </si>
  <si>
    <t>Pump</t>
  </si>
  <si>
    <t>Generator</t>
  </si>
  <si>
    <t>unit</t>
  </si>
  <si>
    <t>total</t>
  </si>
  <si>
    <t>price ($)</t>
  </si>
  <si>
    <t>price (Php)</t>
  </si>
  <si>
    <t>Capital Expenditures</t>
  </si>
  <si>
    <t>Equipment Cost</t>
  </si>
  <si>
    <t>Miscellaneous Cost</t>
  </si>
  <si>
    <t>Building Cost</t>
  </si>
  <si>
    <t>Electrical Cost</t>
  </si>
  <si>
    <t>Excavation and Foundation Cost</t>
  </si>
  <si>
    <t>Instrumentation and Control</t>
  </si>
  <si>
    <t>Annual Operating Expenditures</t>
  </si>
  <si>
    <t>Fuel Cost</t>
  </si>
  <si>
    <t>Labor</t>
  </si>
  <si>
    <t>Maintenance and Repair</t>
  </si>
  <si>
    <t>Supervision</t>
  </si>
  <si>
    <t>Supplies</t>
  </si>
  <si>
    <t>Operating Taxes</t>
  </si>
  <si>
    <t>service facilities cost</t>
  </si>
  <si>
    <t>auxilliary cost</t>
  </si>
  <si>
    <t>Heat rate KJ/MW-hr</t>
  </si>
  <si>
    <t>Low Pressure Turbine</t>
  </si>
  <si>
    <t>High Pressure Turbine</t>
  </si>
  <si>
    <t>Double Flow Turbine</t>
  </si>
  <si>
    <t>Equipment</t>
  </si>
  <si>
    <r>
      <t xml:space="preserve">Land Cost </t>
    </r>
    <r>
      <rPr>
        <b/>
        <sz val="11"/>
        <color theme="1"/>
        <rFont val="Avenir Next LT Pro"/>
        <family val="2"/>
      </rPr>
      <t>(1250/m2)</t>
    </r>
  </si>
  <si>
    <t>HHV kJ/kg</t>
  </si>
  <si>
    <t>Annual Revenue</t>
  </si>
  <si>
    <t>Revenue</t>
  </si>
  <si>
    <t>Annual Depreciation</t>
  </si>
  <si>
    <t>Coal price ($)</t>
  </si>
  <si>
    <t>Coal price (Php)</t>
  </si>
  <si>
    <t>BookValue</t>
  </si>
  <si>
    <t>Salvage Value</t>
  </si>
  <si>
    <t>Service Life</t>
  </si>
  <si>
    <t>Depreciation</t>
  </si>
  <si>
    <t>Service Facilities</t>
    <phoneticPr fontId="2" type="noConversion"/>
  </si>
  <si>
    <t>Total</t>
  </si>
  <si>
    <t>Instrumentation &amp; Cost</t>
  </si>
  <si>
    <t>Capital Cost</t>
  </si>
  <si>
    <t>Miscellaneous</t>
  </si>
  <si>
    <t>Year</t>
  </si>
  <si>
    <t>Period</t>
  </si>
  <si>
    <t>TCL</t>
  </si>
  <si>
    <t>Net Income After Tax</t>
  </si>
  <si>
    <t>ROI</t>
  </si>
  <si>
    <t>Average</t>
    <phoneticPr fontId="2" type="noConversion"/>
  </si>
  <si>
    <t>Average</t>
  </si>
  <si>
    <t>Payback Period</t>
  </si>
  <si>
    <t>Sensitivity Analysis</t>
    <phoneticPr fontId="2" type="noConversion"/>
  </si>
  <si>
    <t>Power Generation -10%</t>
  </si>
  <si>
    <t>Increase Fuel Price 10%</t>
  </si>
  <si>
    <t>Decrease Fuel Price 10%</t>
  </si>
  <si>
    <t>For Power Generation - 10%</t>
  </si>
  <si>
    <t>Design</t>
    <phoneticPr fontId="2" type="noConversion"/>
  </si>
  <si>
    <t>Operating Cost</t>
  </si>
  <si>
    <t>Total Revenue</t>
  </si>
  <si>
    <t>Particular</t>
  </si>
  <si>
    <t>Change</t>
  </si>
  <si>
    <t>ENPV</t>
  </si>
  <si>
    <t>EIRR</t>
  </si>
  <si>
    <t>Base Case</t>
  </si>
  <si>
    <t>PHP</t>
  </si>
  <si>
    <t>%</t>
  </si>
  <si>
    <t>Construction Delay</t>
    <phoneticPr fontId="2" type="noConversion"/>
  </si>
  <si>
    <t xml:space="preserve">1 year </t>
    <phoneticPr fontId="2" type="noConversion"/>
  </si>
  <si>
    <t>Reduce of Power Generation by 10%</t>
  </si>
  <si>
    <t>Increase of Fuel Price by 10%</t>
  </si>
  <si>
    <t>Drop of Fuel Price by 10%</t>
  </si>
  <si>
    <t>Break Even</t>
    <phoneticPr fontId="2" type="noConversion"/>
  </si>
  <si>
    <t>Annual Equipment Cost</t>
  </si>
  <si>
    <t>Annual Capital Cost</t>
  </si>
  <si>
    <t>Equivalent Total Annual Cost</t>
  </si>
  <si>
    <t>Equivalent Total Annual Benefit</t>
  </si>
  <si>
    <t>Unit Generated To Break Even (MW)</t>
  </si>
  <si>
    <t>Relative Capital Cost</t>
  </si>
  <si>
    <t>instrumentation and control</t>
  </si>
  <si>
    <t>Land Cost (1250/m2)</t>
  </si>
  <si>
    <t>Excavation and Foundation</t>
  </si>
  <si>
    <t xml:space="preserve">Electrical Cost </t>
  </si>
  <si>
    <t>Total equipment cost</t>
  </si>
  <si>
    <t>Total Equipment Cost</t>
  </si>
  <si>
    <t>Closed FW Heater</t>
  </si>
  <si>
    <t>Deaerator</t>
  </si>
  <si>
    <t>Php/kW</t>
  </si>
  <si>
    <t>Total Cost Php</t>
  </si>
  <si>
    <t>Total Cost $</t>
  </si>
  <si>
    <t>Unit</t>
  </si>
  <si>
    <t>Cost</t>
  </si>
  <si>
    <t>Europe</t>
  </si>
  <si>
    <t>China</t>
  </si>
  <si>
    <t>US</t>
  </si>
  <si>
    <t>Equipment (EU)</t>
  </si>
  <si>
    <t>Capacity (kW)</t>
  </si>
  <si>
    <t>Electricity cost per kWh</t>
  </si>
  <si>
    <t>heat rate (kJ/kWh)</t>
  </si>
  <si>
    <t>Note</t>
  </si>
  <si>
    <t>Depreciation Rate</t>
  </si>
  <si>
    <t>Equipment (US)</t>
  </si>
  <si>
    <t>Equipment (CHI)</t>
  </si>
  <si>
    <t>Fixed Cost</t>
  </si>
  <si>
    <t>Installed Capacity</t>
  </si>
  <si>
    <t>MW</t>
  </si>
  <si>
    <t>Capacity Factor</t>
  </si>
  <si>
    <t>Energy</t>
  </si>
  <si>
    <t>GWh/year</t>
  </si>
  <si>
    <t>Cost/KW</t>
  </si>
  <si>
    <t>Php</t>
  </si>
  <si>
    <t>Life</t>
  </si>
  <si>
    <t>Years</t>
  </si>
  <si>
    <t>Discount Rate</t>
  </si>
  <si>
    <t>Capital Recovery Factor</t>
  </si>
  <si>
    <t>Annual Capacity Cost</t>
  </si>
  <si>
    <t>Fixed O&amp;M</t>
  </si>
  <si>
    <t>Total Fixed Cost</t>
  </si>
  <si>
    <t>Fixed Cost/kWh</t>
  </si>
  <si>
    <t>Php/kWh</t>
  </si>
  <si>
    <t>Variable Cost/kWh</t>
  </si>
  <si>
    <t>LCOE</t>
  </si>
  <si>
    <t>DESIGN 3</t>
  </si>
  <si>
    <t>total equity</t>
  </si>
  <si>
    <t>total loan</t>
  </si>
  <si>
    <t>DSCR</t>
  </si>
  <si>
    <t>Total loan</t>
  </si>
  <si>
    <t>Total equity</t>
  </si>
  <si>
    <t>Quantiity</t>
  </si>
  <si>
    <t>US Equipment</t>
  </si>
  <si>
    <t>European Equipment</t>
  </si>
  <si>
    <t>Unit Price</t>
  </si>
  <si>
    <t>US$</t>
  </si>
  <si>
    <t>TOTAL</t>
  </si>
  <si>
    <t>Chinese Equipment</t>
  </si>
  <si>
    <t>EQUIPMENT SELECTION</t>
  </si>
  <si>
    <t>Ave. Efficiency</t>
  </si>
  <si>
    <t>T1 years</t>
  </si>
  <si>
    <t>T2 years</t>
  </si>
  <si>
    <t>O&amp;M</t>
  </si>
  <si>
    <t>US equipment</t>
  </si>
  <si>
    <t>European equipment</t>
  </si>
  <si>
    <t>(Equipment/Model)</t>
  </si>
  <si>
    <t>total capital cost</t>
  </si>
  <si>
    <t>average generation</t>
  </si>
  <si>
    <t>GWh</t>
  </si>
  <si>
    <t>DSCR, first year</t>
  </si>
  <si>
    <t>[   ]</t>
  </si>
  <si>
    <t>FIRR,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</si>
</sst>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₱-3409]* #,##0.00_-;\-[$₱-3409]* #,##0.00_-;_-[$₱-3409]* &quot;-&quot;??_-;_-@_-"/>
    <numFmt numFmtId="165" formatCode="_([$$-409]* #,##0.00_);_([$$-409]* \(#,##0.00\);_([$$-409]* &quot;-&quot;??_);_(@_)"/>
    <numFmt numFmtId="166" formatCode="0.0000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2"/>
      <color theme="1"/>
      <name val="Avenir Next LT Pro"/>
      <family val="2"/>
    </font>
    <font>
      <sz val="12"/>
      <color theme="1"/>
      <name val="Avenir Next LT Pro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43" fontId="2" fillId="0" borderId="0" xfId="1" applyFont="1" applyAlignment="1">
      <alignment horizontal="left" vertical="center"/>
    </xf>
    <xf numFmtId="43" fontId="2" fillId="0" borderId="1" xfId="1" applyFont="1" applyBorder="1" applyAlignment="1">
      <alignment horizontal="left" vertical="center"/>
    </xf>
    <xf numFmtId="43" fontId="2" fillId="0" borderId="0" xfId="1" applyFont="1" applyBorder="1" applyAlignment="1">
      <alignment horizontal="left" vertical="center"/>
    </xf>
    <xf numFmtId="43" fontId="3" fillId="0" borderId="0" xfId="1" applyFont="1" applyBorder="1" applyAlignment="1">
      <alignment horizontal="center" vertical="center"/>
    </xf>
    <xf numFmtId="43" fontId="3" fillId="0" borderId="1" xfId="1" applyFont="1" applyBorder="1" applyAlignment="1">
      <alignment horizontal="left" vertical="center"/>
    </xf>
    <xf numFmtId="43" fontId="5" fillId="0" borderId="0" xfId="1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43" fontId="5" fillId="0" borderId="0" xfId="1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43" fontId="2" fillId="2" borderId="1" xfId="1" applyFont="1" applyFill="1" applyBorder="1" applyAlignment="1">
      <alignment horizontal="left" vertical="center"/>
    </xf>
    <xf numFmtId="10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left" vertical="center"/>
    </xf>
    <xf numFmtId="164" fontId="5" fillId="0" borderId="1" xfId="3" applyNumberFormat="1" applyFont="1" applyBorder="1" applyAlignment="1">
      <alignment horizontal="left" vertical="center"/>
    </xf>
    <xf numFmtId="43" fontId="2" fillId="0" borderId="1" xfId="1" applyFont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/>
    </xf>
    <xf numFmtId="9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5" fontId="2" fillId="0" borderId="1" xfId="2" applyNumberFormat="1" applyFont="1" applyBorder="1" applyAlignment="1">
      <alignment horizontal="left" vertical="center"/>
    </xf>
    <xf numFmtId="43" fontId="2" fillId="0" borderId="1" xfId="1" applyNumberFormat="1" applyFont="1" applyBorder="1" applyAlignment="1">
      <alignment horizontal="center" vertical="center"/>
    </xf>
    <xf numFmtId="43" fontId="3" fillId="0" borderId="0" xfId="1" applyFont="1" applyAlignment="1">
      <alignment horizontal="left" vertical="center"/>
    </xf>
    <xf numFmtId="43" fontId="2" fillId="0" borderId="22" xfId="1" applyFont="1" applyBorder="1"/>
    <xf numFmtId="43" fontId="2" fillId="0" borderId="1" xfId="1" applyFont="1" applyBorder="1"/>
    <xf numFmtId="44" fontId="2" fillId="0" borderId="22" xfId="2" applyFont="1" applyBorder="1"/>
    <xf numFmtId="44" fontId="2" fillId="0" borderId="1" xfId="2" applyFont="1" applyBorder="1"/>
    <xf numFmtId="0" fontId="2" fillId="0" borderId="2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5" borderId="0" xfId="1" applyFont="1" applyFill="1"/>
    <xf numFmtId="43" fontId="2" fillId="0" borderId="0" xfId="1" applyFont="1"/>
    <xf numFmtId="43" fontId="2" fillId="3" borderId="0" xfId="1" applyFont="1" applyFill="1"/>
    <xf numFmtId="43" fontId="2" fillId="0" borderId="25" xfId="1" applyFont="1" applyBorder="1"/>
    <xf numFmtId="43" fontId="2" fillId="0" borderId="24" xfId="1" applyFont="1" applyBorder="1"/>
    <xf numFmtId="43" fontId="2" fillId="0" borderId="23" xfId="1" applyFont="1" applyBorder="1"/>
    <xf numFmtId="43" fontId="2" fillId="0" borderId="5" xfId="1" applyFont="1" applyBorder="1"/>
    <xf numFmtId="43" fontId="2" fillId="0" borderId="21" xfId="1" applyFont="1" applyBorder="1"/>
    <xf numFmtId="43" fontId="2" fillId="4" borderId="19" xfId="1" applyFont="1" applyFill="1" applyBorder="1"/>
    <xf numFmtId="43" fontId="2" fillId="0" borderId="17" xfId="1" applyFont="1" applyBorder="1"/>
    <xf numFmtId="43" fontId="2" fillId="4" borderId="20" xfId="1" applyFont="1" applyFill="1" applyBorder="1"/>
    <xf numFmtId="43" fontId="2" fillId="4" borderId="18" xfId="1" applyFont="1" applyFill="1" applyBorder="1"/>
    <xf numFmtId="43" fontId="2" fillId="0" borderId="16" xfId="1" applyFont="1" applyBorder="1"/>
    <xf numFmtId="43" fontId="2" fillId="4" borderId="0" xfId="1" applyFont="1" applyFill="1"/>
    <xf numFmtId="43" fontId="2" fillId="0" borderId="15" xfId="1" applyFont="1" applyBorder="1"/>
    <xf numFmtId="43" fontId="2" fillId="4" borderId="13" xfId="1" applyFont="1" applyFill="1" applyBorder="1"/>
    <xf numFmtId="43" fontId="2" fillId="4" borderId="12" xfId="1" applyFont="1" applyFill="1" applyBorder="1"/>
    <xf numFmtId="43" fontId="2" fillId="0" borderId="14" xfId="1" applyFont="1" applyBorder="1"/>
    <xf numFmtId="43" fontId="2" fillId="4" borderId="9" xfId="1" applyFont="1" applyFill="1" applyBorder="1"/>
    <xf numFmtId="43" fontId="2" fillId="0" borderId="11" xfId="1" applyFont="1" applyBorder="1"/>
    <xf numFmtId="164" fontId="2" fillId="0" borderId="22" xfId="1" applyNumberFormat="1" applyFont="1" applyBorder="1"/>
    <xf numFmtId="164" fontId="2" fillId="0" borderId="1" xfId="1" applyNumberFormat="1" applyFont="1" applyBorder="1"/>
    <xf numFmtId="164" fontId="2" fillId="0" borderId="5" xfId="1" applyNumberFormat="1" applyFont="1" applyBorder="1"/>
    <xf numFmtId="164" fontId="2" fillId="0" borderId="17" xfId="1" applyNumberFormat="1" applyFont="1" applyBorder="1"/>
    <xf numFmtId="164" fontId="2" fillId="0" borderId="15" xfId="1" applyNumberFormat="1" applyFont="1" applyBorder="1"/>
    <xf numFmtId="164" fontId="2" fillId="0" borderId="11" xfId="1" applyNumberFormat="1" applyFont="1" applyBorder="1"/>
    <xf numFmtId="164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43" fontId="3" fillId="6" borderId="1" xfId="1" applyFont="1" applyFill="1" applyBorder="1" applyAlignment="1">
      <alignment horizontal="center" vertical="center"/>
    </xf>
    <xf numFmtId="43" fontId="4" fillId="6" borderId="0" xfId="1" applyFont="1" applyFill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3" fontId="4" fillId="5" borderId="0" xfId="1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43" fontId="3" fillId="7" borderId="1" xfId="1" applyFont="1" applyFill="1" applyBorder="1" applyAlignment="1">
      <alignment horizontal="center" vertical="center"/>
    </xf>
    <xf numFmtId="43" fontId="4" fillId="7" borderId="0" xfId="1" applyFont="1" applyFill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43" fontId="0" fillId="0" borderId="1" xfId="1" applyFont="1" applyBorder="1"/>
    <xf numFmtId="43" fontId="2" fillId="0" borderId="8" xfId="1" applyFont="1" applyBorder="1" applyAlignment="1">
      <alignment horizontal="center"/>
    </xf>
    <xf numFmtId="43" fontId="2" fillId="0" borderId="7" xfId="1" applyFont="1" applyBorder="1" applyAlignment="1">
      <alignment horizontal="center"/>
    </xf>
    <xf numFmtId="43" fontId="2" fillId="0" borderId="10" xfId="1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43" fontId="2" fillId="0" borderId="6" xfId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3" fontId="3" fillId="6" borderId="2" xfId="1" applyFont="1" applyFill="1" applyBorder="1" applyAlignment="1">
      <alignment horizontal="center" vertical="center"/>
    </xf>
    <xf numFmtId="43" fontId="3" fillId="6" borderId="3" xfId="1" applyFont="1" applyFill="1" applyBorder="1" applyAlignment="1">
      <alignment horizontal="center" vertical="center"/>
    </xf>
    <xf numFmtId="43" fontId="3" fillId="6" borderId="4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 wrapText="1"/>
    </xf>
    <xf numFmtId="43" fontId="4" fillId="6" borderId="0" xfId="1" applyFont="1" applyFill="1" applyAlignment="1">
      <alignment horizontal="left" vertical="center"/>
    </xf>
    <xf numFmtId="43" fontId="3" fillId="6" borderId="1" xfId="1" applyFont="1" applyFill="1" applyBorder="1" applyAlignment="1">
      <alignment horizontal="center" vertical="center"/>
    </xf>
    <xf numFmtId="43" fontId="3" fillId="5" borderId="2" xfId="1" applyFont="1" applyFill="1" applyBorder="1" applyAlignment="1">
      <alignment horizontal="center" vertical="center"/>
    </xf>
    <xf numFmtId="43" fontId="3" fillId="5" borderId="3" xfId="1" applyFont="1" applyFill="1" applyBorder="1" applyAlignment="1">
      <alignment horizontal="center" vertical="center"/>
    </xf>
    <xf numFmtId="43" fontId="3" fillId="5" borderId="4" xfId="1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43" fontId="4" fillId="5" borderId="0" xfId="1" applyFont="1" applyFill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12" fontId="5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3" fontId="3" fillId="7" borderId="2" xfId="1" applyFont="1" applyFill="1" applyBorder="1" applyAlignment="1">
      <alignment horizontal="center" vertical="center"/>
    </xf>
    <xf numFmtId="43" fontId="3" fillId="7" borderId="3" xfId="1" applyFont="1" applyFill="1" applyBorder="1" applyAlignment="1">
      <alignment horizontal="center" vertical="center"/>
    </xf>
    <xf numFmtId="43" fontId="3" fillId="7" borderId="4" xfId="1" applyFont="1" applyFill="1" applyBorder="1" applyAlignment="1">
      <alignment horizontal="center" vertical="center"/>
    </xf>
    <xf numFmtId="43" fontId="3" fillId="7" borderId="1" xfId="1" applyFont="1" applyFill="1" applyBorder="1" applyAlignment="1">
      <alignment horizontal="center" vertical="center"/>
    </xf>
    <xf numFmtId="43" fontId="4" fillId="7" borderId="0" xfId="1" applyFont="1" applyFill="1" applyAlignment="1">
      <alignment horizontal="left" vertical="center"/>
    </xf>
    <xf numFmtId="43" fontId="4" fillId="6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43" fontId="0" fillId="0" borderId="1" xfId="0" applyNumberFormat="1" applyBorder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3" fontId="0" fillId="0" borderId="0" xfId="1" applyFont="1"/>
    <xf numFmtId="10" fontId="5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3" fontId="5" fillId="0" borderId="0" xfId="1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Q22"/>
  <sheetViews>
    <sheetView zoomScaleNormal="100" workbookViewId="0">
      <selection activeCell="G7" sqref="G7"/>
    </sheetView>
  </sheetViews>
  <sheetFormatPr defaultColWidth="8.85546875" defaultRowHeight="14.25"/>
  <cols>
    <col min="1" max="1" width="29.28515625" style="36" customWidth="1"/>
    <col min="2" max="2" width="17.140625" style="36" bestFit="1" customWidth="1"/>
    <col min="3" max="3" width="6.5703125" style="36" bestFit="1" customWidth="1"/>
    <col min="4" max="4" width="17.140625" style="36" bestFit="1" customWidth="1"/>
    <col min="5" max="5" width="21" style="36" customWidth="1"/>
    <col min="6" max="6" width="3.140625" style="37" customWidth="1"/>
    <col min="7" max="7" width="28.7109375" style="36" customWidth="1"/>
    <col min="8" max="8" width="17.5703125" style="36" customWidth="1"/>
    <col min="9" max="9" width="6.5703125" style="36" bestFit="1" customWidth="1"/>
    <col min="10" max="10" width="17.140625" style="36" bestFit="1" customWidth="1"/>
    <col min="11" max="11" width="21.28515625" style="36" bestFit="1" customWidth="1"/>
    <col min="12" max="12" width="3.140625" style="37" customWidth="1"/>
    <col min="13" max="13" width="27.28515625" style="36" customWidth="1"/>
    <col min="14" max="14" width="18.5703125" style="36" bestFit="1" customWidth="1"/>
    <col min="15" max="15" width="6.5703125" style="36" bestFit="1" customWidth="1"/>
    <col min="16" max="16" width="18.42578125" style="36" bestFit="1" customWidth="1"/>
    <col min="17" max="17" width="22.85546875" style="36" bestFit="1" customWidth="1"/>
    <col min="18" max="16384" width="8.85546875" style="36"/>
  </cols>
  <sheetData>
    <row r="2" spans="1:17" ht="15" thickBot="1">
      <c r="A2" s="35" t="s">
        <v>95</v>
      </c>
      <c r="B2" s="36">
        <v>50.75</v>
      </c>
      <c r="G2" s="35" t="s">
        <v>94</v>
      </c>
      <c r="M2" s="35" t="s">
        <v>93</v>
      </c>
    </row>
    <row r="3" spans="1:17" ht="15" thickBot="1">
      <c r="A3" s="38" t="s">
        <v>28</v>
      </c>
      <c r="B3" s="39" t="s">
        <v>92</v>
      </c>
      <c r="C3" s="39" t="s">
        <v>91</v>
      </c>
      <c r="D3" s="39" t="s">
        <v>90</v>
      </c>
      <c r="E3" s="40" t="s">
        <v>89</v>
      </c>
      <c r="G3" s="38" t="s">
        <v>28</v>
      </c>
      <c r="H3" s="39" t="s">
        <v>92</v>
      </c>
      <c r="I3" s="39" t="s">
        <v>91</v>
      </c>
      <c r="J3" s="39" t="s">
        <v>90</v>
      </c>
      <c r="K3" s="40" t="s">
        <v>89</v>
      </c>
      <c r="M3" s="38" t="s">
        <v>28</v>
      </c>
      <c r="N3" s="39" t="s">
        <v>92</v>
      </c>
      <c r="O3" s="39" t="s">
        <v>91</v>
      </c>
      <c r="P3" s="39" t="s">
        <v>90</v>
      </c>
      <c r="Q3" s="40" t="s">
        <v>89</v>
      </c>
    </row>
    <row r="4" spans="1:17">
      <c r="A4" s="29" t="s">
        <v>0</v>
      </c>
      <c r="B4" s="29">
        <v>699000000</v>
      </c>
      <c r="C4" s="29">
        <v>1</v>
      </c>
      <c r="D4" s="29">
        <f t="shared" ref="D4:D12" si="0">B4*C4</f>
        <v>699000000</v>
      </c>
      <c r="E4" s="29">
        <f>D4*B2</f>
        <v>35474250000</v>
      </c>
      <c r="G4" s="29" t="s">
        <v>0</v>
      </c>
      <c r="H4" s="29">
        <v>699700000</v>
      </c>
      <c r="I4" s="29">
        <v>1</v>
      </c>
      <c r="J4" s="29">
        <f t="shared" ref="J4:J12" si="1">H4*I4</f>
        <v>699700000</v>
      </c>
      <c r="K4" s="29">
        <f>J4*B2</f>
        <v>35509775000</v>
      </c>
      <c r="M4" s="29" t="s">
        <v>0</v>
      </c>
      <c r="N4" s="31">
        <v>700586000</v>
      </c>
      <c r="O4" s="29">
        <v>1</v>
      </c>
      <c r="P4" s="31">
        <f t="shared" ref="P4:P12" si="2">N4*O4</f>
        <v>700586000</v>
      </c>
      <c r="Q4" s="55">
        <f>P4*B2</f>
        <v>35554739500</v>
      </c>
    </row>
    <row r="5" spans="1:17">
      <c r="A5" s="29" t="s">
        <v>25</v>
      </c>
      <c r="B5" s="29">
        <v>88040000</v>
      </c>
      <c r="C5" s="29">
        <v>1</v>
      </c>
      <c r="D5" s="29">
        <f t="shared" si="0"/>
        <v>88040000</v>
      </c>
      <c r="E5" s="29">
        <f>D5*B2</f>
        <v>4468030000</v>
      </c>
      <c r="G5" s="29" t="s">
        <v>25</v>
      </c>
      <c r="H5" s="29">
        <v>87060000</v>
      </c>
      <c r="I5" s="29">
        <v>1</v>
      </c>
      <c r="J5" s="29">
        <f t="shared" si="1"/>
        <v>87060000</v>
      </c>
      <c r="K5" s="29">
        <f>J5*B2</f>
        <v>4418295000</v>
      </c>
      <c r="M5" s="29" t="s">
        <v>25</v>
      </c>
      <c r="N5" s="31">
        <v>90700000</v>
      </c>
      <c r="O5" s="29">
        <v>1</v>
      </c>
      <c r="P5" s="31">
        <f t="shared" si="2"/>
        <v>90700000</v>
      </c>
      <c r="Q5" s="55">
        <f>P5*B2</f>
        <v>4603025000</v>
      </c>
    </row>
    <row r="6" spans="1:17">
      <c r="A6" s="30" t="s">
        <v>26</v>
      </c>
      <c r="B6" s="30">
        <v>81486200</v>
      </c>
      <c r="C6" s="30">
        <v>1</v>
      </c>
      <c r="D6" s="29">
        <f t="shared" si="0"/>
        <v>81486200</v>
      </c>
      <c r="E6" s="30">
        <f>D6*B2</f>
        <v>4135424650</v>
      </c>
      <c r="G6" s="30" t="s">
        <v>26</v>
      </c>
      <c r="H6" s="30">
        <v>80000000</v>
      </c>
      <c r="I6" s="30">
        <v>1</v>
      </c>
      <c r="J6" s="29">
        <f t="shared" si="1"/>
        <v>80000000</v>
      </c>
      <c r="K6" s="30">
        <f>J6*B2</f>
        <v>4060000000</v>
      </c>
      <c r="M6" s="30" t="s">
        <v>26</v>
      </c>
      <c r="N6" s="32">
        <v>80920000</v>
      </c>
      <c r="O6" s="30">
        <v>1</v>
      </c>
      <c r="P6" s="31">
        <f t="shared" si="2"/>
        <v>80920000</v>
      </c>
      <c r="Q6" s="56">
        <f>P6*B2</f>
        <v>4106690000</v>
      </c>
    </row>
    <row r="7" spans="1:17">
      <c r="A7" s="30" t="s">
        <v>27</v>
      </c>
      <c r="B7" s="30">
        <v>276269530</v>
      </c>
      <c r="C7" s="30">
        <v>1</v>
      </c>
      <c r="D7" s="29">
        <f t="shared" si="0"/>
        <v>276269530</v>
      </c>
      <c r="E7" s="30">
        <f>D7*B2</f>
        <v>14020678647.5</v>
      </c>
      <c r="G7" s="30" t="s">
        <v>27</v>
      </c>
      <c r="H7" s="30">
        <v>280560000</v>
      </c>
      <c r="I7" s="30">
        <v>1</v>
      </c>
      <c r="J7" s="29">
        <f t="shared" si="1"/>
        <v>280560000</v>
      </c>
      <c r="K7" s="30">
        <f>J7*B2</f>
        <v>14238420000</v>
      </c>
      <c r="M7" s="30" t="s">
        <v>27</v>
      </c>
      <c r="N7" s="32">
        <v>280750000</v>
      </c>
      <c r="O7" s="30">
        <v>1</v>
      </c>
      <c r="P7" s="31">
        <f t="shared" si="2"/>
        <v>280750000</v>
      </c>
      <c r="Q7" s="56">
        <f>P7*B2</f>
        <v>14248062500</v>
      </c>
    </row>
    <row r="8" spans="1:17">
      <c r="A8" s="30" t="s">
        <v>1</v>
      </c>
      <c r="B8" s="30">
        <v>154000000</v>
      </c>
      <c r="C8" s="30">
        <v>1</v>
      </c>
      <c r="D8" s="29">
        <f t="shared" si="0"/>
        <v>154000000</v>
      </c>
      <c r="E8" s="30">
        <f>B2*D8</f>
        <v>7815500000</v>
      </c>
      <c r="G8" s="30" t="s">
        <v>1</v>
      </c>
      <c r="H8" s="30">
        <v>150200000</v>
      </c>
      <c r="I8" s="30">
        <v>1</v>
      </c>
      <c r="J8" s="29">
        <f t="shared" si="1"/>
        <v>150200000</v>
      </c>
      <c r="K8" s="30">
        <f>J8*B2</f>
        <v>7622650000</v>
      </c>
      <c r="M8" s="30" t="s">
        <v>1</v>
      </c>
      <c r="N8" s="32">
        <v>150500000</v>
      </c>
      <c r="O8" s="30">
        <v>1</v>
      </c>
      <c r="P8" s="31">
        <f t="shared" si="2"/>
        <v>150500000</v>
      </c>
      <c r="Q8" s="56">
        <f>P8*B2</f>
        <v>7637875000</v>
      </c>
    </row>
    <row r="9" spans="1:17">
      <c r="A9" s="30" t="s">
        <v>87</v>
      </c>
      <c r="B9" s="30">
        <v>10902000</v>
      </c>
      <c r="C9" s="30">
        <v>1</v>
      </c>
      <c r="D9" s="29">
        <f t="shared" si="0"/>
        <v>10902000</v>
      </c>
      <c r="E9" s="30">
        <f>D9*B2</f>
        <v>553276500</v>
      </c>
      <c r="G9" s="30" t="s">
        <v>87</v>
      </c>
      <c r="H9" s="30">
        <v>10800000</v>
      </c>
      <c r="I9" s="30">
        <v>1</v>
      </c>
      <c r="J9" s="29">
        <f t="shared" si="1"/>
        <v>10800000</v>
      </c>
      <c r="K9" s="30">
        <f>J9*B2</f>
        <v>548100000</v>
      </c>
      <c r="M9" s="30" t="s">
        <v>87</v>
      </c>
      <c r="N9" s="32">
        <v>11056000</v>
      </c>
      <c r="O9" s="30">
        <v>1</v>
      </c>
      <c r="P9" s="31">
        <f t="shared" si="2"/>
        <v>11056000</v>
      </c>
      <c r="Q9" s="56">
        <f>P9*B2</f>
        <v>561092000</v>
      </c>
    </row>
    <row r="10" spans="1:17">
      <c r="A10" s="30" t="s">
        <v>86</v>
      </c>
      <c r="B10" s="30">
        <v>9508000</v>
      </c>
      <c r="C10" s="30">
        <v>7</v>
      </c>
      <c r="D10" s="29">
        <f t="shared" si="0"/>
        <v>66556000</v>
      </c>
      <c r="E10" s="30">
        <f>D10*B2</f>
        <v>3377717000</v>
      </c>
      <c r="G10" s="30" t="s">
        <v>86</v>
      </c>
      <c r="H10" s="30">
        <v>9050000</v>
      </c>
      <c r="I10" s="30">
        <v>7</v>
      </c>
      <c r="J10" s="29">
        <f t="shared" si="1"/>
        <v>63350000</v>
      </c>
      <c r="K10" s="30">
        <f>J10*B2</f>
        <v>3215012500</v>
      </c>
      <c r="M10" s="30" t="s">
        <v>86</v>
      </c>
      <c r="N10" s="32">
        <v>9076000</v>
      </c>
      <c r="O10" s="30">
        <v>7</v>
      </c>
      <c r="P10" s="31">
        <f t="shared" si="2"/>
        <v>63532000</v>
      </c>
      <c r="Q10" s="56">
        <f>P10*B2</f>
        <v>3224249000</v>
      </c>
    </row>
    <row r="11" spans="1:17">
      <c r="A11" s="30" t="s">
        <v>2</v>
      </c>
      <c r="B11" s="30">
        <v>15000000</v>
      </c>
      <c r="C11" s="30">
        <v>3</v>
      </c>
      <c r="D11" s="29">
        <f t="shared" si="0"/>
        <v>45000000</v>
      </c>
      <c r="E11" s="30">
        <f>D11*B2</f>
        <v>2283750000</v>
      </c>
      <c r="G11" s="30" t="s">
        <v>2</v>
      </c>
      <c r="H11" s="30">
        <v>14900000</v>
      </c>
      <c r="I11" s="30">
        <v>3</v>
      </c>
      <c r="J11" s="29">
        <f t="shared" si="1"/>
        <v>44700000</v>
      </c>
      <c r="K11" s="30">
        <f>J11*B2</f>
        <v>2268525000</v>
      </c>
      <c r="M11" s="30" t="s">
        <v>2</v>
      </c>
      <c r="N11" s="32">
        <v>15500000</v>
      </c>
      <c r="O11" s="30">
        <v>3</v>
      </c>
      <c r="P11" s="31">
        <f t="shared" si="2"/>
        <v>46500000</v>
      </c>
      <c r="Q11" s="56">
        <f>P11*B2</f>
        <v>2359875000</v>
      </c>
    </row>
    <row r="12" spans="1:17" ht="15" thickBot="1">
      <c r="A12" s="30" t="s">
        <v>3</v>
      </c>
      <c r="B12" s="30">
        <v>48800600</v>
      </c>
      <c r="C12" s="30">
        <v>1</v>
      </c>
      <c r="D12" s="29">
        <f t="shared" si="0"/>
        <v>48800600</v>
      </c>
      <c r="E12" s="30">
        <f>D12*B2</f>
        <v>2476630450</v>
      </c>
      <c r="G12" s="30" t="s">
        <v>3</v>
      </c>
      <c r="H12" s="30">
        <v>48146000</v>
      </c>
      <c r="I12" s="30">
        <v>1</v>
      </c>
      <c r="J12" s="29">
        <f t="shared" si="1"/>
        <v>48146000</v>
      </c>
      <c r="K12" s="30">
        <f>J12*B2</f>
        <v>2443409500</v>
      </c>
      <c r="M12" s="30" t="s">
        <v>3</v>
      </c>
      <c r="N12" s="32">
        <v>48400000</v>
      </c>
      <c r="O12" s="30">
        <v>1</v>
      </c>
      <c r="P12" s="31">
        <f t="shared" si="2"/>
        <v>48400000</v>
      </c>
      <c r="Q12" s="56">
        <f>P12*B2</f>
        <v>2456300000</v>
      </c>
    </row>
    <row r="13" spans="1:17" ht="15" thickBot="1">
      <c r="B13" s="81" t="s">
        <v>84</v>
      </c>
      <c r="C13" s="82"/>
      <c r="D13" s="82"/>
      <c r="E13" s="41">
        <f>SUM(E4:E12)</f>
        <v>74605257247.5</v>
      </c>
      <c r="H13" s="81" t="s">
        <v>85</v>
      </c>
      <c r="I13" s="82"/>
      <c r="J13" s="82"/>
      <c r="K13" s="41">
        <f>SUM(K4:K12)</f>
        <v>74324187000</v>
      </c>
      <c r="N13" s="81" t="s">
        <v>85</v>
      </c>
      <c r="O13" s="82"/>
      <c r="P13" s="82"/>
      <c r="Q13" s="57">
        <f>SUM(Q4:Q12)</f>
        <v>74751908000</v>
      </c>
    </row>
    <row r="14" spans="1:17" ht="15" thickBot="1"/>
    <row r="15" spans="1:17">
      <c r="A15" s="42" t="s">
        <v>84</v>
      </c>
      <c r="B15" s="43"/>
      <c r="C15" s="43"/>
      <c r="D15" s="43"/>
      <c r="E15" s="44">
        <f>E13</f>
        <v>74605257247.5</v>
      </c>
      <c r="G15" s="42" t="s">
        <v>84</v>
      </c>
      <c r="H15" s="45"/>
      <c r="I15" s="43"/>
      <c r="J15" s="46"/>
      <c r="K15" s="44">
        <f>K13</f>
        <v>74324187000</v>
      </c>
      <c r="M15" s="42" t="s">
        <v>84</v>
      </c>
      <c r="N15" s="45"/>
      <c r="O15" s="43"/>
      <c r="P15" s="46"/>
      <c r="Q15" s="58">
        <f>Q13</f>
        <v>74751908000</v>
      </c>
    </row>
    <row r="16" spans="1:17">
      <c r="A16" s="47" t="s">
        <v>10</v>
      </c>
      <c r="B16" s="48"/>
      <c r="C16" s="48"/>
      <c r="D16" s="48">
        <v>0.1</v>
      </c>
      <c r="E16" s="49">
        <f>E15*D16</f>
        <v>7460525724.75</v>
      </c>
      <c r="G16" s="47" t="s">
        <v>10</v>
      </c>
      <c r="H16" s="50"/>
      <c r="I16" s="48"/>
      <c r="J16" s="51">
        <v>0.1</v>
      </c>
      <c r="K16" s="49">
        <f>K15*J16</f>
        <v>7432418700</v>
      </c>
      <c r="M16" s="47" t="s">
        <v>10</v>
      </c>
      <c r="N16" s="50"/>
      <c r="O16" s="48"/>
      <c r="P16" s="51">
        <v>0.1</v>
      </c>
      <c r="Q16" s="59">
        <f>Q15*P16</f>
        <v>7475190800</v>
      </c>
    </row>
    <row r="17" spans="1:17">
      <c r="A17" s="47" t="s">
        <v>11</v>
      </c>
      <c r="B17" s="48"/>
      <c r="C17" s="48"/>
      <c r="D17" s="48">
        <v>0.33</v>
      </c>
      <c r="E17" s="49">
        <f>E15*D17</f>
        <v>24619734891.675003</v>
      </c>
      <c r="G17" s="47" t="s">
        <v>11</v>
      </c>
      <c r="H17" s="50"/>
      <c r="I17" s="48"/>
      <c r="J17" s="51">
        <v>0.33</v>
      </c>
      <c r="K17" s="49">
        <f>K15*J17</f>
        <v>24526981710</v>
      </c>
      <c r="M17" s="47" t="s">
        <v>11</v>
      </c>
      <c r="N17" s="50"/>
      <c r="O17" s="48"/>
      <c r="P17" s="51">
        <v>0.33</v>
      </c>
      <c r="Q17" s="59">
        <f>Q15*P17</f>
        <v>24668129640</v>
      </c>
    </row>
    <row r="18" spans="1:17">
      <c r="A18" s="47" t="s">
        <v>83</v>
      </c>
      <c r="B18" s="48"/>
      <c r="C18" s="48"/>
      <c r="D18" s="48">
        <v>0.2</v>
      </c>
      <c r="E18" s="49">
        <f>E15*D18</f>
        <v>14921051449.5</v>
      </c>
      <c r="G18" s="47" t="s">
        <v>83</v>
      </c>
      <c r="H18" s="50"/>
      <c r="I18" s="48"/>
      <c r="J18" s="51">
        <v>0.2</v>
      </c>
      <c r="K18" s="49">
        <f>K15*J18</f>
        <v>14864837400</v>
      </c>
      <c r="M18" s="47" t="s">
        <v>83</v>
      </c>
      <c r="N18" s="50"/>
      <c r="O18" s="48"/>
      <c r="P18" s="51">
        <v>0.2</v>
      </c>
      <c r="Q18" s="59">
        <f>Q15*P18</f>
        <v>14950381600</v>
      </c>
    </row>
    <row r="19" spans="1:17">
      <c r="A19" s="47" t="s">
        <v>82</v>
      </c>
      <c r="B19" s="48"/>
      <c r="C19" s="48"/>
      <c r="D19" s="48">
        <v>0.15</v>
      </c>
      <c r="E19" s="49">
        <f>E20*D19</f>
        <v>75431634.299999997</v>
      </c>
      <c r="G19" s="47" t="s">
        <v>82</v>
      </c>
      <c r="H19" s="50"/>
      <c r="I19" s="48"/>
      <c r="J19" s="51">
        <v>0.15</v>
      </c>
      <c r="K19" s="49">
        <f>K20*J19</f>
        <v>75431634.299999997</v>
      </c>
      <c r="M19" s="47" t="s">
        <v>82</v>
      </c>
      <c r="N19" s="50"/>
      <c r="O19" s="48"/>
      <c r="P19" s="51">
        <v>0.15</v>
      </c>
      <c r="Q19" s="59">
        <f>Q20*P19</f>
        <v>75431634.299999997</v>
      </c>
    </row>
    <row r="20" spans="1:17">
      <c r="A20" s="47" t="s">
        <v>81</v>
      </c>
      <c r="B20" s="48"/>
      <c r="C20" s="48"/>
      <c r="D20" s="48"/>
      <c r="E20" s="49">
        <v>502877562</v>
      </c>
      <c r="G20" s="47" t="s">
        <v>81</v>
      </c>
      <c r="H20" s="50"/>
      <c r="I20" s="48"/>
      <c r="J20" s="51"/>
      <c r="K20" s="49">
        <v>502877562</v>
      </c>
      <c r="M20" s="47" t="s">
        <v>81</v>
      </c>
      <c r="N20" s="50"/>
      <c r="O20" s="48"/>
      <c r="P20" s="51"/>
      <c r="Q20" s="59">
        <v>502877562</v>
      </c>
    </row>
    <row r="21" spans="1:17" ht="15" thickBot="1">
      <c r="A21" s="52" t="s">
        <v>80</v>
      </c>
      <c r="B21" s="53"/>
      <c r="C21" s="53"/>
      <c r="D21" s="53">
        <v>0.2</v>
      </c>
      <c r="E21" s="54">
        <f>E15*D21</f>
        <v>14921051449.5</v>
      </c>
      <c r="G21" s="52" t="s">
        <v>80</v>
      </c>
      <c r="H21" s="50"/>
      <c r="I21" s="48"/>
      <c r="J21" s="51">
        <v>0.2</v>
      </c>
      <c r="K21" s="54">
        <f>K15*J21</f>
        <v>14864837400</v>
      </c>
      <c r="M21" s="52" t="s">
        <v>80</v>
      </c>
      <c r="N21" s="50"/>
      <c r="O21" s="48"/>
      <c r="P21" s="51">
        <v>0.2</v>
      </c>
      <c r="Q21" s="60">
        <f>Q15*P21</f>
        <v>14950381600</v>
      </c>
    </row>
    <row r="22" spans="1:17" ht="15" thickBot="1">
      <c r="B22" s="83" t="s">
        <v>79</v>
      </c>
      <c r="C22" s="84"/>
      <c r="D22" s="84"/>
      <c r="E22" s="41">
        <f>SUM(E15:E21)</f>
        <v>137105929959.22501</v>
      </c>
      <c r="H22" s="81" t="s">
        <v>79</v>
      </c>
      <c r="I22" s="82"/>
      <c r="J22" s="85"/>
      <c r="K22" s="41">
        <f>SUM(K15:K21)</f>
        <v>136591571406.3</v>
      </c>
      <c r="N22" s="81" t="s">
        <v>79</v>
      </c>
      <c r="O22" s="82"/>
      <c r="P22" s="85"/>
      <c r="Q22" s="57">
        <f>SUM(Q15:Q21)</f>
        <v>137374300836.3</v>
      </c>
    </row>
  </sheetData>
  <mergeCells count="6">
    <mergeCell ref="B13:D13"/>
    <mergeCell ref="H13:J13"/>
    <mergeCell ref="N13:P13"/>
    <mergeCell ref="B22:D22"/>
    <mergeCell ref="H22:J22"/>
    <mergeCell ref="N22:P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abSelected="1" zoomScale="70" zoomScaleNormal="70" workbookViewId="0">
      <selection activeCell="C21" sqref="C21"/>
    </sheetView>
  </sheetViews>
  <sheetFormatPr defaultColWidth="8.85546875" defaultRowHeight="14.25"/>
  <cols>
    <col min="1" max="1" width="23.7109375" style="1" bestFit="1" customWidth="1"/>
    <col min="2" max="2" width="19.28515625" style="1" bestFit="1" customWidth="1"/>
    <col min="3" max="3" width="6.5703125" style="1" bestFit="1" customWidth="1"/>
    <col min="4" max="4" width="19.28515625" style="1" bestFit="1" customWidth="1"/>
    <col min="5" max="5" width="22.42578125" style="1" bestFit="1" customWidth="1"/>
    <col min="6" max="6" width="1.42578125" style="3" customWidth="1"/>
    <col min="7" max="7" width="34.140625" style="1" bestFit="1" customWidth="1"/>
    <col min="8" max="8" width="7.28515625" style="1" bestFit="1" customWidth="1"/>
    <col min="9" max="9" width="23.85546875" style="1" bestFit="1" customWidth="1"/>
    <col min="10" max="10" width="1.42578125" style="1" customWidth="1"/>
    <col min="11" max="11" width="25.140625" style="1" bestFit="1" customWidth="1"/>
    <col min="12" max="12" width="21.28515625" style="1" bestFit="1" customWidth="1"/>
    <col min="13" max="13" width="1.28515625" style="1" customWidth="1"/>
    <col min="14" max="14" width="24.5703125" style="1" bestFit="1" customWidth="1"/>
    <col min="15" max="16" width="14" style="1" customWidth="1"/>
    <col min="17" max="17" width="20.7109375" style="1" bestFit="1" customWidth="1"/>
    <col min="18" max="23" width="14" style="1" customWidth="1"/>
    <col min="24" max="24" width="10.28515625" style="1" bestFit="1" customWidth="1"/>
    <col min="25" max="25" width="8.7109375" style="1" bestFit="1" customWidth="1"/>
    <col min="26" max="26" width="1.140625" style="1" customWidth="1"/>
    <col min="27" max="27" width="39.140625" style="1" bestFit="1" customWidth="1"/>
    <col min="28" max="28" width="27.42578125" style="1" bestFit="1" customWidth="1"/>
    <col min="29" max="29" width="32.5703125" style="1" bestFit="1" customWidth="1"/>
    <col min="30" max="30" width="35.5703125" style="1" bestFit="1" customWidth="1"/>
    <col min="31" max="31" width="40.7109375" style="1" bestFit="1" customWidth="1"/>
    <col min="32" max="32" width="40" style="1" customWidth="1"/>
    <col min="33" max="33" width="12.5703125" style="1" customWidth="1"/>
    <col min="34" max="35" width="36.140625" style="1" customWidth="1"/>
    <col min="36" max="16384" width="8.85546875" style="1"/>
  </cols>
  <sheetData>
    <row r="1" spans="1:33" ht="15.75">
      <c r="A1" s="91" t="s">
        <v>96</v>
      </c>
      <c r="B1" s="92"/>
      <c r="C1" s="92"/>
      <c r="D1" s="92"/>
      <c r="E1" s="93"/>
      <c r="F1" s="4"/>
      <c r="G1" s="91" t="s">
        <v>8</v>
      </c>
      <c r="H1" s="92"/>
      <c r="I1" s="93"/>
      <c r="N1" s="96" t="s">
        <v>39</v>
      </c>
      <c r="O1" s="96"/>
      <c r="P1" s="6"/>
      <c r="Q1" s="6"/>
      <c r="R1" s="6"/>
      <c r="S1" s="6"/>
      <c r="T1" s="6"/>
      <c r="U1" s="6"/>
      <c r="V1" s="6"/>
      <c r="W1" s="6"/>
      <c r="X1" s="6"/>
      <c r="Y1" s="6"/>
      <c r="AA1" s="66" t="s">
        <v>53</v>
      </c>
      <c r="AB1" s="7"/>
      <c r="AC1" s="7"/>
      <c r="AD1" s="7"/>
      <c r="AE1" s="7"/>
      <c r="AF1" s="7"/>
      <c r="AG1" s="7"/>
    </row>
    <row r="2" spans="1:33" ht="15.75">
      <c r="A2" s="2"/>
      <c r="B2" s="63" t="s">
        <v>6</v>
      </c>
      <c r="C2" s="63" t="s">
        <v>4</v>
      </c>
      <c r="D2" s="63" t="s">
        <v>5</v>
      </c>
      <c r="E2" s="63" t="s">
        <v>7</v>
      </c>
      <c r="G2" s="2" t="s">
        <v>9</v>
      </c>
      <c r="H2" s="2"/>
      <c r="I2" s="17">
        <f>E12</f>
        <v>73370087000</v>
      </c>
      <c r="K2" s="2" t="s">
        <v>22</v>
      </c>
      <c r="L2" s="2">
        <f>I15+I17</f>
        <v>2043425452.0860548</v>
      </c>
      <c r="N2" s="8"/>
      <c r="O2" s="88" t="s">
        <v>36</v>
      </c>
      <c r="P2" s="88"/>
      <c r="Q2" s="65" t="s">
        <v>101</v>
      </c>
      <c r="R2" s="88" t="s">
        <v>37</v>
      </c>
      <c r="S2" s="88"/>
      <c r="T2" s="88" t="s">
        <v>38</v>
      </c>
      <c r="U2" s="88"/>
      <c r="V2" s="88" t="s">
        <v>39</v>
      </c>
      <c r="W2" s="88"/>
      <c r="X2" s="6"/>
      <c r="Y2" s="6"/>
      <c r="AA2" s="9"/>
      <c r="AB2" s="65" t="s">
        <v>54</v>
      </c>
      <c r="AC2" s="65" t="s">
        <v>55</v>
      </c>
      <c r="AD2" s="65" t="s">
        <v>56</v>
      </c>
      <c r="AE2" s="7"/>
    </row>
    <row r="3" spans="1:33" ht="15">
      <c r="A3" s="29" t="s">
        <v>0</v>
      </c>
      <c r="B3" s="31">
        <v>700586000</v>
      </c>
      <c r="C3" s="33">
        <v>1</v>
      </c>
      <c r="D3" s="26">
        <f t="shared" ref="D3:D6" si="0">B3*C3</f>
        <v>700586000</v>
      </c>
      <c r="E3" s="17">
        <f>D3*50.75</f>
        <v>35554739500</v>
      </c>
      <c r="G3" s="2" t="s">
        <v>10</v>
      </c>
      <c r="H3" s="2">
        <v>0.1</v>
      </c>
      <c r="I3" s="17">
        <f>H3*I2</f>
        <v>7337008700</v>
      </c>
      <c r="K3" s="2" t="s">
        <v>23</v>
      </c>
      <c r="L3" s="2">
        <f>I14+I16</f>
        <v>2724567269.4480729</v>
      </c>
      <c r="N3" s="8" t="s">
        <v>9</v>
      </c>
      <c r="O3" s="87">
        <f>E12</f>
        <v>73370087000</v>
      </c>
      <c r="P3" s="87"/>
      <c r="Q3" s="61">
        <v>0.04</v>
      </c>
      <c r="R3" s="87">
        <f>O3*Q3</f>
        <v>2934803480</v>
      </c>
      <c r="S3" s="87"/>
      <c r="T3" s="86">
        <v>25</v>
      </c>
      <c r="U3" s="86"/>
      <c r="V3" s="87">
        <f>(O3-R3)/T3</f>
        <v>2817411340.8000002</v>
      </c>
      <c r="W3" s="87"/>
      <c r="X3" s="6"/>
      <c r="Y3" s="6"/>
      <c r="AA3" s="9" t="s">
        <v>32</v>
      </c>
      <c r="AB3" s="21">
        <f>9.8*AB20*0.92*24*365*1000</f>
        <v>35541072000</v>
      </c>
      <c r="AC3" s="21">
        <f>L17</f>
        <v>42924000000</v>
      </c>
      <c r="AD3" s="21">
        <f>AC3</f>
        <v>42924000000</v>
      </c>
      <c r="AE3" s="7"/>
    </row>
    <row r="4" spans="1:33" ht="15">
      <c r="A4" s="29" t="s">
        <v>25</v>
      </c>
      <c r="B4" s="31">
        <v>90700000</v>
      </c>
      <c r="C4" s="33">
        <v>1</v>
      </c>
      <c r="D4" s="26">
        <f t="shared" si="0"/>
        <v>90700000</v>
      </c>
      <c r="E4" s="17">
        <f t="shared" ref="E4:E11" si="1">D4*50.75</f>
        <v>4603025000</v>
      </c>
      <c r="G4" s="2" t="s">
        <v>11</v>
      </c>
      <c r="H4" s="2">
        <v>0.33</v>
      </c>
      <c r="I4" s="17">
        <f>H4*I2</f>
        <v>24212128710</v>
      </c>
      <c r="N4" s="8" t="s">
        <v>42</v>
      </c>
      <c r="O4" s="87">
        <f>I8</f>
        <v>14674017400</v>
      </c>
      <c r="P4" s="87"/>
      <c r="Q4" s="61">
        <v>0.04</v>
      </c>
      <c r="R4" s="87">
        <f t="shared" ref="R4:R7" si="2">O4*Q4</f>
        <v>586960696</v>
      </c>
      <c r="S4" s="87"/>
      <c r="T4" s="86">
        <v>25</v>
      </c>
      <c r="U4" s="86"/>
      <c r="V4" s="87">
        <f>(O4-R4)/T4</f>
        <v>563482268.15999997</v>
      </c>
      <c r="W4" s="87"/>
      <c r="X4" s="6"/>
      <c r="Y4" s="6"/>
      <c r="AA4" s="9" t="s">
        <v>59</v>
      </c>
      <c r="AB4" s="21">
        <f>L19</f>
        <v>4854440462.6475</v>
      </c>
      <c r="AC4" s="21">
        <f>10695230090+SUM(I14:I18)</f>
        <v>16144364628.896147</v>
      </c>
      <c r="AD4" s="21">
        <f>(L16*0.9*0.9)+SUM(I14:I18)</f>
        <v>10966383259.528496</v>
      </c>
      <c r="AE4" s="7"/>
      <c r="AF4" s="7"/>
      <c r="AG4" s="7"/>
    </row>
    <row r="5" spans="1:33" ht="15">
      <c r="A5" s="30" t="s">
        <v>26</v>
      </c>
      <c r="B5" s="32">
        <v>80920000</v>
      </c>
      <c r="C5" s="34">
        <v>1</v>
      </c>
      <c r="D5" s="26">
        <f t="shared" si="0"/>
        <v>80920000</v>
      </c>
      <c r="E5" s="17">
        <f t="shared" si="1"/>
        <v>4106690000</v>
      </c>
      <c r="G5" s="2" t="s">
        <v>12</v>
      </c>
      <c r="H5" s="2">
        <v>0.2</v>
      </c>
      <c r="I5" s="17">
        <f>H5*I2</f>
        <v>14674017400</v>
      </c>
      <c r="N5" s="8" t="s">
        <v>40</v>
      </c>
      <c r="O5" s="87">
        <f>L2</f>
        <v>2043425452.0860548</v>
      </c>
      <c r="P5" s="87"/>
      <c r="Q5" s="61">
        <v>0.04</v>
      </c>
      <c r="R5" s="87">
        <f t="shared" si="2"/>
        <v>81737018.083442196</v>
      </c>
      <c r="S5" s="87"/>
      <c r="T5" s="86">
        <v>25</v>
      </c>
      <c r="U5" s="86"/>
      <c r="V5" s="87">
        <f>(O5-R5)/T5</f>
        <v>78467537.360104501</v>
      </c>
      <c r="W5" s="87"/>
      <c r="X5" s="6"/>
      <c r="Y5" s="6"/>
      <c r="AA5" s="9" t="s">
        <v>60</v>
      </c>
      <c r="AB5" s="21">
        <f>AB3-AB4</f>
        <v>30686631537.352501</v>
      </c>
      <c r="AC5" s="21">
        <f>AC3-AC4</f>
        <v>26779635371.103851</v>
      </c>
      <c r="AD5" s="21">
        <f>AD3-AD4</f>
        <v>31957616740.471504</v>
      </c>
      <c r="AE5" s="7"/>
      <c r="AF5" s="7"/>
      <c r="AG5" s="7"/>
    </row>
    <row r="6" spans="1:33" ht="15">
      <c r="A6" s="30" t="s">
        <v>27</v>
      </c>
      <c r="B6" s="32">
        <v>280750000</v>
      </c>
      <c r="C6" s="34">
        <v>1</v>
      </c>
      <c r="D6" s="26">
        <f t="shared" si="0"/>
        <v>280750000</v>
      </c>
      <c r="E6" s="17">
        <f t="shared" si="1"/>
        <v>14248062500</v>
      </c>
      <c r="G6" s="2" t="s">
        <v>13</v>
      </c>
      <c r="H6" s="2">
        <v>0.15</v>
      </c>
      <c r="I6" s="17">
        <f>H6*I7</f>
        <v>75431634.375</v>
      </c>
      <c r="K6" s="28" t="s">
        <v>100</v>
      </c>
      <c r="N6" s="8" t="s">
        <v>43</v>
      </c>
      <c r="O6" s="95">
        <f>I9</f>
        <v>134845568406.875</v>
      </c>
      <c r="P6" s="95"/>
      <c r="Q6" s="61">
        <v>0.04</v>
      </c>
      <c r="R6" s="87">
        <f t="shared" si="2"/>
        <v>5393822736.2750006</v>
      </c>
      <c r="S6" s="87"/>
      <c r="T6" s="86">
        <v>25</v>
      </c>
      <c r="U6" s="86"/>
      <c r="V6" s="87">
        <f>(O6-R6)/T6</f>
        <v>5178069826.8240004</v>
      </c>
      <c r="W6" s="87"/>
      <c r="X6" s="6"/>
      <c r="Y6" s="6"/>
      <c r="AA6" s="7"/>
      <c r="AB6" s="7"/>
      <c r="AC6" s="7"/>
      <c r="AD6" s="7"/>
      <c r="AE6" s="7"/>
      <c r="AF6" s="7"/>
      <c r="AG6" s="7"/>
    </row>
    <row r="7" spans="1:33" ht="15">
      <c r="A7" s="30" t="s">
        <v>1</v>
      </c>
      <c r="B7" s="32">
        <v>150500000</v>
      </c>
      <c r="C7" s="34">
        <v>1</v>
      </c>
      <c r="D7" s="26">
        <f>B7*C7</f>
        <v>150500000</v>
      </c>
      <c r="E7" s="17">
        <f t="shared" si="1"/>
        <v>7637875000</v>
      </c>
      <c r="G7" s="2" t="s">
        <v>29</v>
      </c>
      <c r="H7" s="2"/>
      <c r="I7" s="17">
        <v>502877562.5</v>
      </c>
      <c r="K7" s="2" t="s">
        <v>97</v>
      </c>
      <c r="L7" s="2">
        <v>500000</v>
      </c>
      <c r="N7" s="8" t="s">
        <v>44</v>
      </c>
      <c r="O7" s="87">
        <f>I3</f>
        <v>7337008700</v>
      </c>
      <c r="P7" s="87"/>
      <c r="Q7" s="61">
        <v>0.04</v>
      </c>
      <c r="R7" s="87">
        <f t="shared" si="2"/>
        <v>293480348</v>
      </c>
      <c r="S7" s="87"/>
      <c r="T7" s="86">
        <v>25</v>
      </c>
      <c r="U7" s="86"/>
      <c r="V7" s="87">
        <f>(O7-R7)/T7</f>
        <v>281741134.07999998</v>
      </c>
      <c r="W7" s="87"/>
      <c r="X7" s="6"/>
      <c r="Y7" s="6"/>
      <c r="AA7" s="8" t="s">
        <v>61</v>
      </c>
      <c r="AB7" s="67" t="s">
        <v>62</v>
      </c>
      <c r="AC7" s="67" t="s">
        <v>48</v>
      </c>
      <c r="AD7" s="67" t="s">
        <v>63</v>
      </c>
      <c r="AE7" s="67" t="s">
        <v>64</v>
      </c>
      <c r="AF7" s="7"/>
      <c r="AG7" s="7"/>
    </row>
    <row r="8" spans="1:33" ht="15.75">
      <c r="A8" s="30" t="s">
        <v>87</v>
      </c>
      <c r="B8" s="32">
        <v>11056000</v>
      </c>
      <c r="C8" s="34">
        <v>1</v>
      </c>
      <c r="D8" s="26">
        <f>B8*C8</f>
        <v>11056000</v>
      </c>
      <c r="E8" s="17">
        <f t="shared" si="1"/>
        <v>561092000</v>
      </c>
      <c r="G8" s="2" t="s">
        <v>14</v>
      </c>
      <c r="H8" s="2">
        <v>0.2</v>
      </c>
      <c r="I8" s="17">
        <f>H8*I2</f>
        <v>14674017400</v>
      </c>
      <c r="K8" s="2" t="s">
        <v>98</v>
      </c>
      <c r="L8" s="2">
        <v>9.8000000000000007</v>
      </c>
      <c r="N8" s="13"/>
      <c r="O8" s="90"/>
      <c r="P8" s="90"/>
      <c r="Q8" s="90"/>
      <c r="R8" s="90"/>
      <c r="S8" s="90"/>
      <c r="T8" s="94" t="s">
        <v>41</v>
      </c>
      <c r="U8" s="94"/>
      <c r="V8" s="87">
        <f>SUM(V3:W7)</f>
        <v>8919172107.2241039</v>
      </c>
      <c r="W8" s="87"/>
      <c r="X8" s="6"/>
      <c r="Y8" s="6"/>
      <c r="AA8" s="8" t="s">
        <v>65</v>
      </c>
      <c r="AB8" s="8"/>
      <c r="AC8" s="9" t="s">
        <v>66</v>
      </c>
      <c r="AD8" s="9" t="s">
        <v>66</v>
      </c>
      <c r="AE8" s="9" t="s">
        <v>67</v>
      </c>
      <c r="AF8" s="7"/>
      <c r="AG8" s="7"/>
    </row>
    <row r="9" spans="1:33" ht="15">
      <c r="A9" s="30" t="s">
        <v>86</v>
      </c>
      <c r="B9" s="32">
        <v>9076000</v>
      </c>
      <c r="C9" s="34">
        <v>4</v>
      </c>
      <c r="D9" s="26">
        <f>B9*C9</f>
        <v>36304000</v>
      </c>
      <c r="E9" s="17">
        <f t="shared" si="1"/>
        <v>1842428000</v>
      </c>
      <c r="H9" s="5" t="s">
        <v>5</v>
      </c>
      <c r="I9" s="17">
        <f>SUM(I2:I8)</f>
        <v>134845568406.875</v>
      </c>
      <c r="K9" s="2" t="s">
        <v>99</v>
      </c>
      <c r="L9" s="2">
        <f>3412/0.33682512</f>
        <v>10129.88579949144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AA9" s="8" t="s">
        <v>68</v>
      </c>
      <c r="AB9" s="9" t="s">
        <v>69</v>
      </c>
      <c r="AC9" s="21">
        <f>L17-I19</f>
        <v>30663447287.483673</v>
      </c>
      <c r="AD9" s="21">
        <f>(AC9*(((1-((1+0.1)^-25)))/0.1))+AC9</f>
        <v>308996785412.83948</v>
      </c>
      <c r="AE9" s="9">
        <f>((((AD9/I9)^(1/25)))-1)*100</f>
        <v>3.3724218755252</v>
      </c>
      <c r="AF9" s="7"/>
      <c r="AG9" s="7"/>
    </row>
    <row r="10" spans="1:33" ht="15.75">
      <c r="A10" s="30" t="s">
        <v>2</v>
      </c>
      <c r="B10" s="32">
        <v>15500000</v>
      </c>
      <c r="C10" s="34">
        <v>3</v>
      </c>
      <c r="D10" s="26">
        <f>B10*C10</f>
        <v>46500000</v>
      </c>
      <c r="E10" s="17">
        <f t="shared" si="1"/>
        <v>2359875000</v>
      </c>
      <c r="N10" s="64" t="s">
        <v>49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AA10" s="8" t="s">
        <v>70</v>
      </c>
      <c r="AB10" s="22">
        <v>0.1</v>
      </c>
      <c r="AC10" s="21">
        <f>AB5</f>
        <v>30686631537.352501</v>
      </c>
      <c r="AD10" s="21">
        <f>(AC10*(((1-((1+0.1)^-25)))/0.1))+AC10</f>
        <v>309230414026.56024</v>
      </c>
      <c r="AE10" s="9">
        <f>((((AD10/I9)^(1/25)))-1)*100</f>
        <v>3.3755470853974012</v>
      </c>
      <c r="AF10" s="7"/>
      <c r="AG10" s="7"/>
    </row>
    <row r="11" spans="1:33" ht="15.75">
      <c r="A11" s="30" t="s">
        <v>3</v>
      </c>
      <c r="B11" s="32">
        <v>48400000</v>
      </c>
      <c r="C11" s="34">
        <v>1</v>
      </c>
      <c r="D11" s="26">
        <f>B11*C11</f>
        <v>48400000</v>
      </c>
      <c r="E11" s="17">
        <f t="shared" si="1"/>
        <v>2456300000</v>
      </c>
      <c r="N11" s="88" t="s">
        <v>45</v>
      </c>
      <c r="O11" s="88"/>
      <c r="P11" s="88" t="s">
        <v>46</v>
      </c>
      <c r="Q11" s="88"/>
      <c r="R11" s="88"/>
      <c r="S11" s="88" t="s">
        <v>47</v>
      </c>
      <c r="T11" s="88"/>
      <c r="U11" s="88"/>
      <c r="V11" s="88" t="s">
        <v>48</v>
      </c>
      <c r="W11" s="88"/>
      <c r="X11" s="88"/>
      <c r="Y11" s="65" t="s">
        <v>49</v>
      </c>
      <c r="AA11" s="8" t="s">
        <v>71</v>
      </c>
      <c r="AB11" s="22">
        <v>0.1</v>
      </c>
      <c r="AC11" s="21">
        <f>AC5</f>
        <v>26779635371.103851</v>
      </c>
      <c r="AD11" s="21">
        <f>(AC11*(((1-((1+0.1)^-25)))/0.1))+AC11</f>
        <v>269859457308.20395</v>
      </c>
      <c r="AE11" s="9">
        <f>((((AD11/I9)^(1/25)))-1)*100</f>
        <v>2.8139485757492588</v>
      </c>
      <c r="AF11" s="7"/>
      <c r="AG11" s="7"/>
    </row>
    <row r="12" spans="1:33" ht="15">
      <c r="D12" s="5" t="s">
        <v>5</v>
      </c>
      <c r="E12" s="17">
        <f>SUM(E3:E11)</f>
        <v>73370087000</v>
      </c>
      <c r="G12" s="91" t="s">
        <v>15</v>
      </c>
      <c r="H12" s="92"/>
      <c r="I12" s="93"/>
      <c r="K12" s="2" t="s">
        <v>24</v>
      </c>
      <c r="L12" s="14">
        <f>L9*1000</f>
        <v>10129885.799491439</v>
      </c>
      <c r="N12" s="86">
        <v>2022</v>
      </c>
      <c r="O12" s="86"/>
      <c r="P12" s="86">
        <v>2</v>
      </c>
      <c r="Q12" s="86"/>
      <c r="R12" s="86"/>
      <c r="S12" s="87">
        <f>I9</f>
        <v>134845568406.875</v>
      </c>
      <c r="T12" s="87"/>
      <c r="U12" s="87"/>
      <c r="V12" s="87">
        <f>L17-I19</f>
        <v>30663447287.483673</v>
      </c>
      <c r="W12" s="87"/>
      <c r="X12" s="87"/>
      <c r="Y12" s="15">
        <f>(V12/S12)</f>
        <v>0.22739677432306571</v>
      </c>
      <c r="AA12" s="8" t="s">
        <v>72</v>
      </c>
      <c r="AB12" s="22">
        <v>0.1</v>
      </c>
      <c r="AC12" s="21">
        <f>AD5</f>
        <v>31957616740.471504</v>
      </c>
      <c r="AD12" s="21">
        <f>(AC12*(((1-((1+0.1)^-25)))/0.1))+AC12</f>
        <v>322038182780.96783</v>
      </c>
      <c r="AE12" s="9">
        <f>((((AD12/I9)^(1/25)))-1)*100</f>
        <v>3.5434967933820394</v>
      </c>
      <c r="AF12" s="7"/>
      <c r="AG12" s="7"/>
    </row>
    <row r="13" spans="1:33" ht="15">
      <c r="G13" s="2" t="s">
        <v>16</v>
      </c>
      <c r="H13" s="2"/>
      <c r="I13" s="17">
        <f>L16</f>
        <v>6811418173.620182</v>
      </c>
      <c r="K13" s="2" t="s">
        <v>34</v>
      </c>
      <c r="L13" s="19">
        <v>6.8000000000000005E-2</v>
      </c>
      <c r="N13" s="86">
        <v>2023</v>
      </c>
      <c r="O13" s="86"/>
      <c r="P13" s="86">
        <v>3</v>
      </c>
      <c r="Q13" s="86"/>
      <c r="R13" s="86"/>
      <c r="S13" s="87">
        <f>S12-V12</f>
        <v>104182121119.39133</v>
      </c>
      <c r="T13" s="87"/>
      <c r="U13" s="87"/>
      <c r="V13" s="87">
        <f>V12</f>
        <v>30663447287.483673</v>
      </c>
      <c r="W13" s="87"/>
      <c r="X13" s="87"/>
      <c r="Y13" s="15">
        <f>(V13/S13)</f>
        <v>0.29432542703122516</v>
      </c>
      <c r="AA13" s="10"/>
      <c r="AB13" s="7"/>
      <c r="AC13" s="7"/>
      <c r="AD13" s="7"/>
      <c r="AE13" s="7"/>
      <c r="AF13" s="7"/>
      <c r="AG13" s="7"/>
    </row>
    <row r="14" spans="1:33" ht="15.75">
      <c r="G14" s="2" t="s">
        <v>17</v>
      </c>
      <c r="H14" s="2">
        <v>0.2</v>
      </c>
      <c r="I14" s="17">
        <f>H14*I13</f>
        <v>1362283634.7240365</v>
      </c>
      <c r="K14" s="2" t="s">
        <v>35</v>
      </c>
      <c r="L14" s="19">
        <f>L13*50.75</f>
        <v>3.4510000000000001</v>
      </c>
      <c r="N14" s="86">
        <v>2024</v>
      </c>
      <c r="O14" s="86"/>
      <c r="P14" s="86">
        <v>4</v>
      </c>
      <c r="Q14" s="86"/>
      <c r="R14" s="86"/>
      <c r="S14" s="87">
        <f>S13-V13</f>
        <v>73518673831.907654</v>
      </c>
      <c r="T14" s="87"/>
      <c r="U14" s="87"/>
      <c r="V14" s="87">
        <f>V12</f>
        <v>30663447287.483673</v>
      </c>
      <c r="W14" s="87"/>
      <c r="X14" s="87"/>
      <c r="Y14" s="15">
        <f>(V14/S14)</f>
        <v>0.41708379231094767</v>
      </c>
      <c r="AA14" s="66" t="s">
        <v>73</v>
      </c>
      <c r="AB14" s="7"/>
      <c r="AC14" s="7"/>
      <c r="AD14" s="7"/>
      <c r="AE14" s="7"/>
      <c r="AF14" s="7"/>
      <c r="AG14" s="7"/>
    </row>
    <row r="15" spans="1:33" ht="15.75">
      <c r="G15" s="2" t="s">
        <v>18</v>
      </c>
      <c r="H15" s="2">
        <f>H14</f>
        <v>0.2</v>
      </c>
      <c r="I15" s="17">
        <f>I14</f>
        <v>1362283634.7240365</v>
      </c>
      <c r="K15" s="2" t="s">
        <v>30</v>
      </c>
      <c r="L15" s="19">
        <v>22479.470399999998</v>
      </c>
      <c r="N15" s="86">
        <v>2025</v>
      </c>
      <c r="O15" s="86"/>
      <c r="P15" s="86">
        <v>5</v>
      </c>
      <c r="Q15" s="86"/>
      <c r="R15" s="86"/>
      <c r="S15" s="87">
        <f>S14-V14</f>
        <v>42855226544.423981</v>
      </c>
      <c r="T15" s="87"/>
      <c r="U15" s="87"/>
      <c r="V15" s="87">
        <f>V12</f>
        <v>30663447287.483673</v>
      </c>
      <c r="W15" s="87"/>
      <c r="X15" s="87"/>
      <c r="Y15" s="15">
        <f>(V15/S15)</f>
        <v>0.71551243010459331</v>
      </c>
      <c r="AA15" s="65" t="s">
        <v>74</v>
      </c>
      <c r="AB15" s="65" t="s">
        <v>75</v>
      </c>
      <c r="AC15" s="65" t="s">
        <v>76</v>
      </c>
      <c r="AD15" s="65" t="s">
        <v>77</v>
      </c>
      <c r="AE15" s="65" t="s">
        <v>78</v>
      </c>
      <c r="AF15" s="7"/>
      <c r="AG15" s="7"/>
    </row>
    <row r="16" spans="1:33" ht="15">
      <c r="G16" s="2" t="s">
        <v>19</v>
      </c>
      <c r="H16" s="2">
        <f>H14</f>
        <v>0.2</v>
      </c>
      <c r="I16" s="17">
        <f>I14</f>
        <v>1362283634.7240365</v>
      </c>
      <c r="K16" s="2" t="s">
        <v>16</v>
      </c>
      <c r="L16" s="27">
        <f>(L14*L12*500*365*24)/L15</f>
        <v>6811418173.620182</v>
      </c>
      <c r="N16" s="86">
        <v>2045</v>
      </c>
      <c r="O16" s="86"/>
      <c r="P16" s="86">
        <v>25</v>
      </c>
      <c r="Q16" s="86"/>
      <c r="R16" s="86"/>
      <c r="S16" s="87">
        <f>S15-(V15*20)</f>
        <v>-570413719205.24951</v>
      </c>
      <c r="T16" s="87"/>
      <c r="U16" s="87"/>
      <c r="V16" s="87">
        <f>V12</f>
        <v>30663447287.483673</v>
      </c>
      <c r="W16" s="87"/>
      <c r="X16" s="87"/>
      <c r="Y16" s="15">
        <f>V16/-S16</f>
        <v>5.3756503841118478E-2</v>
      </c>
      <c r="AA16" s="18">
        <f>(O3-R3-V3)/25</f>
        <v>2704714887.1679997</v>
      </c>
      <c r="AB16" s="18">
        <f>(O6-R6-V6)/25</f>
        <v>4970947033.7510405</v>
      </c>
      <c r="AC16" s="18">
        <f>AA16+AB16+I19</f>
        <v>19936214633.435371</v>
      </c>
      <c r="AD16" s="18">
        <f>L17</f>
        <v>42924000000</v>
      </c>
      <c r="AE16" s="16">
        <f>(AC16/AD16)*500</f>
        <v>232.22689676446012</v>
      </c>
      <c r="AF16" s="7"/>
      <c r="AG16" s="7"/>
    </row>
    <row r="17" spans="7:28" ht="15.75">
      <c r="G17" s="2" t="s">
        <v>20</v>
      </c>
      <c r="H17" s="2">
        <v>0.1</v>
      </c>
      <c r="I17" s="17">
        <f>H17*I13</f>
        <v>681141817.36201823</v>
      </c>
      <c r="K17" s="2" t="s">
        <v>31</v>
      </c>
      <c r="L17" s="20">
        <f>L7*L8*365*24</f>
        <v>42924000000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11" t="s">
        <v>50</v>
      </c>
      <c r="Y17" s="15">
        <f>AVERAGE(Y12:Y16)</f>
        <v>0.34161498552219005</v>
      </c>
    </row>
    <row r="18" spans="7:28" ht="15">
      <c r="G18" s="2" t="s">
        <v>21</v>
      </c>
      <c r="H18" s="2">
        <f>H17</f>
        <v>0.1</v>
      </c>
      <c r="I18" s="17">
        <f>H18*I13</f>
        <v>681141817.36201823</v>
      </c>
      <c r="K18" s="2" t="s">
        <v>32</v>
      </c>
      <c r="L18" s="19">
        <f>L17*((1-1.065^-25)/0.065)</f>
        <v>523581660546.32507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7:28" ht="15.75">
      <c r="H19" s="5" t="s">
        <v>5</v>
      </c>
      <c r="I19" s="17">
        <f>SUM(I13:I18)</f>
        <v>12260552712.516329</v>
      </c>
      <c r="K19" s="2" t="s">
        <v>33</v>
      </c>
      <c r="L19" s="19">
        <f>((I9-(0.1)*(I9))/25)</f>
        <v>4854440462.6475</v>
      </c>
      <c r="N19" s="64" t="s">
        <v>52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AA19" s="23" t="s">
        <v>57</v>
      </c>
      <c r="AB19" s="24"/>
    </row>
    <row r="20" spans="7:28" ht="15.75">
      <c r="N20" s="88" t="s">
        <v>45</v>
      </c>
      <c r="O20" s="88"/>
      <c r="P20" s="88" t="s">
        <v>48</v>
      </c>
      <c r="Q20" s="88"/>
      <c r="R20" s="88"/>
      <c r="S20" s="88"/>
      <c r="T20" s="88" t="s">
        <v>47</v>
      </c>
      <c r="U20" s="88"/>
      <c r="V20" s="88" t="s">
        <v>39</v>
      </c>
      <c r="W20" s="88"/>
      <c r="X20" s="12"/>
      <c r="Y20" s="6"/>
      <c r="AA20" s="23" t="s">
        <v>58</v>
      </c>
      <c r="AB20" s="25">
        <f>500*0.9</f>
        <v>450</v>
      </c>
    </row>
    <row r="21" spans="7:28" ht="15">
      <c r="N21" s="86">
        <v>2022</v>
      </c>
      <c r="O21" s="86"/>
      <c r="P21" s="87">
        <f>V12</f>
        <v>30663447287.483673</v>
      </c>
      <c r="Q21" s="87"/>
      <c r="R21" s="87"/>
      <c r="S21" s="87"/>
      <c r="T21" s="87">
        <f>S12</f>
        <v>134845568406.875</v>
      </c>
      <c r="U21" s="87"/>
      <c r="V21" s="87">
        <f>T21-V8</f>
        <v>125926396299.65089</v>
      </c>
      <c r="W21" s="87"/>
      <c r="X21" s="12"/>
      <c r="Y21" s="6"/>
    </row>
    <row r="22" spans="7:28" ht="15">
      <c r="N22" s="86">
        <v>2023</v>
      </c>
      <c r="O22" s="86"/>
      <c r="P22" s="87">
        <f>P21</f>
        <v>30663447287.483673</v>
      </c>
      <c r="Q22" s="87"/>
      <c r="R22" s="87"/>
      <c r="S22" s="87"/>
      <c r="T22" s="87">
        <f>T21-P22</f>
        <v>104182121119.39133</v>
      </c>
      <c r="U22" s="87"/>
      <c r="V22" s="87">
        <f>V21-V8</f>
        <v>117007224192.42679</v>
      </c>
      <c r="W22" s="87"/>
      <c r="X22" s="12"/>
      <c r="Y22" s="6"/>
    </row>
    <row r="23" spans="7:28" ht="15">
      <c r="N23" s="86">
        <v>2024</v>
      </c>
      <c r="O23" s="86"/>
      <c r="P23" s="87">
        <f>P21</f>
        <v>30663447287.483673</v>
      </c>
      <c r="Q23" s="87"/>
      <c r="R23" s="87"/>
      <c r="S23" s="87"/>
      <c r="T23" s="87">
        <f>T22-P23</f>
        <v>73518673831.907654</v>
      </c>
      <c r="U23" s="87"/>
      <c r="V23" s="87">
        <f>V22-V8</f>
        <v>108088052085.20268</v>
      </c>
      <c r="W23" s="87"/>
      <c r="X23" s="12"/>
      <c r="Y23" s="6"/>
    </row>
    <row r="24" spans="7:28" ht="15">
      <c r="N24" s="86">
        <v>2025</v>
      </c>
      <c r="O24" s="86"/>
      <c r="P24" s="87">
        <f>P21</f>
        <v>30663447287.483673</v>
      </c>
      <c r="Q24" s="87"/>
      <c r="R24" s="87"/>
      <c r="S24" s="87"/>
      <c r="T24" s="87">
        <f>T23-P24</f>
        <v>42855226544.423981</v>
      </c>
      <c r="U24" s="87"/>
      <c r="V24" s="87">
        <f>V23-V8</f>
        <v>99168879977.978577</v>
      </c>
      <c r="W24" s="87"/>
      <c r="X24" s="12"/>
      <c r="Y24" s="6"/>
    </row>
    <row r="25" spans="7:28" ht="15">
      <c r="N25" s="86" t="s">
        <v>51</v>
      </c>
      <c r="O25" s="86"/>
      <c r="P25" s="87">
        <f>AVERAGE(P21:S24)</f>
        <v>30663447287.483673</v>
      </c>
      <c r="Q25" s="87"/>
      <c r="R25" s="87"/>
      <c r="S25" s="87"/>
      <c r="T25" s="87">
        <f>AVERAGE(T21:U24)</f>
        <v>88850397475.649475</v>
      </c>
      <c r="U25" s="87"/>
      <c r="V25" s="87">
        <f>AVERAGE(V21:W24)</f>
        <v>112547638138.81474</v>
      </c>
      <c r="W25" s="87"/>
      <c r="X25" s="12"/>
      <c r="Y25" s="6"/>
    </row>
    <row r="26" spans="7:28" ht="15.75">
      <c r="N26" s="88" t="s">
        <v>52</v>
      </c>
      <c r="O26" s="88"/>
      <c r="P26" s="88"/>
      <c r="Q26" s="88"/>
      <c r="R26" s="88"/>
      <c r="S26" s="88"/>
      <c r="T26" s="89">
        <f>T21/P21</f>
        <v>4.3975997591737439</v>
      </c>
      <c r="U26" s="89"/>
      <c r="V26" s="89"/>
      <c r="W26" s="89"/>
      <c r="X26" s="12"/>
      <c r="Y26" s="6"/>
    </row>
    <row r="27" spans="7:28" ht="15"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</sheetData>
  <mergeCells count="82">
    <mergeCell ref="O4:P4"/>
    <mergeCell ref="R4:S4"/>
    <mergeCell ref="T4:U4"/>
    <mergeCell ref="V4:W4"/>
    <mergeCell ref="A1:E1"/>
    <mergeCell ref="G1:I1"/>
    <mergeCell ref="N1:O1"/>
    <mergeCell ref="O2:P2"/>
    <mergeCell ref="R2:S2"/>
    <mergeCell ref="T2:U2"/>
    <mergeCell ref="V2:W2"/>
    <mergeCell ref="O3:P3"/>
    <mergeCell ref="R3:S3"/>
    <mergeCell ref="T3:U3"/>
    <mergeCell ref="V3:W3"/>
    <mergeCell ref="O5:P5"/>
    <mergeCell ref="R5:S5"/>
    <mergeCell ref="T5:U5"/>
    <mergeCell ref="V5:W5"/>
    <mergeCell ref="O6:P6"/>
    <mergeCell ref="R6:S6"/>
    <mergeCell ref="T6:U6"/>
    <mergeCell ref="V6:W6"/>
    <mergeCell ref="O7:P7"/>
    <mergeCell ref="R7:S7"/>
    <mergeCell ref="T7:U7"/>
    <mergeCell ref="V7:W7"/>
    <mergeCell ref="O8:S8"/>
    <mergeCell ref="T8:U8"/>
    <mergeCell ref="V8:W8"/>
    <mergeCell ref="G12:I12"/>
    <mergeCell ref="N12:O12"/>
    <mergeCell ref="P12:R12"/>
    <mergeCell ref="S12:U12"/>
    <mergeCell ref="V12:X12"/>
    <mergeCell ref="N15:O15"/>
    <mergeCell ref="P15:R15"/>
    <mergeCell ref="S15:U15"/>
    <mergeCell ref="V15:X15"/>
    <mergeCell ref="N11:O11"/>
    <mergeCell ref="P11:R11"/>
    <mergeCell ref="S11:U11"/>
    <mergeCell ref="V11:X11"/>
    <mergeCell ref="N13:O13"/>
    <mergeCell ref="P13:R13"/>
    <mergeCell ref="S13:U13"/>
    <mergeCell ref="V13:X13"/>
    <mergeCell ref="N14:O14"/>
    <mergeCell ref="P14:R14"/>
    <mergeCell ref="S14:U14"/>
    <mergeCell ref="V14:X14"/>
    <mergeCell ref="N16:O16"/>
    <mergeCell ref="P16:R16"/>
    <mergeCell ref="S16:U16"/>
    <mergeCell ref="V16:X16"/>
    <mergeCell ref="V20:W20"/>
    <mergeCell ref="N17:W17"/>
    <mergeCell ref="N20:O20"/>
    <mergeCell ref="P20:S20"/>
    <mergeCell ref="T20:U20"/>
    <mergeCell ref="N22:O22"/>
    <mergeCell ref="P22:S22"/>
    <mergeCell ref="T22:U22"/>
    <mergeCell ref="V22:W22"/>
    <mergeCell ref="N21:O21"/>
    <mergeCell ref="P21:S21"/>
    <mergeCell ref="T21:U21"/>
    <mergeCell ref="V21:W21"/>
    <mergeCell ref="N23:O23"/>
    <mergeCell ref="P23:S23"/>
    <mergeCell ref="T23:U23"/>
    <mergeCell ref="V23:W23"/>
    <mergeCell ref="N26:S26"/>
    <mergeCell ref="T26:W26"/>
    <mergeCell ref="N24:O24"/>
    <mergeCell ref="P24:S24"/>
    <mergeCell ref="T24:U24"/>
    <mergeCell ref="V24:W24"/>
    <mergeCell ref="N25:O25"/>
    <mergeCell ref="P25:S25"/>
    <mergeCell ref="T25:U25"/>
    <mergeCell ref="V25:W25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opLeftCell="P1" zoomScale="70" zoomScaleNormal="70" workbookViewId="0">
      <selection activeCell="T26" sqref="T26:W26"/>
    </sheetView>
  </sheetViews>
  <sheetFormatPr defaultColWidth="8.85546875" defaultRowHeight="14.25"/>
  <cols>
    <col min="1" max="1" width="28.42578125" style="1" bestFit="1" customWidth="1"/>
    <col min="2" max="2" width="19.28515625" style="1" bestFit="1" customWidth="1"/>
    <col min="3" max="3" width="6.28515625" style="1" bestFit="1" customWidth="1"/>
    <col min="4" max="4" width="18.7109375" style="1" bestFit="1" customWidth="1"/>
    <col min="5" max="5" width="23.28515625" style="1" bestFit="1" customWidth="1"/>
    <col min="6" max="6" width="1.42578125" style="3" customWidth="1"/>
    <col min="7" max="7" width="34.85546875" style="1" bestFit="1" customWidth="1"/>
    <col min="8" max="8" width="9.5703125" style="1" customWidth="1"/>
    <col min="9" max="9" width="23.85546875" style="1" customWidth="1"/>
    <col min="10" max="10" width="1.42578125" style="1" customWidth="1"/>
    <col min="11" max="11" width="24" style="1" bestFit="1" customWidth="1"/>
    <col min="12" max="12" width="23.28515625" style="1" customWidth="1"/>
    <col min="13" max="13" width="1.28515625" style="1" customWidth="1"/>
    <col min="14" max="14" width="25.5703125" style="1" bestFit="1" customWidth="1"/>
    <col min="15" max="16" width="14" style="1" customWidth="1"/>
    <col min="17" max="17" width="21.140625" style="1" bestFit="1" customWidth="1"/>
    <col min="18" max="23" width="14" style="1" customWidth="1"/>
    <col min="24" max="24" width="11.7109375" style="1" bestFit="1" customWidth="1"/>
    <col min="25" max="25" width="10.7109375" style="1" bestFit="1" customWidth="1"/>
    <col min="26" max="26" width="1.140625" style="1" customWidth="1"/>
    <col min="27" max="27" width="40.140625" style="1" customWidth="1"/>
    <col min="28" max="28" width="30.7109375" style="1" bestFit="1" customWidth="1"/>
    <col min="29" max="29" width="39.140625" style="1" bestFit="1" customWidth="1"/>
    <col min="30" max="30" width="42.7109375" style="1" bestFit="1" customWidth="1"/>
    <col min="31" max="31" width="48.42578125" style="1" bestFit="1" customWidth="1"/>
    <col min="32" max="32" width="40" style="1" customWidth="1"/>
    <col min="33" max="33" width="12.5703125" style="1" customWidth="1"/>
    <col min="34" max="35" width="36.140625" style="1" customWidth="1"/>
    <col min="36" max="16384" width="8.85546875" style="1"/>
  </cols>
  <sheetData>
    <row r="1" spans="1:33" ht="15.75">
      <c r="A1" s="91" t="s">
        <v>96</v>
      </c>
      <c r="B1" s="92"/>
      <c r="C1" s="92"/>
      <c r="D1" s="92"/>
      <c r="E1" s="93"/>
      <c r="F1" s="4"/>
      <c r="G1" s="97" t="s">
        <v>8</v>
      </c>
      <c r="H1" s="97"/>
      <c r="I1" s="97"/>
      <c r="N1" s="96" t="s">
        <v>39</v>
      </c>
      <c r="O1" s="96"/>
      <c r="P1" s="6"/>
      <c r="Q1" s="6"/>
      <c r="R1" s="6"/>
      <c r="S1" s="6"/>
      <c r="T1" s="6"/>
      <c r="U1" s="6"/>
      <c r="V1" s="6"/>
      <c r="W1" s="6"/>
      <c r="X1" s="6"/>
      <c r="Y1" s="6"/>
      <c r="AA1" s="66" t="s">
        <v>53</v>
      </c>
      <c r="AB1" s="7"/>
      <c r="AC1" s="7"/>
      <c r="AD1" s="7"/>
      <c r="AE1" s="7"/>
      <c r="AF1" s="7"/>
      <c r="AG1" s="7"/>
    </row>
    <row r="2" spans="1:33" ht="15.75">
      <c r="A2" s="2"/>
      <c r="B2" s="63" t="s">
        <v>6</v>
      </c>
      <c r="C2" s="63" t="s">
        <v>4</v>
      </c>
      <c r="D2" s="63" t="s">
        <v>5</v>
      </c>
      <c r="E2" s="63" t="s">
        <v>7</v>
      </c>
      <c r="G2" s="2" t="s">
        <v>9</v>
      </c>
      <c r="H2" s="2"/>
      <c r="I2" s="17">
        <f>E12</f>
        <v>73830694000</v>
      </c>
      <c r="K2" s="2" t="s">
        <v>22</v>
      </c>
      <c r="L2" s="2">
        <f>I15+I17</f>
        <v>2011629915.3995295</v>
      </c>
      <c r="N2" s="8"/>
      <c r="O2" s="88" t="s">
        <v>36</v>
      </c>
      <c r="P2" s="88"/>
      <c r="Q2" s="65" t="s">
        <v>101</v>
      </c>
      <c r="R2" s="88" t="s">
        <v>37</v>
      </c>
      <c r="S2" s="88"/>
      <c r="T2" s="88" t="s">
        <v>38</v>
      </c>
      <c r="U2" s="88"/>
      <c r="V2" s="88" t="s">
        <v>39</v>
      </c>
      <c r="W2" s="88"/>
      <c r="X2" s="6"/>
      <c r="Y2" s="6"/>
      <c r="AA2" s="9"/>
      <c r="AB2" s="65" t="s">
        <v>54</v>
      </c>
      <c r="AC2" s="65" t="s">
        <v>55</v>
      </c>
      <c r="AD2" s="65" t="s">
        <v>56</v>
      </c>
      <c r="AE2" s="7"/>
    </row>
    <row r="3" spans="1:33" ht="15">
      <c r="A3" s="29" t="s">
        <v>0</v>
      </c>
      <c r="B3" s="31">
        <v>700586000</v>
      </c>
      <c r="C3" s="33">
        <v>1</v>
      </c>
      <c r="D3" s="26">
        <f t="shared" ref="D3:D6" si="0">B3*C3</f>
        <v>700586000</v>
      </c>
      <c r="E3" s="17">
        <f>D3*50.75</f>
        <v>35554739500</v>
      </c>
      <c r="G3" s="2" t="s">
        <v>10</v>
      </c>
      <c r="H3" s="2">
        <v>0.1</v>
      </c>
      <c r="I3" s="17">
        <f>H3*I2</f>
        <v>7383069400</v>
      </c>
      <c r="K3" s="2" t="s">
        <v>23</v>
      </c>
      <c r="L3" s="2">
        <f>I14+I16</f>
        <v>2682173220.5327058</v>
      </c>
      <c r="N3" s="8" t="s">
        <v>9</v>
      </c>
      <c r="O3" s="87">
        <f>E12</f>
        <v>73830694000</v>
      </c>
      <c r="P3" s="87"/>
      <c r="Q3" s="61">
        <v>0.04</v>
      </c>
      <c r="R3" s="87">
        <f>O3*Q3</f>
        <v>2953227760</v>
      </c>
      <c r="S3" s="87"/>
      <c r="T3" s="86">
        <v>25</v>
      </c>
      <c r="U3" s="86"/>
      <c r="V3" s="87">
        <f>(O3-R3)/T3</f>
        <v>2835098649.5999999</v>
      </c>
      <c r="W3" s="87"/>
      <c r="X3" s="6"/>
      <c r="Y3" s="6"/>
      <c r="AA3" s="9" t="s">
        <v>32</v>
      </c>
      <c r="AB3" s="21">
        <f>9.8*AB20*0.92*24*365*1000</f>
        <v>35541072000</v>
      </c>
      <c r="AC3" s="21">
        <f>L17</f>
        <v>42924000000</v>
      </c>
      <c r="AD3" s="21">
        <f>AC3</f>
        <v>42924000000</v>
      </c>
      <c r="AE3" s="7"/>
    </row>
    <row r="4" spans="1:33" ht="15">
      <c r="A4" s="29" t="s">
        <v>25</v>
      </c>
      <c r="B4" s="31">
        <v>90700000</v>
      </c>
      <c r="C4" s="33">
        <v>1</v>
      </c>
      <c r="D4" s="26">
        <f t="shared" si="0"/>
        <v>90700000</v>
      </c>
      <c r="E4" s="17">
        <f t="shared" ref="E4:E11" si="1">D4*50.75</f>
        <v>4603025000</v>
      </c>
      <c r="G4" s="2" t="s">
        <v>11</v>
      </c>
      <c r="H4" s="2">
        <v>0.33</v>
      </c>
      <c r="I4" s="17">
        <f>H4*I2</f>
        <v>24364129020</v>
      </c>
      <c r="N4" s="8" t="s">
        <v>42</v>
      </c>
      <c r="O4" s="87">
        <f>I8</f>
        <v>14766138800</v>
      </c>
      <c r="P4" s="87"/>
      <c r="Q4" s="61">
        <v>0.04</v>
      </c>
      <c r="R4" s="87">
        <f t="shared" ref="R4:R7" si="2">O4*Q4</f>
        <v>590645552</v>
      </c>
      <c r="S4" s="87"/>
      <c r="T4" s="86">
        <v>25</v>
      </c>
      <c r="U4" s="86"/>
      <c r="V4" s="87">
        <f t="shared" ref="V4:V7" si="3">(O4-R4)/T4</f>
        <v>567019729.91999996</v>
      </c>
      <c r="W4" s="87"/>
      <c r="X4" s="6"/>
      <c r="Y4" s="6"/>
      <c r="AA4" s="9" t="s">
        <v>59</v>
      </c>
      <c r="AB4" s="21">
        <f>L19</f>
        <v>4884785251.8074999</v>
      </c>
      <c r="AC4" s="21">
        <f>10695230090+SUM(I14:I18)</f>
        <v>16059576531.065413</v>
      </c>
      <c r="AD4" s="21">
        <f>(L16*0.9*0.9)+SUM(I14:I18)</f>
        <v>10795747212.644142</v>
      </c>
      <c r="AE4" s="7"/>
      <c r="AF4" s="7"/>
      <c r="AG4" s="7"/>
    </row>
    <row r="5" spans="1:33" ht="15">
      <c r="A5" s="30" t="s">
        <v>26</v>
      </c>
      <c r="B5" s="32">
        <v>80920000</v>
      </c>
      <c r="C5" s="34">
        <v>1</v>
      </c>
      <c r="D5" s="26">
        <f t="shared" si="0"/>
        <v>80920000</v>
      </c>
      <c r="E5" s="17">
        <f t="shared" si="1"/>
        <v>4106690000</v>
      </c>
      <c r="G5" s="2" t="s">
        <v>12</v>
      </c>
      <c r="H5" s="2">
        <v>0.2</v>
      </c>
      <c r="I5" s="17">
        <f>H5*I2</f>
        <v>14766138800</v>
      </c>
      <c r="N5" s="8" t="s">
        <v>40</v>
      </c>
      <c r="O5" s="87">
        <f>L2</f>
        <v>2011629915.3995295</v>
      </c>
      <c r="P5" s="87"/>
      <c r="Q5" s="61">
        <v>0.04</v>
      </c>
      <c r="R5" s="87">
        <f t="shared" si="2"/>
        <v>80465196.615981176</v>
      </c>
      <c r="S5" s="87"/>
      <c r="T5" s="86">
        <v>25</v>
      </c>
      <c r="U5" s="86"/>
      <c r="V5" s="87">
        <f t="shared" si="3"/>
        <v>77246588.751341939</v>
      </c>
      <c r="W5" s="87"/>
      <c r="X5" s="6"/>
      <c r="Y5" s="6"/>
      <c r="AA5" s="9" t="s">
        <v>60</v>
      </c>
      <c r="AB5" s="21">
        <f>AB3-AB4</f>
        <v>30656286748.192501</v>
      </c>
      <c r="AC5" s="21">
        <f>AC3-AC4</f>
        <v>26864423468.934586</v>
      </c>
      <c r="AD5" s="21">
        <f>AD3-AD4</f>
        <v>32128252787.355858</v>
      </c>
      <c r="AE5" s="7"/>
      <c r="AF5" s="7"/>
      <c r="AG5" s="7"/>
    </row>
    <row r="6" spans="1:33" ht="15">
      <c r="A6" s="30" t="s">
        <v>27</v>
      </c>
      <c r="B6" s="32">
        <v>280750000</v>
      </c>
      <c r="C6" s="34">
        <v>1</v>
      </c>
      <c r="D6" s="26">
        <f t="shared" si="0"/>
        <v>280750000</v>
      </c>
      <c r="E6" s="17">
        <f t="shared" si="1"/>
        <v>14248062500</v>
      </c>
      <c r="G6" s="2" t="s">
        <v>13</v>
      </c>
      <c r="H6" s="2">
        <v>0.15</v>
      </c>
      <c r="I6" s="17">
        <f>H6*I7</f>
        <v>75431634.375</v>
      </c>
      <c r="K6" s="28" t="s">
        <v>100</v>
      </c>
      <c r="N6" s="8" t="s">
        <v>43</v>
      </c>
      <c r="O6" s="95">
        <f>I9</f>
        <v>135688479216.875</v>
      </c>
      <c r="P6" s="95"/>
      <c r="Q6" s="61">
        <v>0.04</v>
      </c>
      <c r="R6" s="87">
        <f t="shared" si="2"/>
        <v>5427539168.6750002</v>
      </c>
      <c r="S6" s="87"/>
      <c r="T6" s="86">
        <v>25</v>
      </c>
      <c r="U6" s="86"/>
      <c r="V6" s="87">
        <f t="shared" si="3"/>
        <v>5210437601.9279995</v>
      </c>
      <c r="W6" s="87"/>
      <c r="X6" s="6"/>
      <c r="Y6" s="6"/>
      <c r="AA6" s="7"/>
      <c r="AB6" s="7"/>
      <c r="AC6" s="7"/>
      <c r="AD6" s="7"/>
      <c r="AE6" s="7"/>
      <c r="AF6" s="7"/>
      <c r="AG6" s="7"/>
    </row>
    <row r="7" spans="1:33" ht="15">
      <c r="A7" s="30" t="s">
        <v>1</v>
      </c>
      <c r="B7" s="32">
        <v>150500000</v>
      </c>
      <c r="C7" s="34">
        <v>1</v>
      </c>
      <c r="D7" s="26">
        <f>B7*C7</f>
        <v>150500000</v>
      </c>
      <c r="E7" s="17">
        <f t="shared" si="1"/>
        <v>7637875000</v>
      </c>
      <c r="G7" s="2" t="s">
        <v>29</v>
      </c>
      <c r="H7" s="2"/>
      <c r="I7" s="17">
        <v>502877562.5</v>
      </c>
      <c r="K7" s="2" t="s">
        <v>97</v>
      </c>
      <c r="L7" s="2">
        <v>500000</v>
      </c>
      <c r="N7" s="8" t="s">
        <v>44</v>
      </c>
      <c r="O7" s="87">
        <f>I3</f>
        <v>7383069400</v>
      </c>
      <c r="P7" s="87"/>
      <c r="Q7" s="61">
        <v>0.04</v>
      </c>
      <c r="R7" s="87">
        <f t="shared" si="2"/>
        <v>295322776</v>
      </c>
      <c r="S7" s="87"/>
      <c r="T7" s="86">
        <v>25</v>
      </c>
      <c r="U7" s="86"/>
      <c r="V7" s="87">
        <f t="shared" si="3"/>
        <v>283509864.95999998</v>
      </c>
      <c r="W7" s="87"/>
      <c r="X7" s="6"/>
      <c r="Y7" s="6"/>
      <c r="AA7" s="8" t="s">
        <v>61</v>
      </c>
      <c r="AB7" s="67" t="s">
        <v>62</v>
      </c>
      <c r="AC7" s="67" t="s">
        <v>48</v>
      </c>
      <c r="AD7" s="67" t="s">
        <v>63</v>
      </c>
      <c r="AE7" s="67" t="s">
        <v>64</v>
      </c>
      <c r="AF7" s="7"/>
      <c r="AG7" s="7"/>
    </row>
    <row r="8" spans="1:33" ht="15.75">
      <c r="A8" s="30" t="s">
        <v>87</v>
      </c>
      <c r="B8" s="32">
        <v>11056000</v>
      </c>
      <c r="C8" s="34">
        <v>1</v>
      </c>
      <c r="D8" s="26">
        <f>B8*C8</f>
        <v>11056000</v>
      </c>
      <c r="E8" s="17">
        <f t="shared" si="1"/>
        <v>561092000</v>
      </c>
      <c r="G8" s="2" t="s">
        <v>14</v>
      </c>
      <c r="H8" s="2">
        <v>0.2</v>
      </c>
      <c r="I8" s="17">
        <f>H8*I2</f>
        <v>14766138800</v>
      </c>
      <c r="K8" s="2" t="s">
        <v>98</v>
      </c>
      <c r="L8" s="2">
        <v>9.8000000000000007</v>
      </c>
      <c r="N8" s="13"/>
      <c r="O8" s="90"/>
      <c r="P8" s="90"/>
      <c r="Q8" s="90"/>
      <c r="R8" s="90"/>
      <c r="S8" s="90"/>
      <c r="T8" s="94" t="s">
        <v>41</v>
      </c>
      <c r="U8" s="94"/>
      <c r="V8" s="87">
        <f>SUM(V3:W7)</f>
        <v>8973312435.1593399</v>
      </c>
      <c r="W8" s="87"/>
      <c r="X8" s="6"/>
      <c r="Y8" s="6"/>
      <c r="AA8" s="8" t="s">
        <v>65</v>
      </c>
      <c r="AB8" s="8"/>
      <c r="AC8" s="9" t="s">
        <v>66</v>
      </c>
      <c r="AD8" s="9" t="s">
        <v>66</v>
      </c>
      <c r="AE8" s="9" t="s">
        <v>67</v>
      </c>
      <c r="AF8" s="7"/>
      <c r="AG8" s="7"/>
    </row>
    <row r="9" spans="1:33" ht="15">
      <c r="A9" s="30" t="s">
        <v>86</v>
      </c>
      <c r="B9" s="32">
        <v>9076000</v>
      </c>
      <c r="C9" s="34">
        <v>5</v>
      </c>
      <c r="D9" s="26">
        <f>B9*C9</f>
        <v>45380000</v>
      </c>
      <c r="E9" s="17">
        <f t="shared" si="1"/>
        <v>2303035000</v>
      </c>
      <c r="H9" s="5" t="s">
        <v>5</v>
      </c>
      <c r="I9" s="17">
        <f>SUM(I2:I8)</f>
        <v>135688479216.875</v>
      </c>
      <c r="K9" s="2" t="s">
        <v>99</v>
      </c>
      <c r="L9" s="2">
        <f>3412/0.34214893</f>
        <v>9972.2655862170886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AA9" s="8" t="s">
        <v>68</v>
      </c>
      <c r="AB9" s="9" t="s">
        <v>69</v>
      </c>
      <c r="AC9" s="21">
        <f>L17-I19</f>
        <v>30854220507.602821</v>
      </c>
      <c r="AD9" s="21">
        <f>(AC9*(((1-((1+0.1)^-25)))/0.1))+AC9</f>
        <v>310919214786.38666</v>
      </c>
      <c r="AE9" s="9">
        <f>((((AD9/I9)^(1/25)))-1)*100</f>
        <v>3.3723009995517916</v>
      </c>
      <c r="AF9" s="7"/>
      <c r="AG9" s="7"/>
    </row>
    <row r="10" spans="1:33" ht="15.75">
      <c r="A10" s="30" t="s">
        <v>2</v>
      </c>
      <c r="B10" s="32">
        <v>15500000</v>
      </c>
      <c r="C10" s="34">
        <v>3</v>
      </c>
      <c r="D10" s="26">
        <f>B10*C10</f>
        <v>46500000</v>
      </c>
      <c r="E10" s="17">
        <f t="shared" si="1"/>
        <v>2359875000</v>
      </c>
      <c r="N10" s="64" t="s">
        <v>49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AA10" s="8" t="s">
        <v>70</v>
      </c>
      <c r="AB10" s="22">
        <v>0.1</v>
      </c>
      <c r="AC10" s="21">
        <f>AB5</f>
        <v>30656286748.192501</v>
      </c>
      <c r="AD10" s="21">
        <f>(AC10*(((1-((1+0.1)^-25)))/0.1))+AC10</f>
        <v>308924628371.85022</v>
      </c>
      <c r="AE10" s="9">
        <f>((((AD10/I9)^(1/25)))-1)*100</f>
        <v>3.3456931157670899</v>
      </c>
      <c r="AF10" s="7"/>
      <c r="AG10" s="7"/>
    </row>
    <row r="11" spans="1:33" ht="15.75">
      <c r="A11" s="30" t="s">
        <v>3</v>
      </c>
      <c r="B11" s="32">
        <v>48400000</v>
      </c>
      <c r="C11" s="34">
        <v>1</v>
      </c>
      <c r="D11" s="26">
        <f>B11*C11</f>
        <v>48400000</v>
      </c>
      <c r="E11" s="17">
        <f t="shared" si="1"/>
        <v>2456300000</v>
      </c>
      <c r="N11" s="88" t="s">
        <v>45</v>
      </c>
      <c r="O11" s="88"/>
      <c r="P11" s="88" t="s">
        <v>46</v>
      </c>
      <c r="Q11" s="88"/>
      <c r="R11" s="88"/>
      <c r="S11" s="88" t="s">
        <v>47</v>
      </c>
      <c r="T11" s="88"/>
      <c r="U11" s="88"/>
      <c r="V11" s="88" t="s">
        <v>48</v>
      </c>
      <c r="W11" s="88"/>
      <c r="X11" s="88"/>
      <c r="Y11" s="65" t="s">
        <v>49</v>
      </c>
      <c r="AA11" s="8" t="s">
        <v>71</v>
      </c>
      <c r="AB11" s="22">
        <v>0.1</v>
      </c>
      <c r="AC11" s="21">
        <f>AC5</f>
        <v>26864423468.934586</v>
      </c>
      <c r="AD11" s="21">
        <f>(AC11*(((1-((1+0.1)^-25)))/0.1))+AC11</f>
        <v>270713870363.11383</v>
      </c>
      <c r="AE11" s="9">
        <f>((((AD11/I9)^(1/25)))-1)*100</f>
        <v>2.8013224031893991</v>
      </c>
      <c r="AF11" s="7"/>
      <c r="AG11" s="7"/>
    </row>
    <row r="12" spans="1:33" ht="15">
      <c r="D12" s="5" t="s">
        <v>5</v>
      </c>
      <c r="E12" s="17">
        <f>SUM(E3:E11)</f>
        <v>73830694000</v>
      </c>
      <c r="G12" s="91" t="s">
        <v>15</v>
      </c>
      <c r="H12" s="92"/>
      <c r="I12" s="93"/>
      <c r="K12" s="2" t="s">
        <v>24</v>
      </c>
      <c r="L12" s="14">
        <f>L9*1000</f>
        <v>9972265.5862170886</v>
      </c>
      <c r="N12" s="86">
        <v>2022</v>
      </c>
      <c r="O12" s="86"/>
      <c r="P12" s="86">
        <v>2</v>
      </c>
      <c r="Q12" s="86"/>
      <c r="R12" s="86"/>
      <c r="S12" s="87">
        <f>I9</f>
        <v>135688479216.875</v>
      </c>
      <c r="T12" s="87"/>
      <c r="U12" s="87"/>
      <c r="V12" s="87">
        <f>L17-I19</f>
        <v>30854220507.602821</v>
      </c>
      <c r="W12" s="87"/>
      <c r="X12" s="87"/>
      <c r="Y12" s="15">
        <f>(V12/S12)</f>
        <v>0.22739012689712285</v>
      </c>
      <c r="AA12" s="8" t="s">
        <v>72</v>
      </c>
      <c r="AB12" s="22">
        <v>0.1</v>
      </c>
      <c r="AC12" s="21">
        <f>AD5</f>
        <v>32128252787.355858</v>
      </c>
      <c r="AD12" s="21">
        <f>(AC12*(((1-((1+0.1)^-25)))/0.1))+AC12</f>
        <v>323757689053.97394</v>
      </c>
      <c r="AE12" s="9">
        <f>((((AD12/I9)^(1/25)))-1)*100</f>
        <v>3.5397434747689527</v>
      </c>
      <c r="AF12" s="7"/>
      <c r="AG12" s="7"/>
    </row>
    <row r="13" spans="1:33" ht="15">
      <c r="G13" s="2" t="s">
        <v>16</v>
      </c>
      <c r="H13" s="2"/>
      <c r="I13" s="17">
        <f>L16</f>
        <v>6705433051.3317642</v>
      </c>
      <c r="K13" s="2" t="s">
        <v>34</v>
      </c>
      <c r="L13" s="19">
        <v>6.8000000000000005E-2</v>
      </c>
      <c r="N13" s="86">
        <v>2023</v>
      </c>
      <c r="O13" s="86"/>
      <c r="P13" s="86">
        <v>3</v>
      </c>
      <c r="Q13" s="86"/>
      <c r="R13" s="86"/>
      <c r="S13" s="87">
        <f>S12-V12</f>
        <v>104834258709.27219</v>
      </c>
      <c r="T13" s="87"/>
      <c r="U13" s="87"/>
      <c r="V13" s="87">
        <f>V12</f>
        <v>30854220507.602821</v>
      </c>
      <c r="W13" s="87"/>
      <c r="X13" s="87"/>
      <c r="Y13" s="15">
        <f t="shared" ref="Y13:Y15" si="4">(V13/S13)</f>
        <v>0.29431429083853372</v>
      </c>
      <c r="AA13" s="10"/>
      <c r="AB13" s="7"/>
      <c r="AC13" s="7"/>
      <c r="AD13" s="7"/>
      <c r="AE13" s="7"/>
      <c r="AF13" s="7"/>
      <c r="AG13" s="7"/>
    </row>
    <row r="14" spans="1:33" ht="15.75">
      <c r="G14" s="2" t="s">
        <v>17</v>
      </c>
      <c r="H14" s="2">
        <v>0.2</v>
      </c>
      <c r="I14" s="17">
        <f>H14*I13</f>
        <v>1341086610.2663529</v>
      </c>
      <c r="K14" s="2" t="s">
        <v>35</v>
      </c>
      <c r="L14" s="19">
        <f>L13*50.75</f>
        <v>3.4510000000000001</v>
      </c>
      <c r="N14" s="86">
        <v>2024</v>
      </c>
      <c r="O14" s="86"/>
      <c r="P14" s="86">
        <v>4</v>
      </c>
      <c r="Q14" s="86"/>
      <c r="R14" s="86"/>
      <c r="S14" s="87">
        <f t="shared" ref="S14:S15" si="5">S13-V13</f>
        <v>73980038201.669373</v>
      </c>
      <c r="T14" s="87"/>
      <c r="U14" s="87"/>
      <c r="V14" s="87">
        <f>V12</f>
        <v>30854220507.602821</v>
      </c>
      <c r="W14" s="87"/>
      <c r="X14" s="87"/>
      <c r="Y14" s="15">
        <f t="shared" si="4"/>
        <v>0.41706142978048083</v>
      </c>
      <c r="AA14" s="66" t="s">
        <v>73</v>
      </c>
      <c r="AB14" s="7"/>
      <c r="AC14" s="7"/>
      <c r="AD14" s="7"/>
      <c r="AE14" s="7"/>
      <c r="AF14" s="7"/>
      <c r="AG14" s="7"/>
    </row>
    <row r="15" spans="1:33" ht="15.75">
      <c r="G15" s="2" t="s">
        <v>18</v>
      </c>
      <c r="H15" s="2">
        <f>H14</f>
        <v>0.2</v>
      </c>
      <c r="I15" s="17">
        <f>I14</f>
        <v>1341086610.2663529</v>
      </c>
      <c r="K15" s="2" t="s">
        <v>30</v>
      </c>
      <c r="L15" s="19">
        <v>22479.470399999998</v>
      </c>
      <c r="N15" s="86">
        <v>2025</v>
      </c>
      <c r="O15" s="86"/>
      <c r="P15" s="86">
        <v>5</v>
      </c>
      <c r="Q15" s="86"/>
      <c r="R15" s="86"/>
      <c r="S15" s="87">
        <f t="shared" si="5"/>
        <v>43125817694.066551</v>
      </c>
      <c r="T15" s="87"/>
      <c r="U15" s="87"/>
      <c r="V15" s="87">
        <f>V12</f>
        <v>30854220507.602821</v>
      </c>
      <c r="W15" s="87"/>
      <c r="X15" s="87"/>
      <c r="Y15" s="15">
        <f t="shared" si="4"/>
        <v>0.71544662008455984</v>
      </c>
      <c r="AA15" s="65" t="s">
        <v>74</v>
      </c>
      <c r="AB15" s="65" t="s">
        <v>75</v>
      </c>
      <c r="AC15" s="65" t="s">
        <v>76</v>
      </c>
      <c r="AD15" s="65" t="s">
        <v>77</v>
      </c>
      <c r="AE15" s="65" t="s">
        <v>78</v>
      </c>
      <c r="AF15" s="7"/>
      <c r="AG15" s="7"/>
    </row>
    <row r="16" spans="1:33" ht="15">
      <c r="G16" s="2" t="s">
        <v>19</v>
      </c>
      <c r="H16" s="2">
        <f>H14</f>
        <v>0.2</v>
      </c>
      <c r="I16" s="17">
        <f>I14</f>
        <v>1341086610.2663529</v>
      </c>
      <c r="K16" s="2" t="s">
        <v>16</v>
      </c>
      <c r="L16" s="27">
        <f>(L14*L12*500*365*24)/L15</f>
        <v>6705433051.3317642</v>
      </c>
      <c r="N16" s="86">
        <v>2045</v>
      </c>
      <c r="O16" s="86"/>
      <c r="P16" s="86">
        <v>25</v>
      </c>
      <c r="Q16" s="86"/>
      <c r="R16" s="86"/>
      <c r="S16" s="87">
        <f>S15-(V15*20)</f>
        <v>-573958592457.98987</v>
      </c>
      <c r="T16" s="87"/>
      <c r="U16" s="87"/>
      <c r="V16" s="87">
        <f>V12</f>
        <v>30854220507.602821</v>
      </c>
      <c r="W16" s="87"/>
      <c r="X16" s="87"/>
      <c r="Y16" s="15">
        <f>V16/-S16</f>
        <v>5.3756875344384981E-2</v>
      </c>
      <c r="AA16" s="18">
        <f>(O3-R3-V3)/25</f>
        <v>2721694703.6160002</v>
      </c>
      <c r="AB16" s="18">
        <f>(O6-R6-V6)/25</f>
        <v>5002020097.8508797</v>
      </c>
      <c r="AC16" s="18">
        <f>AA16+AB16+I19</f>
        <v>19793494293.864056</v>
      </c>
      <c r="AD16" s="18">
        <f>L17</f>
        <v>42924000000</v>
      </c>
      <c r="AE16" s="16">
        <f>(AC16/AD16)*500</f>
        <v>230.56441960050387</v>
      </c>
      <c r="AF16" s="7"/>
      <c r="AG16" s="7"/>
    </row>
    <row r="17" spans="7:28" ht="15.75">
      <c r="G17" s="2" t="s">
        <v>20</v>
      </c>
      <c r="H17" s="2">
        <v>0.1</v>
      </c>
      <c r="I17" s="17">
        <f>H17*I13</f>
        <v>670543305.13317645</v>
      </c>
      <c r="K17" s="2" t="s">
        <v>31</v>
      </c>
      <c r="L17" s="20">
        <f>L7*L8*365*24</f>
        <v>42924000000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11" t="s">
        <v>50</v>
      </c>
      <c r="Y17" s="15">
        <f>AVERAGE(Y12:Y16)</f>
        <v>0.34159386858901641</v>
      </c>
    </row>
    <row r="18" spans="7:28" ht="15">
      <c r="G18" s="2" t="s">
        <v>21</v>
      </c>
      <c r="H18" s="2">
        <f>H17</f>
        <v>0.1</v>
      </c>
      <c r="I18" s="17">
        <f>H18*I13</f>
        <v>670543305.13317645</v>
      </c>
      <c r="K18" s="2" t="s">
        <v>32</v>
      </c>
      <c r="L18" s="19">
        <f>L17*((1-1.065^-25)/0.065)</f>
        <v>523581660546.32507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7:28" ht="15.75">
      <c r="H19" s="5" t="s">
        <v>5</v>
      </c>
      <c r="I19" s="17">
        <f>SUM(I13:I18)</f>
        <v>12069779492.397177</v>
      </c>
      <c r="K19" s="2" t="s">
        <v>33</v>
      </c>
      <c r="L19" s="19">
        <f>((I9-(0.1)*(I9))/25)</f>
        <v>4884785251.8074999</v>
      </c>
      <c r="N19" s="64" t="s">
        <v>52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AA19" s="23" t="s">
        <v>57</v>
      </c>
      <c r="AB19" s="24"/>
    </row>
    <row r="20" spans="7:28" ht="15.75">
      <c r="N20" s="88" t="s">
        <v>45</v>
      </c>
      <c r="O20" s="88"/>
      <c r="P20" s="88" t="s">
        <v>48</v>
      </c>
      <c r="Q20" s="88"/>
      <c r="R20" s="88"/>
      <c r="S20" s="88"/>
      <c r="T20" s="88" t="s">
        <v>47</v>
      </c>
      <c r="U20" s="88"/>
      <c r="V20" s="88" t="s">
        <v>39</v>
      </c>
      <c r="W20" s="88"/>
      <c r="X20" s="12"/>
      <c r="Y20" s="6"/>
      <c r="AA20" s="23" t="s">
        <v>58</v>
      </c>
      <c r="AB20" s="25">
        <f>500*0.9</f>
        <v>450</v>
      </c>
    </row>
    <row r="21" spans="7:28" ht="15">
      <c r="N21" s="86">
        <v>2022</v>
      </c>
      <c r="O21" s="86"/>
      <c r="P21" s="87">
        <f>V12</f>
        <v>30854220507.602821</v>
      </c>
      <c r="Q21" s="87"/>
      <c r="R21" s="87"/>
      <c r="S21" s="87"/>
      <c r="T21" s="87">
        <f>S12</f>
        <v>135688479216.875</v>
      </c>
      <c r="U21" s="87"/>
      <c r="V21" s="87">
        <f>T21-V8</f>
        <v>126715166781.71567</v>
      </c>
      <c r="W21" s="87"/>
      <c r="X21" s="12"/>
      <c r="Y21" s="6"/>
    </row>
    <row r="22" spans="7:28" ht="15">
      <c r="N22" s="86">
        <v>2023</v>
      </c>
      <c r="O22" s="86"/>
      <c r="P22" s="87">
        <f>P21</f>
        <v>30854220507.602821</v>
      </c>
      <c r="Q22" s="87"/>
      <c r="R22" s="87"/>
      <c r="S22" s="87"/>
      <c r="T22" s="87">
        <f>T21-P22</f>
        <v>104834258709.27219</v>
      </c>
      <c r="U22" s="87"/>
      <c r="V22" s="87">
        <f>V21-V8</f>
        <v>117741854346.55634</v>
      </c>
      <c r="W22" s="87"/>
      <c r="X22" s="12"/>
      <c r="Y22" s="6"/>
    </row>
    <row r="23" spans="7:28" ht="15">
      <c r="N23" s="86">
        <v>2024</v>
      </c>
      <c r="O23" s="86"/>
      <c r="P23" s="87">
        <f>P21</f>
        <v>30854220507.602821</v>
      </c>
      <c r="Q23" s="87"/>
      <c r="R23" s="87"/>
      <c r="S23" s="87"/>
      <c r="T23" s="87">
        <f>T22-P23</f>
        <v>73980038201.669373</v>
      </c>
      <c r="U23" s="87"/>
      <c r="V23" s="87">
        <f>V22-V8</f>
        <v>108768541911.397</v>
      </c>
      <c r="W23" s="87"/>
      <c r="X23" s="12"/>
      <c r="Y23" s="6"/>
    </row>
    <row r="24" spans="7:28" ht="15">
      <c r="N24" s="86">
        <v>2025</v>
      </c>
      <c r="O24" s="86"/>
      <c r="P24" s="87">
        <f>P21</f>
        <v>30854220507.602821</v>
      </c>
      <c r="Q24" s="87"/>
      <c r="R24" s="87"/>
      <c r="S24" s="87"/>
      <c r="T24" s="87">
        <f>T23-P24</f>
        <v>43125817694.066551</v>
      </c>
      <c r="U24" s="87"/>
      <c r="V24" s="87">
        <f>V23-V8</f>
        <v>99795229476.237671</v>
      </c>
      <c r="W24" s="87"/>
      <c r="X24" s="12"/>
      <c r="Y24" s="6"/>
    </row>
    <row r="25" spans="7:28" ht="15">
      <c r="N25" s="86" t="s">
        <v>51</v>
      </c>
      <c r="O25" s="86"/>
      <c r="P25" s="87">
        <f>AVERAGE(P21:S24)</f>
        <v>30854220507.602821</v>
      </c>
      <c r="Q25" s="87"/>
      <c r="R25" s="87"/>
      <c r="S25" s="87"/>
      <c r="T25" s="87">
        <f>AVERAGE(T21:U24)</f>
        <v>89407148455.470764</v>
      </c>
      <c r="U25" s="87"/>
      <c r="V25" s="87">
        <f>AVERAGE(V21:W24)</f>
        <v>113255198128.97667</v>
      </c>
      <c r="W25" s="87"/>
      <c r="X25" s="12"/>
      <c r="Y25" s="6"/>
    </row>
    <row r="26" spans="7:28" ht="15.75">
      <c r="N26" s="94" t="s">
        <v>52</v>
      </c>
      <c r="O26" s="94"/>
      <c r="P26" s="94"/>
      <c r="Q26" s="94"/>
      <c r="R26" s="94"/>
      <c r="S26" s="94"/>
      <c r="T26" s="89">
        <f>T21/P21</f>
        <v>4.3977283167286583</v>
      </c>
      <c r="U26" s="89"/>
      <c r="V26" s="89"/>
      <c r="W26" s="89"/>
      <c r="X26" s="12"/>
      <c r="Y26" s="6"/>
    </row>
    <row r="27" spans="7:28" ht="15"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</sheetData>
  <mergeCells count="82">
    <mergeCell ref="O4:P4"/>
    <mergeCell ref="R4:S4"/>
    <mergeCell ref="T4:U4"/>
    <mergeCell ref="V4:W4"/>
    <mergeCell ref="A1:E1"/>
    <mergeCell ref="G1:I1"/>
    <mergeCell ref="N1:O1"/>
    <mergeCell ref="O2:P2"/>
    <mergeCell ref="R2:S2"/>
    <mergeCell ref="T2:U2"/>
    <mergeCell ref="V2:W2"/>
    <mergeCell ref="O3:P3"/>
    <mergeCell ref="R3:S3"/>
    <mergeCell ref="T3:U3"/>
    <mergeCell ref="V3:W3"/>
    <mergeCell ref="O5:P5"/>
    <mergeCell ref="R5:S5"/>
    <mergeCell ref="T5:U5"/>
    <mergeCell ref="V5:W5"/>
    <mergeCell ref="O6:P6"/>
    <mergeCell ref="R6:S6"/>
    <mergeCell ref="T6:U6"/>
    <mergeCell ref="V6:W6"/>
    <mergeCell ref="O7:P7"/>
    <mergeCell ref="R7:S7"/>
    <mergeCell ref="T7:U7"/>
    <mergeCell ref="V7:W7"/>
    <mergeCell ref="O8:S8"/>
    <mergeCell ref="T8:U8"/>
    <mergeCell ref="V8:W8"/>
    <mergeCell ref="G12:I12"/>
    <mergeCell ref="N12:O12"/>
    <mergeCell ref="P12:R12"/>
    <mergeCell ref="S12:U12"/>
    <mergeCell ref="V12:X12"/>
    <mergeCell ref="N15:O15"/>
    <mergeCell ref="P15:R15"/>
    <mergeCell ref="S15:U15"/>
    <mergeCell ref="V15:X15"/>
    <mergeCell ref="N11:O11"/>
    <mergeCell ref="P11:R11"/>
    <mergeCell ref="S11:U11"/>
    <mergeCell ref="V11:X11"/>
    <mergeCell ref="N13:O13"/>
    <mergeCell ref="P13:R13"/>
    <mergeCell ref="S13:U13"/>
    <mergeCell ref="V13:X13"/>
    <mergeCell ref="N14:O14"/>
    <mergeCell ref="P14:R14"/>
    <mergeCell ref="S14:U14"/>
    <mergeCell ref="V14:X14"/>
    <mergeCell ref="N16:O16"/>
    <mergeCell ref="P16:R16"/>
    <mergeCell ref="S16:U16"/>
    <mergeCell ref="V16:X16"/>
    <mergeCell ref="V20:W20"/>
    <mergeCell ref="N17:W17"/>
    <mergeCell ref="N20:O20"/>
    <mergeCell ref="P20:S20"/>
    <mergeCell ref="T20:U20"/>
    <mergeCell ref="N22:O22"/>
    <mergeCell ref="P22:S22"/>
    <mergeCell ref="T22:U22"/>
    <mergeCell ref="V22:W22"/>
    <mergeCell ref="N21:O21"/>
    <mergeCell ref="P21:S21"/>
    <mergeCell ref="T21:U21"/>
    <mergeCell ref="V21:W21"/>
    <mergeCell ref="N23:O23"/>
    <mergeCell ref="P23:S23"/>
    <mergeCell ref="T23:U23"/>
    <mergeCell ref="V23:W23"/>
    <mergeCell ref="N26:S26"/>
    <mergeCell ref="T26:W26"/>
    <mergeCell ref="N24:O24"/>
    <mergeCell ref="P24:S24"/>
    <mergeCell ref="T24:U24"/>
    <mergeCell ref="V24:W24"/>
    <mergeCell ref="N25:O25"/>
    <mergeCell ref="P25:S25"/>
    <mergeCell ref="T25:U25"/>
    <mergeCell ref="V25:W2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27"/>
  <sheetViews>
    <sheetView topLeftCell="AB1" zoomScale="85" zoomScaleNormal="85" workbookViewId="0">
      <selection activeCell="AD20" sqref="AD20"/>
    </sheetView>
  </sheetViews>
  <sheetFormatPr defaultRowHeight="15"/>
  <cols>
    <col min="1" max="1" width="22.28515625" bestFit="1" customWidth="1"/>
    <col min="2" max="2" width="17.28515625" bestFit="1" customWidth="1"/>
    <col min="3" max="3" width="6.140625" bestFit="1" customWidth="1"/>
    <col min="4" max="4" width="17.28515625" bestFit="1" customWidth="1"/>
    <col min="5" max="5" width="20.5703125" bestFit="1" customWidth="1"/>
    <col min="7" max="7" width="32.42578125" bestFit="1" customWidth="1"/>
    <col min="8" max="8" width="6.7109375" bestFit="1" customWidth="1"/>
    <col min="9" max="9" width="21.7109375" bestFit="1" customWidth="1"/>
    <col min="11" max="11" width="23.85546875" bestFit="1" customWidth="1"/>
    <col min="12" max="12" width="20.140625" bestFit="1" customWidth="1"/>
    <col min="14" max="14" width="24.5703125" bestFit="1" customWidth="1"/>
    <col min="16" max="16" width="16.5703125" customWidth="1"/>
    <col min="17" max="17" width="20.7109375" bestFit="1" customWidth="1"/>
    <col min="19" max="19" width="16.7109375" customWidth="1"/>
    <col min="21" max="21" width="20.7109375" customWidth="1"/>
    <col min="23" max="23" width="17.5703125" customWidth="1"/>
    <col min="24" max="24" width="10.28515625" bestFit="1" customWidth="1"/>
    <col min="25" max="25" width="8.7109375" bestFit="1" customWidth="1"/>
    <col min="27" max="27" width="39.140625" bestFit="1" customWidth="1"/>
    <col min="28" max="28" width="27.42578125" bestFit="1" customWidth="1"/>
    <col min="29" max="29" width="32.5703125" bestFit="1" customWidth="1"/>
    <col min="30" max="30" width="35.5703125" bestFit="1" customWidth="1"/>
    <col min="31" max="31" width="40.7109375" bestFit="1" customWidth="1"/>
  </cols>
  <sheetData>
    <row r="1" spans="1:32" ht="15.75">
      <c r="A1" s="98" t="s">
        <v>102</v>
      </c>
      <c r="B1" s="99"/>
      <c r="C1" s="99"/>
      <c r="D1" s="99"/>
      <c r="E1" s="100"/>
      <c r="F1" s="4"/>
      <c r="G1" s="101" t="s">
        <v>8</v>
      </c>
      <c r="H1" s="101"/>
      <c r="I1" s="101"/>
      <c r="J1" s="1"/>
      <c r="K1" s="1"/>
      <c r="L1" s="1"/>
      <c r="M1" s="1"/>
      <c r="N1" s="102" t="s">
        <v>39</v>
      </c>
      <c r="O1" s="102"/>
      <c r="P1" s="6"/>
      <c r="Q1" s="6"/>
      <c r="R1" s="6"/>
      <c r="S1" s="6"/>
      <c r="T1" s="6"/>
      <c r="U1" s="6"/>
      <c r="V1" s="6"/>
      <c r="W1" s="6"/>
      <c r="X1" s="6"/>
      <c r="Y1" s="6"/>
      <c r="Z1" s="1"/>
      <c r="AA1" s="71" t="s">
        <v>53</v>
      </c>
      <c r="AB1" s="7"/>
      <c r="AC1" s="7"/>
      <c r="AD1" s="7"/>
      <c r="AE1" s="7"/>
      <c r="AF1" s="1"/>
    </row>
    <row r="2" spans="1:32" ht="15.75">
      <c r="A2" s="2"/>
      <c r="B2" s="68" t="s">
        <v>6</v>
      </c>
      <c r="C2" s="68" t="s">
        <v>4</v>
      </c>
      <c r="D2" s="68" t="s">
        <v>5</v>
      </c>
      <c r="E2" s="68" t="s">
        <v>7</v>
      </c>
      <c r="F2" s="3"/>
      <c r="G2" s="2" t="s">
        <v>9</v>
      </c>
      <c r="H2" s="2"/>
      <c r="I2" s="17">
        <f>E12</f>
        <v>74605257247.5</v>
      </c>
      <c r="J2" s="1"/>
      <c r="K2" s="2" t="s">
        <v>22</v>
      </c>
      <c r="L2" s="2">
        <f>I15+I17</f>
        <v>1961885730.0031409</v>
      </c>
      <c r="M2" s="1"/>
      <c r="N2" s="8"/>
      <c r="O2" s="103" t="s">
        <v>36</v>
      </c>
      <c r="P2" s="103"/>
      <c r="Q2" s="69" t="s">
        <v>101</v>
      </c>
      <c r="R2" s="103" t="s">
        <v>37</v>
      </c>
      <c r="S2" s="103"/>
      <c r="T2" s="103" t="s">
        <v>38</v>
      </c>
      <c r="U2" s="103"/>
      <c r="V2" s="103" t="s">
        <v>39</v>
      </c>
      <c r="W2" s="103"/>
      <c r="X2" s="6"/>
      <c r="Y2" s="6"/>
      <c r="Z2" s="1"/>
      <c r="AA2" s="62"/>
      <c r="AB2" s="69" t="s">
        <v>54</v>
      </c>
      <c r="AC2" s="69" t="s">
        <v>55</v>
      </c>
      <c r="AD2" s="69" t="s">
        <v>56</v>
      </c>
      <c r="AE2" s="7"/>
      <c r="AF2" s="1"/>
    </row>
    <row r="3" spans="1:32">
      <c r="A3" s="29" t="s">
        <v>0</v>
      </c>
      <c r="B3" s="31">
        <v>699000000</v>
      </c>
      <c r="C3" s="33">
        <v>1</v>
      </c>
      <c r="D3" s="26">
        <f t="shared" ref="D3:D11" si="0">B3*C3</f>
        <v>699000000</v>
      </c>
      <c r="E3" s="17">
        <f t="shared" ref="E3:E11" si="1">D3*50.75</f>
        <v>35474250000</v>
      </c>
      <c r="F3" s="3"/>
      <c r="G3" s="2" t="s">
        <v>10</v>
      </c>
      <c r="H3" s="2">
        <v>0.1</v>
      </c>
      <c r="I3" s="17">
        <f>H3*I2</f>
        <v>7460525724.75</v>
      </c>
      <c r="J3" s="1"/>
      <c r="K3" s="2" t="s">
        <v>23</v>
      </c>
      <c r="L3" s="2">
        <f>I14+I16</f>
        <v>2615847640.0041881</v>
      </c>
      <c r="M3" s="1"/>
      <c r="N3" s="8" t="s">
        <v>9</v>
      </c>
      <c r="O3" s="87">
        <f>E12</f>
        <v>74605257247.5</v>
      </c>
      <c r="P3" s="87"/>
      <c r="Q3" s="61">
        <v>0.04</v>
      </c>
      <c r="R3" s="87">
        <f>O3*Q3</f>
        <v>2984210289.9000001</v>
      </c>
      <c r="S3" s="87"/>
      <c r="T3" s="86">
        <v>25</v>
      </c>
      <c r="U3" s="86"/>
      <c r="V3" s="87">
        <f>(O3-R3)/T3</f>
        <v>2864841878.3040004</v>
      </c>
      <c r="W3" s="87"/>
      <c r="X3" s="6"/>
      <c r="Y3" s="6"/>
      <c r="Z3" s="1"/>
      <c r="AA3" s="62" t="s">
        <v>32</v>
      </c>
      <c r="AB3" s="61">
        <f>9.8*AB20*0.92*24*365*1000</f>
        <v>35541072000</v>
      </c>
      <c r="AC3" s="61">
        <f>L17</f>
        <v>42924000000</v>
      </c>
      <c r="AD3" s="61">
        <f>AC3</f>
        <v>42924000000</v>
      </c>
      <c r="AE3" s="7"/>
      <c r="AF3" s="1"/>
    </row>
    <row r="4" spans="1:32">
      <c r="A4" s="29" t="s">
        <v>25</v>
      </c>
      <c r="B4" s="31">
        <v>88040000</v>
      </c>
      <c r="C4" s="33">
        <v>1</v>
      </c>
      <c r="D4" s="26">
        <f t="shared" si="0"/>
        <v>88040000</v>
      </c>
      <c r="E4" s="17">
        <f t="shared" si="1"/>
        <v>4468030000</v>
      </c>
      <c r="F4" s="3"/>
      <c r="G4" s="2" t="s">
        <v>11</v>
      </c>
      <c r="H4" s="2">
        <v>0.33</v>
      </c>
      <c r="I4" s="17">
        <f>H4*I2</f>
        <v>24619734891.675003</v>
      </c>
      <c r="J4" s="1"/>
      <c r="K4" s="1"/>
      <c r="L4" s="1"/>
      <c r="M4" s="1"/>
      <c r="N4" s="8" t="s">
        <v>42</v>
      </c>
      <c r="O4" s="87">
        <f>I8</f>
        <v>14921051449.5</v>
      </c>
      <c r="P4" s="87"/>
      <c r="Q4" s="61">
        <v>0.04</v>
      </c>
      <c r="R4" s="87">
        <f>O4*Q4</f>
        <v>596842057.98000002</v>
      </c>
      <c r="S4" s="87"/>
      <c r="T4" s="86">
        <v>25</v>
      </c>
      <c r="U4" s="86"/>
      <c r="V4" s="87">
        <f>(O4-R4)/T4</f>
        <v>572968375.66079998</v>
      </c>
      <c r="W4" s="87"/>
      <c r="X4" s="6"/>
      <c r="Y4" s="6"/>
      <c r="Z4" s="1"/>
      <c r="AA4" s="62" t="s">
        <v>59</v>
      </c>
      <c r="AB4" s="61">
        <f>L19</f>
        <v>4935813478.5528002</v>
      </c>
      <c r="AC4" s="61">
        <f>10695230090+SUM(I14:I18)</f>
        <v>15926925370.008377</v>
      </c>
      <c r="AD4" s="61">
        <f>(L16*0.9*0.9)+SUM(I14:I18)</f>
        <v>10528786751.016857</v>
      </c>
      <c r="AE4" s="7"/>
      <c r="AF4" s="1"/>
    </row>
    <row r="5" spans="1:32">
      <c r="A5" s="30" t="s">
        <v>26</v>
      </c>
      <c r="B5" s="32">
        <v>81486200</v>
      </c>
      <c r="C5" s="34">
        <v>1</v>
      </c>
      <c r="D5" s="26">
        <f t="shared" si="0"/>
        <v>81486200</v>
      </c>
      <c r="E5" s="17">
        <f t="shared" si="1"/>
        <v>4135424650</v>
      </c>
      <c r="F5" s="3"/>
      <c r="G5" s="2" t="s">
        <v>12</v>
      </c>
      <c r="H5" s="2">
        <v>0.2</v>
      </c>
      <c r="I5" s="17">
        <f>H5*I2</f>
        <v>14921051449.5</v>
      </c>
      <c r="J5" s="1"/>
      <c r="K5" s="1"/>
      <c r="L5" s="1"/>
      <c r="M5" s="1"/>
      <c r="N5" s="8" t="s">
        <v>40</v>
      </c>
      <c r="O5" s="87">
        <f>L2</f>
        <v>1961885730.0031409</v>
      </c>
      <c r="P5" s="87"/>
      <c r="Q5" s="61">
        <v>0.04</v>
      </c>
      <c r="R5" s="87">
        <f>O5*Q5</f>
        <v>78475429.200125635</v>
      </c>
      <c r="S5" s="87"/>
      <c r="T5" s="86">
        <v>25</v>
      </c>
      <c r="U5" s="86"/>
      <c r="V5" s="87">
        <f>(O5-R5)/T5</f>
        <v>75336412.032120615</v>
      </c>
      <c r="W5" s="87"/>
      <c r="X5" s="6"/>
      <c r="Y5" s="6"/>
      <c r="Z5" s="1"/>
      <c r="AA5" s="62" t="s">
        <v>60</v>
      </c>
      <c r="AB5" s="61">
        <f>AB3-AB4</f>
        <v>30605258521.447201</v>
      </c>
      <c r="AC5" s="61">
        <f>AC3-AC4</f>
        <v>26997074629.991623</v>
      </c>
      <c r="AD5" s="61">
        <f>AD3-AD4</f>
        <v>32395213248.983143</v>
      </c>
      <c r="AE5" s="7"/>
      <c r="AF5" s="1"/>
    </row>
    <row r="6" spans="1:32">
      <c r="A6" s="30" t="s">
        <v>27</v>
      </c>
      <c r="B6" s="32">
        <v>276269530</v>
      </c>
      <c r="C6" s="34">
        <v>1</v>
      </c>
      <c r="D6" s="26">
        <f t="shared" si="0"/>
        <v>276269530</v>
      </c>
      <c r="E6" s="17">
        <f t="shared" si="1"/>
        <v>14020678647.5</v>
      </c>
      <c r="F6" s="3"/>
      <c r="G6" s="2" t="s">
        <v>13</v>
      </c>
      <c r="H6" s="2">
        <v>0.15</v>
      </c>
      <c r="I6" s="17">
        <f>H6*I7</f>
        <v>75431634.375</v>
      </c>
      <c r="J6" s="1"/>
      <c r="K6" s="28" t="s">
        <v>100</v>
      </c>
      <c r="L6" s="1"/>
      <c r="M6" s="1"/>
      <c r="N6" s="8" t="s">
        <v>43</v>
      </c>
      <c r="O6" s="95">
        <f>I9</f>
        <v>137105929959.8</v>
      </c>
      <c r="P6" s="95"/>
      <c r="Q6" s="61">
        <v>0.04</v>
      </c>
      <c r="R6" s="87">
        <f>O6*Q6</f>
        <v>5484237198.3920002</v>
      </c>
      <c r="S6" s="87"/>
      <c r="T6" s="86">
        <v>25</v>
      </c>
      <c r="U6" s="86"/>
      <c r="V6" s="87">
        <f>(O6-R6)/T6</f>
        <v>5264867710.4563198</v>
      </c>
      <c r="W6" s="87"/>
      <c r="X6" s="6"/>
      <c r="Y6" s="6"/>
      <c r="Z6" s="1"/>
      <c r="AA6" s="7"/>
      <c r="AB6" s="7"/>
      <c r="AC6" s="7"/>
      <c r="AD6" s="7"/>
      <c r="AE6" s="7"/>
      <c r="AF6" s="1"/>
    </row>
    <row r="7" spans="1:32">
      <c r="A7" s="30" t="s">
        <v>1</v>
      </c>
      <c r="B7" s="32">
        <v>154000000</v>
      </c>
      <c r="C7" s="34">
        <v>1</v>
      </c>
      <c r="D7" s="26">
        <f t="shared" si="0"/>
        <v>154000000</v>
      </c>
      <c r="E7" s="17">
        <f t="shared" si="1"/>
        <v>7815500000</v>
      </c>
      <c r="F7" s="3"/>
      <c r="G7" s="2" t="s">
        <v>29</v>
      </c>
      <c r="H7" s="2"/>
      <c r="I7" s="17">
        <v>502877562.5</v>
      </c>
      <c r="J7" s="1"/>
      <c r="K7" s="2" t="s">
        <v>97</v>
      </c>
      <c r="L7" s="2">
        <v>500000</v>
      </c>
      <c r="M7" s="1"/>
      <c r="N7" s="8" t="s">
        <v>44</v>
      </c>
      <c r="O7" s="87">
        <f>I3</f>
        <v>7460525724.75</v>
      </c>
      <c r="P7" s="87"/>
      <c r="Q7" s="61">
        <v>0.04</v>
      </c>
      <c r="R7" s="87">
        <f>O7*Q7</f>
        <v>298421028.99000001</v>
      </c>
      <c r="S7" s="87"/>
      <c r="T7" s="86">
        <v>25</v>
      </c>
      <c r="U7" s="86"/>
      <c r="V7" s="87">
        <f>(O7-R7)/T7</f>
        <v>286484187.83039999</v>
      </c>
      <c r="W7" s="87"/>
      <c r="X7" s="6"/>
      <c r="Y7" s="6"/>
      <c r="Z7" s="1"/>
      <c r="AA7" s="8" t="s">
        <v>61</v>
      </c>
      <c r="AB7" s="72" t="s">
        <v>62</v>
      </c>
      <c r="AC7" s="72" t="s">
        <v>48</v>
      </c>
      <c r="AD7" s="72" t="s">
        <v>63</v>
      </c>
      <c r="AE7" s="72" t="s">
        <v>64</v>
      </c>
      <c r="AF7" s="1"/>
    </row>
    <row r="8" spans="1:32" ht="15.75">
      <c r="A8" s="30" t="s">
        <v>87</v>
      </c>
      <c r="B8" s="32">
        <v>10902000</v>
      </c>
      <c r="C8" s="34">
        <v>1</v>
      </c>
      <c r="D8" s="26">
        <f t="shared" si="0"/>
        <v>10902000</v>
      </c>
      <c r="E8" s="17">
        <f t="shared" si="1"/>
        <v>553276500</v>
      </c>
      <c r="F8" s="3"/>
      <c r="G8" s="2" t="s">
        <v>14</v>
      </c>
      <c r="H8" s="2">
        <v>0.2</v>
      </c>
      <c r="I8" s="17">
        <f>H8*I2</f>
        <v>14921051449.5</v>
      </c>
      <c r="J8" s="1"/>
      <c r="K8" s="2" t="s">
        <v>98</v>
      </c>
      <c r="L8" s="2">
        <v>9.8000000000000007</v>
      </c>
      <c r="M8" s="1"/>
      <c r="N8" s="13"/>
      <c r="O8" s="90"/>
      <c r="P8" s="90"/>
      <c r="Q8" s="90"/>
      <c r="R8" s="90"/>
      <c r="S8" s="90"/>
      <c r="T8" s="94" t="s">
        <v>41</v>
      </c>
      <c r="U8" s="94"/>
      <c r="V8" s="87">
        <f>SUM(V3:W7)</f>
        <v>9064498564.2836418</v>
      </c>
      <c r="W8" s="87"/>
      <c r="X8" s="6"/>
      <c r="Y8" s="6"/>
      <c r="Z8" s="1"/>
      <c r="AA8" s="8" t="s">
        <v>65</v>
      </c>
      <c r="AB8" s="8"/>
      <c r="AC8" s="62" t="s">
        <v>66</v>
      </c>
      <c r="AD8" s="62" t="s">
        <v>66</v>
      </c>
      <c r="AE8" s="62" t="s">
        <v>67</v>
      </c>
      <c r="AF8" s="1"/>
    </row>
    <row r="9" spans="1:32">
      <c r="A9" s="30" t="s">
        <v>86</v>
      </c>
      <c r="B9" s="32">
        <v>9508000</v>
      </c>
      <c r="C9" s="34">
        <v>7</v>
      </c>
      <c r="D9" s="26">
        <f t="shared" si="0"/>
        <v>66556000</v>
      </c>
      <c r="E9" s="17">
        <f t="shared" si="1"/>
        <v>3377717000</v>
      </c>
      <c r="F9" s="3"/>
      <c r="G9" s="1"/>
      <c r="H9" s="5" t="s">
        <v>5</v>
      </c>
      <c r="I9" s="17">
        <f>SUM(I2:I8)</f>
        <v>137105929959.8</v>
      </c>
      <c r="J9" s="1"/>
      <c r="K9" s="2" t="s">
        <v>99</v>
      </c>
      <c r="L9" s="2">
        <f>3412/0.350824216</f>
        <v>9725.668424211628</v>
      </c>
      <c r="M9" s="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"/>
      <c r="AA9" s="8" t="s">
        <v>68</v>
      </c>
      <c r="AB9" s="62" t="s">
        <v>69</v>
      </c>
      <c r="AC9" s="61">
        <f>L17-I19</f>
        <v>31152685619.981155</v>
      </c>
      <c r="AD9" s="61">
        <f>(AC9*(((1-((1+0.1)^-25)))/0.1))+AC9</f>
        <v>313926859667.86841</v>
      </c>
      <c r="AE9" s="62">
        <f>((((AD9/I9)^(1/25)))-1)*100</f>
        <v>3.3691367588093657</v>
      </c>
      <c r="AF9" s="1"/>
    </row>
    <row r="10" spans="1:32" ht="15.75">
      <c r="A10" s="30" t="s">
        <v>2</v>
      </c>
      <c r="B10" s="32">
        <v>15000000</v>
      </c>
      <c r="C10" s="34">
        <v>3</v>
      </c>
      <c r="D10" s="26">
        <f t="shared" si="0"/>
        <v>45000000</v>
      </c>
      <c r="E10" s="17">
        <f t="shared" si="1"/>
        <v>2283750000</v>
      </c>
      <c r="F10" s="3"/>
      <c r="G10" s="1"/>
      <c r="H10" s="1"/>
      <c r="I10" s="1"/>
      <c r="J10" s="1"/>
      <c r="K10" s="1"/>
      <c r="L10" s="1"/>
      <c r="M10" s="1"/>
      <c r="N10" s="70" t="s">
        <v>49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"/>
      <c r="AA10" s="8" t="s">
        <v>70</v>
      </c>
      <c r="AB10" s="22">
        <v>0.1</v>
      </c>
      <c r="AC10" s="61">
        <f>AB5</f>
        <v>30605258521.447201</v>
      </c>
      <c r="AD10" s="61">
        <f>(AC10*(((1-((1+0.1)^-25)))/0.1))+AC10</f>
        <v>308410414888.87854</v>
      </c>
      <c r="AE10" s="62">
        <f>((((AD10/I9)^(1/25)))-1)*100</f>
        <v>3.2958590750661543</v>
      </c>
      <c r="AF10" s="1"/>
    </row>
    <row r="11" spans="1:32" ht="15.75">
      <c r="A11" s="30" t="s">
        <v>3</v>
      </c>
      <c r="B11" s="32">
        <v>48800600</v>
      </c>
      <c r="C11" s="34">
        <v>1</v>
      </c>
      <c r="D11" s="26">
        <f t="shared" si="0"/>
        <v>48800600</v>
      </c>
      <c r="E11" s="17">
        <f t="shared" si="1"/>
        <v>2476630450</v>
      </c>
      <c r="F11" s="3"/>
      <c r="G11" s="1"/>
      <c r="H11" s="1"/>
      <c r="I11" s="1"/>
      <c r="J11" s="1"/>
      <c r="K11" s="1"/>
      <c r="L11" s="1"/>
      <c r="M11" s="1"/>
      <c r="N11" s="103" t="s">
        <v>45</v>
      </c>
      <c r="O11" s="103"/>
      <c r="P11" s="103" t="s">
        <v>46</v>
      </c>
      <c r="Q11" s="103"/>
      <c r="R11" s="103"/>
      <c r="S11" s="103" t="s">
        <v>47</v>
      </c>
      <c r="T11" s="103"/>
      <c r="U11" s="103"/>
      <c r="V11" s="103" t="s">
        <v>48</v>
      </c>
      <c r="W11" s="103"/>
      <c r="X11" s="103"/>
      <c r="Y11" s="69" t="s">
        <v>49</v>
      </c>
      <c r="Z11" s="1"/>
      <c r="AA11" s="8" t="s">
        <v>71</v>
      </c>
      <c r="AB11" s="22">
        <v>0.1</v>
      </c>
      <c r="AC11" s="61">
        <f>AC5</f>
        <v>26997074629.991623</v>
      </c>
      <c r="AD11" s="61">
        <f>(AC11*(((1-((1+0.1)^-25)))/0.1))+AC11</f>
        <v>272050601421.55017</v>
      </c>
      <c r="AE11" s="62">
        <f>((((AD11/I9)^(1/25)))-1)*100</f>
        <v>2.7788462220095234</v>
      </c>
      <c r="AF11" s="1"/>
    </row>
    <row r="12" spans="1:32">
      <c r="A12" s="1"/>
      <c r="B12" s="1"/>
      <c r="C12" s="1"/>
      <c r="D12" s="5" t="s">
        <v>5</v>
      </c>
      <c r="E12" s="17">
        <f>SUM(E3:E11)</f>
        <v>74605257247.5</v>
      </c>
      <c r="F12" s="3"/>
      <c r="G12" s="98" t="s">
        <v>15</v>
      </c>
      <c r="H12" s="99"/>
      <c r="I12" s="100"/>
      <c r="J12" s="1"/>
      <c r="K12" s="2" t="s">
        <v>24</v>
      </c>
      <c r="L12" s="14">
        <f>L9*1000</f>
        <v>9725668.4242116287</v>
      </c>
      <c r="M12" s="1"/>
      <c r="N12" s="86">
        <v>2022</v>
      </c>
      <c r="O12" s="86"/>
      <c r="P12" s="86">
        <v>2</v>
      </c>
      <c r="Q12" s="86"/>
      <c r="R12" s="86"/>
      <c r="S12" s="87">
        <f>I9</f>
        <v>137105929959.8</v>
      </c>
      <c r="T12" s="87"/>
      <c r="U12" s="87"/>
      <c r="V12" s="87">
        <f>L17-I19</f>
        <v>31152685619.981155</v>
      </c>
      <c r="W12" s="87"/>
      <c r="X12" s="87"/>
      <c r="Y12" s="15">
        <f>(V12/S12)</f>
        <v>0.22721617970218536</v>
      </c>
      <c r="Z12" s="1"/>
      <c r="AA12" s="8" t="s">
        <v>72</v>
      </c>
      <c r="AB12" s="22">
        <v>0.1</v>
      </c>
      <c r="AC12" s="61">
        <f>AD5</f>
        <v>32395213248.983143</v>
      </c>
      <c r="AD12" s="61">
        <f>(AC12*(((1-((1+0.1)^-25)))/0.1))+AC12</f>
        <v>326447860309.07709</v>
      </c>
      <c r="AE12" s="62">
        <f>((((AD12/I9)^(1/25)))-1)*100</f>
        <v>3.5309748844890798</v>
      </c>
      <c r="AF12" s="1"/>
    </row>
    <row r="13" spans="1:32">
      <c r="A13" s="1"/>
      <c r="B13" s="1"/>
      <c r="C13" s="1"/>
      <c r="D13" s="1"/>
      <c r="E13" s="1"/>
      <c r="F13" s="3"/>
      <c r="G13" s="2" t="s">
        <v>16</v>
      </c>
      <c r="H13" s="2"/>
      <c r="I13" s="17">
        <f>L16</f>
        <v>6539619100.0104694</v>
      </c>
      <c r="J13" s="1"/>
      <c r="K13" s="2" t="s">
        <v>34</v>
      </c>
      <c r="L13" s="19">
        <v>6.8000000000000005E-2</v>
      </c>
      <c r="M13" s="1"/>
      <c r="N13" s="86">
        <v>2023</v>
      </c>
      <c r="O13" s="86"/>
      <c r="P13" s="86">
        <v>3</v>
      </c>
      <c r="Q13" s="86"/>
      <c r="R13" s="86"/>
      <c r="S13" s="87">
        <f>S12-V12</f>
        <v>105953244339.81885</v>
      </c>
      <c r="T13" s="87"/>
      <c r="U13" s="87"/>
      <c r="V13" s="87">
        <f>V12</f>
        <v>31152685619.981155</v>
      </c>
      <c r="W13" s="87"/>
      <c r="X13" s="87"/>
      <c r="Y13" s="15">
        <f>(V13/S13)</f>
        <v>0.29402295148288821</v>
      </c>
      <c r="Z13" s="1"/>
      <c r="AA13" s="10"/>
      <c r="AB13" s="7"/>
      <c r="AC13" s="7"/>
      <c r="AD13" s="7"/>
      <c r="AE13" s="7"/>
      <c r="AF13" s="1"/>
    </row>
    <row r="14" spans="1:32" ht="15.75">
      <c r="A14" s="1"/>
      <c r="B14" s="1"/>
      <c r="C14" s="1"/>
      <c r="D14" s="1"/>
      <c r="E14" s="1"/>
      <c r="F14" s="3"/>
      <c r="G14" s="2" t="s">
        <v>17</v>
      </c>
      <c r="H14" s="2">
        <v>0.2</v>
      </c>
      <c r="I14" s="17">
        <f>H14*I13</f>
        <v>1307923820.002094</v>
      </c>
      <c r="J14" s="1"/>
      <c r="K14" s="2" t="s">
        <v>35</v>
      </c>
      <c r="L14" s="19">
        <f>L13*50.75</f>
        <v>3.4510000000000001</v>
      </c>
      <c r="M14" s="1"/>
      <c r="N14" s="86">
        <v>2024</v>
      </c>
      <c r="O14" s="86"/>
      <c r="P14" s="86">
        <v>4</v>
      </c>
      <c r="Q14" s="86"/>
      <c r="R14" s="86"/>
      <c r="S14" s="87">
        <f>S13-V13</f>
        <v>74800558719.837692</v>
      </c>
      <c r="T14" s="87"/>
      <c r="U14" s="87"/>
      <c r="V14" s="87">
        <f>V12</f>
        <v>31152685619.981155</v>
      </c>
      <c r="W14" s="87"/>
      <c r="X14" s="87"/>
      <c r="Y14" s="15">
        <f>(V14/S14)</f>
        <v>0.41647664339864376</v>
      </c>
      <c r="Z14" s="1"/>
      <c r="AA14" s="71" t="s">
        <v>73</v>
      </c>
      <c r="AB14" s="7"/>
      <c r="AC14" s="7"/>
      <c r="AD14" s="7"/>
      <c r="AE14" s="7"/>
      <c r="AF14" s="1"/>
    </row>
    <row r="15" spans="1:32" ht="15.75">
      <c r="A15" s="1"/>
      <c r="B15" s="1"/>
      <c r="C15" s="1"/>
      <c r="D15" s="1"/>
      <c r="E15" s="1"/>
      <c r="F15" s="3"/>
      <c r="G15" s="2" t="s">
        <v>18</v>
      </c>
      <c r="H15" s="2">
        <f>H14</f>
        <v>0.2</v>
      </c>
      <c r="I15" s="17">
        <f>I14</f>
        <v>1307923820.002094</v>
      </c>
      <c r="J15" s="1"/>
      <c r="K15" s="2" t="s">
        <v>30</v>
      </c>
      <c r="L15" s="19">
        <v>22479.470399999998</v>
      </c>
      <c r="M15" s="1"/>
      <c r="N15" s="86">
        <v>2025</v>
      </c>
      <c r="O15" s="86"/>
      <c r="P15" s="86">
        <v>5</v>
      </c>
      <c r="Q15" s="86"/>
      <c r="R15" s="86"/>
      <c r="S15" s="87">
        <f>S14-V14</f>
        <v>43647873099.856537</v>
      </c>
      <c r="T15" s="87"/>
      <c r="U15" s="87"/>
      <c r="V15" s="87">
        <f>V12</f>
        <v>31152685619.981155</v>
      </c>
      <c r="W15" s="87"/>
      <c r="X15" s="87"/>
      <c r="Y15" s="15">
        <f>(V15/S15)</f>
        <v>0.71372746041280877</v>
      </c>
      <c r="Z15" s="1"/>
      <c r="AA15" s="69" t="s">
        <v>74</v>
      </c>
      <c r="AB15" s="69" t="s">
        <v>75</v>
      </c>
      <c r="AC15" s="69" t="s">
        <v>76</v>
      </c>
      <c r="AD15" s="69" t="s">
        <v>77</v>
      </c>
      <c r="AE15" s="69" t="s">
        <v>78</v>
      </c>
      <c r="AF15" s="1"/>
    </row>
    <row r="16" spans="1:32">
      <c r="A16" s="1"/>
      <c r="B16" s="1"/>
      <c r="C16" s="1"/>
      <c r="D16" s="1"/>
      <c r="E16" s="1"/>
      <c r="F16" s="3"/>
      <c r="G16" s="2" t="s">
        <v>19</v>
      </c>
      <c r="H16" s="2">
        <f>H14</f>
        <v>0.2</v>
      </c>
      <c r="I16" s="17">
        <f>I14</f>
        <v>1307923820.002094</v>
      </c>
      <c r="J16" s="1"/>
      <c r="K16" s="2" t="s">
        <v>16</v>
      </c>
      <c r="L16" s="27">
        <f>(L14*L12*500*365*24)/L15</f>
        <v>6539619100.0104694</v>
      </c>
      <c r="M16" s="1"/>
      <c r="N16" s="86">
        <v>2045</v>
      </c>
      <c r="O16" s="86"/>
      <c r="P16" s="86">
        <v>25</v>
      </c>
      <c r="Q16" s="86"/>
      <c r="R16" s="86"/>
      <c r="S16" s="87">
        <f>S15-(V15*20)</f>
        <v>-579405839299.76648</v>
      </c>
      <c r="T16" s="87"/>
      <c r="U16" s="87"/>
      <c r="V16" s="87">
        <f>V12</f>
        <v>31152685619.981155</v>
      </c>
      <c r="W16" s="87"/>
      <c r="X16" s="87"/>
      <c r="Y16" s="15">
        <f>V16/-S16</f>
        <v>5.376660624896417E-2</v>
      </c>
      <c r="Z16" s="1"/>
      <c r="AA16" s="18">
        <f>(O3-R3-V3)/25</f>
        <v>2750248203.1718402</v>
      </c>
      <c r="AB16" s="18">
        <f>(O6-R6-V6)/25</f>
        <v>5054273002.0380678</v>
      </c>
      <c r="AC16" s="18">
        <f>AA16+AB16+I19</f>
        <v>19575835585.228752</v>
      </c>
      <c r="AD16" s="18">
        <f>L17</f>
        <v>42924000000</v>
      </c>
      <c r="AE16" s="16">
        <f>(AC16/AD16)*500</f>
        <v>228.02902321811519</v>
      </c>
      <c r="AF16" s="1"/>
    </row>
    <row r="17" spans="1:32" ht="15.75">
      <c r="A17" s="1"/>
      <c r="B17" s="1"/>
      <c r="C17" s="1"/>
      <c r="D17" s="1"/>
      <c r="E17" s="1"/>
      <c r="F17" s="3"/>
      <c r="G17" s="2" t="s">
        <v>20</v>
      </c>
      <c r="H17" s="2">
        <v>0.1</v>
      </c>
      <c r="I17" s="17">
        <f>H17*I13</f>
        <v>653961910.00104702</v>
      </c>
      <c r="J17" s="1"/>
      <c r="K17" s="2" t="s">
        <v>31</v>
      </c>
      <c r="L17" s="20">
        <f>L7*L8*365*24</f>
        <v>42924000000</v>
      </c>
      <c r="M17" s="1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11" t="s">
        <v>50</v>
      </c>
      <c r="Y17" s="15">
        <f>AVERAGE(Y12:Y16)</f>
        <v>0.34104196824909805</v>
      </c>
      <c r="Z17" s="1"/>
      <c r="AA17" s="1"/>
      <c r="AB17" s="1"/>
      <c r="AC17" s="1"/>
      <c r="AD17" s="1"/>
      <c r="AE17" s="1"/>
      <c r="AF17" s="1"/>
    </row>
    <row r="18" spans="1:32">
      <c r="A18" s="1"/>
      <c r="B18" s="1"/>
      <c r="C18" s="1"/>
      <c r="D18" s="1"/>
      <c r="E18" s="1"/>
      <c r="F18" s="3"/>
      <c r="G18" s="2" t="s">
        <v>21</v>
      </c>
      <c r="H18" s="2">
        <f>H17</f>
        <v>0.1</v>
      </c>
      <c r="I18" s="17">
        <f>H18*I13</f>
        <v>653961910.00104702</v>
      </c>
      <c r="J18" s="1"/>
      <c r="K18" s="2" t="s">
        <v>32</v>
      </c>
      <c r="L18" s="19">
        <f>L17*((1-1.065^-25)/0.065)</f>
        <v>523581660546.32507</v>
      </c>
      <c r="M18" s="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"/>
      <c r="AA18" s="1"/>
      <c r="AC18" s="19" t="s">
        <v>128</v>
      </c>
      <c r="AD18" s="2">
        <f>AD16-AC16</f>
        <v>23348164414.771248</v>
      </c>
      <c r="AE18" s="1"/>
      <c r="AF18" s="1"/>
    </row>
    <row r="19" spans="1:32" ht="15.75">
      <c r="A19" s="1"/>
      <c r="B19" s="1"/>
      <c r="C19" s="1"/>
      <c r="D19" s="1"/>
      <c r="E19" s="1"/>
      <c r="F19" s="3"/>
      <c r="G19" s="1"/>
      <c r="H19" s="5" t="s">
        <v>5</v>
      </c>
      <c r="I19" s="17">
        <f>SUM(I13:I18)</f>
        <v>11771314380.018847</v>
      </c>
      <c r="J19" s="1"/>
      <c r="K19" s="2" t="s">
        <v>33</v>
      </c>
      <c r="L19" s="19">
        <f>((I9-(0.1)*(I9))/25)</f>
        <v>4935813478.5528002</v>
      </c>
      <c r="M19" s="1"/>
      <c r="N19" s="70" t="s">
        <v>52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"/>
      <c r="AA19" s="23" t="s">
        <v>57</v>
      </c>
      <c r="AC19" s="78" t="s">
        <v>127</v>
      </c>
      <c r="AD19" s="2">
        <f>0.12*E12</f>
        <v>8952630869.6999989</v>
      </c>
      <c r="AE19" s="1"/>
      <c r="AF19" s="1"/>
    </row>
    <row r="20" spans="1:32" ht="15.75">
      <c r="A20" s="1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03" t="s">
        <v>45</v>
      </c>
      <c r="O20" s="103"/>
      <c r="P20" s="103" t="s">
        <v>48</v>
      </c>
      <c r="Q20" s="103"/>
      <c r="R20" s="103"/>
      <c r="S20" s="103"/>
      <c r="T20" s="103" t="s">
        <v>47</v>
      </c>
      <c r="U20" s="103"/>
      <c r="V20" s="103" t="s">
        <v>39</v>
      </c>
      <c r="W20" s="103"/>
      <c r="X20" s="12"/>
      <c r="Y20" s="6"/>
      <c r="Z20" s="1"/>
      <c r="AA20" s="23" t="s">
        <v>58</v>
      </c>
      <c r="AB20" s="25">
        <f>500*0.9</f>
        <v>450</v>
      </c>
      <c r="AC20" s="19" t="s">
        <v>126</v>
      </c>
      <c r="AD20" s="2">
        <f>V12/AD19</f>
        <v>3.4797241250520896</v>
      </c>
      <c r="AE20" s="1"/>
      <c r="AF20" s="1"/>
    </row>
    <row r="21" spans="1:32">
      <c r="A21" s="1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86">
        <v>2022</v>
      </c>
      <c r="O21" s="86"/>
      <c r="P21" s="87">
        <f>V12</f>
        <v>31152685619.981155</v>
      </c>
      <c r="Q21" s="87"/>
      <c r="R21" s="87"/>
      <c r="S21" s="87"/>
      <c r="T21" s="87">
        <f>S12</f>
        <v>137105929959.8</v>
      </c>
      <c r="U21" s="87"/>
      <c r="V21" s="87">
        <f>T21-V8</f>
        <v>128041431395.51636</v>
      </c>
      <c r="W21" s="87"/>
      <c r="X21" s="12"/>
      <c r="Y21" s="6"/>
      <c r="Z21" s="1"/>
      <c r="AA21" s="1"/>
      <c r="AB21" s="1"/>
      <c r="AC21" s="1"/>
      <c r="AD21" s="1"/>
      <c r="AE21" s="1"/>
      <c r="AF21" s="1"/>
    </row>
    <row r="22" spans="1:32">
      <c r="A22" s="1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86">
        <v>2023</v>
      </c>
      <c r="O22" s="86"/>
      <c r="P22" s="87">
        <f>P21</f>
        <v>31152685619.981155</v>
      </c>
      <c r="Q22" s="87"/>
      <c r="R22" s="87"/>
      <c r="S22" s="87"/>
      <c r="T22" s="87">
        <f>T21-P22</f>
        <v>105953244339.81885</v>
      </c>
      <c r="U22" s="87"/>
      <c r="V22" s="87">
        <f>V21-V8</f>
        <v>118976932831.23271</v>
      </c>
      <c r="W22" s="87"/>
      <c r="X22" s="12"/>
      <c r="Y22" s="6"/>
      <c r="Z22" s="1"/>
      <c r="AA22" s="1"/>
      <c r="AB22" s="1"/>
      <c r="AC22" s="1"/>
      <c r="AD22" s="1"/>
      <c r="AE22" s="1"/>
      <c r="AF22" s="1"/>
    </row>
    <row r="23" spans="1:32">
      <c r="A23" s="1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86">
        <v>2024</v>
      </c>
      <c r="O23" s="86"/>
      <c r="P23" s="87">
        <f>P21</f>
        <v>31152685619.981155</v>
      </c>
      <c r="Q23" s="87"/>
      <c r="R23" s="87"/>
      <c r="S23" s="87"/>
      <c r="T23" s="87">
        <f>T22-P23</f>
        <v>74800558719.837692</v>
      </c>
      <c r="U23" s="87"/>
      <c r="V23" s="87">
        <f>V22-V8</f>
        <v>109912434266.94907</v>
      </c>
      <c r="W23" s="87"/>
      <c r="X23" s="12"/>
      <c r="Y23" s="6"/>
      <c r="Z23" s="1"/>
      <c r="AA23" s="1"/>
      <c r="AB23" s="1"/>
      <c r="AC23" s="1"/>
      <c r="AD23" s="1"/>
      <c r="AE23" s="1"/>
      <c r="AF23" s="1"/>
    </row>
    <row r="24" spans="1:32">
      <c r="A24" s="1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86">
        <v>2025</v>
      </c>
      <c r="O24" s="86"/>
      <c r="P24" s="87">
        <f>P21</f>
        <v>31152685619.981155</v>
      </c>
      <c r="Q24" s="87"/>
      <c r="R24" s="87"/>
      <c r="S24" s="87"/>
      <c r="T24" s="87">
        <f>T23-P24</f>
        <v>43647873099.856537</v>
      </c>
      <c r="U24" s="87"/>
      <c r="V24" s="87">
        <f>V23-V8</f>
        <v>100847935702.66542</v>
      </c>
      <c r="W24" s="87"/>
      <c r="X24" s="12"/>
      <c r="Y24" s="6"/>
      <c r="Z24" s="1"/>
      <c r="AA24" s="1"/>
      <c r="AB24" s="1"/>
      <c r="AC24" s="1"/>
      <c r="AD24" s="1"/>
      <c r="AE24" s="1"/>
      <c r="AF24" s="1"/>
    </row>
    <row r="25" spans="1:32">
      <c r="A25" s="1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86" t="s">
        <v>51</v>
      </c>
      <c r="O25" s="86"/>
      <c r="P25" s="87">
        <f>AVERAGE(P21:S24)</f>
        <v>31152685619.981155</v>
      </c>
      <c r="Q25" s="87"/>
      <c r="R25" s="87"/>
      <c r="S25" s="87"/>
      <c r="T25" s="87">
        <f>AVERAGE(T21:U24)</f>
        <v>90376901529.828278</v>
      </c>
      <c r="U25" s="87"/>
      <c r="V25" s="87">
        <f>AVERAGE(V21:W24)</f>
        <v>114444683549.09088</v>
      </c>
      <c r="W25" s="87"/>
      <c r="X25" s="12"/>
      <c r="Y25" s="6"/>
      <c r="Z25" s="1"/>
      <c r="AA25" s="1"/>
      <c r="AB25" s="1"/>
      <c r="AC25" s="1"/>
      <c r="AD25" s="1"/>
      <c r="AE25" s="1"/>
      <c r="AF25" s="1"/>
    </row>
    <row r="26" spans="1:32" ht="15.75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03" t="s">
        <v>52</v>
      </c>
      <c r="O26" s="103"/>
      <c r="P26" s="103"/>
      <c r="Q26" s="103"/>
      <c r="R26" s="103"/>
      <c r="S26" s="103"/>
      <c r="T26" s="104">
        <f>T21/P21</f>
        <v>4.4010950334202015</v>
      </c>
      <c r="U26" s="104"/>
      <c r="V26" s="104"/>
      <c r="W26" s="104"/>
      <c r="X26" s="12"/>
      <c r="Y26" s="6"/>
      <c r="Z26" s="1"/>
      <c r="AA26" s="1"/>
      <c r="AB26" s="1"/>
      <c r="AC26" s="1"/>
      <c r="AD26" s="1"/>
      <c r="AE26" s="1"/>
      <c r="AF26" s="1"/>
    </row>
    <row r="27" spans="1:32">
      <c r="A27" s="1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"/>
      <c r="AA27" s="1"/>
      <c r="AB27" s="1"/>
      <c r="AC27" s="1"/>
      <c r="AD27" s="1"/>
      <c r="AE27" s="1"/>
      <c r="AF27" s="1"/>
    </row>
  </sheetData>
  <mergeCells count="82">
    <mergeCell ref="T2:U2"/>
    <mergeCell ref="V2:W2"/>
    <mergeCell ref="O3:P3"/>
    <mergeCell ref="R3:S3"/>
    <mergeCell ref="T3:U3"/>
    <mergeCell ref="V3:W3"/>
    <mergeCell ref="O4:P4"/>
    <mergeCell ref="R4:S4"/>
    <mergeCell ref="T4:U4"/>
    <mergeCell ref="V4:W4"/>
    <mergeCell ref="O5:P5"/>
    <mergeCell ref="R5:S5"/>
    <mergeCell ref="T5:U5"/>
    <mergeCell ref="V5:W5"/>
    <mergeCell ref="S11:U11"/>
    <mergeCell ref="V11:X11"/>
    <mergeCell ref="O6:P6"/>
    <mergeCell ref="R6:S6"/>
    <mergeCell ref="T6:U6"/>
    <mergeCell ref="V6:W6"/>
    <mergeCell ref="O7:P7"/>
    <mergeCell ref="R7:S7"/>
    <mergeCell ref="T7:U7"/>
    <mergeCell ref="V7:W7"/>
    <mergeCell ref="O8:S8"/>
    <mergeCell ref="T8:U8"/>
    <mergeCell ref="V8:W8"/>
    <mergeCell ref="N11:O11"/>
    <mergeCell ref="P11:R11"/>
    <mergeCell ref="G12:I12"/>
    <mergeCell ref="N12:O12"/>
    <mergeCell ref="P12:R12"/>
    <mergeCell ref="S12:U12"/>
    <mergeCell ref="V12:X12"/>
    <mergeCell ref="N13:O13"/>
    <mergeCell ref="P13:R13"/>
    <mergeCell ref="S13:U13"/>
    <mergeCell ref="V13:X13"/>
    <mergeCell ref="N14:O14"/>
    <mergeCell ref="P14:R14"/>
    <mergeCell ref="S14:U14"/>
    <mergeCell ref="V14:X14"/>
    <mergeCell ref="T20:U20"/>
    <mergeCell ref="V20:W20"/>
    <mergeCell ref="N15:O15"/>
    <mergeCell ref="P15:R15"/>
    <mergeCell ref="S15:U15"/>
    <mergeCell ref="V15:X15"/>
    <mergeCell ref="N16:O16"/>
    <mergeCell ref="P16:R16"/>
    <mergeCell ref="S16:U16"/>
    <mergeCell ref="V16:X16"/>
    <mergeCell ref="N17:W17"/>
    <mergeCell ref="N20:O20"/>
    <mergeCell ref="P20:S20"/>
    <mergeCell ref="N21:O21"/>
    <mergeCell ref="P21:S21"/>
    <mergeCell ref="T21:U21"/>
    <mergeCell ref="V21:W21"/>
    <mergeCell ref="N22:O22"/>
    <mergeCell ref="P22:S22"/>
    <mergeCell ref="T22:U22"/>
    <mergeCell ref="V22:W22"/>
    <mergeCell ref="T25:U25"/>
    <mergeCell ref="V25:W25"/>
    <mergeCell ref="N26:S26"/>
    <mergeCell ref="T26:W26"/>
    <mergeCell ref="N23:O23"/>
    <mergeCell ref="P23:S23"/>
    <mergeCell ref="T23:U23"/>
    <mergeCell ref="V23:W23"/>
    <mergeCell ref="N24:O24"/>
    <mergeCell ref="P24:S24"/>
    <mergeCell ref="N25:O25"/>
    <mergeCell ref="P25:S25"/>
    <mergeCell ref="T24:U24"/>
    <mergeCell ref="V24:W24"/>
    <mergeCell ref="A1:E1"/>
    <mergeCell ref="G1:I1"/>
    <mergeCell ref="N1:O1"/>
    <mergeCell ref="O2:P2"/>
    <mergeCell ref="R2:S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36"/>
  <sheetViews>
    <sheetView topLeftCell="AA1" zoomScale="70" zoomScaleNormal="70" workbookViewId="0">
      <selection activeCell="E12" sqref="E12"/>
    </sheetView>
  </sheetViews>
  <sheetFormatPr defaultColWidth="21.140625" defaultRowHeight="15"/>
  <cols>
    <col min="1" max="1" width="23.7109375" bestFit="1" customWidth="1"/>
    <col min="2" max="2" width="19.28515625" bestFit="1" customWidth="1"/>
    <col min="3" max="3" width="6.28515625" bestFit="1" customWidth="1"/>
    <col min="4" max="4" width="19.28515625" bestFit="1" customWidth="1"/>
    <col min="5" max="5" width="22.42578125" bestFit="1" customWidth="1"/>
    <col min="7" max="7" width="33.5703125" bestFit="1" customWidth="1"/>
    <col min="8" max="8" width="6.85546875" bestFit="1" customWidth="1"/>
    <col min="9" max="9" width="23.85546875" bestFit="1" customWidth="1"/>
    <col min="11" max="11" width="24.85546875" bestFit="1" customWidth="1"/>
    <col min="12" max="12" width="22.28515625" bestFit="1" customWidth="1"/>
    <col min="14" max="14" width="24.7109375" bestFit="1" customWidth="1"/>
    <col min="24" max="24" width="10.42578125" bestFit="1" customWidth="1"/>
    <col min="25" max="25" width="8.7109375" bestFit="1" customWidth="1"/>
    <col min="27" max="27" width="39.7109375" bestFit="1" customWidth="1"/>
    <col min="28" max="28" width="28" bestFit="1" customWidth="1"/>
    <col min="29" max="29" width="33.5703125" bestFit="1" customWidth="1"/>
    <col min="30" max="30" width="36.28515625" bestFit="1" customWidth="1"/>
    <col min="31" max="31" width="41.28515625" bestFit="1" customWidth="1"/>
  </cols>
  <sheetData>
    <row r="1" spans="1:32" ht="15.75">
      <c r="A1" s="106" t="s">
        <v>103</v>
      </c>
      <c r="B1" s="107"/>
      <c r="C1" s="107"/>
      <c r="D1" s="107"/>
      <c r="E1" s="108"/>
      <c r="F1" s="4"/>
      <c r="G1" s="109" t="s">
        <v>8</v>
      </c>
      <c r="H1" s="109"/>
      <c r="I1" s="109"/>
      <c r="J1" s="1"/>
      <c r="K1" s="1"/>
      <c r="L1" s="1"/>
      <c r="M1" s="1"/>
      <c r="N1" s="110" t="s">
        <v>39</v>
      </c>
      <c r="O1" s="110"/>
      <c r="P1" s="6"/>
      <c r="Q1" s="6"/>
      <c r="R1" s="6"/>
      <c r="S1" s="6"/>
      <c r="T1" s="6"/>
      <c r="U1" s="6"/>
      <c r="V1" s="6"/>
      <c r="W1" s="6"/>
      <c r="X1" s="6"/>
      <c r="Y1" s="6"/>
      <c r="Z1" s="1"/>
      <c r="AA1" s="76" t="s">
        <v>53</v>
      </c>
      <c r="AB1" s="7"/>
      <c r="AC1" s="7"/>
      <c r="AD1" s="7"/>
      <c r="AE1" s="7"/>
      <c r="AF1" s="1"/>
    </row>
    <row r="2" spans="1:32" ht="15.75">
      <c r="A2" s="2"/>
      <c r="B2" s="73" t="s">
        <v>6</v>
      </c>
      <c r="C2" s="73" t="s">
        <v>4</v>
      </c>
      <c r="D2" s="73" t="s">
        <v>5</v>
      </c>
      <c r="E2" s="73" t="s">
        <v>7</v>
      </c>
      <c r="F2" s="3"/>
      <c r="G2" s="2" t="s">
        <v>9</v>
      </c>
      <c r="H2" s="2"/>
      <c r="I2" s="17">
        <f>E12</f>
        <v>74324187000</v>
      </c>
      <c r="J2" s="1"/>
      <c r="K2" s="2" t="s">
        <v>22</v>
      </c>
      <c r="L2" s="2">
        <f>I15+I17</f>
        <v>1961885730.0031409</v>
      </c>
      <c r="M2" s="1"/>
      <c r="N2" s="8"/>
      <c r="O2" s="105" t="s">
        <v>36</v>
      </c>
      <c r="P2" s="105"/>
      <c r="Q2" s="75" t="s">
        <v>101</v>
      </c>
      <c r="R2" s="105" t="s">
        <v>37</v>
      </c>
      <c r="S2" s="105"/>
      <c r="T2" s="105" t="s">
        <v>38</v>
      </c>
      <c r="U2" s="105"/>
      <c r="V2" s="105" t="s">
        <v>39</v>
      </c>
      <c r="W2" s="105"/>
      <c r="X2" s="6"/>
      <c r="Y2" s="6"/>
      <c r="Z2" s="1"/>
      <c r="AA2" s="62"/>
      <c r="AB2" s="75" t="s">
        <v>54</v>
      </c>
      <c r="AC2" s="75" t="s">
        <v>55</v>
      </c>
      <c r="AD2" s="75" t="s">
        <v>56</v>
      </c>
      <c r="AE2" s="7"/>
      <c r="AF2" s="1"/>
    </row>
    <row r="3" spans="1:32">
      <c r="A3" s="29" t="s">
        <v>0</v>
      </c>
      <c r="B3" s="31">
        <v>699700000</v>
      </c>
      <c r="C3" s="33">
        <v>1</v>
      </c>
      <c r="D3" s="26">
        <f t="shared" ref="D3:D11" si="0">B3*C3</f>
        <v>699700000</v>
      </c>
      <c r="E3" s="17">
        <f t="shared" ref="E3:E11" si="1">D3*50.75</f>
        <v>35509775000</v>
      </c>
      <c r="F3" s="3"/>
      <c r="G3" s="2" t="s">
        <v>10</v>
      </c>
      <c r="H3" s="2">
        <v>0.1</v>
      </c>
      <c r="I3" s="17">
        <f>H3*I2</f>
        <v>7432418700</v>
      </c>
      <c r="J3" s="1"/>
      <c r="K3" s="2" t="s">
        <v>23</v>
      </c>
      <c r="L3" s="2">
        <f>I14+I16</f>
        <v>2615847640.0041881</v>
      </c>
      <c r="M3" s="1"/>
      <c r="N3" s="8" t="s">
        <v>9</v>
      </c>
      <c r="O3" s="87">
        <f>E12</f>
        <v>74324187000</v>
      </c>
      <c r="P3" s="87"/>
      <c r="Q3" s="61">
        <v>0.04</v>
      </c>
      <c r="R3" s="87">
        <f>O3*Q3</f>
        <v>2972967480</v>
      </c>
      <c r="S3" s="87"/>
      <c r="T3" s="86">
        <v>25</v>
      </c>
      <c r="U3" s="86"/>
      <c r="V3" s="87">
        <f>(O3-R3)/T3</f>
        <v>2854048780.8000002</v>
      </c>
      <c r="W3" s="87"/>
      <c r="X3" s="6"/>
      <c r="Y3" s="6"/>
      <c r="Z3" s="1"/>
      <c r="AA3" s="62" t="s">
        <v>32</v>
      </c>
      <c r="AB3" s="61">
        <f>9.8*AB20*0.92*24*365*1000</f>
        <v>35541072000</v>
      </c>
      <c r="AC3" s="61">
        <f>L17</f>
        <v>42924000000</v>
      </c>
      <c r="AD3" s="61">
        <f>AC3</f>
        <v>42924000000</v>
      </c>
      <c r="AE3" s="7"/>
      <c r="AF3" s="1"/>
    </row>
    <row r="4" spans="1:32">
      <c r="A4" s="29" t="s">
        <v>25</v>
      </c>
      <c r="B4" s="31">
        <v>87060000</v>
      </c>
      <c r="C4" s="33">
        <v>1</v>
      </c>
      <c r="D4" s="26">
        <f t="shared" si="0"/>
        <v>87060000</v>
      </c>
      <c r="E4" s="17">
        <f t="shared" si="1"/>
        <v>4418295000</v>
      </c>
      <c r="F4" s="3"/>
      <c r="G4" s="2" t="s">
        <v>11</v>
      </c>
      <c r="H4" s="2">
        <v>0.33</v>
      </c>
      <c r="I4" s="17">
        <f>H4*I2</f>
        <v>24526981710</v>
      </c>
      <c r="J4" s="1"/>
      <c r="K4" s="1"/>
      <c r="L4" s="1"/>
      <c r="M4" s="1"/>
      <c r="N4" s="8" t="s">
        <v>42</v>
      </c>
      <c r="O4" s="87">
        <f>I8</f>
        <v>14864837400</v>
      </c>
      <c r="P4" s="87"/>
      <c r="Q4" s="61">
        <v>0.04</v>
      </c>
      <c r="R4" s="87">
        <f>O4*Q4</f>
        <v>594593496</v>
      </c>
      <c r="S4" s="87"/>
      <c r="T4" s="86">
        <v>25</v>
      </c>
      <c r="U4" s="86"/>
      <c r="V4" s="87">
        <f>(O4-R4)/T4</f>
        <v>570809756.15999997</v>
      </c>
      <c r="W4" s="87"/>
      <c r="X4" s="6"/>
      <c r="Y4" s="6"/>
      <c r="Z4" s="1"/>
      <c r="AA4" s="62" t="s">
        <v>59</v>
      </c>
      <c r="AB4" s="61">
        <f>L19</f>
        <v>4917296570.6475</v>
      </c>
      <c r="AC4" s="61">
        <f>10695230090+SUM(I14:I18)</f>
        <v>15926925370.008377</v>
      </c>
      <c r="AD4" s="61">
        <f>(L16*0.9*0.9)+SUM(I14:I18)</f>
        <v>10528786751.016857</v>
      </c>
      <c r="AE4" s="7"/>
      <c r="AF4" s="1"/>
    </row>
    <row r="5" spans="1:32">
      <c r="A5" s="30" t="s">
        <v>26</v>
      </c>
      <c r="B5" s="32">
        <v>80000000</v>
      </c>
      <c r="C5" s="34">
        <v>1</v>
      </c>
      <c r="D5" s="26">
        <f t="shared" si="0"/>
        <v>80000000</v>
      </c>
      <c r="E5" s="17">
        <f t="shared" si="1"/>
        <v>4060000000</v>
      </c>
      <c r="F5" s="3"/>
      <c r="G5" s="2" t="s">
        <v>12</v>
      </c>
      <c r="H5" s="2">
        <v>0.2</v>
      </c>
      <c r="I5" s="17">
        <f>H5*I2</f>
        <v>14864837400</v>
      </c>
      <c r="J5" s="1"/>
      <c r="K5" s="1"/>
      <c r="L5" s="1"/>
      <c r="M5" s="1"/>
      <c r="N5" s="8" t="s">
        <v>40</v>
      </c>
      <c r="O5" s="87">
        <f>L2</f>
        <v>1961885730.0031409</v>
      </c>
      <c r="P5" s="87"/>
      <c r="Q5" s="61">
        <v>0.04</v>
      </c>
      <c r="R5" s="87">
        <f>O5*Q5</f>
        <v>78475429.200125635</v>
      </c>
      <c r="S5" s="87"/>
      <c r="T5" s="86">
        <v>25</v>
      </c>
      <c r="U5" s="86"/>
      <c r="V5" s="87">
        <f>(O5-R5)/T5</f>
        <v>75336412.032120615</v>
      </c>
      <c r="W5" s="87"/>
      <c r="X5" s="6"/>
      <c r="Y5" s="6"/>
      <c r="Z5" s="1"/>
      <c r="AA5" s="62" t="s">
        <v>60</v>
      </c>
      <c r="AB5" s="61">
        <f>AB3-AB4</f>
        <v>30623775429.352501</v>
      </c>
      <c r="AC5" s="61">
        <f>AC3-AC4</f>
        <v>26997074629.991623</v>
      </c>
      <c r="AD5" s="61">
        <f>AD3-AD4</f>
        <v>32395213248.983143</v>
      </c>
      <c r="AE5" s="7"/>
      <c r="AF5" s="1"/>
    </row>
    <row r="6" spans="1:32">
      <c r="A6" s="30" t="s">
        <v>27</v>
      </c>
      <c r="B6" s="32">
        <v>280560000</v>
      </c>
      <c r="C6" s="34">
        <v>1</v>
      </c>
      <c r="D6" s="26">
        <f t="shared" si="0"/>
        <v>280560000</v>
      </c>
      <c r="E6" s="17">
        <f t="shared" si="1"/>
        <v>14238420000</v>
      </c>
      <c r="F6" s="3"/>
      <c r="G6" s="2" t="s">
        <v>13</v>
      </c>
      <c r="H6" s="2">
        <v>0.15</v>
      </c>
      <c r="I6" s="17">
        <f>H6*I7</f>
        <v>75431634.375</v>
      </c>
      <c r="J6" s="1"/>
      <c r="K6" s="28" t="s">
        <v>100</v>
      </c>
      <c r="L6" s="1"/>
      <c r="M6" s="1"/>
      <c r="N6" s="8" t="s">
        <v>43</v>
      </c>
      <c r="O6" s="95">
        <f>I9</f>
        <v>136591571406.875</v>
      </c>
      <c r="P6" s="95"/>
      <c r="Q6" s="61">
        <v>0.04</v>
      </c>
      <c r="R6" s="87">
        <f>O6*Q6</f>
        <v>5463662856.2750006</v>
      </c>
      <c r="S6" s="87"/>
      <c r="T6" s="86">
        <v>25</v>
      </c>
      <c r="U6" s="86"/>
      <c r="V6" s="87">
        <f>(O6-R6)/T6</f>
        <v>5245116342.0240002</v>
      </c>
      <c r="W6" s="87"/>
      <c r="X6" s="6"/>
      <c r="Y6" s="6"/>
      <c r="Z6" s="1"/>
      <c r="AA6" s="7"/>
      <c r="AB6" s="7"/>
      <c r="AC6" s="7"/>
      <c r="AD6" s="7"/>
      <c r="AE6" s="7"/>
      <c r="AF6" s="1"/>
    </row>
    <row r="7" spans="1:32">
      <c r="A7" s="30" t="s">
        <v>1</v>
      </c>
      <c r="B7" s="32">
        <v>150200000</v>
      </c>
      <c r="C7" s="34">
        <v>1</v>
      </c>
      <c r="D7" s="26">
        <f t="shared" si="0"/>
        <v>150200000</v>
      </c>
      <c r="E7" s="17">
        <f t="shared" si="1"/>
        <v>7622650000</v>
      </c>
      <c r="F7" s="3"/>
      <c r="G7" s="2" t="s">
        <v>29</v>
      </c>
      <c r="H7" s="2"/>
      <c r="I7" s="17">
        <v>502877562.5</v>
      </c>
      <c r="J7" s="1"/>
      <c r="K7" s="2" t="s">
        <v>97</v>
      </c>
      <c r="L7" s="2">
        <v>500000</v>
      </c>
      <c r="M7" s="1"/>
      <c r="N7" s="8" t="s">
        <v>44</v>
      </c>
      <c r="O7" s="87">
        <f>I3</f>
        <v>7432418700</v>
      </c>
      <c r="P7" s="87"/>
      <c r="Q7" s="61">
        <v>0.04</v>
      </c>
      <c r="R7" s="87">
        <f>O7*Q7</f>
        <v>297296748</v>
      </c>
      <c r="S7" s="87"/>
      <c r="T7" s="86">
        <v>25</v>
      </c>
      <c r="U7" s="86"/>
      <c r="V7" s="87">
        <f>(O7-R7)/T7</f>
        <v>285404878.07999998</v>
      </c>
      <c r="W7" s="87"/>
      <c r="X7" s="6"/>
      <c r="Y7" s="6"/>
      <c r="Z7" s="1"/>
      <c r="AA7" s="8" t="s">
        <v>61</v>
      </c>
      <c r="AB7" s="77" t="s">
        <v>62</v>
      </c>
      <c r="AC7" s="77" t="s">
        <v>48</v>
      </c>
      <c r="AD7" s="77" t="s">
        <v>63</v>
      </c>
      <c r="AE7" s="77" t="s">
        <v>64</v>
      </c>
      <c r="AF7" s="1"/>
    </row>
    <row r="8" spans="1:32" ht="15.75">
      <c r="A8" s="30" t="s">
        <v>87</v>
      </c>
      <c r="B8" s="32">
        <v>10800000</v>
      </c>
      <c r="C8" s="34">
        <v>1</v>
      </c>
      <c r="D8" s="26">
        <f t="shared" si="0"/>
        <v>10800000</v>
      </c>
      <c r="E8" s="17">
        <f t="shared" si="1"/>
        <v>548100000</v>
      </c>
      <c r="F8" s="3"/>
      <c r="G8" s="2" t="s">
        <v>14</v>
      </c>
      <c r="H8" s="2">
        <v>0.2</v>
      </c>
      <c r="I8" s="17">
        <f>H8*I2</f>
        <v>14864837400</v>
      </c>
      <c r="J8" s="1"/>
      <c r="K8" s="2" t="s">
        <v>98</v>
      </c>
      <c r="L8" s="2">
        <v>9.8000000000000007</v>
      </c>
      <c r="M8" s="1"/>
      <c r="N8" s="13"/>
      <c r="O8" s="90"/>
      <c r="P8" s="90"/>
      <c r="Q8" s="90"/>
      <c r="R8" s="90"/>
      <c r="S8" s="90"/>
      <c r="T8" s="94" t="s">
        <v>41</v>
      </c>
      <c r="U8" s="94"/>
      <c r="V8" s="87">
        <f>SUM(V3:W7)</f>
        <v>9030716169.0961208</v>
      </c>
      <c r="W8" s="87"/>
      <c r="X8" s="6"/>
      <c r="Y8" s="6"/>
      <c r="Z8" s="1"/>
      <c r="AA8" s="8" t="s">
        <v>65</v>
      </c>
      <c r="AB8" s="8"/>
      <c r="AC8" s="62" t="s">
        <v>66</v>
      </c>
      <c r="AD8" s="62" t="s">
        <v>66</v>
      </c>
      <c r="AE8" s="62" t="s">
        <v>67</v>
      </c>
      <c r="AF8" s="1"/>
    </row>
    <row r="9" spans="1:32">
      <c r="A9" s="30" t="s">
        <v>86</v>
      </c>
      <c r="B9" s="32">
        <v>9050000</v>
      </c>
      <c r="C9" s="34">
        <v>7</v>
      </c>
      <c r="D9" s="26">
        <f t="shared" si="0"/>
        <v>63350000</v>
      </c>
      <c r="E9" s="17">
        <f t="shared" si="1"/>
        <v>3215012500</v>
      </c>
      <c r="F9" s="3"/>
      <c r="G9" s="1"/>
      <c r="H9" s="5" t="s">
        <v>5</v>
      </c>
      <c r="I9" s="17">
        <f>SUM(I2:I8)</f>
        <v>136591571406.875</v>
      </c>
      <c r="J9" s="1"/>
      <c r="K9" s="2" t="s">
        <v>99</v>
      </c>
      <c r="L9" s="2">
        <f>3412/0.350824216</f>
        <v>9725.668424211628</v>
      </c>
      <c r="M9" s="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"/>
      <c r="AA9" s="8" t="s">
        <v>68</v>
      </c>
      <c r="AB9" s="62" t="s">
        <v>69</v>
      </c>
      <c r="AC9" s="61">
        <f>L17-I19</f>
        <v>31152685619.981155</v>
      </c>
      <c r="AD9" s="61">
        <f>(AC9*(((1-((1+0.1)^-25)))/0.1))+AC9</f>
        <v>313926859667.86841</v>
      </c>
      <c r="AE9" s="62">
        <f>((((AD9/I9)^(1/25)))-1)*100</f>
        <v>3.3846788398100847</v>
      </c>
      <c r="AF9" s="1"/>
    </row>
    <row r="10" spans="1:32" ht="15.75">
      <c r="A10" s="30" t="s">
        <v>2</v>
      </c>
      <c r="B10" s="32">
        <v>14900000</v>
      </c>
      <c r="C10" s="34">
        <v>3</v>
      </c>
      <c r="D10" s="26">
        <f t="shared" si="0"/>
        <v>44700000</v>
      </c>
      <c r="E10" s="17">
        <f t="shared" si="1"/>
        <v>2268525000</v>
      </c>
      <c r="F10" s="3"/>
      <c r="G10" s="1"/>
      <c r="H10" s="1"/>
      <c r="I10" s="1"/>
      <c r="J10" s="1"/>
      <c r="K10" s="1"/>
      <c r="L10" s="1"/>
      <c r="M10" s="1"/>
      <c r="N10" s="74" t="s">
        <v>49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"/>
      <c r="AA10" s="8" t="s">
        <v>70</v>
      </c>
      <c r="AB10" s="22">
        <v>0.1</v>
      </c>
      <c r="AC10" s="61">
        <f>AB5</f>
        <v>30623775429.352501</v>
      </c>
      <c r="AD10" s="61">
        <f>(AC10*(((1-((1+0.1)^-25)))/0.1))+AC10</f>
        <v>308597010510.85413</v>
      </c>
      <c r="AE10" s="62">
        <f>((((AD10/I9)^(1/25)))-1)*100</f>
        <v>3.3138896463175582</v>
      </c>
      <c r="AF10" s="1"/>
    </row>
    <row r="11" spans="1:32" ht="15.75">
      <c r="A11" s="30" t="s">
        <v>3</v>
      </c>
      <c r="B11" s="32">
        <v>48146000</v>
      </c>
      <c r="C11" s="34">
        <v>1</v>
      </c>
      <c r="D11" s="26">
        <f t="shared" si="0"/>
        <v>48146000</v>
      </c>
      <c r="E11" s="17">
        <f t="shared" si="1"/>
        <v>2443409500</v>
      </c>
      <c r="F11" s="3"/>
      <c r="G11" s="1"/>
      <c r="H11" s="1"/>
      <c r="I11" s="1"/>
      <c r="J11" s="1"/>
      <c r="K11" s="1"/>
      <c r="L11" s="1"/>
      <c r="M11" s="1"/>
      <c r="N11" s="105" t="s">
        <v>45</v>
      </c>
      <c r="O11" s="105"/>
      <c r="P11" s="105" t="s">
        <v>46</v>
      </c>
      <c r="Q11" s="105"/>
      <c r="R11" s="105"/>
      <c r="S11" s="105" t="s">
        <v>47</v>
      </c>
      <c r="T11" s="105"/>
      <c r="U11" s="105"/>
      <c r="V11" s="105" t="s">
        <v>48</v>
      </c>
      <c r="W11" s="105"/>
      <c r="X11" s="105"/>
      <c r="Y11" s="75" t="s">
        <v>49</v>
      </c>
      <c r="Z11" s="1"/>
      <c r="AA11" s="8" t="s">
        <v>71</v>
      </c>
      <c r="AB11" s="22">
        <v>0.1</v>
      </c>
      <c r="AC11" s="61">
        <f>AC5</f>
        <v>26997074629.991623</v>
      </c>
      <c r="AD11" s="61">
        <f>(AC11*(((1-((1+0.1)^-25)))/0.1))+AC11</f>
        <v>272050601421.55017</v>
      </c>
      <c r="AE11" s="62">
        <f>((((AD11/I9)^(1/25)))-1)*100</f>
        <v>2.7942995497941103</v>
      </c>
      <c r="AF11" s="1"/>
    </row>
    <row r="12" spans="1:32">
      <c r="A12" s="1"/>
      <c r="B12" s="1"/>
      <c r="C12" s="1"/>
      <c r="D12" s="5" t="s">
        <v>5</v>
      </c>
      <c r="E12" s="17">
        <f>SUM(E3:E11)</f>
        <v>74324187000</v>
      </c>
      <c r="F12" s="3"/>
      <c r="G12" s="106" t="s">
        <v>15</v>
      </c>
      <c r="H12" s="107"/>
      <c r="I12" s="108"/>
      <c r="J12" s="1"/>
      <c r="K12" s="2" t="s">
        <v>24</v>
      </c>
      <c r="L12" s="14">
        <f>L9*1000</f>
        <v>9725668.4242116287</v>
      </c>
      <c r="M12" s="1"/>
      <c r="N12" s="86">
        <v>2022</v>
      </c>
      <c r="O12" s="86"/>
      <c r="P12" s="86">
        <v>2</v>
      </c>
      <c r="Q12" s="86"/>
      <c r="R12" s="86"/>
      <c r="S12" s="87">
        <f>I9</f>
        <v>136591571406.875</v>
      </c>
      <c r="T12" s="87"/>
      <c r="U12" s="87"/>
      <c r="V12" s="87">
        <f>L17-I19</f>
        <v>31152685619.981155</v>
      </c>
      <c r="W12" s="87"/>
      <c r="X12" s="87"/>
      <c r="Y12" s="15">
        <f>(V12/S12)</f>
        <v>0.22807180047138079</v>
      </c>
      <c r="Z12" s="1"/>
      <c r="AA12" s="8" t="s">
        <v>72</v>
      </c>
      <c r="AB12" s="22">
        <v>0.1</v>
      </c>
      <c r="AC12" s="61">
        <f>AD5</f>
        <v>32395213248.983143</v>
      </c>
      <c r="AD12" s="61">
        <f>(AC12*(((1-((1+0.1)^-25)))/0.1))+AC12</f>
        <v>326447860309.07709</v>
      </c>
      <c r="AE12" s="62">
        <f>((((AD12/I9)^(1/25)))-1)*100</f>
        <v>3.5465412986838141</v>
      </c>
      <c r="AF12" s="1"/>
    </row>
    <row r="13" spans="1:32">
      <c r="A13" s="1"/>
      <c r="B13" s="1"/>
      <c r="C13" s="1"/>
      <c r="D13" s="1"/>
      <c r="E13" s="1"/>
      <c r="F13" s="3"/>
      <c r="G13" s="2" t="s">
        <v>16</v>
      </c>
      <c r="H13" s="2"/>
      <c r="I13" s="17">
        <f>L16</f>
        <v>6539619100.0104694</v>
      </c>
      <c r="J13" s="1"/>
      <c r="K13" s="2" t="s">
        <v>34</v>
      </c>
      <c r="L13" s="19">
        <v>6.8000000000000005E-2</v>
      </c>
      <c r="M13" s="1"/>
      <c r="N13" s="86">
        <v>2023</v>
      </c>
      <c r="O13" s="86"/>
      <c r="P13" s="86">
        <v>3</v>
      </c>
      <c r="Q13" s="86"/>
      <c r="R13" s="86"/>
      <c r="S13" s="87">
        <f>S12-V12</f>
        <v>105438885786.89384</v>
      </c>
      <c r="T13" s="87"/>
      <c r="U13" s="87"/>
      <c r="V13" s="87">
        <f>V12</f>
        <v>31152685619.981155</v>
      </c>
      <c r="W13" s="87"/>
      <c r="X13" s="87"/>
      <c r="Y13" s="15">
        <f>(V13/S13)</f>
        <v>0.29545727259433413</v>
      </c>
      <c r="Z13" s="1"/>
      <c r="AA13" s="10"/>
      <c r="AB13" s="7"/>
      <c r="AC13" s="7"/>
      <c r="AD13" s="7"/>
      <c r="AE13" s="7"/>
      <c r="AF13" s="1"/>
    </row>
    <row r="14" spans="1:32" ht="15.75">
      <c r="A14" s="1"/>
      <c r="B14" s="1"/>
      <c r="C14" s="1"/>
      <c r="D14" s="1"/>
      <c r="E14" s="1"/>
      <c r="F14" s="3"/>
      <c r="G14" s="2" t="s">
        <v>17</v>
      </c>
      <c r="H14" s="2">
        <v>0.2</v>
      </c>
      <c r="I14" s="17">
        <f>H14*I13</f>
        <v>1307923820.002094</v>
      </c>
      <c r="J14" s="1"/>
      <c r="K14" s="2" t="s">
        <v>35</v>
      </c>
      <c r="L14" s="19">
        <f>L13*50.75</f>
        <v>3.4510000000000001</v>
      </c>
      <c r="M14" s="1"/>
      <c r="N14" s="86">
        <v>2024</v>
      </c>
      <c r="O14" s="86"/>
      <c r="P14" s="86">
        <v>4</v>
      </c>
      <c r="Q14" s="86"/>
      <c r="R14" s="86"/>
      <c r="S14" s="87">
        <f>S13-V13</f>
        <v>74286200166.912689</v>
      </c>
      <c r="T14" s="87"/>
      <c r="U14" s="87"/>
      <c r="V14" s="87">
        <f>V12</f>
        <v>31152685619.981155</v>
      </c>
      <c r="W14" s="87"/>
      <c r="X14" s="87"/>
      <c r="Y14" s="15">
        <f>(V14/S14)</f>
        <v>0.41936033273992468</v>
      </c>
      <c r="Z14" s="1"/>
      <c r="AA14" s="76" t="s">
        <v>73</v>
      </c>
      <c r="AB14" s="7"/>
      <c r="AC14" s="7"/>
      <c r="AD14" s="7"/>
      <c r="AE14" s="7"/>
      <c r="AF14" s="1"/>
    </row>
    <row r="15" spans="1:32" ht="15.75">
      <c r="A15" s="1"/>
      <c r="B15" s="1"/>
      <c r="C15" s="1"/>
      <c r="D15" s="1"/>
      <c r="E15" s="1"/>
      <c r="F15" s="3"/>
      <c r="G15" s="2" t="s">
        <v>18</v>
      </c>
      <c r="H15" s="2">
        <f>H14</f>
        <v>0.2</v>
      </c>
      <c r="I15" s="17">
        <f>I14</f>
        <v>1307923820.002094</v>
      </c>
      <c r="J15" s="1"/>
      <c r="K15" s="2" t="s">
        <v>30</v>
      </c>
      <c r="L15" s="19">
        <v>22479.470399999998</v>
      </c>
      <c r="M15" s="1"/>
      <c r="N15" s="86">
        <v>2025</v>
      </c>
      <c r="O15" s="86"/>
      <c r="P15" s="86">
        <v>5</v>
      </c>
      <c r="Q15" s="86"/>
      <c r="R15" s="86"/>
      <c r="S15" s="87">
        <f>S14-V14</f>
        <v>43133514546.931534</v>
      </c>
      <c r="T15" s="87"/>
      <c r="U15" s="87"/>
      <c r="V15" s="87">
        <f>V12</f>
        <v>31152685619.981155</v>
      </c>
      <c r="W15" s="87"/>
      <c r="X15" s="87"/>
      <c r="Y15" s="15">
        <f>(V15/S15)</f>
        <v>0.7222385179414349</v>
      </c>
      <c r="Z15" s="1"/>
      <c r="AA15" s="75" t="s">
        <v>74</v>
      </c>
      <c r="AB15" s="75" t="s">
        <v>75</v>
      </c>
      <c r="AC15" s="75" t="s">
        <v>76</v>
      </c>
      <c r="AD15" s="75" t="s">
        <v>77</v>
      </c>
      <c r="AE15" s="75" t="s">
        <v>78</v>
      </c>
      <c r="AF15" s="1"/>
    </row>
    <row r="16" spans="1:32">
      <c r="A16" s="1"/>
      <c r="B16" s="1"/>
      <c r="C16" s="1"/>
      <c r="D16" s="1"/>
      <c r="E16" s="1"/>
      <c r="F16" s="3"/>
      <c r="G16" s="2" t="s">
        <v>19</v>
      </c>
      <c r="H16" s="2">
        <f>H14</f>
        <v>0.2</v>
      </c>
      <c r="I16" s="17">
        <f>I14</f>
        <v>1307923820.002094</v>
      </c>
      <c r="J16" s="1"/>
      <c r="K16" s="2" t="s">
        <v>16</v>
      </c>
      <c r="L16" s="27">
        <f>(L14*L12*500*365*24)/L15</f>
        <v>6539619100.0104694</v>
      </c>
      <c r="M16" s="1"/>
      <c r="N16" s="86">
        <v>2045</v>
      </c>
      <c r="O16" s="86"/>
      <c r="P16" s="86">
        <v>25</v>
      </c>
      <c r="Q16" s="86"/>
      <c r="R16" s="86"/>
      <c r="S16" s="87">
        <f>S15-(V15*20)</f>
        <v>-579920197852.69153</v>
      </c>
      <c r="T16" s="87"/>
      <c r="U16" s="87"/>
      <c r="V16" s="87">
        <f>V12</f>
        <v>31152685619.981155</v>
      </c>
      <c r="W16" s="87"/>
      <c r="X16" s="87"/>
      <c r="Y16" s="15">
        <f>V16/-S16</f>
        <v>5.3718918112064806E-2</v>
      </c>
      <c r="Z16" s="1"/>
      <c r="AA16" s="18">
        <f>(O3-R3-V3)/25</f>
        <v>2739886829.5679998</v>
      </c>
      <c r="AB16" s="18">
        <f>(O6-R6-V6)/25</f>
        <v>5035311688.3430405</v>
      </c>
      <c r="AC16" s="18">
        <f>AA16+AB16+I19</f>
        <v>19546512897.929886</v>
      </c>
      <c r="AD16" s="18">
        <f>L17</f>
        <v>42924000000</v>
      </c>
      <c r="AE16" s="16">
        <f>(AC16/AD16)*500</f>
        <v>227.68745804130424</v>
      </c>
      <c r="AF16" s="1"/>
    </row>
    <row r="17" spans="1:32" ht="15.75">
      <c r="A17" s="1"/>
      <c r="B17" s="1"/>
      <c r="C17" s="1"/>
      <c r="D17" s="1"/>
      <c r="E17" s="1"/>
      <c r="F17" s="3"/>
      <c r="G17" s="2" t="s">
        <v>20</v>
      </c>
      <c r="H17" s="2">
        <v>0.1</v>
      </c>
      <c r="I17" s="17">
        <f>H17*I13</f>
        <v>653961910.00104702</v>
      </c>
      <c r="J17" s="1"/>
      <c r="K17" s="2" t="s">
        <v>31</v>
      </c>
      <c r="L17" s="20">
        <f>L7*L8*365*24</f>
        <v>42924000000</v>
      </c>
      <c r="M17" s="1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11" t="s">
        <v>50</v>
      </c>
      <c r="Y17" s="15">
        <f>AVERAGE(Y12:Y16)</f>
        <v>0.34376936837182781</v>
      </c>
      <c r="Z17" s="1"/>
      <c r="AA17" s="1"/>
      <c r="AB17" s="1"/>
      <c r="AC17" s="1"/>
      <c r="AD17" s="1"/>
      <c r="AE17" s="1"/>
      <c r="AF17" s="1"/>
    </row>
    <row r="18" spans="1:32">
      <c r="A18" s="1"/>
      <c r="B18" s="1"/>
      <c r="C18" s="1"/>
      <c r="D18" s="1"/>
      <c r="E18" s="1"/>
      <c r="F18" s="3"/>
      <c r="G18" s="2" t="s">
        <v>21</v>
      </c>
      <c r="H18" s="2">
        <f>H17</f>
        <v>0.1</v>
      </c>
      <c r="I18" s="17">
        <f>H18*I13</f>
        <v>653961910.00104702</v>
      </c>
      <c r="J18" s="1"/>
      <c r="K18" s="2" t="s">
        <v>32</v>
      </c>
      <c r="L18" s="19">
        <f>L17*((1-1.065^-25)/0.065)</f>
        <v>523581660546.32507</v>
      </c>
      <c r="M18" s="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"/>
      <c r="AA18" s="1"/>
      <c r="AD18" s="2" t="s">
        <v>124</v>
      </c>
      <c r="AE18" s="2">
        <f>AD16-AC16</f>
        <v>23377487102.070114</v>
      </c>
      <c r="AF18" s="1"/>
    </row>
    <row r="19" spans="1:32" ht="15.75">
      <c r="A19" s="1"/>
      <c r="B19" s="1"/>
      <c r="C19" s="1"/>
      <c r="D19" s="1"/>
      <c r="E19" s="1"/>
      <c r="F19" s="3"/>
      <c r="G19" s="1"/>
      <c r="H19" s="5" t="s">
        <v>5</v>
      </c>
      <c r="I19" s="17">
        <f>SUM(I13:I18)</f>
        <v>11771314380.018847</v>
      </c>
      <c r="J19" s="1"/>
      <c r="K19" s="2" t="s">
        <v>33</v>
      </c>
      <c r="L19" s="19">
        <f>((I9-(0.1)*(I9))/25)</f>
        <v>4917296570.6475</v>
      </c>
      <c r="M19" s="1"/>
      <c r="N19" s="74" t="s">
        <v>52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"/>
      <c r="AA19" s="23" t="s">
        <v>57</v>
      </c>
      <c r="AB19" s="24"/>
      <c r="AC19" s="1"/>
      <c r="AD19" s="2" t="s">
        <v>125</v>
      </c>
      <c r="AE19" s="2">
        <f>0.12*E12</f>
        <v>8918902440</v>
      </c>
      <c r="AF19" s="1"/>
    </row>
    <row r="20" spans="1:32" ht="15.75">
      <c r="A20" s="1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05" t="s">
        <v>45</v>
      </c>
      <c r="O20" s="105"/>
      <c r="P20" s="105" t="s">
        <v>48</v>
      </c>
      <c r="Q20" s="105"/>
      <c r="R20" s="105"/>
      <c r="S20" s="105"/>
      <c r="T20" s="105" t="s">
        <v>47</v>
      </c>
      <c r="U20" s="105"/>
      <c r="V20" s="105" t="s">
        <v>39</v>
      </c>
      <c r="W20" s="105"/>
      <c r="X20" s="12"/>
      <c r="Y20" s="6"/>
      <c r="Z20" s="1"/>
      <c r="AA20" s="23" t="s">
        <v>58</v>
      </c>
      <c r="AB20" s="25">
        <f>500*0.9</f>
        <v>450</v>
      </c>
      <c r="AC20" s="1"/>
      <c r="AD20" s="2" t="s">
        <v>126</v>
      </c>
      <c r="AE20" s="2">
        <f>V12/AE19</f>
        <v>3.4928833261215888</v>
      </c>
      <c r="AF20" s="1"/>
    </row>
    <row r="21" spans="1:32">
      <c r="A21" s="1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86">
        <v>2022</v>
      </c>
      <c r="O21" s="86"/>
      <c r="P21" s="87">
        <f>V12</f>
        <v>31152685619.981155</v>
      </c>
      <c r="Q21" s="87"/>
      <c r="R21" s="87"/>
      <c r="S21" s="87"/>
      <c r="T21" s="87">
        <f>S12</f>
        <v>136591571406.875</v>
      </c>
      <c r="U21" s="87"/>
      <c r="V21" s="87">
        <f>T21-V8</f>
        <v>127560855237.77888</v>
      </c>
      <c r="W21" s="87"/>
      <c r="X21" s="12"/>
      <c r="Y21" s="6"/>
      <c r="Z21" s="1"/>
      <c r="AA21" s="1"/>
      <c r="AB21" s="1"/>
      <c r="AC21" s="1"/>
      <c r="AD21" s="1"/>
      <c r="AE21" s="1"/>
      <c r="AF21" s="1"/>
    </row>
    <row r="22" spans="1:32">
      <c r="A22" s="1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86">
        <v>2023</v>
      </c>
      <c r="O22" s="86"/>
      <c r="P22" s="87">
        <f>P21</f>
        <v>31152685619.981155</v>
      </c>
      <c r="Q22" s="87"/>
      <c r="R22" s="87"/>
      <c r="S22" s="87"/>
      <c r="T22" s="87">
        <f>T21-P22</f>
        <v>105438885786.89384</v>
      </c>
      <c r="U22" s="87"/>
      <c r="V22" s="87">
        <f>V21-V8</f>
        <v>118530139068.68277</v>
      </c>
      <c r="W22" s="87"/>
      <c r="X22" s="12"/>
      <c r="Y22" s="6"/>
      <c r="Z22" s="1"/>
      <c r="AA22" s="1"/>
      <c r="AB22" s="1"/>
      <c r="AC22" s="1"/>
      <c r="AD22" s="1"/>
      <c r="AE22" s="1"/>
      <c r="AF22" s="1"/>
    </row>
    <row r="23" spans="1:32">
      <c r="A23" s="1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86">
        <v>2024</v>
      </c>
      <c r="O23" s="86"/>
      <c r="P23" s="87">
        <f>P21</f>
        <v>31152685619.981155</v>
      </c>
      <c r="Q23" s="87"/>
      <c r="R23" s="87"/>
      <c r="S23" s="87"/>
      <c r="T23" s="87">
        <f>T22-P23</f>
        <v>74286200166.912689</v>
      </c>
      <c r="U23" s="87"/>
      <c r="V23" s="87">
        <f>V22-V8</f>
        <v>109499422899.58665</v>
      </c>
      <c r="W23" s="87"/>
      <c r="X23" s="12"/>
      <c r="Y23" s="6"/>
      <c r="Z23" s="1"/>
      <c r="AA23" s="1"/>
      <c r="AB23" s="1"/>
      <c r="AC23" s="1"/>
      <c r="AD23" s="1"/>
      <c r="AE23" s="1"/>
      <c r="AF23" s="1"/>
    </row>
    <row r="24" spans="1:32">
      <c r="A24" s="1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86">
        <v>2025</v>
      </c>
      <c r="O24" s="86"/>
      <c r="P24" s="87">
        <f>P21</f>
        <v>31152685619.981155</v>
      </c>
      <c r="Q24" s="87"/>
      <c r="R24" s="87"/>
      <c r="S24" s="87"/>
      <c r="T24" s="87">
        <f>T23-P24</f>
        <v>43133514546.931534</v>
      </c>
      <c r="U24" s="87"/>
      <c r="V24" s="87">
        <f>V23-V8</f>
        <v>100468706730.49054</v>
      </c>
      <c r="W24" s="87"/>
      <c r="X24" s="12"/>
      <c r="Y24" s="6"/>
      <c r="Z24" s="1"/>
      <c r="AA24" s="1"/>
      <c r="AB24" s="1"/>
      <c r="AC24" s="1"/>
      <c r="AD24" s="1"/>
      <c r="AE24" s="1"/>
      <c r="AF24" s="1"/>
    </row>
    <row r="25" spans="1:32">
      <c r="A25" s="1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86" t="s">
        <v>51</v>
      </c>
      <c r="O25" s="86"/>
      <c r="P25" s="87">
        <f>AVERAGE(P21:S24)</f>
        <v>31152685619.981155</v>
      </c>
      <c r="Q25" s="87"/>
      <c r="R25" s="87"/>
      <c r="S25" s="87"/>
      <c r="T25" s="87">
        <f>AVERAGE(T21:U24)</f>
        <v>89862542976.903259</v>
      </c>
      <c r="U25" s="87"/>
      <c r="V25" s="87">
        <f>AVERAGE(V21:W24)</f>
        <v>114014780984.13472</v>
      </c>
      <c r="W25" s="87"/>
      <c r="X25" s="12"/>
      <c r="Y25" s="6"/>
      <c r="Z25" s="1"/>
      <c r="AA25" s="1"/>
      <c r="AB25" s="1"/>
      <c r="AC25" s="1"/>
      <c r="AD25" s="1"/>
      <c r="AE25" s="1"/>
      <c r="AF25" s="1"/>
    </row>
    <row r="26" spans="1:32" ht="15.75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05" t="s">
        <v>52</v>
      </c>
      <c r="O26" s="105"/>
      <c r="P26" s="105"/>
      <c r="Q26" s="105"/>
      <c r="R26" s="105"/>
      <c r="S26" s="105"/>
      <c r="T26" s="104">
        <f>T21/P21</f>
        <v>4.3845841438230915</v>
      </c>
      <c r="U26" s="104"/>
      <c r="V26" s="104"/>
      <c r="W26" s="104"/>
      <c r="X26" s="12"/>
      <c r="Y26" s="6"/>
      <c r="Z26" s="1"/>
      <c r="AA26" s="1"/>
      <c r="AB26" s="1"/>
      <c r="AC26" s="1"/>
      <c r="AD26" s="1"/>
      <c r="AE26" s="1"/>
      <c r="AF26" s="1"/>
    </row>
    <row r="27" spans="1:32">
      <c r="A27" s="1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"/>
      <c r="AA27" s="1"/>
      <c r="AB27" s="1"/>
      <c r="AC27" s="1"/>
      <c r="AD27" s="1"/>
      <c r="AE27" s="1"/>
      <c r="AF27" s="1"/>
    </row>
    <row r="28" spans="1:32">
      <c r="A28" s="1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>
      <c r="A29" s="1"/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>
      <c r="A30" s="1"/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>
      <c r="A31" s="1"/>
      <c r="B31" s="1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>
      <c r="A32" s="1"/>
      <c r="B32" s="1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>
      <c r="A33" s="1"/>
      <c r="B33" s="1"/>
      <c r="C33" s="1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>
      <c r="A34" s="1"/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>
      <c r="A35" s="1"/>
      <c r="B35" s="1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>
      <c r="A36" s="1"/>
      <c r="B36" s="1"/>
      <c r="C36" s="1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</sheetData>
  <mergeCells count="82">
    <mergeCell ref="A1:E1"/>
    <mergeCell ref="G1:I1"/>
    <mergeCell ref="N1:O1"/>
    <mergeCell ref="O2:P2"/>
    <mergeCell ref="R2:S2"/>
    <mergeCell ref="T2:U2"/>
    <mergeCell ref="V2:W2"/>
    <mergeCell ref="O3:P3"/>
    <mergeCell ref="R3:S3"/>
    <mergeCell ref="T3:U3"/>
    <mergeCell ref="V3:W3"/>
    <mergeCell ref="O4:P4"/>
    <mergeCell ref="R4:S4"/>
    <mergeCell ref="T4:U4"/>
    <mergeCell ref="V4:W4"/>
    <mergeCell ref="O5:P5"/>
    <mergeCell ref="R5:S5"/>
    <mergeCell ref="T5:U5"/>
    <mergeCell ref="V5:W5"/>
    <mergeCell ref="O6:P6"/>
    <mergeCell ref="R6:S6"/>
    <mergeCell ref="T6:U6"/>
    <mergeCell ref="V6:W6"/>
    <mergeCell ref="O7:P7"/>
    <mergeCell ref="R7:S7"/>
    <mergeCell ref="T7:U7"/>
    <mergeCell ref="V7:W7"/>
    <mergeCell ref="O8:S8"/>
    <mergeCell ref="T8:U8"/>
    <mergeCell ref="V8:W8"/>
    <mergeCell ref="N11:O11"/>
    <mergeCell ref="P11:R11"/>
    <mergeCell ref="S11:U11"/>
    <mergeCell ref="V11:X11"/>
    <mergeCell ref="G12:I12"/>
    <mergeCell ref="N12:O12"/>
    <mergeCell ref="P12:R12"/>
    <mergeCell ref="S12:U12"/>
    <mergeCell ref="V12:X12"/>
    <mergeCell ref="P16:R16"/>
    <mergeCell ref="S16:U16"/>
    <mergeCell ref="V16:X16"/>
    <mergeCell ref="N13:O13"/>
    <mergeCell ref="P13:R13"/>
    <mergeCell ref="S13:U13"/>
    <mergeCell ref="V13:X13"/>
    <mergeCell ref="N14:O14"/>
    <mergeCell ref="P14:R14"/>
    <mergeCell ref="S14:U14"/>
    <mergeCell ref="N15:O15"/>
    <mergeCell ref="P15:R15"/>
    <mergeCell ref="S15:U15"/>
    <mergeCell ref="V15:X15"/>
    <mergeCell ref="N16:O16"/>
    <mergeCell ref="V14:X14"/>
    <mergeCell ref="N17:W17"/>
    <mergeCell ref="N20:O20"/>
    <mergeCell ref="P20:S20"/>
    <mergeCell ref="T20:U20"/>
    <mergeCell ref="V20:W20"/>
    <mergeCell ref="N21:O21"/>
    <mergeCell ref="P21:S21"/>
    <mergeCell ref="T21:U21"/>
    <mergeCell ref="V21:W21"/>
    <mergeCell ref="N22:O22"/>
    <mergeCell ref="P22:S22"/>
    <mergeCell ref="T22:U22"/>
    <mergeCell ref="V22:W22"/>
    <mergeCell ref="N23:O23"/>
    <mergeCell ref="P23:S23"/>
    <mergeCell ref="T23:U23"/>
    <mergeCell ref="V23:W23"/>
    <mergeCell ref="N24:O24"/>
    <mergeCell ref="P24:S24"/>
    <mergeCell ref="T24:U24"/>
    <mergeCell ref="V24:W24"/>
    <mergeCell ref="N25:O25"/>
    <mergeCell ref="P25:S25"/>
    <mergeCell ref="T25:U25"/>
    <mergeCell ref="V25:W25"/>
    <mergeCell ref="N26:S26"/>
    <mergeCell ref="T26:W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I27"/>
  <sheetViews>
    <sheetView topLeftCell="S1" zoomScale="70" zoomScaleNormal="70" workbookViewId="0">
      <selection activeCell="Z17" sqref="Z17"/>
    </sheetView>
  </sheetViews>
  <sheetFormatPr defaultColWidth="8.85546875" defaultRowHeight="14.25"/>
  <cols>
    <col min="1" max="1" width="28.42578125" style="1" bestFit="1" customWidth="1"/>
    <col min="2" max="2" width="19.28515625" style="1" bestFit="1" customWidth="1"/>
    <col min="3" max="3" width="6.28515625" style="1" bestFit="1" customWidth="1"/>
    <col min="4" max="4" width="18.7109375" style="1" bestFit="1" customWidth="1"/>
    <col min="5" max="5" width="23.28515625" style="1" bestFit="1" customWidth="1"/>
    <col min="6" max="6" width="1.42578125" style="3" customWidth="1"/>
    <col min="7" max="7" width="34.85546875" style="1" bestFit="1" customWidth="1"/>
    <col min="8" max="8" width="9.5703125" style="1" customWidth="1"/>
    <col min="9" max="9" width="23.85546875" style="1" customWidth="1"/>
    <col min="10" max="10" width="1.42578125" style="1" customWidth="1"/>
    <col min="11" max="11" width="24" style="1" bestFit="1" customWidth="1"/>
    <col min="12" max="12" width="23.28515625" style="1" customWidth="1"/>
    <col min="13" max="13" width="1.28515625" style="1" customWidth="1"/>
    <col min="14" max="14" width="25.5703125" style="1" bestFit="1" customWidth="1"/>
    <col min="15" max="16" width="14" style="1" customWidth="1"/>
    <col min="17" max="17" width="21.140625" style="1" bestFit="1" customWidth="1"/>
    <col min="18" max="23" width="14" style="1" customWidth="1"/>
    <col min="24" max="24" width="11.7109375" style="1" bestFit="1" customWidth="1"/>
    <col min="25" max="25" width="10.7109375" style="1" bestFit="1" customWidth="1"/>
    <col min="26" max="26" width="24.140625" style="1" customWidth="1"/>
    <col min="27" max="27" width="10.7109375" style="1" customWidth="1"/>
    <col min="28" max="28" width="1.140625" style="1" customWidth="1"/>
    <col min="29" max="29" width="40.140625" style="1" customWidth="1"/>
    <col min="30" max="30" width="30.7109375" style="1" bestFit="1" customWidth="1"/>
    <col min="31" max="31" width="39.140625" style="1" bestFit="1" customWidth="1"/>
    <col min="32" max="32" width="42.7109375" style="1" bestFit="1" customWidth="1"/>
    <col min="33" max="33" width="48.42578125" style="1" bestFit="1" customWidth="1"/>
    <col min="34" max="34" width="40" style="1" customWidth="1"/>
    <col min="35" max="35" width="12.5703125" style="1" customWidth="1"/>
    <col min="36" max="37" width="36.140625" style="1" customWidth="1"/>
    <col min="38" max="16384" width="8.85546875" style="1"/>
  </cols>
  <sheetData>
    <row r="1" spans="1:35" ht="15.75">
      <c r="A1" s="91" t="s">
        <v>96</v>
      </c>
      <c r="B1" s="92"/>
      <c r="C1" s="92"/>
      <c r="D1" s="92"/>
      <c r="E1" s="93"/>
      <c r="F1" s="4"/>
      <c r="G1" s="97" t="s">
        <v>8</v>
      </c>
      <c r="H1" s="97"/>
      <c r="I1" s="97"/>
      <c r="N1" s="96" t="s">
        <v>39</v>
      </c>
      <c r="O1" s="9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C1" s="66" t="s">
        <v>53</v>
      </c>
      <c r="AD1" s="7"/>
      <c r="AE1" s="7"/>
      <c r="AF1" s="7"/>
      <c r="AG1" s="7"/>
      <c r="AH1" s="7"/>
      <c r="AI1" s="7"/>
    </row>
    <row r="2" spans="1:35" ht="15.75">
      <c r="A2" s="2"/>
      <c r="B2" s="63" t="s">
        <v>6</v>
      </c>
      <c r="C2" s="63" t="s">
        <v>4</v>
      </c>
      <c r="D2" s="63" t="s">
        <v>5</v>
      </c>
      <c r="E2" s="63" t="s">
        <v>7</v>
      </c>
      <c r="G2" s="2" t="s">
        <v>9</v>
      </c>
      <c r="H2" s="2"/>
      <c r="I2" s="17">
        <f>E12</f>
        <v>74751908000</v>
      </c>
      <c r="K2" s="2" t="s">
        <v>22</v>
      </c>
      <c r="L2" s="2">
        <f>I15+I17</f>
        <v>1961885730.0031409</v>
      </c>
      <c r="N2" s="8"/>
      <c r="O2" s="88" t="s">
        <v>36</v>
      </c>
      <c r="P2" s="88"/>
      <c r="Q2" s="65" t="s">
        <v>101</v>
      </c>
      <c r="R2" s="88" t="s">
        <v>37</v>
      </c>
      <c r="S2" s="88"/>
      <c r="T2" s="88" t="s">
        <v>38</v>
      </c>
      <c r="U2" s="88"/>
      <c r="V2" s="88" t="s">
        <v>39</v>
      </c>
      <c r="W2" s="88"/>
      <c r="X2" s="6"/>
      <c r="Y2" s="6"/>
      <c r="Z2" s="6"/>
      <c r="AA2" s="6"/>
      <c r="AC2" s="9"/>
      <c r="AD2" s="65" t="s">
        <v>54</v>
      </c>
      <c r="AE2" s="65" t="s">
        <v>55</v>
      </c>
      <c r="AF2" s="65" t="s">
        <v>56</v>
      </c>
      <c r="AG2" s="7"/>
    </row>
    <row r="3" spans="1:35" ht="15">
      <c r="A3" s="29" t="s">
        <v>0</v>
      </c>
      <c r="B3" s="31">
        <v>700586000</v>
      </c>
      <c r="C3" s="33">
        <v>1</v>
      </c>
      <c r="D3" s="26">
        <f t="shared" ref="D3:D11" si="0">B3*C3</f>
        <v>700586000</v>
      </c>
      <c r="E3" s="17">
        <f t="shared" ref="E3:E11" si="1">D3*50.75</f>
        <v>35554739500</v>
      </c>
      <c r="G3" s="2" t="s">
        <v>10</v>
      </c>
      <c r="H3" s="2">
        <v>0.1</v>
      </c>
      <c r="I3" s="17">
        <f>H3*I2</f>
        <v>7475190800</v>
      </c>
      <c r="K3" s="2" t="s">
        <v>23</v>
      </c>
      <c r="L3" s="2">
        <f>I14+I16</f>
        <v>2615847640.0041881</v>
      </c>
      <c r="N3" s="8" t="s">
        <v>9</v>
      </c>
      <c r="O3" s="87">
        <f>E12</f>
        <v>74751908000</v>
      </c>
      <c r="P3" s="87"/>
      <c r="Q3" s="61">
        <v>0.04</v>
      </c>
      <c r="R3" s="87">
        <f>O3*Q3</f>
        <v>2990076320</v>
      </c>
      <c r="S3" s="87"/>
      <c r="T3" s="86">
        <v>25</v>
      </c>
      <c r="U3" s="86"/>
      <c r="V3" s="87">
        <f>(O3-R3)/T3</f>
        <v>2870473267.1999998</v>
      </c>
      <c r="W3" s="87"/>
      <c r="X3" s="6"/>
      <c r="Y3" s="6"/>
      <c r="Z3" s="6"/>
      <c r="AA3" s="6"/>
      <c r="AC3" s="9" t="s">
        <v>32</v>
      </c>
      <c r="AD3" s="21">
        <f>9.8*AD20*0.92*24*365*1000</f>
        <v>35541072000</v>
      </c>
      <c r="AE3" s="21">
        <f>L17</f>
        <v>42924000000</v>
      </c>
      <c r="AF3" s="21">
        <f>AE3</f>
        <v>42924000000</v>
      </c>
      <c r="AG3" s="7"/>
    </row>
    <row r="4" spans="1:35" ht="15">
      <c r="A4" s="29" t="s">
        <v>25</v>
      </c>
      <c r="B4" s="31">
        <v>90700000</v>
      </c>
      <c r="C4" s="33">
        <v>1</v>
      </c>
      <c r="D4" s="26">
        <f t="shared" si="0"/>
        <v>90700000</v>
      </c>
      <c r="E4" s="17">
        <f t="shared" si="1"/>
        <v>4603025000</v>
      </c>
      <c r="G4" s="2" t="s">
        <v>11</v>
      </c>
      <c r="H4" s="2">
        <v>0.33</v>
      </c>
      <c r="I4" s="17">
        <f>H4*I2</f>
        <v>24668129640</v>
      </c>
      <c r="N4" s="8" t="s">
        <v>42</v>
      </c>
      <c r="O4" s="87">
        <f>I8</f>
        <v>14950381600</v>
      </c>
      <c r="P4" s="87"/>
      <c r="Q4" s="61">
        <v>0.04</v>
      </c>
      <c r="R4" s="87">
        <f>O4*Q4</f>
        <v>598015264</v>
      </c>
      <c r="S4" s="87"/>
      <c r="T4" s="86">
        <v>25</v>
      </c>
      <c r="U4" s="86"/>
      <c r="V4" s="87">
        <f>(O4-R4)/T4</f>
        <v>574094653.44000006</v>
      </c>
      <c r="W4" s="87"/>
      <c r="X4" s="6"/>
      <c r="Y4" s="6"/>
      <c r="Z4" s="6"/>
      <c r="AA4" s="6"/>
      <c r="AC4" s="9" t="s">
        <v>59</v>
      </c>
      <c r="AD4" s="21">
        <f>L19</f>
        <v>5220223431.8012505</v>
      </c>
      <c r="AE4" s="21">
        <f>10695230090+SUM(I14:I18)</f>
        <v>15926925370.008377</v>
      </c>
      <c r="AF4" s="21">
        <f>(L16*0.9*0.9)+SUM(I14:I18)</f>
        <v>10528786751.016857</v>
      </c>
      <c r="AG4" s="7"/>
      <c r="AH4" s="7"/>
      <c r="AI4" s="7"/>
    </row>
    <row r="5" spans="1:35" ht="15">
      <c r="A5" s="30" t="s">
        <v>26</v>
      </c>
      <c r="B5" s="32">
        <v>80920000</v>
      </c>
      <c r="C5" s="34">
        <v>1</v>
      </c>
      <c r="D5" s="26">
        <f t="shared" si="0"/>
        <v>80920000</v>
      </c>
      <c r="E5" s="17">
        <f t="shared" si="1"/>
        <v>4106690000</v>
      </c>
      <c r="G5" s="2" t="s">
        <v>12</v>
      </c>
      <c r="H5" s="2">
        <v>0.2</v>
      </c>
      <c r="I5" s="17">
        <f>H5*I2</f>
        <v>14950381600</v>
      </c>
      <c r="N5" s="8" t="s">
        <v>40</v>
      </c>
      <c r="O5" s="87">
        <f>L2</f>
        <v>1961885730.0031409</v>
      </c>
      <c r="P5" s="87"/>
      <c r="Q5" s="61">
        <v>0.04</v>
      </c>
      <c r="R5" s="87">
        <f>O5*Q5</f>
        <v>78475429.200125635</v>
      </c>
      <c r="S5" s="87"/>
      <c r="T5" s="86">
        <v>25</v>
      </c>
      <c r="U5" s="86"/>
      <c r="V5" s="87">
        <f>(O5-R5)/T5</f>
        <v>75336412.032120615</v>
      </c>
      <c r="W5" s="87"/>
      <c r="X5" s="6"/>
      <c r="Y5" s="6"/>
      <c r="Z5" s="6"/>
      <c r="AA5" s="6"/>
      <c r="AC5" s="9" t="s">
        <v>60</v>
      </c>
      <c r="AD5" s="21">
        <f>AD3-AD4</f>
        <v>30320848568.19875</v>
      </c>
      <c r="AE5" s="21">
        <f>AE3-AE4</f>
        <v>26997074629.991623</v>
      </c>
      <c r="AF5" s="21">
        <f>AF3-AF4</f>
        <v>32395213248.983143</v>
      </c>
      <c r="AG5" s="7"/>
      <c r="AH5" s="7"/>
      <c r="AI5" s="7"/>
    </row>
    <row r="6" spans="1:35" ht="15">
      <c r="A6" s="30" t="s">
        <v>27</v>
      </c>
      <c r="B6" s="32">
        <v>280750000</v>
      </c>
      <c r="C6" s="34">
        <v>1</v>
      </c>
      <c r="D6" s="26">
        <f t="shared" si="0"/>
        <v>280750000</v>
      </c>
      <c r="E6" s="17">
        <f t="shared" si="1"/>
        <v>14248062500</v>
      </c>
      <c r="G6" s="2" t="s">
        <v>13</v>
      </c>
      <c r="H6" s="2">
        <v>0.15</v>
      </c>
      <c r="I6" s="17">
        <f>H6*I7</f>
        <v>75431634.375</v>
      </c>
      <c r="K6" s="28" t="s">
        <v>100</v>
      </c>
      <c r="N6" s="8" t="s">
        <v>43</v>
      </c>
      <c r="O6" s="95">
        <f>I9</f>
        <v>137374300836.875</v>
      </c>
      <c r="P6" s="95"/>
      <c r="Q6" s="61">
        <v>0.04</v>
      </c>
      <c r="R6" s="87">
        <f>O6*Q6</f>
        <v>5494972033.4750004</v>
      </c>
      <c r="S6" s="87"/>
      <c r="T6" s="86">
        <v>25</v>
      </c>
      <c r="U6" s="86"/>
      <c r="V6" s="87">
        <f>(O6-R6)/T6</f>
        <v>5275173152.1359997</v>
      </c>
      <c r="W6" s="87"/>
      <c r="X6" s="6"/>
      <c r="Y6" s="6"/>
      <c r="Z6" s="6"/>
      <c r="AA6" s="6"/>
      <c r="AC6" s="7"/>
      <c r="AD6" s="7"/>
      <c r="AE6" s="7"/>
      <c r="AF6" s="7"/>
      <c r="AG6" s="7"/>
      <c r="AH6" s="7"/>
      <c r="AI6" s="7"/>
    </row>
    <row r="7" spans="1:35" ht="15">
      <c r="A7" s="30" t="s">
        <v>1</v>
      </c>
      <c r="B7" s="32">
        <v>150500000</v>
      </c>
      <c r="C7" s="34">
        <v>1</v>
      </c>
      <c r="D7" s="26">
        <f t="shared" si="0"/>
        <v>150500000</v>
      </c>
      <c r="E7" s="17">
        <f t="shared" si="1"/>
        <v>7637875000</v>
      </c>
      <c r="G7" s="2" t="s">
        <v>29</v>
      </c>
      <c r="H7" s="2"/>
      <c r="I7" s="17">
        <v>502877562.5</v>
      </c>
      <c r="K7" s="2" t="s">
        <v>97</v>
      </c>
      <c r="L7" s="2">
        <v>500000</v>
      </c>
      <c r="N7" s="8" t="s">
        <v>44</v>
      </c>
      <c r="O7" s="87">
        <f>I3</f>
        <v>7475190800</v>
      </c>
      <c r="P7" s="87"/>
      <c r="Q7" s="61">
        <v>0.04</v>
      </c>
      <c r="R7" s="87">
        <f>O7*Q7</f>
        <v>299007632</v>
      </c>
      <c r="S7" s="87"/>
      <c r="T7" s="86">
        <v>25</v>
      </c>
      <c r="U7" s="86"/>
      <c r="V7" s="87">
        <f>(O7-R7)/T7</f>
        <v>287047326.72000003</v>
      </c>
      <c r="W7" s="87"/>
      <c r="X7" s="6"/>
      <c r="Y7" s="6"/>
      <c r="Z7" s="6"/>
      <c r="AA7" s="6"/>
      <c r="AC7" s="8" t="s">
        <v>61</v>
      </c>
      <c r="AD7" s="67" t="s">
        <v>62</v>
      </c>
      <c r="AE7" s="67" t="s">
        <v>48</v>
      </c>
      <c r="AF7" s="67" t="s">
        <v>63</v>
      </c>
      <c r="AG7" s="67" t="s">
        <v>64</v>
      </c>
      <c r="AH7" s="7"/>
      <c r="AI7" s="7"/>
    </row>
    <row r="8" spans="1:35" ht="15.75">
      <c r="A8" s="30" t="s">
        <v>87</v>
      </c>
      <c r="B8" s="32">
        <v>11056000</v>
      </c>
      <c r="C8" s="34">
        <v>1</v>
      </c>
      <c r="D8" s="26">
        <f t="shared" si="0"/>
        <v>11056000</v>
      </c>
      <c r="E8" s="17">
        <f t="shared" si="1"/>
        <v>561092000</v>
      </c>
      <c r="G8" s="2" t="s">
        <v>14</v>
      </c>
      <c r="H8" s="2">
        <v>0.2</v>
      </c>
      <c r="I8" s="17">
        <f>H8*I2</f>
        <v>14950381600</v>
      </c>
      <c r="K8" s="2" t="s">
        <v>98</v>
      </c>
      <c r="L8" s="2">
        <v>9.8000000000000007</v>
      </c>
      <c r="N8" s="13"/>
      <c r="O8" s="90"/>
      <c r="P8" s="90"/>
      <c r="Q8" s="90"/>
      <c r="R8" s="90"/>
      <c r="S8" s="90"/>
      <c r="T8" s="94" t="s">
        <v>41</v>
      </c>
      <c r="U8" s="94"/>
      <c r="V8" s="87">
        <f>SUM(V3:W7)</f>
        <v>9082124811.52812</v>
      </c>
      <c r="W8" s="87"/>
      <c r="X8" s="6"/>
      <c r="Y8" s="6"/>
      <c r="Z8" s="6"/>
      <c r="AA8" s="6"/>
      <c r="AC8" s="8" t="s">
        <v>65</v>
      </c>
      <c r="AD8" s="8"/>
      <c r="AE8" s="9" t="s">
        <v>66</v>
      </c>
      <c r="AF8" s="9" t="s">
        <v>66</v>
      </c>
      <c r="AG8" s="9" t="s">
        <v>67</v>
      </c>
      <c r="AH8" s="7"/>
      <c r="AI8" s="7"/>
    </row>
    <row r="9" spans="1:35" ht="15">
      <c r="A9" s="30" t="s">
        <v>86</v>
      </c>
      <c r="B9" s="32">
        <v>9076000</v>
      </c>
      <c r="C9" s="34">
        <v>7</v>
      </c>
      <c r="D9" s="26">
        <f t="shared" si="0"/>
        <v>63532000</v>
      </c>
      <c r="E9" s="17">
        <f t="shared" si="1"/>
        <v>3224249000</v>
      </c>
      <c r="H9" s="5" t="s">
        <v>5</v>
      </c>
      <c r="I9" s="17">
        <f>SUM(I2:I8)</f>
        <v>137374300836.875</v>
      </c>
      <c r="K9" s="2" t="s">
        <v>99</v>
      </c>
      <c r="L9" s="2">
        <f>3412/0.350824216</f>
        <v>9725.668424211628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C9" s="8" t="s">
        <v>68</v>
      </c>
      <c r="AD9" s="9" t="s">
        <v>69</v>
      </c>
      <c r="AE9" s="21">
        <f>L17-I19</f>
        <v>31152685619.981155</v>
      </c>
      <c r="AF9" s="21">
        <f>(AE9*(((1-((1+0.05)^-25)))/0.05))+AE9</f>
        <v>470216909831.41522</v>
      </c>
      <c r="AG9" s="9">
        <f>((((AF9/I9)^(1/25)))-1)*100</f>
        <v>5.0450784920558212</v>
      </c>
      <c r="AH9" s="7"/>
      <c r="AI9" s="7"/>
    </row>
    <row r="10" spans="1:35" ht="15.75">
      <c r="A10" s="30" t="s">
        <v>2</v>
      </c>
      <c r="B10" s="32">
        <v>15500000</v>
      </c>
      <c r="C10" s="34">
        <v>3</v>
      </c>
      <c r="D10" s="26">
        <f t="shared" si="0"/>
        <v>46500000</v>
      </c>
      <c r="E10" s="17">
        <f t="shared" si="1"/>
        <v>2359875000</v>
      </c>
      <c r="N10" s="64" t="s">
        <v>49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C10" s="8" t="s">
        <v>70</v>
      </c>
      <c r="AD10" s="22">
        <v>0.1</v>
      </c>
      <c r="AE10" s="21">
        <f>AD5</f>
        <v>30320848568.19875</v>
      </c>
      <c r="AF10" s="21">
        <f>(AE10*(((1-((1+0.05)^-25)))/0.05))+AE10</f>
        <v>457661207483.82947</v>
      </c>
      <c r="AG10" s="9">
        <f>((((AF10/I9)^(1/25)))-1)*100</f>
        <v>4.9314186041328867</v>
      </c>
      <c r="AH10" s="7"/>
      <c r="AI10" s="7"/>
    </row>
    <row r="11" spans="1:35" ht="15.75">
      <c r="A11" s="30" t="s">
        <v>3</v>
      </c>
      <c r="B11" s="32">
        <v>48400000</v>
      </c>
      <c r="C11" s="34">
        <v>1</v>
      </c>
      <c r="D11" s="26">
        <f t="shared" si="0"/>
        <v>48400000</v>
      </c>
      <c r="E11" s="17">
        <f t="shared" si="1"/>
        <v>2456300000</v>
      </c>
      <c r="N11" s="88" t="s">
        <v>45</v>
      </c>
      <c r="O11" s="88"/>
      <c r="P11" s="88" t="s">
        <v>46</v>
      </c>
      <c r="Q11" s="88"/>
      <c r="R11" s="88"/>
      <c r="S11" s="88" t="s">
        <v>47</v>
      </c>
      <c r="T11" s="88"/>
      <c r="U11" s="88"/>
      <c r="V11" s="88" t="s">
        <v>48</v>
      </c>
      <c r="W11" s="88"/>
      <c r="X11" s="88"/>
      <c r="Y11" s="65" t="s">
        <v>49</v>
      </c>
      <c r="Z11" s="128"/>
      <c r="AA11" s="128"/>
      <c r="AC11" s="8" t="s">
        <v>71</v>
      </c>
      <c r="AD11" s="22">
        <v>0.1</v>
      </c>
      <c r="AE11" s="21">
        <f>AE5</f>
        <v>26997074629.991623</v>
      </c>
      <c r="AF11" s="21">
        <f>(AE11*(((1-((1+0.05)^-25)))/0.05))+AE11</f>
        <v>407492347910.46686</v>
      </c>
      <c r="AG11" s="9">
        <f>((((AF11/I9)^(1/25)))-1)*100</f>
        <v>4.445217472456342</v>
      </c>
      <c r="AH11" s="7"/>
      <c r="AI11" s="7"/>
    </row>
    <row r="12" spans="1:35" ht="15">
      <c r="D12" s="5" t="s">
        <v>5</v>
      </c>
      <c r="E12" s="17">
        <f>SUM(E3:E11)</f>
        <v>74751908000</v>
      </c>
      <c r="G12" s="91" t="s">
        <v>15</v>
      </c>
      <c r="H12" s="92"/>
      <c r="I12" s="93"/>
      <c r="K12" s="2" t="s">
        <v>24</v>
      </c>
      <c r="L12" s="14">
        <f>L9*1000</f>
        <v>9725668.4242116287</v>
      </c>
      <c r="N12" s="86">
        <v>2022</v>
      </c>
      <c r="O12" s="86"/>
      <c r="P12" s="86">
        <v>2</v>
      </c>
      <c r="Q12" s="86"/>
      <c r="R12" s="86"/>
      <c r="S12" s="87">
        <f>I9</f>
        <v>137374300836.875</v>
      </c>
      <c r="T12" s="87"/>
      <c r="U12" s="87"/>
      <c r="V12" s="87">
        <f>L17-I19</f>
        <v>31152685619.981155</v>
      </c>
      <c r="W12" s="87"/>
      <c r="X12" s="87"/>
      <c r="Y12" s="15">
        <f>(V12/S12)</f>
        <v>0.22677229605683952</v>
      </c>
      <c r="Z12" s="129">
        <f>(V12/((1.05)^25))+(V12/(1.05^2))+(V12/(1.05^3))+(V12/(1.05^4))+(V12/(1.05^5))</f>
        <v>114405075628.632</v>
      </c>
      <c r="AA12" s="127"/>
      <c r="AC12" s="8" t="s">
        <v>72</v>
      </c>
      <c r="AD12" s="22">
        <v>0.1</v>
      </c>
      <c r="AE12" s="21">
        <f>AF5</f>
        <v>32395213248.983143</v>
      </c>
      <c r="AF12" s="21">
        <f>(AE12*(((1-((1+0.05)^-25)))/0.05))+AE12</f>
        <v>488971552985.35028</v>
      </c>
      <c r="AG12" s="9">
        <f>((((AF12/I9)^(1/25)))-1)*100</f>
        <v>5.209540527321721</v>
      </c>
      <c r="AH12" s="7"/>
      <c r="AI12" s="7"/>
    </row>
    <row r="13" spans="1:35" ht="15">
      <c r="G13" s="2" t="s">
        <v>16</v>
      </c>
      <c r="H13" s="2"/>
      <c r="I13" s="17">
        <f>L16</f>
        <v>6539619100.0104694</v>
      </c>
      <c r="K13" s="2" t="s">
        <v>34</v>
      </c>
      <c r="L13" s="19">
        <v>6.8000000000000005E-2</v>
      </c>
      <c r="N13" s="86">
        <v>2023</v>
      </c>
      <c r="O13" s="86"/>
      <c r="P13" s="86">
        <v>3</v>
      </c>
      <c r="Q13" s="86"/>
      <c r="R13" s="86"/>
      <c r="S13" s="87">
        <f>S12-V12</f>
        <v>106221615216.89384</v>
      </c>
      <c r="T13" s="87"/>
      <c r="U13" s="87"/>
      <c r="V13" s="87">
        <f>V12</f>
        <v>31152685619.981155</v>
      </c>
      <c r="W13" s="87"/>
      <c r="X13" s="87"/>
      <c r="Y13" s="15">
        <f>(V13/S13)</f>
        <v>0.29328009705341523</v>
      </c>
      <c r="Z13" s="129">
        <f>(V13/(1.05^6))+(V13/(1.05^7))+(V13/(1.05^8))+(V13/(1.05^9))+(V13/(1.05^10))</f>
        <v>105677955070.51729</v>
      </c>
      <c r="AA13" s="127"/>
      <c r="AC13" s="10"/>
      <c r="AD13" s="7"/>
      <c r="AE13" s="7"/>
      <c r="AF13" s="7"/>
      <c r="AG13" s="7"/>
      <c r="AH13" s="7"/>
      <c r="AI13" s="7"/>
    </row>
    <row r="14" spans="1:35" ht="15.75">
      <c r="G14" s="2" t="s">
        <v>17</v>
      </c>
      <c r="H14" s="2">
        <v>0.2</v>
      </c>
      <c r="I14" s="17">
        <f>H14*I13</f>
        <v>1307923820.002094</v>
      </c>
      <c r="K14" s="2" t="s">
        <v>35</v>
      </c>
      <c r="L14" s="19">
        <f>L13*50.75</f>
        <v>3.4510000000000001</v>
      </c>
      <c r="N14" s="86">
        <v>2024</v>
      </c>
      <c r="O14" s="86"/>
      <c r="P14" s="86">
        <v>4</v>
      </c>
      <c r="Q14" s="86"/>
      <c r="R14" s="86"/>
      <c r="S14" s="87">
        <f>S13-V13</f>
        <v>75068929596.912689</v>
      </c>
      <c r="T14" s="87"/>
      <c r="U14" s="87"/>
      <c r="V14" s="87">
        <f>V12</f>
        <v>31152685619.981155</v>
      </c>
      <c r="W14" s="87"/>
      <c r="X14" s="87"/>
      <c r="Y14" s="15">
        <f>(V14/S14)</f>
        <v>0.41498774242895758</v>
      </c>
      <c r="Z14" s="129">
        <f>(V14/(1.05^11))+(V14/(1.05^12))+(V14/(1.05^13))+(V14/(1.05^14))+(V14/(1.05^15))</f>
        <v>82801443016.628464</v>
      </c>
      <c r="AA14" s="127"/>
      <c r="AC14" s="66" t="s">
        <v>73</v>
      </c>
      <c r="AD14" s="7"/>
      <c r="AE14" s="7"/>
      <c r="AF14" s="7"/>
      <c r="AG14" s="7"/>
      <c r="AH14" s="7"/>
      <c r="AI14" s="7"/>
    </row>
    <row r="15" spans="1:35" ht="15.75">
      <c r="G15" s="2" t="s">
        <v>18</v>
      </c>
      <c r="H15" s="2">
        <f>H14</f>
        <v>0.2</v>
      </c>
      <c r="I15" s="17">
        <f>I14</f>
        <v>1307923820.002094</v>
      </c>
      <c r="K15" s="2" t="s">
        <v>30</v>
      </c>
      <c r="L15" s="19">
        <v>22479.470399999998</v>
      </c>
      <c r="N15" s="86">
        <v>2025</v>
      </c>
      <c r="O15" s="86"/>
      <c r="P15" s="86">
        <v>5</v>
      </c>
      <c r="Q15" s="86"/>
      <c r="R15" s="86"/>
      <c r="S15" s="87">
        <f>S14-V14</f>
        <v>43916243976.931534</v>
      </c>
      <c r="T15" s="87"/>
      <c r="U15" s="87"/>
      <c r="V15" s="87">
        <f>V12</f>
        <v>31152685619.981155</v>
      </c>
      <c r="W15" s="87"/>
      <c r="X15" s="87"/>
      <c r="Y15" s="15">
        <f>(V15/S15)</f>
        <v>0.70936589286518081</v>
      </c>
      <c r="Z15" s="129">
        <f>(V15/(1.05^16))+(V15/(1.05^17))+(V15/(1.05^18))+(V15/(1.05^19))+(V15/(1.05^20))</f>
        <v>64877097224.875443</v>
      </c>
      <c r="AA15" s="127"/>
      <c r="AC15" s="65" t="s">
        <v>74</v>
      </c>
      <c r="AD15" s="65" t="s">
        <v>75</v>
      </c>
      <c r="AE15" s="65" t="s">
        <v>76</v>
      </c>
      <c r="AF15" s="65" t="s">
        <v>77</v>
      </c>
      <c r="AG15" s="65" t="s">
        <v>78</v>
      </c>
      <c r="AH15" s="7"/>
      <c r="AI15" s="7"/>
    </row>
    <row r="16" spans="1:35" ht="15">
      <c r="G16" s="2" t="s">
        <v>19</v>
      </c>
      <c r="H16" s="2">
        <f>H14</f>
        <v>0.2</v>
      </c>
      <c r="I16" s="17">
        <f>I14</f>
        <v>1307923820.002094</v>
      </c>
      <c r="K16" s="2" t="s">
        <v>16</v>
      </c>
      <c r="L16" s="27">
        <f>(L14*L12*500*365*24)/L15</f>
        <v>6539619100.0104694</v>
      </c>
      <c r="N16" s="86">
        <v>2045</v>
      </c>
      <c r="O16" s="86"/>
      <c r="P16" s="86">
        <v>25</v>
      </c>
      <c r="Q16" s="86"/>
      <c r="R16" s="86"/>
      <c r="S16" s="87">
        <f>S15-(V15*20)</f>
        <v>-579137468422.69153</v>
      </c>
      <c r="T16" s="87"/>
      <c r="U16" s="87"/>
      <c r="V16" s="87">
        <f>V12</f>
        <v>31152685619.981155</v>
      </c>
      <c r="W16" s="87"/>
      <c r="X16" s="87"/>
      <c r="Y16" s="15">
        <f>V16/-S16</f>
        <v>5.3791521561930671E-2</v>
      </c>
      <c r="Z16" s="129">
        <f>(V16/(1.05^21))+(V16/(1.05^22))+(V16/(1.05^23))+(V16/(1.05^24))+(V16/(1.05^25))</f>
        <v>50832903280.20816</v>
      </c>
      <c r="AA16" s="127"/>
      <c r="AC16" s="18">
        <f>(O3-R3-V3)/25</f>
        <v>2755654336.5120001</v>
      </c>
      <c r="AD16" s="18">
        <f>(O6-R6-V6)/25</f>
        <v>5064166226.05056</v>
      </c>
      <c r="AE16" s="18">
        <f>AC16+AD16+I19</f>
        <v>19591134942.581406</v>
      </c>
      <c r="AF16" s="18">
        <f>L17</f>
        <v>42924000000</v>
      </c>
      <c r="AG16" s="16">
        <f>(AE16/AF16)*500</f>
        <v>228.20723770596177</v>
      </c>
      <c r="AH16" s="7"/>
      <c r="AI16" s="7"/>
    </row>
    <row r="17" spans="7:32" ht="15.75">
      <c r="G17" s="2" t="s">
        <v>20</v>
      </c>
      <c r="H17" s="2">
        <v>0.1</v>
      </c>
      <c r="I17" s="17">
        <f>H17*I13</f>
        <v>653961910.00104702</v>
      </c>
      <c r="K17" s="2" t="s">
        <v>31</v>
      </c>
      <c r="L17" s="20">
        <f>L7*L8*365*24</f>
        <v>42924000000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11" t="s">
        <v>50</v>
      </c>
      <c r="Y17" s="15">
        <f>AVERAGE(Y12:Y16)</f>
        <v>0.33963950999326475</v>
      </c>
      <c r="Z17" s="129">
        <f>SUM(Z12:Z16)</f>
        <v>418594474220.86133</v>
      </c>
      <c r="AA17" s="127"/>
    </row>
    <row r="18" spans="7:32" ht="15">
      <c r="G18" s="2" t="s">
        <v>21</v>
      </c>
      <c r="H18" s="2">
        <f>H17</f>
        <v>0.1</v>
      </c>
      <c r="I18" s="17">
        <f>H18*I13</f>
        <v>653961910.00104702</v>
      </c>
      <c r="K18" s="2" t="s">
        <v>32</v>
      </c>
      <c r="L18" s="19">
        <f>L17*((1-1.065^-25)/0.065)</f>
        <v>523581660546.32507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E18" s="2" t="s">
        <v>124</v>
      </c>
      <c r="AF18" s="2">
        <f>AF16-AE16</f>
        <v>23332865057.418594</v>
      </c>
    </row>
    <row r="19" spans="7:32" ht="15.75">
      <c r="H19" s="5" t="s">
        <v>5</v>
      </c>
      <c r="I19" s="17">
        <f>SUM(I13:I18)</f>
        <v>11771314380.018847</v>
      </c>
      <c r="K19" s="2" t="s">
        <v>33</v>
      </c>
      <c r="L19" s="19">
        <f>(0.95*I9)/25</f>
        <v>5220223431.8012505</v>
      </c>
      <c r="N19" s="64" t="s">
        <v>52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C19" s="23" t="s">
        <v>57</v>
      </c>
      <c r="AD19" s="24"/>
      <c r="AE19" s="2" t="s">
        <v>125</v>
      </c>
      <c r="AF19" s="2">
        <f>0.12*E12</f>
        <v>8970228960</v>
      </c>
    </row>
    <row r="20" spans="7:32" ht="15.75">
      <c r="N20" s="88" t="s">
        <v>45</v>
      </c>
      <c r="O20" s="88"/>
      <c r="P20" s="88" t="s">
        <v>48</v>
      </c>
      <c r="Q20" s="88"/>
      <c r="R20" s="88"/>
      <c r="S20" s="88"/>
      <c r="T20" s="88" t="s">
        <v>47</v>
      </c>
      <c r="U20" s="88"/>
      <c r="V20" s="88" t="s">
        <v>39</v>
      </c>
      <c r="W20" s="88"/>
      <c r="X20" s="12"/>
      <c r="Y20" s="6"/>
      <c r="Z20" s="6"/>
      <c r="AA20" s="6"/>
      <c r="AC20" s="23" t="s">
        <v>58</v>
      </c>
      <c r="AD20" s="25">
        <f>500*0.9</f>
        <v>450</v>
      </c>
      <c r="AE20" s="2" t="s">
        <v>126</v>
      </c>
      <c r="AF20" s="2">
        <f>V12/AF19</f>
        <v>3.4728974877784116</v>
      </c>
    </row>
    <row r="21" spans="7:32" ht="15">
      <c r="I21" s="1">
        <f>(I18)/500000</f>
        <v>1307.9238200020941</v>
      </c>
      <c r="K21" s="1" t="s">
        <v>104</v>
      </c>
      <c r="N21" s="86">
        <v>2022</v>
      </c>
      <c r="O21" s="86"/>
      <c r="P21" s="87">
        <f>V12</f>
        <v>31152685619.981155</v>
      </c>
      <c r="Q21" s="87"/>
      <c r="R21" s="87"/>
      <c r="S21" s="87"/>
      <c r="T21" s="87">
        <f>S12</f>
        <v>137374300836.875</v>
      </c>
      <c r="U21" s="87"/>
      <c r="V21" s="87">
        <f>T21-V8</f>
        <v>128292176025.34688</v>
      </c>
      <c r="W21" s="87"/>
      <c r="X21" s="12"/>
      <c r="Y21" s="6"/>
      <c r="Z21" s="6"/>
      <c r="AA21" s="6"/>
    </row>
    <row r="22" spans="7:32" ht="15">
      <c r="N22" s="86">
        <v>2023</v>
      </c>
      <c r="O22" s="86"/>
      <c r="P22" s="87">
        <f>P21</f>
        <v>31152685619.981155</v>
      </c>
      <c r="Q22" s="87"/>
      <c r="R22" s="87"/>
      <c r="S22" s="87"/>
      <c r="T22" s="87">
        <f>T21-P22</f>
        <v>106221615216.89384</v>
      </c>
      <c r="U22" s="87"/>
      <c r="V22" s="87">
        <f>V21-V8</f>
        <v>119210051213.81876</v>
      </c>
      <c r="W22" s="87"/>
      <c r="X22" s="12"/>
      <c r="Y22" s="6"/>
      <c r="Z22" s="6"/>
      <c r="AA22" s="6"/>
    </row>
    <row r="23" spans="7:32" ht="15">
      <c r="N23" s="86">
        <v>2024</v>
      </c>
      <c r="O23" s="86"/>
      <c r="P23" s="87">
        <f>P21</f>
        <v>31152685619.981155</v>
      </c>
      <c r="Q23" s="87"/>
      <c r="R23" s="87"/>
      <c r="S23" s="87"/>
      <c r="T23" s="87">
        <f>T22-P23</f>
        <v>75068929596.912689</v>
      </c>
      <c r="U23" s="87"/>
      <c r="V23" s="87">
        <f>V22-V8</f>
        <v>110127926402.29063</v>
      </c>
      <c r="W23" s="87"/>
      <c r="X23" s="12"/>
      <c r="Y23" s="6"/>
      <c r="Z23" s="6"/>
      <c r="AA23" s="6"/>
    </row>
    <row r="24" spans="7:32" ht="15">
      <c r="N24" s="86">
        <v>2025</v>
      </c>
      <c r="O24" s="86"/>
      <c r="P24" s="87">
        <f>P21</f>
        <v>31152685619.981155</v>
      </c>
      <c r="Q24" s="87"/>
      <c r="R24" s="87"/>
      <c r="S24" s="87"/>
      <c r="T24" s="87">
        <f>T23-P24</f>
        <v>43916243976.931534</v>
      </c>
      <c r="U24" s="87"/>
      <c r="V24" s="87">
        <f>V23-V8</f>
        <v>101045801590.76251</v>
      </c>
      <c r="W24" s="87"/>
      <c r="X24" s="12"/>
      <c r="Y24" s="6"/>
      <c r="Z24" s="6"/>
      <c r="AA24" s="6"/>
    </row>
    <row r="25" spans="7:32" ht="15">
      <c r="N25" s="86" t="s">
        <v>51</v>
      </c>
      <c r="O25" s="86"/>
      <c r="P25" s="87">
        <f>AVERAGE(P21:S24)</f>
        <v>31152685619.981155</v>
      </c>
      <c r="Q25" s="87"/>
      <c r="R25" s="87"/>
      <c r="S25" s="87"/>
      <c r="T25" s="87">
        <f>AVERAGE(T21:U24)</f>
        <v>90645272406.903259</v>
      </c>
      <c r="U25" s="87"/>
      <c r="V25" s="87">
        <f>AVERAGE(V21:W24)</f>
        <v>114668988808.0547</v>
      </c>
      <c r="W25" s="87"/>
      <c r="X25" s="12"/>
      <c r="Y25" s="6"/>
      <c r="Z25" s="6"/>
      <c r="AA25" s="6"/>
    </row>
    <row r="26" spans="7:32" ht="15.75">
      <c r="N26" s="111" t="s">
        <v>52</v>
      </c>
      <c r="O26" s="111"/>
      <c r="P26" s="111"/>
      <c r="Q26" s="111"/>
      <c r="R26" s="111"/>
      <c r="S26" s="111"/>
      <c r="T26" s="89">
        <f>T21/P21</f>
        <v>4.4097097281642998</v>
      </c>
      <c r="U26" s="89"/>
      <c r="V26" s="89"/>
      <c r="W26" s="89"/>
      <c r="X26" s="12"/>
      <c r="Y26" s="6"/>
      <c r="Z26" s="6"/>
      <c r="AA26" s="6"/>
    </row>
    <row r="27" spans="7:32" ht="15"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</sheetData>
  <mergeCells count="82">
    <mergeCell ref="N17:W17"/>
    <mergeCell ref="N20:O20"/>
    <mergeCell ref="P20:S20"/>
    <mergeCell ref="T20:U20"/>
    <mergeCell ref="V20:W20"/>
    <mergeCell ref="N25:O25"/>
    <mergeCell ref="P25:S25"/>
    <mergeCell ref="T25:U25"/>
    <mergeCell ref="V25:W25"/>
    <mergeCell ref="N26:S26"/>
    <mergeCell ref="T26:W26"/>
    <mergeCell ref="N23:O23"/>
    <mergeCell ref="P23:S23"/>
    <mergeCell ref="T23:U23"/>
    <mergeCell ref="V23:W23"/>
    <mergeCell ref="N24:O24"/>
    <mergeCell ref="P24:S24"/>
    <mergeCell ref="T24:U24"/>
    <mergeCell ref="V24:W24"/>
    <mergeCell ref="N21:O21"/>
    <mergeCell ref="P21:S21"/>
    <mergeCell ref="T21:U21"/>
    <mergeCell ref="V21:W21"/>
    <mergeCell ref="N22:O22"/>
    <mergeCell ref="P22:S22"/>
    <mergeCell ref="T22:U22"/>
    <mergeCell ref="V22:W22"/>
    <mergeCell ref="N16:O16"/>
    <mergeCell ref="P16:R16"/>
    <mergeCell ref="S16:U16"/>
    <mergeCell ref="V16:X16"/>
    <mergeCell ref="N14:O14"/>
    <mergeCell ref="P14:R14"/>
    <mergeCell ref="S14:U14"/>
    <mergeCell ref="V14:X14"/>
    <mergeCell ref="N15:O15"/>
    <mergeCell ref="P15:R15"/>
    <mergeCell ref="S15:U15"/>
    <mergeCell ref="V15:X15"/>
    <mergeCell ref="V12:X12"/>
    <mergeCell ref="N13:O13"/>
    <mergeCell ref="P13:R13"/>
    <mergeCell ref="S13:U13"/>
    <mergeCell ref="V13:X13"/>
    <mergeCell ref="V8:W8"/>
    <mergeCell ref="N1:O1"/>
    <mergeCell ref="O8:S8"/>
    <mergeCell ref="N11:O11"/>
    <mergeCell ref="P11:R11"/>
    <mergeCell ref="S11:U11"/>
    <mergeCell ref="V11:X11"/>
    <mergeCell ref="T6:U6"/>
    <mergeCell ref="V6:W6"/>
    <mergeCell ref="O7:P7"/>
    <mergeCell ref="R7:S7"/>
    <mergeCell ref="T7:U7"/>
    <mergeCell ref="V7:W7"/>
    <mergeCell ref="T4:U4"/>
    <mergeCell ref="V4:W4"/>
    <mergeCell ref="V5:W5"/>
    <mergeCell ref="T2:U2"/>
    <mergeCell ref="V2:W2"/>
    <mergeCell ref="O3:P3"/>
    <mergeCell ref="R3:S3"/>
    <mergeCell ref="T3:U3"/>
    <mergeCell ref="V3:W3"/>
    <mergeCell ref="A1:E1"/>
    <mergeCell ref="G1:I1"/>
    <mergeCell ref="G12:I12"/>
    <mergeCell ref="O2:P2"/>
    <mergeCell ref="R2:S2"/>
    <mergeCell ref="O4:P4"/>
    <mergeCell ref="R4:S4"/>
    <mergeCell ref="O6:P6"/>
    <mergeCell ref="R6:S6"/>
    <mergeCell ref="N12:O12"/>
    <mergeCell ref="P12:R12"/>
    <mergeCell ref="S12:U12"/>
    <mergeCell ref="O5:P5"/>
    <mergeCell ref="R5:S5"/>
    <mergeCell ref="T5:U5"/>
    <mergeCell ref="T8:U8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4"/>
  <sheetViews>
    <sheetView topLeftCell="A24" zoomScale="70" zoomScaleNormal="70" workbookViewId="0">
      <selection activeCell="E58" sqref="E58"/>
    </sheetView>
  </sheetViews>
  <sheetFormatPr defaultRowHeight="15"/>
  <cols>
    <col min="2" max="2" width="35.7109375" customWidth="1"/>
    <col min="3" max="3" width="21.85546875" customWidth="1"/>
    <col min="4" max="5" width="21.5703125" customWidth="1"/>
    <col min="6" max="6" width="19.28515625" customWidth="1"/>
    <col min="7" max="7" width="18.5703125" customWidth="1"/>
    <col min="8" max="8" width="18.42578125" customWidth="1"/>
    <col min="9" max="9" width="18" customWidth="1"/>
  </cols>
  <sheetData>
    <row r="2" spans="2:9">
      <c r="B2" s="112" t="s">
        <v>28</v>
      </c>
      <c r="C2" s="112" t="s">
        <v>129</v>
      </c>
      <c r="D2" s="114" t="s">
        <v>130</v>
      </c>
      <c r="E2" s="115"/>
      <c r="F2" s="114" t="s">
        <v>135</v>
      </c>
      <c r="G2" s="115"/>
      <c r="H2" s="114" t="s">
        <v>131</v>
      </c>
      <c r="I2" s="115"/>
    </row>
    <row r="3" spans="2:9">
      <c r="B3" s="112"/>
      <c r="C3" s="112"/>
      <c r="D3" s="114" t="s">
        <v>132</v>
      </c>
      <c r="E3" s="115"/>
      <c r="F3" s="114" t="s">
        <v>132</v>
      </c>
      <c r="G3" s="115"/>
      <c r="H3" s="114" t="s">
        <v>132</v>
      </c>
      <c r="I3" s="115"/>
    </row>
    <row r="4" spans="2:9">
      <c r="B4" s="112"/>
      <c r="C4" s="112"/>
      <c r="D4" s="113" t="s">
        <v>133</v>
      </c>
      <c r="E4" s="113" t="s">
        <v>111</v>
      </c>
      <c r="F4" s="113" t="s">
        <v>133</v>
      </c>
      <c r="G4" s="113" t="s">
        <v>111</v>
      </c>
      <c r="H4" s="113" t="s">
        <v>133</v>
      </c>
      <c r="I4" s="113" t="s">
        <v>111</v>
      </c>
    </row>
    <row r="5" spans="2:9">
      <c r="B5" s="113" t="s">
        <v>0</v>
      </c>
      <c r="C5" s="113">
        <v>1</v>
      </c>
      <c r="D5" s="116">
        <v>699000000</v>
      </c>
      <c r="E5" s="117">
        <v>35474250000</v>
      </c>
      <c r="F5" s="116">
        <v>699700000</v>
      </c>
      <c r="G5" s="116">
        <v>35509775000</v>
      </c>
      <c r="H5" s="116">
        <v>700586000</v>
      </c>
      <c r="I5" s="116">
        <v>35554739500</v>
      </c>
    </row>
    <row r="6" spans="2:9">
      <c r="B6" s="113" t="s">
        <v>25</v>
      </c>
      <c r="C6" s="113">
        <v>1</v>
      </c>
      <c r="D6" s="116">
        <v>88040000</v>
      </c>
      <c r="E6" s="117">
        <v>4468030000</v>
      </c>
      <c r="F6" s="116">
        <v>87060000</v>
      </c>
      <c r="G6" s="116">
        <v>4418295000</v>
      </c>
      <c r="H6" s="116">
        <v>90700000</v>
      </c>
      <c r="I6" s="116">
        <v>4603025000</v>
      </c>
    </row>
    <row r="7" spans="2:9">
      <c r="B7" s="113" t="s">
        <v>26</v>
      </c>
      <c r="C7" s="113">
        <v>1</v>
      </c>
      <c r="D7" s="116">
        <v>81486200</v>
      </c>
      <c r="E7" s="117">
        <v>4135424650</v>
      </c>
      <c r="F7" s="116">
        <v>80000000</v>
      </c>
      <c r="G7" s="116">
        <v>4060000000</v>
      </c>
      <c r="H7" s="116">
        <v>80920000</v>
      </c>
      <c r="I7" s="116">
        <v>4106690000</v>
      </c>
    </row>
    <row r="8" spans="2:9">
      <c r="B8" s="113" t="s">
        <v>27</v>
      </c>
      <c r="C8" s="113">
        <v>1</v>
      </c>
      <c r="D8" s="116">
        <v>276269530</v>
      </c>
      <c r="E8" s="117">
        <v>14020678647.5</v>
      </c>
      <c r="F8" s="116">
        <v>280560000</v>
      </c>
      <c r="G8" s="116">
        <v>14238420000</v>
      </c>
      <c r="H8" s="116">
        <v>280750000</v>
      </c>
      <c r="I8" s="116">
        <v>14248062500</v>
      </c>
    </row>
    <row r="9" spans="2:9">
      <c r="B9" s="113" t="s">
        <v>1</v>
      </c>
      <c r="C9" s="113">
        <v>1</v>
      </c>
      <c r="D9" s="116">
        <v>154000000</v>
      </c>
      <c r="E9" s="117">
        <v>7815500000</v>
      </c>
      <c r="F9" s="116">
        <v>150200000</v>
      </c>
      <c r="G9" s="116">
        <v>7622650000</v>
      </c>
      <c r="H9" s="116">
        <v>150500000</v>
      </c>
      <c r="I9" s="116">
        <v>7637875000</v>
      </c>
    </row>
    <row r="10" spans="2:9">
      <c r="B10" s="113" t="s">
        <v>87</v>
      </c>
      <c r="C10" s="113">
        <v>1</v>
      </c>
      <c r="D10" s="116">
        <v>10902000</v>
      </c>
      <c r="E10" s="117">
        <v>553276500</v>
      </c>
      <c r="F10" s="116">
        <v>10800000</v>
      </c>
      <c r="G10" s="116">
        <v>548100000</v>
      </c>
      <c r="H10" s="116">
        <v>11056000</v>
      </c>
      <c r="I10" s="116">
        <v>561092000</v>
      </c>
    </row>
    <row r="11" spans="2:9">
      <c r="B11" s="113" t="s">
        <v>86</v>
      </c>
      <c r="C11" s="113">
        <v>7</v>
      </c>
      <c r="D11" s="116">
        <v>66556000</v>
      </c>
      <c r="E11" s="117">
        <v>3377717000</v>
      </c>
      <c r="F11" s="116">
        <v>63350000</v>
      </c>
      <c r="G11" s="116">
        <v>3215012500</v>
      </c>
      <c r="H11" s="116">
        <v>63532000</v>
      </c>
      <c r="I11" s="116">
        <v>3224249000</v>
      </c>
    </row>
    <row r="12" spans="2:9">
      <c r="B12" s="113" t="s">
        <v>2</v>
      </c>
      <c r="C12" s="113">
        <v>3</v>
      </c>
      <c r="D12" s="116">
        <v>45000000</v>
      </c>
      <c r="E12" s="117">
        <v>2283750000</v>
      </c>
      <c r="F12" s="116">
        <v>44700000</v>
      </c>
      <c r="G12" s="116">
        <v>2268525000</v>
      </c>
      <c r="H12" s="116">
        <v>46500000</v>
      </c>
      <c r="I12" s="116">
        <v>2359875000</v>
      </c>
    </row>
    <row r="13" spans="2:9">
      <c r="B13" s="113" t="s">
        <v>3</v>
      </c>
      <c r="C13" s="113">
        <v>1</v>
      </c>
      <c r="D13" s="116">
        <v>48800600</v>
      </c>
      <c r="E13" s="117">
        <v>2476630450</v>
      </c>
      <c r="F13" s="116">
        <v>48146000</v>
      </c>
      <c r="G13" s="116">
        <v>2443409500</v>
      </c>
      <c r="H13" s="116">
        <v>48400000</v>
      </c>
      <c r="I13" s="116">
        <v>2456300000</v>
      </c>
    </row>
    <row r="14" spans="2:9">
      <c r="B14" s="113" t="s">
        <v>134</v>
      </c>
      <c r="C14" s="113"/>
      <c r="D14" s="113"/>
      <c r="E14" s="116">
        <v>74605257247.5</v>
      </c>
      <c r="F14" s="113"/>
      <c r="G14" s="116">
        <v>74324187000</v>
      </c>
      <c r="H14" s="113"/>
      <c r="I14" s="116">
        <v>74751908000</v>
      </c>
    </row>
    <row r="18" spans="1:4">
      <c r="A18" t="s">
        <v>123</v>
      </c>
    </row>
    <row r="19" spans="1:4">
      <c r="B19" s="79" t="s">
        <v>105</v>
      </c>
      <c r="C19" s="79" t="s">
        <v>106</v>
      </c>
      <c r="D19" s="79">
        <v>500</v>
      </c>
    </row>
    <row r="20" spans="1:4">
      <c r="B20" s="79" t="s">
        <v>107</v>
      </c>
      <c r="C20" s="79"/>
      <c r="D20" s="79">
        <v>54.6</v>
      </c>
    </row>
    <row r="21" spans="1:4">
      <c r="B21" s="79" t="s">
        <v>108</v>
      </c>
      <c r="C21" s="79" t="s">
        <v>109</v>
      </c>
      <c r="D21" s="79">
        <v>4380</v>
      </c>
    </row>
    <row r="22" spans="1:4">
      <c r="B22" s="79" t="s">
        <v>110</v>
      </c>
      <c r="C22" s="79" t="s">
        <v>88</v>
      </c>
      <c r="D22" s="79">
        <v>9.8000000000000007</v>
      </c>
    </row>
    <row r="23" spans="1:4">
      <c r="B23" s="79" t="s">
        <v>43</v>
      </c>
      <c r="C23" s="79" t="s">
        <v>111</v>
      </c>
      <c r="D23" s="80">
        <v>137374300836.875</v>
      </c>
    </row>
    <row r="24" spans="1:4">
      <c r="B24" s="79" t="s">
        <v>112</v>
      </c>
      <c r="C24" s="79" t="s">
        <v>113</v>
      </c>
      <c r="D24" s="79">
        <v>25</v>
      </c>
    </row>
    <row r="25" spans="1:4">
      <c r="B25" s="79" t="s">
        <v>114</v>
      </c>
      <c r="C25" s="79"/>
      <c r="D25" s="79">
        <v>0.05</v>
      </c>
    </row>
    <row r="26" spans="1:4">
      <c r="B26" s="79" t="s">
        <v>115</v>
      </c>
      <c r="C26" s="79"/>
      <c r="D26" s="79">
        <f>((0.05*(1.05^25))/((1.05^25)-1))</f>
        <v>7.0952457299229624E-2</v>
      </c>
    </row>
    <row r="27" spans="1:4">
      <c r="B27" s="79" t="s">
        <v>116</v>
      </c>
      <c r="C27" s="79" t="s">
        <v>111</v>
      </c>
      <c r="D27" s="80">
        <v>11771314380.018847</v>
      </c>
    </row>
    <row r="28" spans="1:4">
      <c r="B28" s="79" t="s">
        <v>117</v>
      </c>
      <c r="C28" s="79" t="s">
        <v>111</v>
      </c>
      <c r="D28" s="80">
        <v>1307923820.002094</v>
      </c>
    </row>
    <row r="29" spans="1:4">
      <c r="B29" s="79" t="s">
        <v>118</v>
      </c>
      <c r="C29" s="79" t="s">
        <v>111</v>
      </c>
      <c r="D29" s="80">
        <v>5220223431.8012505</v>
      </c>
    </row>
    <row r="30" spans="1:4">
      <c r="B30" s="79" t="s">
        <v>119</v>
      </c>
      <c r="C30" s="79" t="s">
        <v>120</v>
      </c>
      <c r="D30" s="80">
        <f>D29/(D19*1000)</f>
        <v>10440.446863602501</v>
      </c>
    </row>
    <row r="31" spans="1:4">
      <c r="B31" s="79" t="s">
        <v>121</v>
      </c>
      <c r="C31" s="79" t="s">
        <v>120</v>
      </c>
      <c r="D31" s="80">
        <v>1307.9238200020941</v>
      </c>
    </row>
    <row r="32" spans="1:4">
      <c r="B32" s="79" t="s">
        <v>122</v>
      </c>
      <c r="C32" s="79" t="s">
        <v>120</v>
      </c>
      <c r="D32" s="79">
        <f>((D27+D28+D29)/(1.05)^25)/((500*1000*8400)/(1.05)^25)</f>
        <v>4.357014674243378</v>
      </c>
    </row>
    <row r="36" spans="1:9">
      <c r="A36" t="s">
        <v>136</v>
      </c>
    </row>
    <row r="37" spans="1:9">
      <c r="B37" s="79"/>
      <c r="C37" s="79" t="s">
        <v>79</v>
      </c>
      <c r="D37" s="79" t="s">
        <v>88</v>
      </c>
      <c r="E37" s="79" t="s">
        <v>137</v>
      </c>
      <c r="F37" s="79" t="s">
        <v>138</v>
      </c>
      <c r="G37" s="79" t="s">
        <v>139</v>
      </c>
      <c r="H37" s="79" t="s">
        <v>140</v>
      </c>
    </row>
    <row r="38" spans="1:9">
      <c r="B38" s="79" t="s">
        <v>130</v>
      </c>
      <c r="C38" s="122">
        <f>E14</f>
        <v>74605257247.5</v>
      </c>
      <c r="D38" s="123">
        <v>9.8000000000000007</v>
      </c>
      <c r="E38" s="79">
        <v>42</v>
      </c>
      <c r="F38" s="79">
        <v>1</v>
      </c>
      <c r="G38" s="79">
        <v>25</v>
      </c>
      <c r="H38" s="122">
        <f>D28</f>
        <v>1307923820.002094</v>
      </c>
    </row>
    <row r="39" spans="1:9">
      <c r="B39" s="79" t="s">
        <v>135</v>
      </c>
      <c r="C39" s="122">
        <f>G14</f>
        <v>74324187000</v>
      </c>
      <c r="D39" s="123">
        <v>9.8000000000000007</v>
      </c>
      <c r="E39" s="79">
        <v>43</v>
      </c>
      <c r="F39" s="79">
        <v>1</v>
      </c>
      <c r="G39" s="79">
        <v>25</v>
      </c>
      <c r="H39" s="122">
        <f>D28</f>
        <v>1307923820.002094</v>
      </c>
    </row>
    <row r="40" spans="1:9">
      <c r="B40" s="79" t="s">
        <v>131</v>
      </c>
      <c r="C40" s="122">
        <f>I14</f>
        <v>74751908000</v>
      </c>
      <c r="D40" s="123">
        <v>9.8000000000000007</v>
      </c>
      <c r="E40" s="79">
        <v>46</v>
      </c>
      <c r="F40" s="79">
        <v>1</v>
      </c>
      <c r="G40" s="79">
        <v>25</v>
      </c>
      <c r="H40" s="122">
        <f>D28</f>
        <v>1307923820.002094</v>
      </c>
    </row>
    <row r="43" spans="1:9">
      <c r="B43" s="119"/>
      <c r="C43" s="119"/>
      <c r="D43" s="124" t="s">
        <v>135</v>
      </c>
      <c r="E43" s="125"/>
      <c r="F43" s="124" t="s">
        <v>141</v>
      </c>
      <c r="G43" s="125"/>
      <c r="H43" s="118" t="s">
        <v>142</v>
      </c>
      <c r="I43" s="118"/>
    </row>
    <row r="44" spans="1:9">
      <c r="B44" s="120"/>
      <c r="C44" s="120"/>
      <c r="D44" s="124" t="s">
        <v>143</v>
      </c>
      <c r="E44" s="125"/>
      <c r="F44" s="124" t="s">
        <v>143</v>
      </c>
      <c r="G44" s="125"/>
      <c r="H44" s="118" t="s">
        <v>143</v>
      </c>
      <c r="I44" s="118"/>
    </row>
    <row r="45" spans="1:9">
      <c r="B45" s="121"/>
      <c r="C45" s="121"/>
      <c r="D45" s="79" t="s">
        <v>66</v>
      </c>
      <c r="E45" s="79" t="s">
        <v>67</v>
      </c>
      <c r="F45" s="79" t="s">
        <v>66</v>
      </c>
      <c r="G45" s="79" t="s">
        <v>67</v>
      </c>
      <c r="H45" s="79" t="s">
        <v>66</v>
      </c>
      <c r="I45" s="79" t="s">
        <v>67</v>
      </c>
    </row>
    <row r="46" spans="1:9">
      <c r="B46" s="79" t="s">
        <v>124</v>
      </c>
      <c r="C46" s="79" t="s">
        <v>111</v>
      </c>
      <c r="D46" s="80">
        <f>'CASE 3 CHI'!AD16-'CASE 3 CHI'!AC16</f>
        <v>23377487102.070114</v>
      </c>
      <c r="E46" s="79"/>
      <c r="F46" s="80">
        <f>'CASE 3 US'!AD16-'CASE 3 US'!AC16</f>
        <v>23348164414.771248</v>
      </c>
      <c r="G46" s="79"/>
      <c r="H46" s="80">
        <f>'CASE 3 EU'!AF16-'CASE 3 EU'!AE16</f>
        <v>23332865057.418594</v>
      </c>
      <c r="I46" s="79"/>
    </row>
    <row r="47" spans="1:9">
      <c r="B47" s="79" t="s">
        <v>125</v>
      </c>
      <c r="C47" s="79" t="s">
        <v>111</v>
      </c>
      <c r="D47" s="122">
        <f>0.12*D48</f>
        <v>8918902440</v>
      </c>
      <c r="E47" s="79"/>
      <c r="F47" s="122">
        <f>0.12*F48</f>
        <v>8952630869.6999989</v>
      </c>
      <c r="G47" s="79"/>
      <c r="H47" s="122">
        <f>0.12*H48</f>
        <v>8970228960</v>
      </c>
      <c r="I47" s="79"/>
    </row>
    <row r="48" spans="1:9">
      <c r="B48" s="79" t="s">
        <v>144</v>
      </c>
      <c r="C48" s="79" t="s">
        <v>111</v>
      </c>
      <c r="D48" s="122">
        <f>G14</f>
        <v>74324187000</v>
      </c>
      <c r="E48" s="79"/>
      <c r="F48" s="122">
        <f>E14</f>
        <v>74605257247.5</v>
      </c>
      <c r="G48" s="79"/>
      <c r="H48" s="122">
        <f>I14</f>
        <v>74751908000</v>
      </c>
      <c r="I48" s="79"/>
    </row>
    <row r="49" spans="2:9">
      <c r="B49" s="79"/>
      <c r="C49" s="79" t="s">
        <v>88</v>
      </c>
      <c r="D49" s="122">
        <f>D48/500000</f>
        <v>148648.37400000001</v>
      </c>
      <c r="E49" s="79"/>
      <c r="F49" s="122">
        <f>F48/500000</f>
        <v>149210.51449500001</v>
      </c>
      <c r="G49" s="79"/>
      <c r="H49" s="122">
        <f>H48/500000</f>
        <v>149503.81599999999</v>
      </c>
      <c r="I49" s="79"/>
    </row>
    <row r="50" spans="2:9">
      <c r="B50" s="79" t="s">
        <v>145</v>
      </c>
      <c r="C50" s="79" t="s">
        <v>146</v>
      </c>
      <c r="D50" s="79">
        <f>(500*8400)/1000</f>
        <v>4200</v>
      </c>
      <c r="E50" s="79"/>
      <c r="F50" s="79">
        <f>(500*8400)/1000</f>
        <v>4200</v>
      </c>
      <c r="G50" s="79"/>
      <c r="H50" s="79">
        <f>(500*8400)/1000</f>
        <v>4200</v>
      </c>
      <c r="I50" s="79"/>
    </row>
    <row r="51" spans="2:9">
      <c r="B51" s="79" t="s">
        <v>147</v>
      </c>
      <c r="C51" s="79" t="s">
        <v>148</v>
      </c>
      <c r="D51" s="79">
        <f>D54/((D47/5)*1.2)</f>
        <v>14.553680525506621</v>
      </c>
      <c r="E51" s="79"/>
      <c r="F51" s="79">
        <f>D54/((F47/5)*1.2)</f>
        <v>14.498850521050374</v>
      </c>
      <c r="G51" s="79"/>
      <c r="H51" s="79">
        <f>D54/((H47/5)*1.2)</f>
        <v>14.470406199076715</v>
      </c>
      <c r="I51" s="79"/>
    </row>
    <row r="52" spans="2:9">
      <c r="B52" s="79" t="s">
        <v>149</v>
      </c>
      <c r="C52" s="79" t="s">
        <v>148</v>
      </c>
      <c r="D52" s="122">
        <f>'CASE 3 EU'!Z17-SELECTION!G14</f>
        <v>344270287220.86133</v>
      </c>
      <c r="E52" s="79"/>
      <c r="F52" s="122">
        <f>'CASE 3 EU'!Z17-SELECTION!E14</f>
        <v>343989216973.36133</v>
      </c>
      <c r="G52" s="79"/>
      <c r="H52" s="122">
        <f>'CASE 3 EU'!Z17-SELECTION!I14</f>
        <v>343842566220.86133</v>
      </c>
      <c r="I52" s="79"/>
    </row>
    <row r="54" spans="2:9">
      <c r="C54" t="s">
        <v>48</v>
      </c>
      <c r="D54" s="126">
        <v>31152685619.981155</v>
      </c>
    </row>
  </sheetData>
  <mergeCells count="16">
    <mergeCell ref="C43:C45"/>
    <mergeCell ref="B43:B45"/>
    <mergeCell ref="H44:I44"/>
    <mergeCell ref="H43:I43"/>
    <mergeCell ref="F44:G44"/>
    <mergeCell ref="F43:G43"/>
    <mergeCell ref="D44:E44"/>
    <mergeCell ref="D43:E43"/>
    <mergeCell ref="B2:B4"/>
    <mergeCell ref="C2:C4"/>
    <mergeCell ref="D3:E3"/>
    <mergeCell ref="D2:E2"/>
    <mergeCell ref="H3:I3"/>
    <mergeCell ref="H2:I2"/>
    <mergeCell ref="F3:G3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RELATIVE COST O&amp;M</vt:lpstr>
      <vt:lpstr>CASE 1</vt:lpstr>
      <vt:lpstr>CASE 2</vt:lpstr>
      <vt:lpstr>CASE 3 US</vt:lpstr>
      <vt:lpstr>CASE 3 CHI</vt:lpstr>
      <vt:lpstr>CASE 3 EU</vt:lpstr>
      <vt:lpstr>SELECTION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2020-04-22T14:27:34Z</dcterms:created>
  <dcterms:modified xsi:type="dcterms:W3CDTF">2020-05-14T05:46:31Z</dcterms:modified>
</cp:coreProperties>
</file>