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buBakarAtiq\Desktop\Machining Process Lab\"/>
    </mc:Choice>
  </mc:AlternateContent>
  <xr:revisionPtr revIDLastSave="0" documentId="13_ncr:1_{4BBF6087-03A5-4368-9C71-24A923480A52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Lab 01" sheetId="1" r:id="rId1"/>
    <sheet name="Lab 02" sheetId="2" r:id="rId2"/>
    <sheet name="Lab 03" sheetId="3" r:id="rId3"/>
    <sheet name="Lab 04" sheetId="4" r:id="rId4"/>
    <sheet name="Lab 05" sheetId="5" r:id="rId5"/>
    <sheet name="Lab 06" sheetId="7" r:id="rId6"/>
    <sheet name="Lab 07" sheetId="8" r:id="rId7"/>
    <sheet name="Lab 08" sheetId="21" r:id="rId8"/>
    <sheet name="Lab 09" sheetId="20" r:id="rId9"/>
    <sheet name="Lab 10" sheetId="22" r:id="rId10"/>
    <sheet name="Lab 11" sheetId="23" r:id="rId11"/>
    <sheet name="Lab 12" sheetId="24" r:id="rId12"/>
  </sheets>
  <definedNames>
    <definedName name="_xlnm.Print_Area" localSheetId="1">'Lab 02'!$B$2:$N$23</definedName>
    <definedName name="_xlnm.Print_Area" localSheetId="2">'Lab 03'!$B$2:$J$17</definedName>
    <definedName name="_xlnm.Print_Area" localSheetId="3">'Lab 04'!$A$1:$O$42</definedName>
    <definedName name="_xlnm.Print_Area" localSheetId="4">'Lab 05'!$B$2:$I$13</definedName>
    <definedName name="_xlnm.Print_Area" localSheetId="5">'Lab 06'!$C$2:$M$30</definedName>
    <definedName name="_xlnm.Print_Area" localSheetId="6">'Lab 07'!$B$2:$P$22</definedName>
    <definedName name="_xlnm.Print_Area" localSheetId="8">'Lab 09'!$A$1:$J$20</definedName>
  </definedNames>
  <calcPr calcId="191029"/>
</workbook>
</file>

<file path=xl/calcChain.xml><?xml version="1.0" encoding="utf-8"?>
<calcChain xmlns="http://schemas.openxmlformats.org/spreadsheetml/2006/main">
  <c r="L16" i="7" l="1"/>
  <c r="L17" i="7"/>
  <c r="L18" i="7"/>
  <c r="L19" i="7"/>
  <c r="L20" i="7"/>
  <c r="L15" i="7"/>
  <c r="P7" i="8"/>
  <c r="P8" i="8"/>
  <c r="P9" i="8"/>
  <c r="P10" i="8"/>
  <c r="P11" i="8"/>
  <c r="P6" i="8"/>
  <c r="J20" i="7"/>
  <c r="I20" i="7"/>
  <c r="J16" i="7"/>
  <c r="J17" i="7"/>
  <c r="J18" i="7"/>
  <c r="J19" i="7"/>
  <c r="J15" i="7"/>
  <c r="I16" i="7"/>
  <c r="I17" i="7"/>
  <c r="I18" i="7"/>
  <c r="I19" i="7"/>
  <c r="I15" i="7"/>
  <c r="G27" i="7"/>
  <c r="M7" i="8"/>
  <c r="M8" i="8"/>
  <c r="M9" i="8"/>
  <c r="M10" i="8"/>
  <c r="M11" i="8"/>
  <c r="E7" i="8"/>
  <c r="E8" i="8"/>
  <c r="E9" i="8"/>
  <c r="H9" i="8" s="1"/>
  <c r="E10" i="8"/>
  <c r="E11" i="8"/>
  <c r="H11" i="8" s="1"/>
  <c r="F11" i="2"/>
  <c r="F12" i="2"/>
  <c r="F13" i="2"/>
  <c r="F14" i="2"/>
  <c r="F10" i="2"/>
  <c r="K10" i="4"/>
  <c r="L10" i="4" s="1"/>
  <c r="K11" i="4"/>
  <c r="L11" i="4" s="1"/>
  <c r="K12" i="4"/>
  <c r="L12" i="4" s="1"/>
  <c r="K13" i="4"/>
  <c r="L13" i="4" s="1"/>
  <c r="K14" i="4"/>
  <c r="L14" i="4" s="1"/>
  <c r="J10" i="4"/>
  <c r="J11" i="4"/>
  <c r="J12" i="4"/>
  <c r="J13" i="4"/>
  <c r="J14" i="4"/>
  <c r="H10" i="4"/>
  <c r="H11" i="4"/>
  <c r="H12" i="4"/>
  <c r="H13" i="4"/>
  <c r="H14" i="4"/>
  <c r="M14" i="4"/>
  <c r="M13" i="4"/>
  <c r="M12" i="4"/>
  <c r="M11" i="4"/>
  <c r="M10" i="4"/>
  <c r="F7" i="4"/>
  <c r="F8" i="4"/>
  <c r="F9" i="4"/>
  <c r="F10" i="4"/>
  <c r="F11" i="4"/>
  <c r="F12" i="4"/>
  <c r="F13" i="4"/>
  <c r="F14" i="4"/>
  <c r="F6" i="4"/>
  <c r="D36" i="4" s="1"/>
  <c r="E36" i="4" s="1"/>
  <c r="N11" i="2"/>
  <c r="N12" i="2"/>
  <c r="N13" i="2"/>
  <c r="N14" i="2"/>
  <c r="N10" i="2"/>
  <c r="L11" i="2"/>
  <c r="L12" i="2"/>
  <c r="L13" i="2"/>
  <c r="L14" i="2"/>
  <c r="L10" i="2"/>
  <c r="N10" i="8"/>
  <c r="N11" i="8"/>
  <c r="N9" i="8"/>
  <c r="L9" i="8"/>
  <c r="L10" i="8"/>
  <c r="L11" i="8"/>
  <c r="K9" i="8"/>
  <c r="K10" i="8"/>
  <c r="K11" i="8"/>
  <c r="I10" i="8"/>
  <c r="I11" i="8"/>
  <c r="I9" i="8"/>
  <c r="H10" i="8"/>
  <c r="O7" i="8"/>
  <c r="O8" i="8"/>
  <c r="K7" i="8"/>
  <c r="L7" i="8" s="1"/>
  <c r="K8" i="8"/>
  <c r="L8" i="8" s="1"/>
  <c r="I11" i="2"/>
  <c r="I12" i="2"/>
  <c r="I13" i="2"/>
  <c r="I14" i="2"/>
  <c r="I10" i="2"/>
  <c r="J11" i="2"/>
  <c r="J12" i="2"/>
  <c r="J13" i="2"/>
  <c r="J14" i="2"/>
  <c r="J10" i="2"/>
  <c r="E19" i="8"/>
  <c r="H7" i="8" s="1"/>
  <c r="F14" i="20"/>
  <c r="K10" i="2"/>
  <c r="L4" i="2"/>
  <c r="L3" i="2"/>
  <c r="G15" i="20"/>
  <c r="G16" i="20"/>
  <c r="G14" i="20"/>
  <c r="J15" i="20"/>
  <c r="I16" i="20"/>
  <c r="J16" i="20" s="1"/>
  <c r="F16" i="20"/>
  <c r="D16" i="20"/>
  <c r="I14" i="20"/>
  <c r="J14" i="20" s="1"/>
  <c r="D14" i="20"/>
  <c r="D15" i="20"/>
  <c r="F15" i="20"/>
  <c r="F8" i="20"/>
  <c r="I15" i="20"/>
  <c r="K6" i="8"/>
  <c r="L6" i="8" s="1"/>
  <c r="M6" i="8" s="1"/>
  <c r="O6" i="8"/>
  <c r="O4" i="8"/>
  <c r="H9" i="5"/>
  <c r="E9" i="5"/>
  <c r="H8" i="5"/>
  <c r="H7" i="5"/>
  <c r="E8" i="5"/>
  <c r="I7" i="3"/>
  <c r="I8" i="3"/>
  <c r="I9" i="3"/>
  <c r="I10" i="3"/>
  <c r="I11" i="3"/>
  <c r="I12" i="3"/>
  <c r="I13" i="3"/>
  <c r="I14" i="3"/>
  <c r="H7" i="3"/>
  <c r="H8" i="3"/>
  <c r="H9" i="3"/>
  <c r="H10" i="3"/>
  <c r="H11" i="3"/>
  <c r="H12" i="3"/>
  <c r="H13" i="3"/>
  <c r="H14" i="3"/>
  <c r="G7" i="3"/>
  <c r="G8" i="3"/>
  <c r="G9" i="3"/>
  <c r="G10" i="3"/>
  <c r="G11" i="3"/>
  <c r="G12" i="3"/>
  <c r="G13" i="3"/>
  <c r="G14" i="3"/>
  <c r="F9" i="3"/>
  <c r="F10" i="3"/>
  <c r="F11" i="3"/>
  <c r="F12" i="3"/>
  <c r="F13" i="3"/>
  <c r="F14" i="3"/>
  <c r="H11" i="2"/>
  <c r="H12" i="2"/>
  <c r="H13" i="2"/>
  <c r="H14" i="2"/>
  <c r="M7" i="4"/>
  <c r="M8" i="4"/>
  <c r="M9" i="4"/>
  <c r="K6" i="4"/>
  <c r="L6" i="4" s="1"/>
  <c r="M6" i="4"/>
  <c r="C7" i="3"/>
  <c r="D7" i="3" s="1"/>
  <c r="F4" i="2"/>
  <c r="J9" i="4"/>
  <c r="J8" i="4"/>
  <c r="J7" i="4"/>
  <c r="D7" i="4"/>
  <c r="E7" i="4" s="1"/>
  <c r="D8" i="4" s="1"/>
  <c r="E8" i="4" s="1"/>
  <c r="D9" i="4" s="1"/>
  <c r="E9" i="4" s="1"/>
  <c r="C7" i="4"/>
  <c r="K7" i="4" s="1"/>
  <c r="L7" i="4" s="1"/>
  <c r="J6" i="4"/>
  <c r="E6" i="8"/>
  <c r="H6" i="8" s="1"/>
  <c r="E7" i="5"/>
  <c r="H6" i="5"/>
  <c r="E6" i="5"/>
  <c r="H5" i="5"/>
  <c r="E5" i="5"/>
  <c r="E30" i="4"/>
  <c r="H6" i="4"/>
  <c r="F6" i="3"/>
  <c r="G6" i="3" s="1"/>
  <c r="H6" i="3" s="1"/>
  <c r="I6" i="3" s="1"/>
  <c r="H10" i="2"/>
  <c r="I5" i="2"/>
  <c r="H8" i="8" l="1"/>
  <c r="K13" i="2"/>
  <c r="K12" i="2"/>
  <c r="K14" i="2"/>
  <c r="K11" i="2"/>
  <c r="F7" i="3"/>
  <c r="C8" i="3"/>
  <c r="D8" i="3" s="1"/>
  <c r="H7" i="4"/>
  <c r="C8" i="4"/>
  <c r="F8" i="3"/>
  <c r="K8" i="4" l="1"/>
  <c r="C9" i="4"/>
  <c r="H8" i="4"/>
  <c r="L8" i="4" l="1"/>
  <c r="K9" i="4"/>
  <c r="L9" i="4" s="1"/>
  <c r="H9" i="4"/>
</calcChain>
</file>

<file path=xl/sharedStrings.xml><?xml version="1.0" encoding="utf-8"?>
<sst xmlns="http://schemas.openxmlformats.org/spreadsheetml/2006/main" count="254" uniqueCount="177">
  <si>
    <t>Lab 01</t>
  </si>
  <si>
    <t>Introduction to machining Processes Lab and Draw Layout of Lab</t>
  </si>
  <si>
    <t>Lab 02:</t>
  </si>
  <si>
    <t>Introduction to lathe machine perform straight turning and calculate machining time</t>
  </si>
  <si>
    <t>Number of Passes (N_t)=</t>
  </si>
  <si>
    <t>LC=</t>
  </si>
  <si>
    <t>mm</t>
  </si>
  <si>
    <t>Division=</t>
  </si>
  <si>
    <t>Time (t)=</t>
  </si>
  <si>
    <t>second</t>
  </si>
  <si>
    <t>-----------------------------------&gt;</t>
  </si>
  <si>
    <t>min</t>
  </si>
  <si>
    <t>Sr. No</t>
  </si>
  <si>
    <t>Length of rod (L)</t>
  </si>
  <si>
    <t>Initial Diameter (Di)</t>
  </si>
  <si>
    <t>Final Diameter (Df)</t>
  </si>
  <si>
    <t>Depth of cut = (Di-Df)/2*N</t>
  </si>
  <si>
    <t>RPMs</t>
  </si>
  <si>
    <t>Cutting speed Vi=pi*Di*RPM</t>
  </si>
  <si>
    <t>Feed=F=Fr/RPM</t>
  </si>
  <si>
    <t>Fr=F*RPM</t>
  </si>
  <si>
    <t>Machining Time= Tm= ((L)/(F*RPM))*N_t</t>
  </si>
  <si>
    <t>Actual Time (Ta)</t>
  </si>
  <si>
    <t>Idle time Ta-Tc</t>
  </si>
  <si>
    <t>rev/min</t>
  </si>
  <si>
    <t>mm/min</t>
  </si>
  <si>
    <t>mm/rev</t>
  </si>
  <si>
    <t>Lab 03</t>
  </si>
  <si>
    <t>Perform taper turning by using compound rest.</t>
  </si>
  <si>
    <t>Initial Diameter Di</t>
  </si>
  <si>
    <t>Final Diameter Df</t>
  </si>
  <si>
    <t>Length L</t>
  </si>
  <si>
    <t>Change in dia</t>
  </si>
  <si>
    <t>Lab 04</t>
  </si>
  <si>
    <t>Perform facing operation on MS rod to calculate machining time and material removal rate (MRR)</t>
  </si>
  <si>
    <t>Sr No</t>
  </si>
  <si>
    <t>Diameter (D)</t>
  </si>
  <si>
    <t>Initial Length (Li)</t>
  </si>
  <si>
    <t>Final Length (Lf)</t>
  </si>
  <si>
    <t>Depth of cut (t=Li-Lf)</t>
  </si>
  <si>
    <t>RPM (N)</t>
  </si>
  <si>
    <t>Cutting Speed v=pi*D*N</t>
  </si>
  <si>
    <t>LC of Cross slide lever=</t>
  </si>
  <si>
    <t>t=</t>
  </si>
  <si>
    <t>LC of long feed lever=</t>
  </si>
  <si>
    <t>Compound rest lever=</t>
  </si>
  <si>
    <t>Set to 90</t>
  </si>
  <si>
    <t>1/0.1</t>
  </si>
  <si>
    <t>depth of cut/least count=Number of lines need to rotate the lever (feed change lever)</t>
  </si>
  <si>
    <t>Sr No.</t>
  </si>
  <si>
    <t>Length of thread screw (mm)</t>
  </si>
  <si>
    <t>TPI (in)</t>
  </si>
  <si>
    <t>TPI (mm)</t>
  </si>
  <si>
    <t>Major Diameter (mm)</t>
  </si>
  <si>
    <t>Minor Diameter (mm)</t>
  </si>
  <si>
    <t>Pitch (mm)</t>
  </si>
  <si>
    <t>Lab 07</t>
  </si>
  <si>
    <t>To perform facing operation on shaper machine to calculate machining time.</t>
  </si>
  <si>
    <t>l</t>
  </si>
  <si>
    <t>w</t>
  </si>
  <si>
    <t>c</t>
  </si>
  <si>
    <t>N</t>
  </si>
  <si>
    <t>f</t>
  </si>
  <si>
    <t>Tm=TM</t>
  </si>
  <si>
    <t>Ta</t>
  </si>
  <si>
    <t>Length of Workpiece</t>
  </si>
  <si>
    <t>Width of Workpiece</t>
  </si>
  <si>
    <t>Clearance Length</t>
  </si>
  <si>
    <t>No. of Stroke per min</t>
  </si>
  <si>
    <t>feed (mm/stroke)</t>
  </si>
  <si>
    <t>Cutting Speed (Vc,Vs)</t>
  </si>
  <si>
    <t>Thickness (ti) mm</t>
  </si>
  <si>
    <t>depth of cut (d) mm: set</t>
  </si>
  <si>
    <t>Thickness (tf) mm</t>
  </si>
  <si>
    <t>Number of Passes (Np)</t>
  </si>
  <si>
    <t>Theoritcal Machining Time</t>
  </si>
  <si>
    <t>Actual Machining Time</t>
  </si>
  <si>
    <t>Clearance (c)=</t>
  </si>
  <si>
    <t>Shaper Machine Lever Position indication</t>
  </si>
  <si>
    <t>1=</t>
  </si>
  <si>
    <t>stroke/min</t>
  </si>
  <si>
    <t>2=</t>
  </si>
  <si>
    <t>3=</t>
  </si>
  <si>
    <t>m=(returning stroke time/forward stroke time)=</t>
  </si>
  <si>
    <t>Second</t>
  </si>
  <si>
    <t>Minutes</t>
  </si>
  <si>
    <t>Di-Df/2*L</t>
  </si>
  <si>
    <t>Tan Inverse in Radian</t>
  </si>
  <si>
    <t>Tan Inverse in Degree</t>
  </si>
  <si>
    <t>time t measured (sec)</t>
  </si>
  <si>
    <t>time t measured (min)</t>
  </si>
  <si>
    <t>Maching Time= (D/(2*F*RPM))*N_t</t>
  </si>
  <si>
    <t>Number of pass (N_t)</t>
  </si>
  <si>
    <t>=</t>
  </si>
  <si>
    <t>Material Removal Rate = MRR= Pi*D*t*Fr</t>
  </si>
  <si>
    <t>Lab 05</t>
  </si>
  <si>
    <t>To obtain right hand screw threaded workpiece of given dimensions.</t>
  </si>
  <si>
    <t>Lab 06:</t>
  </si>
  <si>
    <t>A)</t>
  </si>
  <si>
    <t>B)</t>
  </si>
  <si>
    <t>Introduction to drilling machine</t>
  </si>
  <si>
    <t>Perform straight drilling to calculate Material removal rate and Machining Time.</t>
  </si>
  <si>
    <t>Sr.No</t>
  </si>
  <si>
    <t>Depth of hole (L)</t>
  </si>
  <si>
    <t>Diameter of drill bit (D)</t>
  </si>
  <si>
    <t>Feed Rate</t>
  </si>
  <si>
    <t>MRR</t>
  </si>
  <si>
    <t>Machining Time</t>
  </si>
  <si>
    <t>Percentage Difference</t>
  </si>
  <si>
    <t>%</t>
  </si>
  <si>
    <t>Number of lines</t>
  </si>
  <si>
    <t>number of lines</t>
  </si>
  <si>
    <t>Initial Reading Data</t>
  </si>
  <si>
    <t>of depth of cut</t>
  </si>
  <si>
    <t>Actual Timing Time</t>
  </si>
  <si>
    <t>Name:</t>
  </si>
  <si>
    <t>Abubakar Atiq, F2022031002, BSIE</t>
  </si>
  <si>
    <t>sec</t>
  </si>
  <si>
    <t>Lab 09</t>
  </si>
  <si>
    <t>Introduction to milling machine and perform face milling to calculate the machining time.</t>
  </si>
  <si>
    <t>length of workpiece (L)</t>
  </si>
  <si>
    <t>Width of workpiece (w)</t>
  </si>
  <si>
    <t>Number of teeths (n_t)</t>
  </si>
  <si>
    <t>Diameter of tool (D)</t>
  </si>
  <si>
    <t>Approach and Overtravel length (Lc)=La+Lo</t>
  </si>
  <si>
    <t>RPM</t>
  </si>
  <si>
    <t>(N)</t>
  </si>
  <si>
    <t>Cutting Speed</t>
  </si>
  <si>
    <t>Vc=pi*D*N</t>
  </si>
  <si>
    <t>Feed</t>
  </si>
  <si>
    <t>Feed rate</t>
  </si>
  <si>
    <t>Theoritical Machining time</t>
  </si>
  <si>
    <t>Ttheo=(L+Lc)/fr</t>
  </si>
  <si>
    <t>Actual machining time</t>
  </si>
  <si>
    <t>Tactual</t>
  </si>
  <si>
    <t>G1</t>
  </si>
  <si>
    <t>G2</t>
  </si>
  <si>
    <t>G3</t>
  </si>
  <si>
    <t>LC=0.05mm, depth=1mm</t>
  </si>
  <si>
    <t>La=2mm, Lo=2mm</t>
  </si>
  <si>
    <t>HSS(High Speed Steel)</t>
  </si>
  <si>
    <t>fr=f*nt*N</t>
  </si>
  <si>
    <t>(Ttheo-Tact)/(Tact)*100%</t>
  </si>
  <si>
    <t>Error Due to Manual feed as compared to Automated feed.</t>
  </si>
  <si>
    <t>We took, L=W for Ttheo, Why because, L is that length we did machining in this case, we will take L=W, 50mm.</t>
  </si>
  <si>
    <t>Comment:</t>
  </si>
  <si>
    <t>24-12-2024</t>
  </si>
  <si>
    <t>Mohammad Abubakar Atiq, F2022031002,BSIE</t>
  </si>
  <si>
    <t>Feed is the diameter of the tool in this case.</t>
  </si>
  <si>
    <t>fr=</t>
  </si>
  <si>
    <t>f=</t>
  </si>
  <si>
    <t>d=22</t>
  </si>
  <si>
    <t>t=0.3665</t>
  </si>
  <si>
    <t>Objective:</t>
  </si>
  <si>
    <t>Introduction to Milling Machine and perform face milling to calculate Machining time.</t>
  </si>
  <si>
    <t>NO OBSERVATION NEEDED FOR THIS LAB 08</t>
  </si>
  <si>
    <t>Lab 10:</t>
  </si>
  <si>
    <t>To perform hexagon on circular rod by using plain indexing.</t>
  </si>
  <si>
    <t>Number of faces</t>
  </si>
  <si>
    <t>Circular hole plate</t>
  </si>
  <si>
    <t>Number of holes after complete rotation</t>
  </si>
  <si>
    <t>NO OBSERVATION TABLE PROVIDED AS PER NOW.</t>
  </si>
  <si>
    <t>Thickness=</t>
  </si>
  <si>
    <t>Travelling Time=</t>
  </si>
  <si>
    <t>Distance=</t>
  </si>
  <si>
    <t>N=</t>
  </si>
  <si>
    <t>Feed Rate=</t>
  </si>
  <si>
    <t>d/t</t>
  </si>
  <si>
    <t>Feed=</t>
  </si>
  <si>
    <t>feed rate/RPM</t>
  </si>
  <si>
    <t>Machining time=</t>
  </si>
  <si>
    <t>Theta=</t>
  </si>
  <si>
    <t>A=0.83mm</t>
  </si>
  <si>
    <t>NO DATA</t>
  </si>
  <si>
    <t>Lab 11</t>
  </si>
  <si>
    <t>LAB 12</t>
  </si>
  <si>
    <t>% Diff (Tc-Ta/Ta)*100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</si>
</sst>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0"/>
    <numFmt numFmtId="167" formatCode="0.0000"/>
  </numFmts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14"/>
      <color rgb="FF000000"/>
      <name val="Arial"/>
      <family val="2"/>
      <scheme val="minor"/>
    </font>
    <font>
      <sz val="18"/>
      <color theme="1"/>
      <name val="Arial"/>
      <family val="2"/>
      <scheme val="minor"/>
    </font>
    <font>
      <sz val="18"/>
      <color rgb="FF000000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8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2" fontId="3" fillId="0" borderId="0" xfId="0" applyNumberFormat="1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2" fontId="4" fillId="0" borderId="0" xfId="0" applyNumberFormat="1" applyFont="1"/>
    <xf numFmtId="2" fontId="5" fillId="0" borderId="0" xfId="0" applyNumberFormat="1" applyFont="1"/>
    <xf numFmtId="0" fontId="6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2" fontId="2" fillId="0" borderId="6" xfId="0" applyNumberFormat="1" applyFont="1" applyBorder="1" applyAlignment="1">
      <alignment horizontal="center" vertical="center" wrapText="1"/>
    </xf>
    <xf numFmtId="1" fontId="3" fillId="0" borderId="5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2" fillId="0" borderId="5" xfId="0" applyFont="1" applyBorder="1"/>
    <xf numFmtId="0" fontId="3" fillId="0" borderId="9" xfId="0" applyFont="1" applyBorder="1"/>
    <xf numFmtId="0" fontId="3" fillId="0" borderId="10" xfId="0" applyFont="1" applyBorder="1"/>
    <xf numFmtId="1" fontId="3" fillId="0" borderId="10" xfId="0" applyNumberFormat="1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1" xfId="0" applyFont="1" applyBorder="1"/>
    <xf numFmtId="164" fontId="2" fillId="0" borderId="0" xfId="0" applyNumberFormat="1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7" fontId="4" fillId="0" borderId="0" xfId="0" applyNumberFormat="1" applyFont="1"/>
    <xf numFmtId="1" fontId="4" fillId="0" borderId="0" xfId="0" applyNumberFormat="1" applyFont="1"/>
    <xf numFmtId="166" fontId="2" fillId="0" borderId="0" xfId="0" applyNumberFormat="1" applyFont="1"/>
    <xf numFmtId="1" fontId="2" fillId="0" borderId="0" xfId="0" applyNumberFormat="1" applyFont="1" applyAlignment="1">
      <alignment horizontal="center" vertical="center"/>
    </xf>
    <xf numFmtId="9" fontId="2" fillId="0" borderId="0" xfId="1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10" fontId="0" fillId="0" borderId="0" xfId="1" applyNumberFormat="1" applyFont="1"/>
    <xf numFmtId="0" fontId="7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9" fontId="3" fillId="0" borderId="0" xfId="1" applyFont="1"/>
    <xf numFmtId="2" fontId="3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" fontId="3" fillId="0" borderId="0" xfId="0" applyNumberFormat="1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/>
    <xf numFmtId="0" fontId="3" fillId="0" borderId="0" xfId="0" applyFont="1"/>
    <xf numFmtId="0" fontId="2" fillId="0" borderId="0" xfId="0" applyFont="1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7" fillId="0" borderId="0" xfId="0" applyFont="1"/>
    <xf numFmtId="0" fontId="0" fillId="0" borderId="12" xfId="0" applyBorder="1"/>
    <xf numFmtId="0" fontId="0" fillId="0" borderId="1" xfId="0" applyBorder="1"/>
    <xf numFmtId="0" fontId="0" fillId="0" borderId="0" xfId="0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121920</xdr:rowOff>
    </xdr:from>
    <xdr:to>
      <xdr:col>9</xdr:col>
      <xdr:colOff>270694</xdr:colOff>
      <xdr:row>29</xdr:row>
      <xdr:rowOff>160480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60622D8-9CB9-639F-2997-43BC7434C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16280"/>
          <a:ext cx="8294554" cy="51896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4</xdr:row>
      <xdr:rowOff>129540</xdr:rowOff>
    </xdr:from>
    <xdr:to>
      <xdr:col>6</xdr:col>
      <xdr:colOff>167640</xdr:colOff>
      <xdr:row>7</xdr:row>
      <xdr:rowOff>15240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C1D5CAB-5628-7532-2E95-3BF65A08E0D7}"/>
                </a:ext>
              </a:extLst>
            </xdr:cNvPr>
            <xdr:cNvSpPr txBox="1"/>
          </xdr:nvSpPr>
          <xdr:spPr>
            <a:xfrm>
              <a:off x="220980" y="723900"/>
              <a:ext cx="2895600" cy="4800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kern="1200"/>
                <a:t>Approach Distance , </a:t>
              </a:r>
              <a14:m>
                <m:oMath xmlns:m="http://schemas.openxmlformats.org/officeDocument/2006/math">
                  <m:r>
                    <a:rPr lang="en-US" sz="1400" b="0" i="1" kern="1200">
                      <a:latin typeface="Cambria Math" panose="02040503050406030204" pitchFamily="18" charset="0"/>
                    </a:rPr>
                    <m:t>𝐴</m:t>
                  </m:r>
                  <m:r>
                    <a:rPr lang="en-US" sz="1400" b="0" i="1" kern="1200">
                      <a:latin typeface="Cambria Math" panose="02040503050406030204" pitchFamily="18" charset="0"/>
                    </a:rPr>
                    <m:t>=0.5</m:t>
                  </m:r>
                  <m:r>
                    <a:rPr lang="en-US" sz="1400" b="0" i="1" kern="1200">
                      <a:latin typeface="Cambria Math" panose="02040503050406030204" pitchFamily="18" charset="0"/>
                    </a:rPr>
                    <m:t>𝐷𝑡𝑎𝑛</m:t>
                  </m:r>
                  <m:d>
                    <m:dPr>
                      <m:ctrlPr>
                        <a:rPr lang="en-US" sz="1400" b="0" i="1" kern="1200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400" b="0" i="1" kern="1200">
                          <a:latin typeface="Cambria Math" panose="02040503050406030204" pitchFamily="18" charset="0"/>
                        </a:rPr>
                        <m:t>90°−</m:t>
                      </m:r>
                      <m:f>
                        <m:fPr>
                          <m:ctrlPr>
                            <a:rPr lang="en-US" sz="1400" b="0" i="1" kern="1200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1400" b="0" i="1" kern="1200">
                              <a:latin typeface="Cambria Math" panose="02040503050406030204" pitchFamily="18" charset="0"/>
                            </a:rPr>
                            <m:t>𝜃</m:t>
                          </m:r>
                        </m:num>
                        <m:den>
                          <m:r>
                            <a:rPr lang="en-US" sz="1400" b="0" i="1" kern="1200">
                              <a:latin typeface="Cambria Math" panose="02040503050406030204" pitchFamily="18" charset="0"/>
                            </a:rPr>
                            <m:t>2</m:t>
                          </m:r>
                        </m:den>
                      </m:f>
                    </m:e>
                  </m:d>
                </m:oMath>
              </a14:m>
              <a:endParaRPr lang="en-US" sz="1400" kern="12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C1D5CAB-5628-7532-2E95-3BF65A08E0D7}"/>
                </a:ext>
              </a:extLst>
            </xdr:cNvPr>
            <xdr:cNvSpPr txBox="1"/>
          </xdr:nvSpPr>
          <xdr:spPr>
            <a:xfrm>
              <a:off x="220980" y="723900"/>
              <a:ext cx="2895600" cy="4800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kern="1200"/>
                <a:t>Approach Distance , </a:t>
              </a:r>
              <a:r>
                <a:rPr lang="en-US" sz="1400" b="0" i="0" kern="1200">
                  <a:latin typeface="Cambria Math" panose="02040503050406030204" pitchFamily="18" charset="0"/>
                </a:rPr>
                <a:t>𝐴=0.5𝐷𝑡𝑎𝑛(90°−𝜃/2)</a:t>
              </a:r>
              <a:endParaRPr lang="en-US" sz="1400" kern="1200"/>
            </a:p>
          </xdr:txBody>
        </xdr:sp>
      </mc:Fallback>
    </mc:AlternateContent>
    <xdr:clientData/>
  </xdr:twoCellAnchor>
  <xdr:twoCellAnchor>
    <xdr:from>
      <xdr:col>6</xdr:col>
      <xdr:colOff>596900</xdr:colOff>
      <xdr:row>8</xdr:row>
      <xdr:rowOff>127000</xdr:rowOff>
    </xdr:from>
    <xdr:to>
      <xdr:col>9</xdr:col>
      <xdr:colOff>7620</xdr:colOff>
      <xdr:row>11</xdr:row>
      <xdr:rowOff>127000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903C840-C569-49FA-AEDA-0EC1CB03C3DE}"/>
                </a:ext>
              </a:extLst>
            </xdr:cNvPr>
            <xdr:cNvSpPr txBox="1"/>
          </xdr:nvSpPr>
          <xdr:spPr>
            <a:xfrm>
              <a:off x="6515100" y="1752600"/>
              <a:ext cx="1722120" cy="6096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kern="1200"/>
                <a:t>MRR=</a:t>
              </a:r>
              <a14:m>
                <m:oMath xmlns:m="http://schemas.openxmlformats.org/officeDocument/2006/math">
                  <m:d>
                    <m:dPr>
                      <m:ctrlPr>
                        <a:rPr lang="en-US" sz="1600" b="0" i="1" kern="1200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ctrlPr>
                            <a:rPr lang="en-US" sz="1600" b="0" i="1" kern="1200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1600" b="0" i="1" kern="1200">
                              <a:latin typeface="Cambria Math" panose="02040503050406030204" pitchFamily="18" charset="0"/>
                            </a:rPr>
                            <m:t>𝜋</m:t>
                          </m:r>
                          <m:sSup>
                            <m:sSupPr>
                              <m:ctrlPr>
                                <a:rPr lang="en-US" sz="1600" b="0" i="1" kern="1200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600" b="0" i="1" kern="1200">
                                  <a:latin typeface="Cambria Math" panose="02040503050406030204" pitchFamily="18" charset="0"/>
                                </a:rPr>
                                <m:t>𝐷</m:t>
                              </m:r>
                            </m:e>
                            <m:sup>
                              <m:r>
                                <a:rPr lang="en-US" sz="1600" b="0" i="1" kern="1200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  <m:sSub>
                            <m:sSubPr>
                              <m:ctrlPr>
                                <a:rPr lang="en-US" sz="1600" b="0" i="1" kern="1200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600" b="0" i="1" kern="1200">
                                  <a:latin typeface="Cambria Math" panose="02040503050406030204" pitchFamily="18" charset="0"/>
                                </a:rPr>
                                <m:t>𝐹</m:t>
                              </m:r>
                            </m:e>
                            <m:sub>
                              <m:r>
                                <a:rPr lang="en-US" sz="1600" b="0" i="1" kern="1200">
                                  <a:latin typeface="Cambria Math" panose="02040503050406030204" pitchFamily="18" charset="0"/>
                                </a:rPr>
                                <m:t>𝑟</m:t>
                              </m:r>
                            </m:sub>
                          </m:sSub>
                        </m:num>
                        <m:den>
                          <m:r>
                            <a:rPr lang="en-US" sz="1600" b="0" i="1" kern="1200">
                              <a:latin typeface="Cambria Math" panose="02040503050406030204" pitchFamily="18" charset="0"/>
                            </a:rPr>
                            <m:t>4</m:t>
                          </m:r>
                        </m:den>
                      </m:f>
                    </m:e>
                  </m:d>
                </m:oMath>
              </a14:m>
              <a:endParaRPr lang="en-US" sz="1600" kern="12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903C840-C569-49FA-AEDA-0EC1CB03C3DE}"/>
                </a:ext>
              </a:extLst>
            </xdr:cNvPr>
            <xdr:cNvSpPr txBox="1"/>
          </xdr:nvSpPr>
          <xdr:spPr>
            <a:xfrm>
              <a:off x="6515100" y="1752600"/>
              <a:ext cx="1722120" cy="6096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kern="1200"/>
                <a:t>MRR=</a:t>
              </a:r>
              <a:r>
                <a:rPr lang="en-US" sz="1600" b="0" i="0" kern="1200">
                  <a:latin typeface="Cambria Math" panose="02040503050406030204" pitchFamily="18" charset="0"/>
                </a:rPr>
                <a:t>((𝜋𝐷^2 𝐹_𝑟)/4)</a:t>
              </a:r>
              <a:endParaRPr lang="en-US" sz="1600" kern="1200"/>
            </a:p>
          </xdr:txBody>
        </xdr:sp>
      </mc:Fallback>
    </mc:AlternateContent>
    <xdr:clientData/>
  </xdr:twoCellAnchor>
  <xdr:twoCellAnchor>
    <xdr:from>
      <xdr:col>9</xdr:col>
      <xdr:colOff>68580</xdr:colOff>
      <xdr:row>9</xdr:row>
      <xdr:rowOff>68580</xdr:rowOff>
    </xdr:from>
    <xdr:to>
      <xdr:col>9</xdr:col>
      <xdr:colOff>1409700</xdr:colOff>
      <xdr:row>11</xdr:row>
      <xdr:rowOff>152400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C48FF98-AC40-42EE-8D19-B18F2EC65BE3}"/>
                </a:ext>
              </a:extLst>
            </xdr:cNvPr>
            <xdr:cNvSpPr txBox="1"/>
          </xdr:nvSpPr>
          <xdr:spPr>
            <a:xfrm>
              <a:off x="5280660" y="1653540"/>
              <a:ext cx="1341120" cy="4800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 kern="1200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sz="1200" b="0" i="1" kern="1200">
                            <a:latin typeface="Cambria Math" panose="02040503050406030204" pitchFamily="18" charset="0"/>
                          </a:rPr>
                          <m:t>𝑚</m:t>
                        </m:r>
                      </m:sub>
                    </m:sSub>
                    <m:r>
                      <a:rPr lang="en-US" sz="1200" b="0" i="1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2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b="0" i="1" kern="1200">
                            <a:latin typeface="Cambria Math" panose="02040503050406030204" pitchFamily="18" charset="0"/>
                          </a:rPr>
                          <m:t>𝐿</m:t>
                        </m:r>
                        <m:r>
                          <a:rPr lang="en-US" sz="1200" b="0" i="1" kern="1200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200" b="0" i="1" kern="1200">
                            <a:latin typeface="Cambria Math" panose="02040503050406030204" pitchFamily="18" charset="0"/>
                          </a:rPr>
                          <m:t>𝐴</m:t>
                        </m:r>
                      </m:num>
                      <m:den>
                        <m:sSub>
                          <m:sSubPr>
                            <m:ctrlPr>
                              <a:rPr lang="en-US" sz="1200" b="0" i="1" kern="120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 kern="1200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200" b="0" i="1" kern="1200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200" kern="12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C48FF98-AC40-42EE-8D19-B18F2EC65BE3}"/>
                </a:ext>
              </a:extLst>
            </xdr:cNvPr>
            <xdr:cNvSpPr txBox="1"/>
          </xdr:nvSpPr>
          <xdr:spPr>
            <a:xfrm>
              <a:off x="5280660" y="1653540"/>
              <a:ext cx="1341120" cy="4800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200" b="0" i="0" kern="1200">
                  <a:latin typeface="Cambria Math" panose="02040503050406030204" pitchFamily="18" charset="0"/>
                </a:rPr>
                <a:t>𝑇_𝑚=(𝐿+𝐴)/𝐹_𝑟 </a:t>
              </a:r>
              <a:endParaRPr lang="en-US" sz="1200" kern="12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B1"/>
  <sheetViews>
    <sheetView view="pageLayout" topLeftCell="A16" zoomScaleNormal="100" workbookViewId="0">
      <selection activeCell="G32" sqref="G32"/>
    </sheetView>
  </sheetViews>
  <sheetFormatPr defaultColWidth="12.6640625" defaultRowHeight="15.75" customHeight="1" x14ac:dyDescent="0.25"/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scale="98" orientation="landscape" r:id="rId1"/>
  <headerFooter>
    <oddHeader>&amp;LIE322L Machining Processes Lab
Department of Mechanical Engineering
Program: BS Industrial Engineering, Fall 2024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D699-4E4F-47A5-8B40-B0410CF5B13D}">
  <dimension ref="A1:F10"/>
  <sheetViews>
    <sheetView workbookViewId="0">
      <selection activeCell="G32" sqref="G32"/>
    </sheetView>
  </sheetViews>
  <sheetFormatPr defaultRowHeight="13.2" x14ac:dyDescent="0.25"/>
  <sheetData>
    <row r="1" spans="1:6" x14ac:dyDescent="0.25">
      <c r="A1" s="53" t="s">
        <v>156</v>
      </c>
    </row>
    <row r="2" spans="1:6" x14ac:dyDescent="0.25">
      <c r="A2" s="53" t="s">
        <v>157</v>
      </c>
    </row>
    <row r="3" spans="1:6" x14ac:dyDescent="0.25">
      <c r="A3" s="80" t="s">
        <v>158</v>
      </c>
      <c r="B3" s="80"/>
      <c r="C3" s="61" t="s">
        <v>93</v>
      </c>
      <c r="D3" s="57"/>
    </row>
    <row r="4" spans="1:6" x14ac:dyDescent="0.25">
      <c r="A4" s="80" t="s">
        <v>159</v>
      </c>
      <c r="B4" s="80"/>
      <c r="C4" s="61" t="s">
        <v>93</v>
      </c>
      <c r="D4" s="57"/>
    </row>
    <row r="5" spans="1:6" x14ac:dyDescent="0.25">
      <c r="A5" s="80" t="s">
        <v>160</v>
      </c>
      <c r="B5" s="80"/>
      <c r="C5" s="80"/>
      <c r="D5" s="80"/>
      <c r="E5" s="61" t="s">
        <v>93</v>
      </c>
      <c r="F5" s="57"/>
    </row>
    <row r="7" spans="1:6" x14ac:dyDescent="0.25">
      <c r="A7" s="53" t="s">
        <v>161</v>
      </c>
    </row>
    <row r="10" spans="1:6" x14ac:dyDescent="0.25">
      <c r="A10" s="53" t="s">
        <v>173</v>
      </c>
    </row>
  </sheetData>
  <mergeCells count="3">
    <mergeCell ref="A3:B3"/>
    <mergeCell ref="A4:B4"/>
    <mergeCell ref="A5:D5"/>
  </mergeCells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62EDB-C240-41BD-AA02-E76A6C0F4A9B}">
  <dimension ref="A3:B3"/>
  <sheetViews>
    <sheetView view="pageLayout" zoomScaleNormal="100" workbookViewId="0">
      <selection activeCell="G32" sqref="G32"/>
    </sheetView>
  </sheetViews>
  <sheetFormatPr defaultRowHeight="13.2" x14ac:dyDescent="0.25"/>
  <sheetData>
    <row r="3" spans="1:2" x14ac:dyDescent="0.25">
      <c r="A3" s="53" t="s">
        <v>173</v>
      </c>
      <c r="B3" s="53" t="s">
        <v>174</v>
      </c>
    </row>
  </sheetData>
  <pageMargins left="0.7" right="0.7" top="0.75" bottom="0.75" header="0.3" footer="0.3"/>
  <pageSetup orientation="portrait" r:id="rId1"/>
  <headerFooter>
    <oddHeader>&amp;LIE322L Machining Processes Lab
Department of Mechanical Engineering
Program: BS Industrial Engineering, Fall 2024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8B866-302D-4EDC-939B-79C1CF5DA445}">
  <dimension ref="A3:B3"/>
  <sheetViews>
    <sheetView view="pageLayout" zoomScaleNormal="100" workbookViewId="0">
      <selection activeCell="G32" sqref="G32"/>
    </sheetView>
  </sheetViews>
  <sheetFormatPr defaultRowHeight="13.2" x14ac:dyDescent="0.25"/>
  <sheetData>
    <row r="3" spans="1:2" x14ac:dyDescent="0.25">
      <c r="A3" s="53" t="s">
        <v>173</v>
      </c>
      <c r="B3" s="53" t="s">
        <v>175</v>
      </c>
    </row>
  </sheetData>
  <pageMargins left="0.7" right="0.7" top="0.75" bottom="0.75" header="0.3" footer="0.3"/>
  <pageSetup orientation="portrait" r:id="rId1"/>
  <headerFooter>
    <oddHeader>&amp;LIE322L Machining Processes Lab
Department of Mechanical Engineering
Program: BS Industrial Engineering, Fall 2024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N16"/>
  <sheetViews>
    <sheetView view="pageLayout" zoomScale="55" zoomScaleNormal="80" zoomScaleSheetLayoutView="40" zoomScalePageLayoutView="55" workbookViewId="0">
      <selection activeCell="G32" sqref="G32"/>
    </sheetView>
  </sheetViews>
  <sheetFormatPr defaultColWidth="12.6640625" defaultRowHeight="15.75" customHeight="1" x14ac:dyDescent="0.4"/>
  <cols>
    <col min="1" max="1" width="12.6640625" style="7"/>
    <col min="2" max="2" width="27.109375" style="7" customWidth="1"/>
    <col min="3" max="3" width="13.33203125" style="7" customWidth="1"/>
    <col min="4" max="4" width="16.88671875" style="7" bestFit="1" customWidth="1"/>
    <col min="5" max="5" width="24.77734375" style="7" bestFit="1" customWidth="1"/>
    <col min="6" max="6" width="22.6640625" style="7" bestFit="1" customWidth="1"/>
    <col min="7" max="7" width="12.6640625" style="7"/>
    <col min="8" max="8" width="43.77734375" style="7" bestFit="1" customWidth="1"/>
    <col min="9" max="9" width="14.77734375" style="7" bestFit="1" customWidth="1"/>
    <col min="10" max="10" width="31.21875" style="7" customWidth="1"/>
    <col min="11" max="11" width="35" style="7" bestFit="1" customWidth="1"/>
    <col min="12" max="12" width="14.44140625" style="7" bestFit="1" customWidth="1"/>
    <col min="13" max="13" width="14.77734375" style="7" bestFit="1" customWidth="1"/>
    <col min="14" max="14" width="13.21875" style="7" bestFit="1" customWidth="1"/>
    <col min="15" max="16384" width="12.6640625" style="7"/>
  </cols>
  <sheetData>
    <row r="2" spans="2:14" ht="22.8" x14ac:dyDescent="0.4">
      <c r="B2" s="6" t="s">
        <v>2</v>
      </c>
      <c r="C2" s="6" t="s">
        <v>3</v>
      </c>
      <c r="D2" s="6"/>
      <c r="E2" s="6"/>
      <c r="F2" s="6"/>
      <c r="G2" s="6"/>
      <c r="H2" s="6"/>
      <c r="I2" s="6"/>
      <c r="K2" s="7" t="s">
        <v>151</v>
      </c>
      <c r="L2" s="7" t="s">
        <v>152</v>
      </c>
    </row>
    <row r="3" spans="2:14" ht="22.8" x14ac:dyDescent="0.4">
      <c r="B3" s="67" t="s">
        <v>4</v>
      </c>
      <c r="C3" s="68"/>
      <c r="D3" s="6">
        <v>1</v>
      </c>
      <c r="E3" s="6" t="s">
        <v>5</v>
      </c>
      <c r="F3" s="6">
        <v>0.44</v>
      </c>
      <c r="G3" s="6" t="s">
        <v>6</v>
      </c>
      <c r="H3" s="6" t="s">
        <v>7</v>
      </c>
      <c r="I3" s="6">
        <v>50</v>
      </c>
      <c r="K3" s="7" t="s">
        <v>149</v>
      </c>
      <c r="L3" s="7">
        <f>F4/I5</f>
        <v>60.027285129604365</v>
      </c>
    </row>
    <row r="4" spans="2:14" ht="22.8" x14ac:dyDescent="0.4">
      <c r="B4" s="68"/>
      <c r="C4" s="68"/>
      <c r="E4" s="6" t="s">
        <v>111</v>
      </c>
      <c r="F4" s="6">
        <f>$F$3*$I$3</f>
        <v>22</v>
      </c>
      <c r="K4" s="7" t="s">
        <v>150</v>
      </c>
      <c r="L4" s="7">
        <f>L3/660</f>
        <v>9.0950432014552066E-2</v>
      </c>
    </row>
    <row r="5" spans="2:14" ht="22.8" x14ac:dyDescent="0.4">
      <c r="E5" s="6" t="s">
        <v>8</v>
      </c>
      <c r="F5" s="6">
        <v>21.99</v>
      </c>
      <c r="G5" s="6" t="s">
        <v>9</v>
      </c>
      <c r="H5" s="6" t="s">
        <v>10</v>
      </c>
      <c r="I5" s="6">
        <f>F5/60</f>
        <v>0.36649999999999999</v>
      </c>
      <c r="J5" s="6" t="s">
        <v>11</v>
      </c>
    </row>
    <row r="6" spans="2:14" ht="22.8" x14ac:dyDescent="0.4">
      <c r="E6" s="6"/>
      <c r="F6" s="6"/>
      <c r="G6" s="6"/>
      <c r="H6" s="6"/>
      <c r="I6" s="6"/>
      <c r="J6" s="6"/>
      <c r="K6" s="6"/>
    </row>
    <row r="8" spans="2:14" ht="68.400000000000006" x14ac:dyDescent="0.4">
      <c r="B8" s="8" t="s">
        <v>12</v>
      </c>
      <c r="C8" s="9" t="s">
        <v>13</v>
      </c>
      <c r="D8" s="9" t="s">
        <v>14</v>
      </c>
      <c r="E8" s="9" t="s">
        <v>15</v>
      </c>
      <c r="F8" s="9" t="s">
        <v>16</v>
      </c>
      <c r="G8" s="9" t="s">
        <v>17</v>
      </c>
      <c r="H8" s="9" t="s">
        <v>18</v>
      </c>
      <c r="I8" s="9" t="s">
        <v>19</v>
      </c>
      <c r="J8" s="9" t="s">
        <v>20</v>
      </c>
      <c r="K8" s="9" t="s">
        <v>21</v>
      </c>
      <c r="L8" s="9" t="s">
        <v>22</v>
      </c>
      <c r="M8" s="9" t="s">
        <v>22</v>
      </c>
      <c r="N8" s="9" t="s">
        <v>23</v>
      </c>
    </row>
    <row r="9" spans="2:14" ht="22.8" x14ac:dyDescent="0.4">
      <c r="B9" s="10"/>
      <c r="C9" s="11" t="s">
        <v>6</v>
      </c>
      <c r="D9" s="11" t="s">
        <v>6</v>
      </c>
      <c r="E9" s="11" t="s">
        <v>6</v>
      </c>
      <c r="F9" s="11" t="s">
        <v>6</v>
      </c>
      <c r="G9" s="11" t="s">
        <v>24</v>
      </c>
      <c r="H9" s="11" t="s">
        <v>25</v>
      </c>
      <c r="I9" s="11" t="s">
        <v>26</v>
      </c>
      <c r="J9" s="11" t="s">
        <v>25</v>
      </c>
      <c r="K9" s="11" t="s">
        <v>84</v>
      </c>
      <c r="L9" s="11" t="s">
        <v>84</v>
      </c>
      <c r="M9" s="11" t="s">
        <v>85</v>
      </c>
      <c r="N9" s="11" t="s">
        <v>11</v>
      </c>
    </row>
    <row r="10" spans="2:14" ht="22.8" x14ac:dyDescent="0.4">
      <c r="B10" s="6">
        <v>1</v>
      </c>
      <c r="C10" s="6">
        <v>52</v>
      </c>
      <c r="D10" s="12">
        <v>25</v>
      </c>
      <c r="E10" s="12">
        <v>24</v>
      </c>
      <c r="F10" s="6">
        <f>(D10-E10)/2*$D$3</f>
        <v>0.5</v>
      </c>
      <c r="G10" s="6">
        <v>660</v>
      </c>
      <c r="H10" s="49">
        <f>PI()*D10*G10</f>
        <v>51836.278784231588</v>
      </c>
      <c r="I10" s="48">
        <f>J10/G10</f>
        <v>9.0950432014552066E-2</v>
      </c>
      <c r="J10" s="12">
        <f>22/0.3665</f>
        <v>60.027285129604365</v>
      </c>
      <c r="K10" s="12">
        <f>(C10/J10)*$D$3</f>
        <v>0.86627272727272731</v>
      </c>
      <c r="L10" s="12">
        <f>M10*60</f>
        <v>22.2</v>
      </c>
      <c r="M10" s="12">
        <v>0.37</v>
      </c>
      <c r="N10" s="12">
        <f>ABS(K10-M10)</f>
        <v>0.49627272727272731</v>
      </c>
    </row>
    <row r="11" spans="2:14" ht="22.8" x14ac:dyDescent="0.4">
      <c r="B11" s="6">
        <v>2</v>
      </c>
      <c r="C11" s="7">
        <v>50</v>
      </c>
      <c r="D11" s="13">
        <v>43.1</v>
      </c>
      <c r="E11" s="13">
        <v>25.5</v>
      </c>
      <c r="F11" s="6">
        <f t="shared" ref="F11:F14" si="0">(D11-E11)/2*$D$3</f>
        <v>8.8000000000000007</v>
      </c>
      <c r="G11" s="6">
        <v>660</v>
      </c>
      <c r="H11" s="49">
        <f t="shared" ref="H11:H14" si="1">PI()*D11*G11</f>
        <v>89365.744624015264</v>
      </c>
      <c r="I11" s="48">
        <f t="shared" ref="I11:I14" si="2">J11/G11</f>
        <v>9.0950432014552066E-2</v>
      </c>
      <c r="J11" s="12">
        <f t="shared" ref="J11:J14" si="3">22/0.3665</f>
        <v>60.027285129604365</v>
      </c>
      <c r="K11" s="12">
        <f t="shared" ref="K11:K14" si="4">(C11/J11)*$D$3</f>
        <v>0.8329545454545455</v>
      </c>
      <c r="L11" s="12">
        <f t="shared" ref="L11:L14" si="5">M11*60</f>
        <v>124.80000000000001</v>
      </c>
      <c r="M11" s="12">
        <v>2.08</v>
      </c>
      <c r="N11" s="12">
        <f t="shared" ref="N11:N14" si="6">ABS(K11-M11)</f>
        <v>1.2470454545454546</v>
      </c>
    </row>
    <row r="12" spans="2:14" ht="22.8" x14ac:dyDescent="0.4">
      <c r="B12" s="6">
        <v>3</v>
      </c>
      <c r="C12" s="7">
        <v>49</v>
      </c>
      <c r="D12" s="13">
        <v>29.2</v>
      </c>
      <c r="E12" s="7">
        <v>23.2</v>
      </c>
      <c r="F12" s="6">
        <f t="shared" si="0"/>
        <v>3</v>
      </c>
      <c r="G12" s="6">
        <v>660</v>
      </c>
      <c r="H12" s="49">
        <f t="shared" si="1"/>
        <v>60544.773619982487</v>
      </c>
      <c r="I12" s="48">
        <f t="shared" si="2"/>
        <v>9.0950432014552066E-2</v>
      </c>
      <c r="J12" s="12">
        <f t="shared" si="3"/>
        <v>60.027285129604365</v>
      </c>
      <c r="K12" s="12">
        <f t="shared" si="4"/>
        <v>0.8162954545454546</v>
      </c>
      <c r="L12" s="12">
        <f t="shared" si="5"/>
        <v>26.4</v>
      </c>
      <c r="M12" s="12">
        <v>0.44</v>
      </c>
      <c r="N12" s="12">
        <f t="shared" si="6"/>
        <v>0.3762954545454546</v>
      </c>
    </row>
    <row r="13" spans="2:14" s="13" customFormat="1" ht="22.8" x14ac:dyDescent="0.4">
      <c r="B13" s="6">
        <v>4</v>
      </c>
      <c r="C13" s="13">
        <v>48</v>
      </c>
      <c r="D13" s="13">
        <v>36.9</v>
      </c>
      <c r="E13" s="13">
        <v>24.15</v>
      </c>
      <c r="F13" s="6">
        <f t="shared" si="0"/>
        <v>6.375</v>
      </c>
      <c r="G13" s="6">
        <v>660</v>
      </c>
      <c r="H13" s="49">
        <f t="shared" si="1"/>
        <v>76510.347485525825</v>
      </c>
      <c r="I13" s="48">
        <f t="shared" si="2"/>
        <v>9.0950432014552066E-2</v>
      </c>
      <c r="J13" s="12">
        <f t="shared" si="3"/>
        <v>60.027285129604365</v>
      </c>
      <c r="K13" s="12">
        <f>(C13/J13)*$D$3</f>
        <v>0.79963636363636359</v>
      </c>
      <c r="L13" s="12">
        <f t="shared" si="5"/>
        <v>49.199999999999996</v>
      </c>
      <c r="M13" s="12">
        <v>0.82</v>
      </c>
      <c r="N13" s="12">
        <f t="shared" si="6"/>
        <v>2.0363636363636362E-2</v>
      </c>
    </row>
    <row r="14" spans="2:14" s="13" customFormat="1" ht="22.8" x14ac:dyDescent="0.4">
      <c r="B14" s="6">
        <v>5</v>
      </c>
      <c r="C14" s="13">
        <v>45</v>
      </c>
      <c r="D14" s="13">
        <v>35.6</v>
      </c>
      <c r="E14" s="13">
        <v>25.5</v>
      </c>
      <c r="F14" s="6">
        <f t="shared" si="0"/>
        <v>5.0500000000000007</v>
      </c>
      <c r="G14" s="6">
        <v>660</v>
      </c>
      <c r="H14" s="49">
        <f t="shared" si="1"/>
        <v>73814.860988745786</v>
      </c>
      <c r="I14" s="48">
        <f t="shared" si="2"/>
        <v>9.0950432014552066E-2</v>
      </c>
      <c r="J14" s="12">
        <f t="shared" si="3"/>
        <v>60.027285129604365</v>
      </c>
      <c r="K14" s="12">
        <f t="shared" si="4"/>
        <v>0.74965909090909089</v>
      </c>
      <c r="L14" s="12">
        <f t="shared" si="5"/>
        <v>58.8</v>
      </c>
      <c r="M14" s="12">
        <v>0.98</v>
      </c>
      <c r="N14" s="12">
        <f t="shared" si="6"/>
        <v>0.2303409090909091</v>
      </c>
    </row>
    <row r="15" spans="2:14" s="13" customFormat="1" ht="22.8" x14ac:dyDescent="0.4">
      <c r="B15" s="6"/>
      <c r="F15" s="6"/>
      <c r="G15" s="6"/>
      <c r="H15" s="49"/>
      <c r="I15" s="48"/>
      <c r="J15" s="12"/>
      <c r="K15" s="12"/>
      <c r="L15" s="12"/>
      <c r="M15" s="12"/>
      <c r="N15" s="12"/>
    </row>
    <row r="16" spans="2:14" s="13" customFormat="1" ht="22.8" x14ac:dyDescent="0.4">
      <c r="B16" s="6"/>
      <c r="F16" s="6"/>
      <c r="G16" s="6"/>
      <c r="H16" s="49"/>
      <c r="I16" s="48"/>
      <c r="J16" s="12"/>
      <c r="K16" s="12"/>
      <c r="L16" s="12"/>
      <c r="M16" s="12"/>
      <c r="N16" s="12"/>
    </row>
  </sheetData>
  <mergeCells count="2">
    <mergeCell ref="B3:C3"/>
    <mergeCell ref="B4:C4"/>
  </mergeCells>
  <pageMargins left="0.7" right="0.7" top="0.75" bottom="0.75" header="0.3" footer="0.3"/>
  <pageSetup scale="43" orientation="landscape" r:id="rId1"/>
  <headerFooter>
    <oddHeader>&amp;LIE322L Machining Processes Lab
Department of Mechanical Engineering
Program: BS Industrial Engineering, Fall 2024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J14"/>
  <sheetViews>
    <sheetView view="pageLayout" zoomScaleNormal="100" zoomScaleSheetLayoutView="100" workbookViewId="0">
      <selection activeCell="G32" sqref="G32"/>
    </sheetView>
  </sheetViews>
  <sheetFormatPr defaultColWidth="12.6640625" defaultRowHeight="17.399999999999999" x14ac:dyDescent="0.3"/>
  <cols>
    <col min="1" max="1" width="12.6640625" style="3"/>
    <col min="2" max="2" width="9.5546875" style="3" bestFit="1" customWidth="1"/>
    <col min="3" max="4" width="22" style="3" bestFit="1" customWidth="1"/>
    <col min="5" max="5" width="11.5546875" style="3" customWidth="1"/>
    <col min="6" max="6" width="17.6640625" style="3" bestFit="1" customWidth="1"/>
    <col min="7" max="7" width="12.33203125" style="3" bestFit="1" customWidth="1"/>
    <col min="8" max="8" width="27.5546875" style="3" bestFit="1" customWidth="1"/>
    <col min="9" max="9" width="27.88671875" style="3" bestFit="1" customWidth="1"/>
    <col min="10" max="16384" width="12.6640625" style="3"/>
  </cols>
  <sheetData>
    <row r="2" spans="2:10" x14ac:dyDescent="0.3">
      <c r="B2" s="14" t="s">
        <v>27</v>
      </c>
      <c r="C2" s="72" t="s">
        <v>28</v>
      </c>
      <c r="D2" s="72"/>
      <c r="E2" s="72"/>
      <c r="F2" s="72"/>
      <c r="G2" s="72"/>
      <c r="H2" s="72"/>
      <c r="I2" s="72"/>
      <c r="J2" s="72"/>
    </row>
    <row r="3" spans="2:10" x14ac:dyDescent="0.3">
      <c r="B3" s="2"/>
      <c r="C3" s="15"/>
      <c r="D3" s="15"/>
      <c r="E3" s="15"/>
      <c r="F3" s="15"/>
      <c r="G3" s="2"/>
    </row>
    <row r="4" spans="2:10" x14ac:dyDescent="0.3">
      <c r="B4" s="73" t="s">
        <v>12</v>
      </c>
      <c r="C4" s="17" t="s">
        <v>29</v>
      </c>
      <c r="D4" s="17" t="s">
        <v>30</v>
      </c>
      <c r="E4" s="17" t="s">
        <v>31</v>
      </c>
      <c r="F4" s="17" t="s">
        <v>32</v>
      </c>
      <c r="G4" s="17" t="s">
        <v>86</v>
      </c>
      <c r="H4" s="69" t="s">
        <v>87</v>
      </c>
      <c r="I4" s="69" t="s">
        <v>88</v>
      </c>
      <c r="J4" s="71"/>
    </row>
    <row r="5" spans="2:10" x14ac:dyDescent="0.3">
      <c r="B5" s="74"/>
      <c r="C5" s="19" t="s">
        <v>6</v>
      </c>
      <c r="D5" s="19" t="s">
        <v>6</v>
      </c>
      <c r="E5" s="19" t="s">
        <v>6</v>
      </c>
      <c r="F5" s="19" t="s">
        <v>6</v>
      </c>
      <c r="G5" s="20"/>
      <c r="H5" s="70"/>
      <c r="I5" s="70"/>
      <c r="J5" s="71"/>
    </row>
    <row r="6" spans="2:10" x14ac:dyDescent="0.3">
      <c r="B6" s="2">
        <v>1</v>
      </c>
      <c r="C6" s="2">
        <v>25.8</v>
      </c>
      <c r="D6" s="2">
        <v>20.8</v>
      </c>
      <c r="E6" s="2">
        <v>30</v>
      </c>
      <c r="F6" s="2">
        <f>C6-D6</f>
        <v>5</v>
      </c>
      <c r="G6" s="50">
        <f>(F6)/(2*E6)</f>
        <v>8.3333333333333329E-2</v>
      </c>
      <c r="H6" s="50">
        <f>ATAN(G6)</f>
        <v>8.3141231888441219E-2</v>
      </c>
      <c r="I6" s="5">
        <f>H6*(180/PI())</f>
        <v>4.7636416907261774</v>
      </c>
    </row>
    <row r="7" spans="2:10" x14ac:dyDescent="0.3">
      <c r="B7" s="2">
        <v>2</v>
      </c>
      <c r="C7" s="3">
        <f>D6</f>
        <v>20.8</v>
      </c>
      <c r="D7" s="3">
        <f>C7-4</f>
        <v>16.8</v>
      </c>
      <c r="E7" s="3">
        <v>30</v>
      </c>
      <c r="F7" s="2">
        <f t="shared" ref="F7:F14" si="0">C7-D7</f>
        <v>4</v>
      </c>
      <c r="G7" s="50">
        <f t="shared" ref="G7:G14" si="1">(F7)/(2*E7)</f>
        <v>6.6666666666666666E-2</v>
      </c>
      <c r="H7" s="50">
        <f t="shared" ref="H7:H14" si="2">ATAN(G7)</f>
        <v>6.6568163775823808E-2</v>
      </c>
      <c r="I7" s="5">
        <f t="shared" ref="I7:I14" si="3">H7*(180/PI())</f>
        <v>3.8140748342903543</v>
      </c>
    </row>
    <row r="8" spans="2:10" x14ac:dyDescent="0.3">
      <c r="B8" s="2">
        <v>3</v>
      </c>
      <c r="C8" s="3">
        <f>D7</f>
        <v>16.8</v>
      </c>
      <c r="D8" s="3">
        <f>C8-6</f>
        <v>10.8</v>
      </c>
      <c r="E8" s="3">
        <v>30</v>
      </c>
      <c r="F8" s="2">
        <f t="shared" si="0"/>
        <v>6</v>
      </c>
      <c r="G8" s="50">
        <f t="shared" si="1"/>
        <v>0.1</v>
      </c>
      <c r="H8" s="50">
        <f t="shared" si="2"/>
        <v>9.9668652491162038E-2</v>
      </c>
      <c r="I8" s="5">
        <f t="shared" si="3"/>
        <v>5.710593137499643</v>
      </c>
    </row>
    <row r="9" spans="2:10" x14ac:dyDescent="0.3">
      <c r="B9" s="2">
        <v>4</v>
      </c>
      <c r="C9" s="3">
        <v>20.8</v>
      </c>
      <c r="D9" s="3">
        <v>19</v>
      </c>
      <c r="E9" s="3">
        <v>25.8</v>
      </c>
      <c r="F9" s="2">
        <f t="shared" si="0"/>
        <v>1.8000000000000007</v>
      </c>
      <c r="G9" s="50">
        <f t="shared" si="1"/>
        <v>3.4883720930232572E-2</v>
      </c>
      <c r="H9" s="50">
        <f t="shared" si="2"/>
        <v>3.4869581554789739E-2</v>
      </c>
      <c r="I9" s="5">
        <f t="shared" si="3"/>
        <v>1.9978798564766751</v>
      </c>
    </row>
    <row r="10" spans="2:10" x14ac:dyDescent="0.3">
      <c r="B10" s="2">
        <v>5</v>
      </c>
      <c r="C10" s="3">
        <v>25.4</v>
      </c>
      <c r="D10" s="3">
        <v>13.1</v>
      </c>
      <c r="E10" s="3">
        <v>38.5</v>
      </c>
      <c r="F10" s="2">
        <f t="shared" si="0"/>
        <v>12.299999999999999</v>
      </c>
      <c r="G10" s="50">
        <f t="shared" si="1"/>
        <v>0.15974025974025974</v>
      </c>
      <c r="H10" s="50">
        <f t="shared" si="2"/>
        <v>0.15840199504563082</v>
      </c>
      <c r="I10" s="5">
        <f t="shared" si="3"/>
        <v>9.0757657825668225</v>
      </c>
    </row>
    <row r="11" spans="2:10" x14ac:dyDescent="0.3">
      <c r="B11" s="2">
        <v>6</v>
      </c>
      <c r="C11" s="3">
        <v>18.3</v>
      </c>
      <c r="D11" s="3">
        <v>8.3000000000000007</v>
      </c>
      <c r="E11" s="3">
        <v>22</v>
      </c>
      <c r="F11" s="2">
        <f t="shared" si="0"/>
        <v>10</v>
      </c>
      <c r="G11" s="50">
        <f t="shared" si="1"/>
        <v>0.22727272727272727</v>
      </c>
      <c r="H11" s="50">
        <f t="shared" si="2"/>
        <v>0.223476601140633</v>
      </c>
      <c r="I11" s="5">
        <f t="shared" si="3"/>
        <v>12.80426606528675</v>
      </c>
    </row>
    <row r="12" spans="2:10" x14ac:dyDescent="0.3">
      <c r="B12" s="2">
        <v>7</v>
      </c>
      <c r="C12" s="3">
        <v>18.649999999999999</v>
      </c>
      <c r="D12" s="3">
        <v>8.15</v>
      </c>
      <c r="E12" s="3">
        <v>21.9</v>
      </c>
      <c r="F12" s="2">
        <f t="shared" si="0"/>
        <v>10.499999999999998</v>
      </c>
      <c r="G12" s="50">
        <f t="shared" si="1"/>
        <v>0.23972602739726026</v>
      </c>
      <c r="H12" s="50">
        <f t="shared" si="2"/>
        <v>0.23528591336914623</v>
      </c>
      <c r="I12" s="5">
        <f t="shared" si="3"/>
        <v>13.480889814932791</v>
      </c>
    </row>
    <row r="13" spans="2:10" x14ac:dyDescent="0.3">
      <c r="B13" s="2">
        <v>8</v>
      </c>
      <c r="C13" s="3">
        <v>25.4</v>
      </c>
      <c r="D13" s="3">
        <v>19.100000000000001</v>
      </c>
      <c r="E13" s="3">
        <v>17.8</v>
      </c>
      <c r="F13" s="2">
        <f t="shared" si="0"/>
        <v>6.2999999999999972</v>
      </c>
      <c r="G13" s="50">
        <f t="shared" si="1"/>
        <v>0.17696629213483137</v>
      </c>
      <c r="H13" s="50">
        <f t="shared" si="2"/>
        <v>0.17515289116797925</v>
      </c>
      <c r="I13" s="5">
        <f t="shared" si="3"/>
        <v>10.035521433439444</v>
      </c>
    </row>
    <row r="14" spans="2:10" x14ac:dyDescent="0.3">
      <c r="B14" s="2">
        <v>9</v>
      </c>
      <c r="C14" s="3">
        <v>16.5</v>
      </c>
      <c r="D14" s="3">
        <v>12.5</v>
      </c>
      <c r="E14" s="3">
        <v>12</v>
      </c>
      <c r="F14" s="2">
        <f t="shared" si="0"/>
        <v>4</v>
      </c>
      <c r="G14" s="50">
        <f t="shared" si="1"/>
        <v>0.16666666666666666</v>
      </c>
      <c r="H14" s="50">
        <f t="shared" si="2"/>
        <v>0.16514867741462683</v>
      </c>
      <c r="I14" s="5">
        <f t="shared" si="3"/>
        <v>9.4623222080256166</v>
      </c>
    </row>
  </sheetData>
  <mergeCells count="5">
    <mergeCell ref="H4:H5"/>
    <mergeCell ref="I4:I5"/>
    <mergeCell ref="J4:J5"/>
    <mergeCell ref="C2:J2"/>
    <mergeCell ref="B4:B5"/>
  </mergeCells>
  <pageMargins left="0.7" right="0.7" top="0.75" bottom="0.75" header="0.3" footer="0.3"/>
  <pageSetup scale="62" orientation="landscape" r:id="rId1"/>
  <headerFooter>
    <oddHeader>&amp;LIE322L Machining Processes Lab
Department of Mechanical Engineering
Program: BS Industrial Engineering, Fall 2024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1:N36"/>
  <sheetViews>
    <sheetView view="pageLayout" topLeftCell="A4" zoomScaleNormal="70" workbookViewId="0">
      <selection activeCell="G32" sqref="G32"/>
    </sheetView>
  </sheetViews>
  <sheetFormatPr defaultColWidth="12.6640625" defaultRowHeight="17.399999999999999" x14ac:dyDescent="0.3"/>
  <cols>
    <col min="1" max="1" width="12.6640625" style="3"/>
    <col min="2" max="2" width="19.77734375" style="3" bestFit="1" customWidth="1"/>
    <col min="3" max="3" width="18.21875" style="3" bestFit="1" customWidth="1"/>
    <col min="4" max="4" width="14" style="3" bestFit="1" customWidth="1"/>
    <col min="5" max="5" width="17.6640625" style="3" bestFit="1" customWidth="1"/>
    <col min="6" max="6" width="15.6640625" style="3" bestFit="1" customWidth="1"/>
    <col min="7" max="7" width="6.88671875" style="3" bestFit="1" customWidth="1"/>
    <col min="8" max="8" width="18.109375" style="3" bestFit="1" customWidth="1"/>
    <col min="9" max="9" width="14.77734375" style="3" bestFit="1" customWidth="1"/>
    <col min="10" max="10" width="13.44140625" style="3" bestFit="1" customWidth="1"/>
    <col min="11" max="11" width="19.33203125" style="3" bestFit="1" customWidth="1"/>
    <col min="12" max="12" width="30.6640625" style="3" bestFit="1" customWidth="1"/>
    <col min="13" max="13" width="12.88671875" style="3" bestFit="1" customWidth="1"/>
    <col min="14" max="14" width="19" style="3" bestFit="1" customWidth="1"/>
    <col min="15" max="16384" width="12.6640625" style="3"/>
  </cols>
  <sheetData>
    <row r="1" spans="2:14" ht="18" thickBot="1" x14ac:dyDescent="0.35"/>
    <row r="2" spans="2:14" x14ac:dyDescent="0.3">
      <c r="B2" s="21" t="s">
        <v>33</v>
      </c>
      <c r="C2" s="78" t="s">
        <v>34</v>
      </c>
      <c r="D2" s="78"/>
      <c r="E2" s="78"/>
      <c r="F2" s="78"/>
      <c r="G2" s="78"/>
      <c r="H2" s="78"/>
      <c r="I2" s="78"/>
      <c r="J2" s="78"/>
      <c r="K2" s="78"/>
      <c r="L2" s="78"/>
      <c r="M2" s="78"/>
      <c r="N2" s="79"/>
    </row>
    <row r="3" spans="2:14" ht="34.799999999999997" x14ac:dyDescent="0.3">
      <c r="B3" s="22"/>
      <c r="C3" s="23" t="s">
        <v>92</v>
      </c>
      <c r="D3" s="23" t="s">
        <v>93</v>
      </c>
      <c r="E3" s="23">
        <v>1</v>
      </c>
      <c r="F3" s="23"/>
      <c r="G3" s="23"/>
      <c r="H3" s="23"/>
      <c r="I3" s="23"/>
      <c r="J3" s="23"/>
      <c r="K3" s="23"/>
      <c r="L3" s="23"/>
      <c r="M3" s="23"/>
      <c r="N3" s="24"/>
    </row>
    <row r="4" spans="2:14" ht="34.799999999999997" x14ac:dyDescent="0.3">
      <c r="B4" s="22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4" t="s">
        <v>114</v>
      </c>
    </row>
    <row r="5" spans="2:14" ht="52.2" x14ac:dyDescent="0.3">
      <c r="B5" s="25" t="s">
        <v>35</v>
      </c>
      <c r="C5" s="4" t="s">
        <v>36</v>
      </c>
      <c r="D5" s="4" t="s">
        <v>37</v>
      </c>
      <c r="E5" s="4" t="s">
        <v>38</v>
      </c>
      <c r="F5" s="4" t="s">
        <v>39</v>
      </c>
      <c r="G5" s="4" t="s">
        <v>40</v>
      </c>
      <c r="H5" s="4" t="s">
        <v>41</v>
      </c>
      <c r="I5" s="4" t="s">
        <v>19</v>
      </c>
      <c r="J5" s="4" t="s">
        <v>20</v>
      </c>
      <c r="K5" s="4" t="s">
        <v>91</v>
      </c>
      <c r="L5" s="4" t="s">
        <v>94</v>
      </c>
      <c r="M5" s="4" t="s">
        <v>89</v>
      </c>
      <c r="N5" s="26" t="s">
        <v>90</v>
      </c>
    </row>
    <row r="6" spans="2:14" x14ac:dyDescent="0.3">
      <c r="B6" s="27">
        <v>1</v>
      </c>
      <c r="C6" s="28">
        <v>37.799999999999997</v>
      </c>
      <c r="D6" s="28">
        <v>24.5</v>
      </c>
      <c r="E6" s="28">
        <v>23.5</v>
      </c>
      <c r="F6" s="29">
        <f>D6-E6</f>
        <v>1</v>
      </c>
      <c r="G6" s="29">
        <v>660</v>
      </c>
      <c r="H6" s="29">
        <f>PI()*C6*G6</f>
        <v>78376.453521758158</v>
      </c>
      <c r="I6" s="30">
        <v>1.7999999999999999E-2</v>
      </c>
      <c r="J6" s="29">
        <f>I6*G6</f>
        <v>11.879999999999999</v>
      </c>
      <c r="K6" s="28">
        <f>(C6/(2*I6*G6))*$E$3</f>
        <v>1.5909090909090908</v>
      </c>
      <c r="L6" s="29">
        <f>PI()*C6*K6*J6</f>
        <v>2244.4166235776197</v>
      </c>
      <c r="M6" s="28">
        <f>N6*60</f>
        <v>66</v>
      </c>
      <c r="N6" s="31">
        <v>1.1000000000000001</v>
      </c>
    </row>
    <row r="7" spans="2:14" x14ac:dyDescent="0.3">
      <c r="B7" s="32">
        <v>2</v>
      </c>
      <c r="C7" s="33">
        <f>C6-(D6-E6)</f>
        <v>36.799999999999997</v>
      </c>
      <c r="D7" s="33">
        <f>E6</f>
        <v>23.5</v>
      </c>
      <c r="E7" s="33">
        <f>D7-1</f>
        <v>22.5</v>
      </c>
      <c r="F7" s="29">
        <f t="shared" ref="F7:F14" si="0">D7-E7</f>
        <v>1</v>
      </c>
      <c r="G7" s="29">
        <v>660</v>
      </c>
      <c r="H7" s="29">
        <f>PI()*C7*G7</f>
        <v>76303.002370388887</v>
      </c>
      <c r="I7" s="30">
        <v>1.7999999999999999E-2</v>
      </c>
      <c r="J7" s="29">
        <f>I7*G7</f>
        <v>11.879999999999999</v>
      </c>
      <c r="K7" s="28">
        <f>(C7/(2*I7*G7))*$E$3</f>
        <v>1.5488215488215489</v>
      </c>
      <c r="L7" s="29">
        <f>PI()*C7*K7*J7</f>
        <v>2127.2352175987203</v>
      </c>
      <c r="M7" s="28">
        <f t="shared" ref="M7:M14" si="1">N7*60</f>
        <v>114</v>
      </c>
      <c r="N7" s="31">
        <v>1.9</v>
      </c>
    </row>
    <row r="8" spans="2:14" x14ac:dyDescent="0.3">
      <c r="B8" s="32">
        <v>3</v>
      </c>
      <c r="C8" s="33">
        <f>C7-(D7-E7)</f>
        <v>35.799999999999997</v>
      </c>
      <c r="D8" s="33">
        <f>E7</f>
        <v>22.5</v>
      </c>
      <c r="E8" s="33">
        <f>D8-1</f>
        <v>21.5</v>
      </c>
      <c r="F8" s="29">
        <f t="shared" si="0"/>
        <v>1</v>
      </c>
      <c r="G8" s="29">
        <v>660</v>
      </c>
      <c r="H8" s="29">
        <f>PI()*C8*G8</f>
        <v>74229.551219019631</v>
      </c>
      <c r="I8" s="30">
        <v>1.7999999999999999E-2</v>
      </c>
      <c r="J8" s="29">
        <f>I8*G8</f>
        <v>11.879999999999999</v>
      </c>
      <c r="K8" s="28">
        <f>(C8/(2*I8*G8))*$E$3</f>
        <v>1.5067340067340067</v>
      </c>
      <c r="L8" s="29">
        <f>PI()*C8*K8*J8</f>
        <v>2013.195404273411</v>
      </c>
      <c r="M8" s="28">
        <f t="shared" si="1"/>
        <v>90</v>
      </c>
      <c r="N8" s="31">
        <v>1.5</v>
      </c>
    </row>
    <row r="9" spans="2:14" x14ac:dyDescent="0.3">
      <c r="B9" s="34">
        <v>4</v>
      </c>
      <c r="C9" s="33">
        <f>C8-(D8-E8)</f>
        <v>34.799999999999997</v>
      </c>
      <c r="D9" s="33">
        <f>E8</f>
        <v>21.5</v>
      </c>
      <c r="E9" s="33">
        <f>D9-1</f>
        <v>20.5</v>
      </c>
      <c r="F9" s="29">
        <f t="shared" si="0"/>
        <v>1</v>
      </c>
      <c r="G9" s="29">
        <v>660</v>
      </c>
      <c r="H9" s="29">
        <f>PI()*C9*G9</f>
        <v>72156.100067650361</v>
      </c>
      <c r="I9" s="30">
        <v>1.7999999999999999E-2</v>
      </c>
      <c r="J9" s="29">
        <f>I9*G9</f>
        <v>11.879999999999999</v>
      </c>
      <c r="K9" s="28">
        <f>(C9/(2*I9*G9))*$E$3</f>
        <v>1.4646464646464648</v>
      </c>
      <c r="L9" s="29">
        <f>PI()*C9*K9*J9</f>
        <v>1902.2971836016914</v>
      </c>
      <c r="M9" s="28">
        <f t="shared" si="1"/>
        <v>132</v>
      </c>
      <c r="N9" s="31">
        <v>2.2000000000000002</v>
      </c>
    </row>
    <row r="10" spans="2:14" x14ac:dyDescent="0.3">
      <c r="B10" s="34">
        <v>5</v>
      </c>
      <c r="C10" s="33">
        <v>25.6</v>
      </c>
      <c r="D10" s="33">
        <v>21.1</v>
      </c>
      <c r="E10" s="33">
        <v>20.100000000000001</v>
      </c>
      <c r="F10" s="29">
        <f t="shared" si="0"/>
        <v>1</v>
      </c>
      <c r="G10" s="29">
        <v>660</v>
      </c>
      <c r="H10" s="29">
        <f t="shared" ref="H10:H14" si="2">PI()*C10*G10</f>
        <v>53080.349475053146</v>
      </c>
      <c r="I10" s="30">
        <v>1.7999999999999999E-2</v>
      </c>
      <c r="J10" s="29">
        <f t="shared" ref="J10:J14" si="3">I10*G10</f>
        <v>11.879999999999999</v>
      </c>
      <c r="K10" s="28">
        <f t="shared" ref="K10:K14" si="4">(C10/(2*I10*G10))*$E$3</f>
        <v>1.0774410774410776</v>
      </c>
      <c r="L10" s="29">
        <f t="shared" ref="L10:L14" si="5">PI()*C10*K10*J10</f>
        <v>1029.4370807283035</v>
      </c>
      <c r="M10" s="28">
        <f t="shared" si="1"/>
        <v>136.79999999999998</v>
      </c>
      <c r="N10" s="31">
        <v>2.2799999999999998</v>
      </c>
    </row>
    <row r="11" spans="2:14" x14ac:dyDescent="0.3">
      <c r="B11" s="34">
        <v>6</v>
      </c>
      <c r="C11" s="33">
        <v>29.2</v>
      </c>
      <c r="D11" s="33">
        <v>23.2</v>
      </c>
      <c r="E11" s="33">
        <v>21.2</v>
      </c>
      <c r="F11" s="29">
        <f t="shared" si="0"/>
        <v>2</v>
      </c>
      <c r="G11" s="29">
        <v>660</v>
      </c>
      <c r="H11" s="29">
        <f t="shared" si="2"/>
        <v>60544.773619982487</v>
      </c>
      <c r="I11" s="30">
        <v>1.7999999999999999E-2</v>
      </c>
      <c r="J11" s="29">
        <f t="shared" si="3"/>
        <v>11.879999999999999</v>
      </c>
      <c r="K11" s="28">
        <f t="shared" si="4"/>
        <v>1.228956228956229</v>
      </c>
      <c r="L11" s="29">
        <f t="shared" si="5"/>
        <v>1339.3237800784004</v>
      </c>
      <c r="M11" s="28">
        <f t="shared" si="1"/>
        <v>24</v>
      </c>
      <c r="N11" s="31">
        <v>0.4</v>
      </c>
    </row>
    <row r="12" spans="2:14" x14ac:dyDescent="0.3">
      <c r="B12" s="34">
        <v>7</v>
      </c>
      <c r="C12" s="33">
        <v>36.9</v>
      </c>
      <c r="D12" s="33">
        <v>24.15</v>
      </c>
      <c r="E12" s="33">
        <v>23.15</v>
      </c>
      <c r="F12" s="29">
        <f t="shared" si="0"/>
        <v>1</v>
      </c>
      <c r="G12" s="29">
        <v>660</v>
      </c>
      <c r="H12" s="29">
        <f t="shared" si="2"/>
        <v>76510.347485525825</v>
      </c>
      <c r="I12" s="30">
        <v>1.7999999999999999E-2</v>
      </c>
      <c r="J12" s="29">
        <f t="shared" si="3"/>
        <v>11.879999999999999</v>
      </c>
      <c r="K12" s="28">
        <f t="shared" si="4"/>
        <v>1.5530303030303032</v>
      </c>
      <c r="L12" s="29">
        <f t="shared" si="5"/>
        <v>2138.8119865271992</v>
      </c>
      <c r="M12" s="28">
        <f t="shared" si="1"/>
        <v>48.6</v>
      </c>
      <c r="N12" s="31">
        <v>0.81</v>
      </c>
    </row>
    <row r="13" spans="2:14" x14ac:dyDescent="0.3">
      <c r="B13" s="34">
        <v>8</v>
      </c>
      <c r="C13" s="33">
        <v>45.6</v>
      </c>
      <c r="D13" s="33">
        <v>25.5</v>
      </c>
      <c r="E13" s="33">
        <v>24.5</v>
      </c>
      <c r="F13" s="29">
        <f t="shared" si="0"/>
        <v>1</v>
      </c>
      <c r="G13" s="29">
        <v>660</v>
      </c>
      <c r="H13" s="29">
        <f t="shared" si="2"/>
        <v>94549.372502438418</v>
      </c>
      <c r="I13" s="30">
        <v>1.7999999999999999E-2</v>
      </c>
      <c r="J13" s="29">
        <f t="shared" si="3"/>
        <v>11.879999999999999</v>
      </c>
      <c r="K13" s="28">
        <f t="shared" si="4"/>
        <v>1.9191919191919193</v>
      </c>
      <c r="L13" s="29">
        <f t="shared" si="5"/>
        <v>3266.2510500842359</v>
      </c>
      <c r="M13" s="28">
        <f t="shared" si="1"/>
        <v>57</v>
      </c>
      <c r="N13" s="31">
        <v>0.95</v>
      </c>
    </row>
    <row r="14" spans="2:14" x14ac:dyDescent="0.3">
      <c r="B14" s="34">
        <v>9</v>
      </c>
      <c r="C14" s="33">
        <v>42.3</v>
      </c>
      <c r="D14" s="33">
        <v>22.7</v>
      </c>
      <c r="E14" s="33">
        <v>21.2</v>
      </c>
      <c r="F14" s="29">
        <f t="shared" si="0"/>
        <v>1.5</v>
      </c>
      <c r="G14" s="29">
        <v>660</v>
      </c>
      <c r="H14" s="29">
        <f t="shared" si="2"/>
        <v>87706.983702919839</v>
      </c>
      <c r="I14" s="30">
        <v>1.7999999999999999E-2</v>
      </c>
      <c r="J14" s="29">
        <f t="shared" si="3"/>
        <v>11.879999999999999</v>
      </c>
      <c r="K14" s="28">
        <f t="shared" si="4"/>
        <v>1.7803030303030303</v>
      </c>
      <c r="L14" s="29">
        <f t="shared" si="5"/>
        <v>2810.6101595708401</v>
      </c>
      <c r="M14" s="28">
        <f t="shared" si="1"/>
        <v>53.4</v>
      </c>
      <c r="N14" s="31">
        <v>0.89</v>
      </c>
    </row>
    <row r="15" spans="2:14" x14ac:dyDescent="0.3">
      <c r="B15" s="34"/>
      <c r="C15" s="33"/>
      <c r="D15" s="33"/>
      <c r="E15" s="33"/>
      <c r="F15" s="29"/>
      <c r="G15" s="29"/>
      <c r="H15" s="29"/>
      <c r="I15" s="30"/>
      <c r="J15" s="29"/>
      <c r="K15" s="28"/>
      <c r="L15" s="29"/>
      <c r="M15" s="28"/>
      <c r="N15" s="31"/>
    </row>
    <row r="16" spans="2:14" x14ac:dyDescent="0.3">
      <c r="B16" s="34"/>
      <c r="C16" s="33"/>
      <c r="D16" s="33"/>
      <c r="E16" s="33"/>
      <c r="F16" s="29"/>
      <c r="G16" s="29"/>
      <c r="H16" s="29"/>
      <c r="I16" s="30"/>
      <c r="J16" s="29"/>
      <c r="K16" s="28"/>
      <c r="L16" s="29"/>
      <c r="M16" s="28"/>
      <c r="N16" s="31"/>
    </row>
    <row r="17" spans="2:14" x14ac:dyDescent="0.3">
      <c r="B17" s="34"/>
      <c r="C17" s="33"/>
      <c r="D17" s="33"/>
      <c r="E17" s="33"/>
      <c r="F17" s="29"/>
      <c r="G17" s="29"/>
      <c r="H17" s="29"/>
      <c r="I17" s="30"/>
      <c r="J17" s="29"/>
      <c r="K17" s="28"/>
      <c r="L17" s="29"/>
      <c r="M17" s="28"/>
      <c r="N17" s="31"/>
    </row>
    <row r="18" spans="2:14" x14ac:dyDescent="0.3">
      <c r="B18" s="34"/>
      <c r="C18" s="33"/>
      <c r="D18" s="33"/>
      <c r="E18" s="33"/>
      <c r="F18" s="29"/>
      <c r="G18" s="29"/>
      <c r="H18" s="29"/>
      <c r="I18" s="30"/>
      <c r="J18" s="29"/>
      <c r="K18" s="28"/>
      <c r="L18" s="29"/>
      <c r="M18" s="28"/>
      <c r="N18" s="31"/>
    </row>
    <row r="19" spans="2:14" x14ac:dyDescent="0.3">
      <c r="B19" s="34"/>
      <c r="C19" s="33"/>
      <c r="D19" s="33"/>
      <c r="E19" s="33"/>
      <c r="F19" s="29"/>
      <c r="G19" s="29"/>
      <c r="H19" s="29"/>
      <c r="I19" s="30"/>
      <c r="J19" s="29"/>
      <c r="K19" s="28"/>
      <c r="L19" s="29"/>
      <c r="M19" s="28"/>
      <c r="N19" s="31"/>
    </row>
    <row r="20" spans="2:14" x14ac:dyDescent="0.3">
      <c r="B20" s="34"/>
      <c r="C20" s="33"/>
      <c r="D20" s="33"/>
      <c r="E20" s="33"/>
      <c r="F20" s="29"/>
      <c r="G20" s="29"/>
      <c r="H20" s="29"/>
      <c r="I20" s="30"/>
      <c r="J20" s="29"/>
      <c r="K20" s="28"/>
      <c r="L20" s="29"/>
      <c r="M20" s="28"/>
      <c r="N20" s="31"/>
    </row>
    <row r="21" spans="2:14" x14ac:dyDescent="0.3">
      <c r="B21" s="34"/>
      <c r="C21" s="33"/>
      <c r="D21" s="33"/>
      <c r="E21" s="33"/>
      <c r="F21" s="29"/>
      <c r="G21" s="29"/>
      <c r="H21" s="29"/>
      <c r="I21" s="30"/>
      <c r="J21" s="29"/>
      <c r="K21" s="28"/>
      <c r="L21" s="29"/>
      <c r="M21" s="28"/>
      <c r="N21" s="31"/>
    </row>
    <row r="22" spans="2:14" x14ac:dyDescent="0.3">
      <c r="B22" s="34"/>
      <c r="C22" s="33"/>
      <c r="D22" s="33"/>
      <c r="E22" s="33"/>
      <c r="F22" s="29"/>
      <c r="G22" s="29"/>
      <c r="H22" s="29"/>
      <c r="I22" s="30"/>
      <c r="J22" s="29"/>
      <c r="K22" s="28"/>
      <c r="L22" s="29"/>
      <c r="M22" s="28"/>
      <c r="N22" s="31"/>
    </row>
    <row r="23" spans="2:14" x14ac:dyDescent="0.3">
      <c r="B23" s="34"/>
      <c r="C23" s="33"/>
      <c r="D23" s="33"/>
      <c r="E23" s="33"/>
      <c r="F23" s="29"/>
      <c r="G23" s="29"/>
      <c r="H23" s="29"/>
      <c r="I23" s="30"/>
      <c r="J23" s="29"/>
      <c r="K23" s="28"/>
      <c r="L23" s="29"/>
      <c r="M23" s="28"/>
      <c r="N23" s="31"/>
    </row>
    <row r="24" spans="2:14" x14ac:dyDescent="0.3">
      <c r="B24" s="35"/>
      <c r="N24" s="36"/>
    </row>
    <row r="25" spans="2:14" x14ac:dyDescent="0.3">
      <c r="B25" s="35"/>
      <c r="N25" s="36"/>
    </row>
    <row r="26" spans="2:14" x14ac:dyDescent="0.3">
      <c r="B26" s="37"/>
      <c r="C26" s="3" t="s">
        <v>20</v>
      </c>
      <c r="N26" s="36"/>
    </row>
    <row r="27" spans="2:14" x14ac:dyDescent="0.3">
      <c r="B27" s="75" t="s">
        <v>112</v>
      </c>
      <c r="C27" s="77"/>
      <c r="D27" s="77"/>
      <c r="E27" s="77"/>
      <c r="F27" s="77"/>
      <c r="G27" s="77"/>
      <c r="H27" s="77"/>
      <c r="I27" s="77"/>
      <c r="N27" s="36"/>
    </row>
    <row r="28" spans="2:14" x14ac:dyDescent="0.3">
      <c r="B28" s="75" t="s">
        <v>42</v>
      </c>
      <c r="C28" s="76"/>
      <c r="D28" s="2">
        <v>0.05</v>
      </c>
      <c r="E28" s="2" t="s">
        <v>6</v>
      </c>
      <c r="N28" s="36"/>
    </row>
    <row r="29" spans="2:14" x14ac:dyDescent="0.3">
      <c r="B29" s="37" t="s">
        <v>7</v>
      </c>
      <c r="D29" s="2">
        <v>100</v>
      </c>
      <c r="N29" s="36"/>
    </row>
    <row r="30" spans="2:14" x14ac:dyDescent="0.3">
      <c r="B30" s="37" t="s">
        <v>43</v>
      </c>
      <c r="C30" s="2">
        <v>23.54</v>
      </c>
      <c r="D30" s="2" t="s">
        <v>9</v>
      </c>
      <c r="E30" s="2">
        <f>C30/60</f>
        <v>0.39233333333333331</v>
      </c>
      <c r="F30" s="2" t="s">
        <v>11</v>
      </c>
      <c r="N30" s="36"/>
    </row>
    <row r="31" spans="2:14" x14ac:dyDescent="0.3">
      <c r="B31" s="75" t="s">
        <v>44</v>
      </c>
      <c r="C31" s="76"/>
      <c r="D31" s="2">
        <v>0.04</v>
      </c>
      <c r="E31" s="2" t="s">
        <v>6</v>
      </c>
      <c r="N31" s="36"/>
    </row>
    <row r="32" spans="2:14" x14ac:dyDescent="0.3">
      <c r="B32" s="75" t="s">
        <v>45</v>
      </c>
      <c r="C32" s="76"/>
      <c r="D32" s="2">
        <v>0.1</v>
      </c>
      <c r="E32" s="2" t="s">
        <v>6</v>
      </c>
      <c r="N32" s="36"/>
    </row>
    <row r="33" spans="2:14" x14ac:dyDescent="0.3">
      <c r="B33" s="37" t="s">
        <v>46</v>
      </c>
      <c r="N33" s="36"/>
    </row>
    <row r="34" spans="2:14" x14ac:dyDescent="0.3">
      <c r="B34" s="37" t="s">
        <v>47</v>
      </c>
      <c r="C34" s="77" t="s">
        <v>48</v>
      </c>
      <c r="D34" s="76"/>
      <c r="E34" s="76"/>
      <c r="F34" s="76"/>
      <c r="G34" s="76"/>
      <c r="H34" s="76"/>
      <c r="N34" s="36"/>
    </row>
    <row r="35" spans="2:14" x14ac:dyDescent="0.3">
      <c r="B35" s="37" t="s">
        <v>43</v>
      </c>
      <c r="C35" s="2">
        <v>1.5</v>
      </c>
      <c r="D35" s="2" t="s">
        <v>11</v>
      </c>
      <c r="N35" s="36"/>
    </row>
    <row r="36" spans="2:14" ht="18" thickBot="1" x14ac:dyDescent="0.35">
      <c r="B36" s="38" t="s">
        <v>110</v>
      </c>
      <c r="C36" s="39" t="s">
        <v>113</v>
      </c>
      <c r="D36" s="40">
        <f>$F$6</f>
        <v>1</v>
      </c>
      <c r="E36" s="41">
        <f>$D$36/$D$28</f>
        <v>20</v>
      </c>
      <c r="F36" s="39"/>
      <c r="G36" s="39"/>
      <c r="H36" s="39"/>
      <c r="I36" s="39"/>
      <c r="J36" s="39"/>
      <c r="K36" s="39"/>
      <c r="L36" s="39"/>
      <c r="M36" s="39"/>
      <c r="N36" s="42"/>
    </row>
  </sheetData>
  <mergeCells count="6">
    <mergeCell ref="B28:C28"/>
    <mergeCell ref="B31:C31"/>
    <mergeCell ref="B32:C32"/>
    <mergeCell ref="C34:H34"/>
    <mergeCell ref="C2:N2"/>
    <mergeCell ref="B27:I27"/>
  </mergeCells>
  <pageMargins left="0.7" right="0.7" top="0.75" bottom="0.75" header="0.3" footer="0.3"/>
  <pageSetup scale="49" orientation="landscape" r:id="rId1"/>
  <headerFooter>
    <oddHeader>&amp;LIE322L Machining Processes Lab
Department of Mechanical Engineering
Program: BS Industrial Engineering, Fall 2024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H9"/>
  <sheetViews>
    <sheetView view="pageLayout" zoomScaleNormal="100" zoomScaleSheetLayoutView="115" workbookViewId="0">
      <selection activeCell="G32" sqref="G32"/>
    </sheetView>
  </sheetViews>
  <sheetFormatPr defaultColWidth="12.6640625" defaultRowHeight="17.399999999999999" x14ac:dyDescent="0.3"/>
  <cols>
    <col min="1" max="1" width="12.6640625" style="3"/>
    <col min="2" max="2" width="9.33203125" style="3" bestFit="1" customWidth="1"/>
    <col min="3" max="3" width="83.44140625" style="3" customWidth="1"/>
    <col min="4" max="4" width="7" style="3" bestFit="1" customWidth="1"/>
    <col min="5" max="5" width="8.6640625" style="3" bestFit="1" customWidth="1"/>
    <col min="6" max="7" width="11.77734375" style="3" bestFit="1" customWidth="1"/>
    <col min="8" max="8" width="7" style="3" bestFit="1" customWidth="1"/>
    <col min="9" max="16384" width="12.6640625" style="3"/>
  </cols>
  <sheetData>
    <row r="2" spans="2:8" x14ac:dyDescent="0.3">
      <c r="B2" s="3" t="s">
        <v>95</v>
      </c>
      <c r="C2" s="3" t="s">
        <v>96</v>
      </c>
    </row>
    <row r="3" spans="2:8" x14ac:dyDescent="0.3">
      <c r="B3" s="3" t="s">
        <v>115</v>
      </c>
      <c r="C3" s="3" t="s">
        <v>116</v>
      </c>
    </row>
    <row r="4" spans="2:8" ht="52.2" x14ac:dyDescent="0.3">
      <c r="B4" s="4" t="s">
        <v>49</v>
      </c>
      <c r="C4" s="4" t="s">
        <v>50</v>
      </c>
      <c r="D4" s="4" t="s">
        <v>51</v>
      </c>
      <c r="E4" s="4" t="s">
        <v>52</v>
      </c>
      <c r="F4" s="4" t="s">
        <v>53</v>
      </c>
      <c r="G4" s="4" t="s">
        <v>54</v>
      </c>
      <c r="H4" s="4" t="s">
        <v>55</v>
      </c>
    </row>
    <row r="5" spans="2:8" x14ac:dyDescent="0.3">
      <c r="B5" s="2">
        <v>1</v>
      </c>
      <c r="C5" s="2">
        <v>45.7</v>
      </c>
      <c r="D5" s="2">
        <v>10</v>
      </c>
      <c r="E5" s="2">
        <f t="shared" ref="E5:E9" si="0">D5*25.4</f>
        <v>254</v>
      </c>
      <c r="F5" s="2">
        <v>26.3</v>
      </c>
      <c r="G5" s="2">
        <v>24.5</v>
      </c>
      <c r="H5" s="2">
        <f t="shared" ref="H5:H6" si="1">F5-G5</f>
        <v>1.8000000000000007</v>
      </c>
    </row>
    <row r="6" spans="2:8" x14ac:dyDescent="0.3">
      <c r="B6" s="2">
        <v>2</v>
      </c>
      <c r="C6" s="2">
        <v>33.5</v>
      </c>
      <c r="D6" s="2">
        <v>20</v>
      </c>
      <c r="E6" s="2">
        <f t="shared" si="0"/>
        <v>508</v>
      </c>
      <c r="F6" s="2">
        <v>26.3</v>
      </c>
      <c r="G6" s="2">
        <v>25.5</v>
      </c>
      <c r="H6" s="2">
        <f t="shared" si="1"/>
        <v>0.80000000000000071</v>
      </c>
    </row>
    <row r="7" spans="2:8" x14ac:dyDescent="0.3">
      <c r="B7" s="2">
        <v>3</v>
      </c>
      <c r="C7" s="2">
        <v>32.700000000000003</v>
      </c>
      <c r="D7" s="2">
        <v>16</v>
      </c>
      <c r="E7" s="2">
        <f t="shared" si="0"/>
        <v>406.4</v>
      </c>
      <c r="F7" s="2">
        <v>26.25</v>
      </c>
      <c r="G7" s="2">
        <v>25.1</v>
      </c>
      <c r="H7" s="43">
        <f>F7-G7</f>
        <v>1.1499999999999986</v>
      </c>
    </row>
    <row r="8" spans="2:8" x14ac:dyDescent="0.3">
      <c r="B8" s="2">
        <v>4</v>
      </c>
      <c r="C8" s="3">
        <v>25.4</v>
      </c>
      <c r="D8" s="3">
        <v>1.45</v>
      </c>
      <c r="E8" s="2">
        <f t="shared" si="0"/>
        <v>36.83</v>
      </c>
      <c r="F8" s="3">
        <v>17.399999999999999</v>
      </c>
      <c r="G8" s="3">
        <v>15.8</v>
      </c>
      <c r="H8" s="43">
        <f>F8-G8</f>
        <v>1.5999999999999979</v>
      </c>
    </row>
    <row r="9" spans="2:8" x14ac:dyDescent="0.3">
      <c r="B9" s="2">
        <v>5</v>
      </c>
      <c r="C9" s="3">
        <v>31.8</v>
      </c>
      <c r="D9" s="3">
        <v>1.45</v>
      </c>
      <c r="E9" s="3">
        <f t="shared" si="0"/>
        <v>36.83</v>
      </c>
      <c r="F9" s="3">
        <v>17.399999999999999</v>
      </c>
      <c r="G9" s="3">
        <v>15.8</v>
      </c>
      <c r="H9" s="43">
        <f>F9-G9</f>
        <v>1.5999999999999979</v>
      </c>
    </row>
  </sheetData>
  <pageMargins left="0.7" right="0.7" top="0.75" bottom="0.75" header="0.3" footer="0.3"/>
  <pageSetup scale="62" orientation="landscape" r:id="rId1"/>
  <headerFooter>
    <oddHeader>&amp;LIE322L Machining Processes Lab
Department of Mechanical Engineering
Program: BS Industrial Engineering, Fall 2024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C2:L29"/>
  <sheetViews>
    <sheetView tabSelected="1" view="pageLayout" topLeftCell="B7" zoomScaleNormal="70" zoomScaleSheetLayoutView="70" workbookViewId="0">
      <selection activeCell="L20" sqref="D13:L20"/>
    </sheetView>
  </sheetViews>
  <sheetFormatPr defaultColWidth="12.6640625" defaultRowHeight="15.75" customHeight="1" x14ac:dyDescent="0.3"/>
  <cols>
    <col min="1" max="2" width="12.6640625" style="3"/>
    <col min="3" max="3" width="3.77734375" style="3" bestFit="1" customWidth="1"/>
    <col min="4" max="4" width="7.77734375" style="3" bestFit="1" customWidth="1"/>
    <col min="5" max="5" width="21.44140625" style="3" bestFit="1" customWidth="1"/>
    <col min="6" max="6" width="28.109375" style="3" bestFit="1" customWidth="1"/>
    <col min="7" max="7" width="9.77734375" style="3" bestFit="1" customWidth="1"/>
    <col min="8" max="8" width="13.6640625" style="3" bestFit="1" customWidth="1"/>
    <col min="9" max="9" width="10.109375" style="3" bestFit="1" customWidth="1"/>
    <col min="10" max="10" width="19.88671875" style="3" bestFit="1" customWidth="1"/>
    <col min="11" max="12" width="28.109375" style="3" bestFit="1" customWidth="1"/>
    <col min="13" max="16384" width="12.6640625" style="3"/>
  </cols>
  <sheetData>
    <row r="2" spans="3:12" ht="15.75" customHeight="1" x14ac:dyDescent="0.3">
      <c r="C2" s="76" t="s">
        <v>97</v>
      </c>
      <c r="D2" s="76"/>
      <c r="E2" s="76"/>
      <c r="F2" s="76"/>
      <c r="G2" s="76"/>
      <c r="H2" s="76"/>
      <c r="I2" s="76"/>
    </row>
    <row r="3" spans="3:12" ht="15.75" customHeight="1" x14ac:dyDescent="0.3">
      <c r="C3" s="3" t="s">
        <v>98</v>
      </c>
      <c r="D3" s="76" t="s">
        <v>100</v>
      </c>
      <c r="E3" s="76"/>
      <c r="F3" s="76"/>
      <c r="G3" s="76"/>
      <c r="H3" s="76"/>
      <c r="I3" s="76"/>
    </row>
    <row r="4" spans="3:12" ht="15.75" customHeight="1" x14ac:dyDescent="0.3">
      <c r="C4" s="3" t="s">
        <v>99</v>
      </c>
      <c r="D4" s="76" t="s">
        <v>101</v>
      </c>
      <c r="E4" s="76"/>
      <c r="F4" s="76"/>
      <c r="G4" s="76"/>
      <c r="H4" s="76"/>
      <c r="I4" s="76"/>
    </row>
    <row r="13" spans="3:12" ht="17.399999999999999" x14ac:dyDescent="0.3">
      <c r="D13" s="44" t="s">
        <v>102</v>
      </c>
      <c r="E13" s="44" t="s">
        <v>103</v>
      </c>
      <c r="F13" s="44" t="s">
        <v>104</v>
      </c>
      <c r="G13" s="44" t="s">
        <v>17</v>
      </c>
      <c r="H13" s="44" t="s">
        <v>105</v>
      </c>
      <c r="I13" s="44" t="s">
        <v>106</v>
      </c>
      <c r="J13" s="44" t="s">
        <v>107</v>
      </c>
      <c r="K13" s="44" t="s">
        <v>76</v>
      </c>
      <c r="L13" s="44" t="s">
        <v>108</v>
      </c>
    </row>
    <row r="14" spans="3:12" ht="17.399999999999999" x14ac:dyDescent="0.3">
      <c r="D14" s="45"/>
      <c r="E14" s="45" t="s">
        <v>6</v>
      </c>
      <c r="F14" s="45" t="s">
        <v>6</v>
      </c>
      <c r="G14" s="45" t="s">
        <v>24</v>
      </c>
      <c r="H14" s="45" t="s">
        <v>25</v>
      </c>
      <c r="I14" s="45" t="s">
        <v>25</v>
      </c>
      <c r="J14" s="45" t="s">
        <v>11</v>
      </c>
      <c r="K14" s="45" t="s">
        <v>11</v>
      </c>
      <c r="L14" s="45" t="s">
        <v>109</v>
      </c>
    </row>
    <row r="15" spans="3:12" ht="15.75" customHeight="1" x14ac:dyDescent="0.3">
      <c r="D15" s="3">
        <v>1</v>
      </c>
      <c r="E15" s="3">
        <v>23.3</v>
      </c>
      <c r="F15" s="3">
        <v>2</v>
      </c>
      <c r="G15" s="3">
        <v>420</v>
      </c>
      <c r="H15" s="3">
        <v>43</v>
      </c>
      <c r="I15" s="66">
        <f>(PI()*F15^2*H15)/4</f>
        <v>135.0884841043611</v>
      </c>
      <c r="J15" s="3">
        <f>(E15+0.83)/H15</f>
        <v>0.56116279069767439</v>
      </c>
      <c r="K15" s="3">
        <v>1.37</v>
      </c>
      <c r="L15" s="63">
        <f>ABS((J15-K15)/K15)</f>
        <v>0.59039212357833992</v>
      </c>
    </row>
    <row r="16" spans="3:12" ht="15.75" customHeight="1" x14ac:dyDescent="0.3">
      <c r="D16" s="3">
        <v>2</v>
      </c>
      <c r="E16" s="3">
        <v>25.15</v>
      </c>
      <c r="F16" s="3">
        <v>16</v>
      </c>
      <c r="G16" s="3">
        <v>660</v>
      </c>
      <c r="H16" s="3">
        <v>43</v>
      </c>
      <c r="I16" s="66">
        <f t="shared" ref="I16:I20" si="0">(PI()*F16^2*H16)/4</f>
        <v>8645.6629826791104</v>
      </c>
      <c r="J16" s="3">
        <f t="shared" ref="J16:J20" si="1">(E16+0.83)/H16</f>
        <v>0.60418604651162788</v>
      </c>
      <c r="K16" s="3">
        <v>0.67</v>
      </c>
      <c r="L16" s="63">
        <f t="shared" ref="L16:L20" si="2">ABS((J16-K16)/K16)</f>
        <v>9.8229781325928592E-2</v>
      </c>
    </row>
    <row r="17" spans="4:12" ht="15.75" customHeight="1" x14ac:dyDescent="0.3">
      <c r="D17" s="3">
        <v>3</v>
      </c>
      <c r="E17" s="3">
        <v>25.15</v>
      </c>
      <c r="F17" s="3">
        <v>16</v>
      </c>
      <c r="G17" s="3">
        <v>660</v>
      </c>
      <c r="H17" s="3">
        <v>43</v>
      </c>
      <c r="I17" s="66">
        <f t="shared" si="0"/>
        <v>8645.6629826791104</v>
      </c>
      <c r="J17" s="3">
        <f t="shared" si="1"/>
        <v>0.60418604651162788</v>
      </c>
      <c r="K17" s="3">
        <v>0.68</v>
      </c>
      <c r="L17" s="63">
        <f t="shared" si="2"/>
        <v>0.11149110807113553</v>
      </c>
    </row>
    <row r="18" spans="4:12" ht="15.75" customHeight="1" x14ac:dyDescent="0.3">
      <c r="D18" s="3">
        <v>4</v>
      </c>
      <c r="E18" s="3">
        <v>25.15</v>
      </c>
      <c r="F18" s="3">
        <v>16</v>
      </c>
      <c r="G18" s="3">
        <v>660</v>
      </c>
      <c r="H18" s="3">
        <v>43</v>
      </c>
      <c r="I18" s="66">
        <f t="shared" si="0"/>
        <v>8645.6629826791104</v>
      </c>
      <c r="J18" s="3">
        <f t="shared" si="1"/>
        <v>0.60418604651162788</v>
      </c>
      <c r="K18" s="3">
        <v>0.61</v>
      </c>
      <c r="L18" s="63">
        <f t="shared" si="2"/>
        <v>9.5310712924132849E-3</v>
      </c>
    </row>
    <row r="19" spans="4:12" ht="15.75" customHeight="1" x14ac:dyDescent="0.3">
      <c r="D19" s="3">
        <v>5</v>
      </c>
      <c r="E19" s="3">
        <v>25.15</v>
      </c>
      <c r="F19" s="3">
        <v>16</v>
      </c>
      <c r="G19" s="3">
        <v>660</v>
      </c>
      <c r="H19" s="3">
        <v>43</v>
      </c>
      <c r="I19" s="66">
        <f t="shared" si="0"/>
        <v>8645.6629826791104</v>
      </c>
      <c r="J19" s="3">
        <f t="shared" si="1"/>
        <v>0.60418604651162788</v>
      </c>
      <c r="K19" s="3">
        <v>0.72</v>
      </c>
      <c r="L19" s="63">
        <f t="shared" si="2"/>
        <v>0.16085271317829458</v>
      </c>
    </row>
    <row r="20" spans="4:12" ht="15.75" customHeight="1" x14ac:dyDescent="0.3">
      <c r="D20" s="3">
        <v>6</v>
      </c>
      <c r="E20" s="3">
        <v>25.15</v>
      </c>
      <c r="F20" s="3">
        <v>16</v>
      </c>
      <c r="G20" s="3">
        <v>660</v>
      </c>
      <c r="H20" s="3">
        <v>43</v>
      </c>
      <c r="I20" s="66">
        <f t="shared" si="0"/>
        <v>8645.6629826791104</v>
      </c>
      <c r="J20" s="3">
        <f t="shared" si="1"/>
        <v>0.60418604651162788</v>
      </c>
      <c r="K20" s="3">
        <v>0.77</v>
      </c>
      <c r="L20" s="63">
        <f t="shared" si="2"/>
        <v>0.21534279673814563</v>
      </c>
    </row>
    <row r="23" spans="4:12" ht="15.75" customHeight="1" x14ac:dyDescent="0.3">
      <c r="E23" s="3" t="s">
        <v>162</v>
      </c>
      <c r="F23" s="3">
        <v>23.3</v>
      </c>
      <c r="G23" s="3" t="s">
        <v>6</v>
      </c>
      <c r="H23" s="3" t="s">
        <v>171</v>
      </c>
      <c r="I23" s="3">
        <v>100</v>
      </c>
    </row>
    <row r="24" spans="4:12" ht="15.75" customHeight="1" x14ac:dyDescent="0.3">
      <c r="E24" s="3" t="s">
        <v>163</v>
      </c>
      <c r="F24" s="3">
        <v>30</v>
      </c>
      <c r="G24" s="3" t="s">
        <v>117</v>
      </c>
      <c r="H24" s="3" t="s">
        <v>172</v>
      </c>
    </row>
    <row r="25" spans="4:12" ht="15.75" customHeight="1" x14ac:dyDescent="0.3">
      <c r="E25" s="3" t="s">
        <v>164</v>
      </c>
      <c r="F25" s="3">
        <v>58.8</v>
      </c>
      <c r="G25" s="3" t="s">
        <v>6</v>
      </c>
    </row>
    <row r="26" spans="4:12" ht="15.75" customHeight="1" x14ac:dyDescent="0.3">
      <c r="E26" s="3" t="s">
        <v>165</v>
      </c>
      <c r="F26" s="3">
        <v>420</v>
      </c>
      <c r="G26" s="3" t="s">
        <v>125</v>
      </c>
    </row>
    <row r="27" spans="4:12" ht="15.75" customHeight="1" x14ac:dyDescent="0.3">
      <c r="E27" s="3" t="s">
        <v>166</v>
      </c>
      <c r="F27" s="3" t="s">
        <v>167</v>
      </c>
      <c r="G27" s="3">
        <f>F25/F29</f>
        <v>42.919708029197075</v>
      </c>
    </row>
    <row r="28" spans="4:12" ht="15.75" customHeight="1" x14ac:dyDescent="0.3">
      <c r="E28" s="3" t="s">
        <v>168</v>
      </c>
      <c r="F28" s="3" t="s">
        <v>169</v>
      </c>
    </row>
    <row r="29" spans="4:12" ht="15.75" customHeight="1" x14ac:dyDescent="0.3">
      <c r="E29" s="3" t="s">
        <v>170</v>
      </c>
      <c r="F29" s="3">
        <v>1.37</v>
      </c>
      <c r="G29" s="3" t="s">
        <v>11</v>
      </c>
    </row>
  </sheetData>
  <mergeCells count="3">
    <mergeCell ref="D4:I4"/>
    <mergeCell ref="D3:I3"/>
    <mergeCell ref="C2:I2"/>
  </mergeCells>
  <pageMargins left="0.7" right="0.7" top="0.75" bottom="0.75" header="0.3" footer="0.3"/>
  <pageSetup scale="62" orientation="landscape" r:id="rId1"/>
  <headerFooter>
    <oddHeader>&amp;LIE322L Machining Processes Lab
Department of Mechanical Engineering
Program: BS Industrial Engineering, Fall 2024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B2:R22"/>
  <sheetViews>
    <sheetView view="pageLayout" topLeftCell="L1" zoomScaleNormal="70" zoomScaleSheetLayoutView="70" workbookViewId="0">
      <selection activeCell="G32" sqref="G32"/>
    </sheetView>
  </sheetViews>
  <sheetFormatPr defaultColWidth="12.6640625" defaultRowHeight="17.399999999999999" x14ac:dyDescent="0.3"/>
  <cols>
    <col min="1" max="1" width="12.6640625" style="3"/>
    <col min="2" max="2" width="51" style="3" bestFit="1" customWidth="1"/>
    <col min="3" max="3" width="26" style="3" bestFit="1" customWidth="1"/>
    <col min="4" max="4" width="24.5546875" style="3" bestFit="1" customWidth="1"/>
    <col min="5" max="5" width="22.5546875" style="3" bestFit="1" customWidth="1"/>
    <col min="6" max="6" width="26.44140625" style="3" bestFit="1" customWidth="1"/>
    <col min="7" max="7" width="21.44140625" style="3" bestFit="1" customWidth="1"/>
    <col min="8" max="8" width="27.6640625" style="3" bestFit="1" customWidth="1"/>
    <col min="9" max="9" width="22.109375" style="3" bestFit="1" customWidth="1"/>
    <col min="10" max="10" width="29.77734375" style="3" bestFit="1" customWidth="1"/>
    <col min="11" max="11" width="22.33203125" style="3" bestFit="1" customWidth="1"/>
    <col min="12" max="12" width="29" style="3" bestFit="1" customWidth="1"/>
    <col min="13" max="13" width="32.6640625" style="3" bestFit="1" customWidth="1"/>
    <col min="14" max="15" width="28.109375" style="3" bestFit="1" customWidth="1"/>
    <col min="16" max="16" width="27.33203125" style="3" bestFit="1" customWidth="1"/>
    <col min="17" max="17" width="19.5546875" style="3" bestFit="1" customWidth="1"/>
    <col min="18" max="18" width="14.21875" style="3" bestFit="1" customWidth="1"/>
    <col min="19" max="16384" width="12.6640625" style="3"/>
  </cols>
  <sheetData>
    <row r="2" spans="2:18" x14ac:dyDescent="0.3">
      <c r="B2" s="16" t="s">
        <v>56</v>
      </c>
      <c r="C2" s="73" t="s">
        <v>57</v>
      </c>
      <c r="D2" s="73"/>
      <c r="E2" s="73"/>
      <c r="F2" s="73"/>
      <c r="G2" s="73"/>
      <c r="H2" s="16" t="s">
        <v>56</v>
      </c>
      <c r="I2" s="15"/>
      <c r="J2" s="15"/>
      <c r="K2" s="15"/>
      <c r="L2" s="15"/>
      <c r="N2" s="16" t="s">
        <v>56</v>
      </c>
      <c r="O2" s="15"/>
      <c r="P2" s="15"/>
      <c r="Q2" s="15"/>
      <c r="R2" s="15"/>
    </row>
    <row r="3" spans="2:18" x14ac:dyDescent="0.3">
      <c r="B3" s="46"/>
      <c r="C3" s="16" t="s">
        <v>58</v>
      </c>
      <c r="D3" s="16" t="s">
        <v>59</v>
      </c>
      <c r="E3" s="16" t="s">
        <v>60</v>
      </c>
      <c r="F3" s="16" t="s">
        <v>61</v>
      </c>
      <c r="G3" s="16" t="s">
        <v>62</v>
      </c>
      <c r="I3" s="46"/>
      <c r="J3" s="46"/>
      <c r="K3" s="46"/>
      <c r="L3" s="46"/>
      <c r="M3" s="16" t="s">
        <v>63</v>
      </c>
      <c r="N3" s="16" t="s">
        <v>64</v>
      </c>
      <c r="P3" s="46"/>
      <c r="Q3" s="46"/>
      <c r="R3" s="46"/>
    </row>
    <row r="4" spans="2:18" x14ac:dyDescent="0.3">
      <c r="B4" s="16" t="s">
        <v>49</v>
      </c>
      <c r="C4" s="16" t="s">
        <v>65</v>
      </c>
      <c r="D4" s="16" t="s">
        <v>66</v>
      </c>
      <c r="E4" s="16" t="s">
        <v>67</v>
      </c>
      <c r="F4" s="16" t="s">
        <v>68</v>
      </c>
      <c r="G4" s="16" t="s">
        <v>69</v>
      </c>
      <c r="H4" s="16" t="s">
        <v>70</v>
      </c>
      <c r="I4" s="16" t="s">
        <v>71</v>
      </c>
      <c r="J4" s="16" t="s">
        <v>72</v>
      </c>
      <c r="K4" s="16" t="s">
        <v>73</v>
      </c>
      <c r="L4" s="16" t="s">
        <v>74</v>
      </c>
      <c r="M4" s="16" t="s">
        <v>75</v>
      </c>
      <c r="N4" s="16" t="s">
        <v>76</v>
      </c>
      <c r="O4" s="16" t="str">
        <f>N4</f>
        <v>Actual Machining Time</v>
      </c>
      <c r="P4" s="16" t="s">
        <v>176</v>
      </c>
      <c r="Q4" s="46"/>
    </row>
    <row r="5" spans="2:18" x14ac:dyDescent="0.3">
      <c r="B5" s="18"/>
      <c r="C5" s="18" t="s">
        <v>6</v>
      </c>
      <c r="D5" s="18" t="s">
        <v>6</v>
      </c>
      <c r="E5" s="18" t="s">
        <v>6</v>
      </c>
      <c r="F5" s="18"/>
      <c r="G5" s="18"/>
      <c r="H5" s="18"/>
      <c r="I5" s="18"/>
      <c r="J5" s="18"/>
      <c r="K5" s="18"/>
      <c r="L5" s="18"/>
      <c r="M5" s="18" t="s">
        <v>11</v>
      </c>
      <c r="N5" s="18" t="s">
        <v>117</v>
      </c>
      <c r="O5" s="18" t="s">
        <v>11</v>
      </c>
      <c r="P5" s="18" t="s">
        <v>11</v>
      </c>
      <c r="Q5" s="46"/>
    </row>
    <row r="6" spans="2:18" x14ac:dyDescent="0.3">
      <c r="B6" s="16">
        <v>1</v>
      </c>
      <c r="C6" s="16">
        <v>86</v>
      </c>
      <c r="D6" s="16">
        <v>30</v>
      </c>
      <c r="E6" s="16">
        <f t="shared" ref="E6:E11" si="0">C6+2*$C$14</f>
        <v>142</v>
      </c>
      <c r="F6" s="16">
        <v>60</v>
      </c>
      <c r="G6" s="16">
        <v>0.3</v>
      </c>
      <c r="H6" s="16">
        <f>F6*E6*(1+$E$19)</f>
        <v>14199.999999999998</v>
      </c>
      <c r="I6" s="16">
        <v>21.3</v>
      </c>
      <c r="J6" s="16">
        <v>0.5</v>
      </c>
      <c r="K6" s="16">
        <f>I6-J6</f>
        <v>20.8</v>
      </c>
      <c r="L6" s="51">
        <f>(I6-K6)/J6</f>
        <v>1</v>
      </c>
      <c r="M6" s="47">
        <f>(D6*L6)/(G6*F6)</f>
        <v>1.6666666666666667</v>
      </c>
      <c r="N6" s="16">
        <v>140</v>
      </c>
      <c r="O6" s="47">
        <f>N6/60</f>
        <v>2.3333333333333335</v>
      </c>
      <c r="P6" s="52">
        <f>ABS((M6-O6)/O6)</f>
        <v>0.28571428571428575</v>
      </c>
      <c r="Q6" s="46"/>
    </row>
    <row r="7" spans="2:18" x14ac:dyDescent="0.3">
      <c r="B7" s="16">
        <v>2</v>
      </c>
      <c r="C7" s="47">
        <v>123.45</v>
      </c>
      <c r="D7" s="62">
        <v>26.35</v>
      </c>
      <c r="E7" s="16">
        <f t="shared" si="0"/>
        <v>179.45</v>
      </c>
      <c r="F7" s="62">
        <v>60</v>
      </c>
      <c r="G7" s="62">
        <v>0.3</v>
      </c>
      <c r="H7" s="16">
        <f>F7*E7*(1+$E$19)</f>
        <v>17945</v>
      </c>
      <c r="I7" s="62">
        <v>20</v>
      </c>
      <c r="J7" s="62">
        <v>0.5</v>
      </c>
      <c r="K7" s="16">
        <f t="shared" ref="K7:K11" si="1">I7-J7</f>
        <v>19.5</v>
      </c>
      <c r="L7" s="51">
        <f t="shared" ref="L7:L11" si="2">(I7-K7)/J7</f>
        <v>1</v>
      </c>
      <c r="M7" s="47">
        <f t="shared" ref="M7:M11" si="3">(D7*L7)/(G7*F7)</f>
        <v>1.463888888888889</v>
      </c>
      <c r="N7" s="16">
        <v>160</v>
      </c>
      <c r="O7" s="47">
        <f t="shared" ref="O7:O8" si="4">N7/60</f>
        <v>2.6666666666666665</v>
      </c>
      <c r="P7" s="52">
        <f t="shared" ref="P7:P11" si="5">ABS((M7-O7)/O7)</f>
        <v>0.45104166666666656</v>
      </c>
      <c r="Q7" s="46"/>
      <c r="R7" s="16"/>
    </row>
    <row r="8" spans="2:18" x14ac:dyDescent="0.3">
      <c r="B8" s="46">
        <v>3</v>
      </c>
      <c r="C8" s="47">
        <v>123.25</v>
      </c>
      <c r="D8" s="62">
        <v>25.7</v>
      </c>
      <c r="E8" s="16">
        <f t="shared" si="0"/>
        <v>179.25</v>
      </c>
      <c r="F8" s="62">
        <v>60</v>
      </c>
      <c r="G8" s="62">
        <v>0.3</v>
      </c>
      <c r="H8" s="16">
        <f t="shared" ref="H8:H11" si="6">F8*E8*(1+$E$19)</f>
        <v>17925</v>
      </c>
      <c r="I8" s="62">
        <v>19.3</v>
      </c>
      <c r="J8" s="62">
        <v>0.5</v>
      </c>
      <c r="K8" s="16">
        <f t="shared" si="1"/>
        <v>18.8</v>
      </c>
      <c r="L8" s="51">
        <f t="shared" si="2"/>
        <v>1</v>
      </c>
      <c r="M8" s="47">
        <f t="shared" si="3"/>
        <v>1.4277777777777778</v>
      </c>
      <c r="N8" s="16">
        <v>155</v>
      </c>
      <c r="O8" s="47">
        <f t="shared" si="4"/>
        <v>2.5833333333333335</v>
      </c>
      <c r="P8" s="52">
        <f t="shared" si="5"/>
        <v>0.44731182795698926</v>
      </c>
      <c r="Q8" s="46"/>
      <c r="R8" s="46"/>
    </row>
    <row r="9" spans="2:18" x14ac:dyDescent="0.3">
      <c r="B9" s="46">
        <v>4</v>
      </c>
      <c r="C9" s="64">
        <v>123.35</v>
      </c>
      <c r="D9" s="44">
        <v>26.25</v>
      </c>
      <c r="E9" s="16">
        <f t="shared" si="0"/>
        <v>179.35</v>
      </c>
      <c r="F9" s="62">
        <v>60</v>
      </c>
      <c r="G9" s="62">
        <v>0.3</v>
      </c>
      <c r="H9" s="16">
        <f t="shared" si="6"/>
        <v>17935</v>
      </c>
      <c r="I9" s="44">
        <f>D9-8</f>
        <v>18.25</v>
      </c>
      <c r="J9" s="62">
        <v>0.5</v>
      </c>
      <c r="K9" s="16">
        <f t="shared" si="1"/>
        <v>17.75</v>
      </c>
      <c r="L9" s="51">
        <f t="shared" si="2"/>
        <v>1</v>
      </c>
      <c r="M9" s="65">
        <f t="shared" si="3"/>
        <v>1.4583333333333333</v>
      </c>
      <c r="N9" s="44">
        <f>O9*60</f>
        <v>175.8</v>
      </c>
      <c r="O9" s="44">
        <v>2.93</v>
      </c>
      <c r="P9" s="52">
        <f t="shared" si="5"/>
        <v>0.50227531285551774</v>
      </c>
    </row>
    <row r="10" spans="2:18" x14ac:dyDescent="0.3">
      <c r="B10" s="46">
        <v>5</v>
      </c>
      <c r="C10" s="64">
        <v>123.15</v>
      </c>
      <c r="D10" s="44">
        <v>26.2</v>
      </c>
      <c r="E10" s="16">
        <f t="shared" si="0"/>
        <v>179.15</v>
      </c>
      <c r="F10" s="62">
        <v>60</v>
      </c>
      <c r="G10" s="62">
        <v>0.3</v>
      </c>
      <c r="H10" s="16">
        <f t="shared" si="6"/>
        <v>17915</v>
      </c>
      <c r="I10" s="44">
        <f>D10-8</f>
        <v>18.2</v>
      </c>
      <c r="J10" s="62">
        <v>0.5</v>
      </c>
      <c r="K10" s="16">
        <f t="shared" si="1"/>
        <v>17.7</v>
      </c>
      <c r="L10" s="51">
        <f t="shared" si="2"/>
        <v>1</v>
      </c>
      <c r="M10" s="65">
        <f t="shared" si="3"/>
        <v>1.4555555555555555</v>
      </c>
      <c r="N10" s="44">
        <f t="shared" ref="N10:N11" si="7">O10*60</f>
        <v>171.6</v>
      </c>
      <c r="O10" s="44">
        <v>2.86</v>
      </c>
      <c r="P10" s="52">
        <f t="shared" si="5"/>
        <v>0.49106449106449107</v>
      </c>
    </row>
    <row r="11" spans="2:18" x14ac:dyDescent="0.3">
      <c r="B11" s="46">
        <v>6</v>
      </c>
      <c r="C11" s="64">
        <v>123.05</v>
      </c>
      <c r="D11" s="44">
        <v>26.1</v>
      </c>
      <c r="E11" s="16">
        <f t="shared" si="0"/>
        <v>179.05</v>
      </c>
      <c r="F11" s="62">
        <v>60</v>
      </c>
      <c r="G11" s="62">
        <v>0.3</v>
      </c>
      <c r="H11" s="16">
        <f t="shared" si="6"/>
        <v>17905</v>
      </c>
      <c r="I11" s="44">
        <f t="shared" ref="I11" si="8">D11-8</f>
        <v>18.100000000000001</v>
      </c>
      <c r="J11" s="62">
        <v>0.5</v>
      </c>
      <c r="K11" s="16">
        <f t="shared" si="1"/>
        <v>17.600000000000001</v>
      </c>
      <c r="L11" s="51">
        <f t="shared" si="2"/>
        <v>1</v>
      </c>
      <c r="M11" s="65">
        <f t="shared" si="3"/>
        <v>1.4500000000000002</v>
      </c>
      <c r="N11" s="44">
        <f t="shared" si="7"/>
        <v>174</v>
      </c>
      <c r="O11" s="44">
        <v>2.9</v>
      </c>
      <c r="P11" s="52">
        <f t="shared" si="5"/>
        <v>0.49999999999999994</v>
      </c>
    </row>
    <row r="12" spans="2:18" x14ac:dyDescent="0.3">
      <c r="P12" s="52"/>
    </row>
    <row r="13" spans="2:18" x14ac:dyDescent="0.3">
      <c r="P13" s="52"/>
    </row>
    <row r="14" spans="2:18" x14ac:dyDescent="0.3">
      <c r="B14" s="2" t="s">
        <v>77</v>
      </c>
      <c r="C14" s="2">
        <v>28</v>
      </c>
      <c r="D14" s="2" t="s">
        <v>6</v>
      </c>
      <c r="P14" s="52"/>
    </row>
    <row r="15" spans="2:18" x14ac:dyDescent="0.3">
      <c r="B15" s="2" t="s">
        <v>78</v>
      </c>
      <c r="P15" s="52"/>
    </row>
    <row r="16" spans="2:18" x14ac:dyDescent="0.3">
      <c r="B16" s="2" t="s">
        <v>79</v>
      </c>
      <c r="C16" s="2">
        <v>20</v>
      </c>
      <c r="D16" s="2" t="s">
        <v>80</v>
      </c>
      <c r="P16" s="52"/>
    </row>
    <row r="17" spans="2:16" x14ac:dyDescent="0.3">
      <c r="B17" s="2" t="s">
        <v>81</v>
      </c>
      <c r="C17" s="2">
        <v>40</v>
      </c>
      <c r="D17" s="2" t="s">
        <v>80</v>
      </c>
      <c r="P17" s="52"/>
    </row>
    <row r="18" spans="2:16" x14ac:dyDescent="0.3">
      <c r="B18" s="2" t="s">
        <v>82</v>
      </c>
      <c r="C18" s="2">
        <v>60</v>
      </c>
      <c r="D18" s="2" t="s">
        <v>80</v>
      </c>
      <c r="P18" s="52"/>
    </row>
    <row r="19" spans="2:16" x14ac:dyDescent="0.3">
      <c r="B19" s="77" t="s">
        <v>83</v>
      </c>
      <c r="C19" s="76"/>
      <c r="D19" s="76"/>
      <c r="E19" s="2">
        <f>2/3</f>
        <v>0.66666666666666663</v>
      </c>
      <c r="P19" s="52"/>
    </row>
    <row r="20" spans="2:16" x14ac:dyDescent="0.3">
      <c r="P20" s="63"/>
    </row>
    <row r="21" spans="2:16" x14ac:dyDescent="0.3">
      <c r="P21" s="63"/>
    </row>
    <row r="22" spans="2:16" x14ac:dyDescent="0.3">
      <c r="P22" s="63"/>
    </row>
  </sheetData>
  <mergeCells count="2">
    <mergeCell ref="B19:D19"/>
    <mergeCell ref="C2:G2"/>
  </mergeCells>
  <printOptions horizontalCentered="1" gridLines="1"/>
  <pageMargins left="0.7" right="0.7" top="0.75" bottom="0.75" header="0" footer="0"/>
  <pageSetup paperSize="9" scale="50" pageOrder="overThenDown" orientation="landscape" cellComments="atEnd" r:id="rId1"/>
  <headerFooter>
    <oddHeader>&amp;LIE322L Machining Processes Lab
Department of Mechanical Engineering
Program: BS Industrial Engineering, Fall 2024</oddHeader>
  </headerFooter>
  <colBreaks count="1" manualBreakCount="1">
    <brk id="7" min="1" max="21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7515-9087-45C2-88D5-86BD463B2A83}">
  <dimension ref="A1:H3"/>
  <sheetViews>
    <sheetView view="pageLayout" zoomScaleNormal="100" workbookViewId="0">
      <selection activeCell="G32" sqref="G32"/>
    </sheetView>
  </sheetViews>
  <sheetFormatPr defaultRowHeight="13.2" x14ac:dyDescent="0.25"/>
  <sheetData>
    <row r="1" spans="1:8" ht="37.799999999999997" customHeight="1" x14ac:dyDescent="0.25">
      <c r="A1" s="53" t="s">
        <v>153</v>
      </c>
    </row>
    <row r="2" spans="1:8" x14ac:dyDescent="0.25">
      <c r="A2" s="80" t="s">
        <v>154</v>
      </c>
      <c r="B2" s="80"/>
      <c r="C2" s="80"/>
      <c r="D2" s="80"/>
      <c r="E2" s="80"/>
      <c r="F2" s="80"/>
      <c r="G2" s="80"/>
      <c r="H2" s="80"/>
    </row>
    <row r="3" spans="1:8" x14ac:dyDescent="0.25">
      <c r="A3" s="53" t="s">
        <v>155</v>
      </c>
    </row>
  </sheetData>
  <mergeCells count="1">
    <mergeCell ref="A2:H2"/>
  </mergeCells>
  <pageMargins left="0.7" right="0.7" top="0.75" bottom="0.75" header="0.3" footer="0.3"/>
  <pageSetup orientation="landscape" r:id="rId1"/>
  <headerFooter>
    <oddHeader>&amp;LIE322L Machining Processes Lab
Department of Mechanical Engineering
Program: BS Industrial Engineering, Fall 2024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8922-6082-435B-ABD0-F52D603695AD}">
  <dimension ref="B2:L20"/>
  <sheetViews>
    <sheetView view="pageLayout" zoomScaleNormal="100" zoomScaleSheetLayoutView="115" workbookViewId="0">
      <selection activeCell="G32" sqref="G32"/>
    </sheetView>
  </sheetViews>
  <sheetFormatPr defaultRowHeight="13.2" x14ac:dyDescent="0.25"/>
  <cols>
    <col min="2" max="2" width="10.33203125" bestFit="1" customWidth="1"/>
    <col min="4" max="4" width="12.44140625" bestFit="1" customWidth="1"/>
    <col min="7" max="7" width="22.44140625" bestFit="1" customWidth="1"/>
    <col min="8" max="8" width="22.44140625" customWidth="1"/>
    <col min="9" max="9" width="19" bestFit="1" customWidth="1"/>
    <col min="10" max="10" width="23.33203125" bestFit="1" customWidth="1"/>
    <col min="11" max="11" width="23" bestFit="1" customWidth="1"/>
  </cols>
  <sheetData>
    <row r="2" spans="2:12" x14ac:dyDescent="0.25">
      <c r="B2" s="53" t="s">
        <v>118</v>
      </c>
      <c r="C2" s="53" t="s">
        <v>119</v>
      </c>
    </row>
    <row r="3" spans="2:12" x14ac:dyDescent="0.25">
      <c r="B3" s="53" t="s">
        <v>146</v>
      </c>
      <c r="C3" s="53" t="s">
        <v>147</v>
      </c>
    </row>
    <row r="4" spans="2:12" x14ac:dyDescent="0.25">
      <c r="B4" s="84" t="s">
        <v>120</v>
      </c>
      <c r="C4" s="84"/>
      <c r="D4" s="84"/>
      <c r="E4" s="55" t="s">
        <v>93</v>
      </c>
      <c r="F4" s="57">
        <v>95</v>
      </c>
      <c r="G4" t="s">
        <v>6</v>
      </c>
      <c r="H4" t="s">
        <v>138</v>
      </c>
    </row>
    <row r="5" spans="2:12" x14ac:dyDescent="0.25">
      <c r="B5" s="84" t="s">
        <v>121</v>
      </c>
      <c r="C5" s="84"/>
      <c r="D5" s="84"/>
      <c r="E5" s="55" t="s">
        <v>93</v>
      </c>
      <c r="F5" s="57">
        <v>50</v>
      </c>
      <c r="G5" t="s">
        <v>6</v>
      </c>
      <c r="H5" t="s">
        <v>139</v>
      </c>
    </row>
    <row r="6" spans="2:12" x14ac:dyDescent="0.25">
      <c r="B6" s="84" t="s">
        <v>122</v>
      </c>
      <c r="C6" s="84"/>
      <c r="D6" s="84"/>
      <c r="E6" s="55" t="s">
        <v>93</v>
      </c>
      <c r="F6" s="57">
        <v>4</v>
      </c>
      <c r="H6" t="s">
        <v>140</v>
      </c>
    </row>
    <row r="7" spans="2:12" x14ac:dyDescent="0.25">
      <c r="B7" s="84" t="s">
        <v>123</v>
      </c>
      <c r="C7" s="84"/>
      <c r="D7" s="84"/>
      <c r="E7" s="55" t="s">
        <v>93</v>
      </c>
      <c r="F7" s="57">
        <v>8</v>
      </c>
      <c r="G7" t="s">
        <v>6</v>
      </c>
    </row>
    <row r="8" spans="2:12" x14ac:dyDescent="0.25">
      <c r="B8" s="85" t="s">
        <v>124</v>
      </c>
      <c r="C8" s="85"/>
      <c r="D8" s="85"/>
      <c r="E8" s="84" t="s">
        <v>93</v>
      </c>
      <c r="F8" s="81">
        <f>2+2</f>
        <v>4</v>
      </c>
      <c r="G8" s="83" t="s">
        <v>6</v>
      </c>
    </row>
    <row r="9" spans="2:12" x14ac:dyDescent="0.25">
      <c r="B9" s="85"/>
      <c r="C9" s="85"/>
      <c r="D9" s="85"/>
      <c r="E9" s="86"/>
      <c r="F9" s="82"/>
      <c r="G9" s="83"/>
    </row>
    <row r="10" spans="2:12" x14ac:dyDescent="0.25">
      <c r="B10" s="54"/>
      <c r="C10" s="54"/>
      <c r="D10" s="54"/>
      <c r="E10" s="56"/>
    </row>
    <row r="11" spans="2:12" x14ac:dyDescent="0.25">
      <c r="B11" s="53" t="s">
        <v>12</v>
      </c>
      <c r="C11" s="53" t="s">
        <v>125</v>
      </c>
      <c r="D11" s="53" t="s">
        <v>127</v>
      </c>
      <c r="E11" s="55" t="s">
        <v>129</v>
      </c>
      <c r="F11" s="53" t="s">
        <v>130</v>
      </c>
      <c r="G11" s="53" t="s">
        <v>131</v>
      </c>
      <c r="H11" s="53" t="s">
        <v>133</v>
      </c>
      <c r="I11" s="53" t="s">
        <v>133</v>
      </c>
      <c r="J11" s="53" t="s">
        <v>108</v>
      </c>
    </row>
    <row r="12" spans="2:12" x14ac:dyDescent="0.25">
      <c r="C12" s="53" t="s">
        <v>126</v>
      </c>
      <c r="D12" s="53" t="s">
        <v>128</v>
      </c>
      <c r="E12" s="55" t="s">
        <v>62</v>
      </c>
      <c r="F12" s="53" t="s">
        <v>141</v>
      </c>
      <c r="G12" s="53" t="s">
        <v>132</v>
      </c>
      <c r="H12" s="53" t="s">
        <v>134</v>
      </c>
      <c r="I12" s="53" t="s">
        <v>134</v>
      </c>
      <c r="J12" s="53" t="s">
        <v>142</v>
      </c>
    </row>
    <row r="13" spans="2:12" x14ac:dyDescent="0.25">
      <c r="B13" s="57"/>
      <c r="C13" s="58" t="s">
        <v>24</v>
      </c>
      <c r="D13" s="58" t="s">
        <v>25</v>
      </c>
      <c r="E13" s="59" t="s">
        <v>26</v>
      </c>
      <c r="F13" s="58" t="s">
        <v>25</v>
      </c>
      <c r="G13" s="58" t="s">
        <v>11</v>
      </c>
      <c r="H13" s="58" t="s">
        <v>9</v>
      </c>
      <c r="I13" s="58" t="s">
        <v>11</v>
      </c>
      <c r="J13" s="58" t="s">
        <v>11</v>
      </c>
    </row>
    <row r="14" spans="2:12" x14ac:dyDescent="0.25">
      <c r="B14">
        <v>1</v>
      </c>
      <c r="C14">
        <v>450</v>
      </c>
      <c r="D14">
        <f>PI()*$F$7*C14</f>
        <v>11309.733552923255</v>
      </c>
      <c r="E14">
        <v>8</v>
      </c>
      <c r="F14">
        <f>E14*$F$6*$C$15</f>
        <v>14400</v>
      </c>
      <c r="G14">
        <f>($F$5+$F$8)/F14</f>
        <v>3.7499999999999999E-3</v>
      </c>
      <c r="H14">
        <v>39</v>
      </c>
      <c r="I14">
        <f t="shared" ref="I14:I16" si="0">H14/60</f>
        <v>0.65</v>
      </c>
      <c r="J14" s="60">
        <f>ABS((G14-I14)/I14)</f>
        <v>0.99423076923076914</v>
      </c>
      <c r="L14" s="53" t="s">
        <v>135</v>
      </c>
    </row>
    <row r="15" spans="2:12" x14ac:dyDescent="0.25">
      <c r="B15">
        <v>2</v>
      </c>
      <c r="C15">
        <v>450</v>
      </c>
      <c r="D15">
        <f>PI()*$F$7*C15</f>
        <v>11309.733552923255</v>
      </c>
      <c r="E15">
        <v>8</v>
      </c>
      <c r="F15">
        <f>E15*$F$6*$C$15</f>
        <v>14400</v>
      </c>
      <c r="G15">
        <f t="shared" ref="G15:G16" si="1">($F$5+$F$8)/F15</f>
        <v>3.7499999999999999E-3</v>
      </c>
      <c r="H15">
        <v>22</v>
      </c>
      <c r="I15">
        <f t="shared" si="0"/>
        <v>0.36666666666666664</v>
      </c>
      <c r="J15" s="60">
        <f t="shared" ref="J15:J16" si="2">ABS((G15-I15)/I15)</f>
        <v>0.98977272727272736</v>
      </c>
      <c r="L15" s="53" t="s">
        <v>136</v>
      </c>
    </row>
    <row r="16" spans="2:12" x14ac:dyDescent="0.25">
      <c r="B16">
        <v>3</v>
      </c>
      <c r="C16">
        <v>450</v>
      </c>
      <c r="D16">
        <f>PI()*$F$7*C16</f>
        <v>11309.733552923255</v>
      </c>
      <c r="E16">
        <v>8</v>
      </c>
      <c r="F16">
        <f>E16*$F$6*$C$15</f>
        <v>14400</v>
      </c>
      <c r="G16">
        <f t="shared" si="1"/>
        <v>3.7499999999999999E-3</v>
      </c>
      <c r="H16">
        <v>29</v>
      </c>
      <c r="I16">
        <f t="shared" si="0"/>
        <v>0.48333333333333334</v>
      </c>
      <c r="J16" s="60">
        <f t="shared" si="2"/>
        <v>0.99224137931034484</v>
      </c>
      <c r="L16" s="53" t="s">
        <v>137</v>
      </c>
    </row>
    <row r="17" spans="2:3" x14ac:dyDescent="0.25">
      <c r="B17" s="53" t="s">
        <v>145</v>
      </c>
    </row>
    <row r="18" spans="2:3" x14ac:dyDescent="0.25">
      <c r="C18" t="s">
        <v>143</v>
      </c>
    </row>
    <row r="19" spans="2:3" x14ac:dyDescent="0.25">
      <c r="C19" s="53" t="s">
        <v>144</v>
      </c>
    </row>
    <row r="20" spans="2:3" x14ac:dyDescent="0.25">
      <c r="C20" s="53" t="s">
        <v>148</v>
      </c>
    </row>
  </sheetData>
  <mergeCells count="8">
    <mergeCell ref="F8:F9"/>
    <mergeCell ref="G8:G9"/>
    <mergeCell ref="B4:D4"/>
    <mergeCell ref="B5:D5"/>
    <mergeCell ref="B6:D6"/>
    <mergeCell ref="B7:D7"/>
    <mergeCell ref="B8:D9"/>
    <mergeCell ref="E8:E9"/>
  </mergeCells>
  <pageMargins left="0.7" right="0.7" top="0.75" bottom="0.75" header="0.3" footer="0.3"/>
  <pageSetup paperSize="9" scale="83" orientation="landscape" r:id="rId1"/>
  <headerFooter>
    <oddHeader>&amp;LIE322L Machining Processes Lab
Department of Mechanical Engineering
Program: BS Industrial Engineering, Fall 2024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7</vt:i4>
      </vt:variant>
    </vt:vector>
  </HeadingPairs>
  <TitlesOfParts>
    <vt:vector size="19" baseType="lpstr">
      <vt:lpstr>Lab 01</vt:lpstr>
      <vt:lpstr>Lab 02</vt:lpstr>
      <vt:lpstr>Lab 03</vt:lpstr>
      <vt:lpstr>Lab 04</vt:lpstr>
      <vt:lpstr>Lab 05</vt:lpstr>
      <vt:lpstr>Lab 06</vt:lpstr>
      <vt:lpstr>Lab 07</vt:lpstr>
      <vt:lpstr>Lab 08</vt:lpstr>
      <vt:lpstr>Lab 09</vt:lpstr>
      <vt:lpstr>Lab 10</vt:lpstr>
      <vt:lpstr>Lab 11</vt:lpstr>
      <vt:lpstr>Lab 12</vt:lpstr>
      <vt:lpstr>'Lab 02'!Print_Area</vt:lpstr>
      <vt:lpstr>'Lab 03'!Print_Area</vt:lpstr>
      <vt:lpstr>'Lab 04'!Print_Area</vt:lpstr>
      <vt:lpstr>'Lab 05'!Print_Area</vt:lpstr>
      <vt:lpstr>'Lab 06'!Print_Area</vt:lpstr>
      <vt:lpstr>'Lab 07'!Print_Area</vt:lpstr>
      <vt:lpstr>'Lab 09'!Print_Area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Mohammad Abubakar Atiq</cp:lastModifiedBy>
  <cp:lastPrinted>2025-01-25T09:41:13Z</cp:lastPrinted>
  <dcterms:modified xsi:type="dcterms:W3CDTF">2025-01-25T10:05:33Z</dcterms:modified>
</cp:coreProperties>
</file>