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9.xml" ContentType="application/vnd.openxmlformats-officedocument.spreadsheetml.table+xml"/>
  <Override PartName="/xl/drawings/drawing5.xml" ContentType="application/vnd.openxmlformats-officedocument.drawing+xml"/>
  <Override PartName="/xl/tables/table10.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pivotTables/pivotTable1.xml" ContentType="application/vnd.openxmlformats-officedocument.spreadsheetml.pivotTable+xml"/>
  <Override PartName="/xl/drawings/drawing6.xml" ContentType="application/vnd.openxmlformats-officedocument.drawing+xml"/>
  <Override PartName="/xl/tables/table11.xml" ContentType="application/vnd.openxmlformats-officedocument.spreadsheetml.table+xml"/>
  <Override PartName="/xl/slicers/slicer2.xml" ContentType="application/vnd.ms-excel.slicer+xml"/>
  <Override PartName="/xl/drawings/drawing7.xml" ContentType="application/vnd.openxmlformats-officedocument.drawing+xml"/>
  <Override PartName="/xl/drawings/drawing8.xml" ContentType="application/vnd.openxmlformats-officedocument.drawing+xml"/>
  <Override PartName="/xl/tables/table12.xml" ContentType="application/vnd.openxmlformats-officedocument.spreadsheetml.table+xml"/>
  <Override PartName="/xl/pivotTables/pivotTable2.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pivotTables/pivotTable3.xml" ContentType="application/vnd.openxmlformats-officedocument.spreadsheetml.pivotTable+xml"/>
  <Override PartName="/xl/drawings/drawing10.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tables/table13.xml" ContentType="application/vnd.openxmlformats-officedocument.spreadsheetml.table+xml"/>
  <Override PartName="/xl/slicers/slicer5.xml" ContentType="application/vnd.ms-excel.slicer+xml"/>
  <Override PartName="/xl/drawings/drawing12.xml" ContentType="application/vnd.openxmlformats-officedocument.drawing+xml"/>
  <Override PartName="/xl/tables/table14.xml" ContentType="application/vnd.openxmlformats-officedocument.spreadsheetml.table+xml"/>
  <Override PartName="/xl/slicers/slicer6.xml" ContentType="application/vnd.ms-excel.slicer+xml"/>
  <Override PartName="/xl/pivotTables/pivotTable4.xml" ContentType="application/vnd.openxmlformats-officedocument.spreadsheetml.pivotTable+xml"/>
  <Override PartName="/xl/drawings/drawing13.xml" ContentType="application/vnd.openxmlformats-officedocument.drawing+xml"/>
  <Override PartName="/xl/slicers/slicer7.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tables/table15.xml" ContentType="application/vnd.openxmlformats-officedocument.spreadsheetml.table+xml"/>
  <Override PartName="/xl/comments3.xml" ContentType="application/vnd.openxmlformats-officedocument.spreadsheetml.comments+xml"/>
  <Override PartName="/xl/drawings/drawing15.xml" ContentType="application/vnd.openxmlformats-officedocument.drawing+xml"/>
  <Override PartName="/xl/tables/table16.xml" ContentType="application/vnd.openxmlformats-officedocument.spreadsheetml.table+xml"/>
  <Override PartName="/xl/comments4.xml" ContentType="application/vnd.openxmlformats-officedocument.spreadsheetml.comments+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angel\Desktop\Iconos\"/>
    </mc:Choice>
  </mc:AlternateContent>
  <xr:revisionPtr revIDLastSave="0" documentId="13_ncr:1_{F83DE2E5-FE76-44CA-BEA1-C9F0F1CB7FD8}" xr6:coauthVersionLast="46" xr6:coauthVersionMax="46" xr10:uidLastSave="{00000000-0000-0000-0000-000000000000}"/>
  <bookViews>
    <workbookView xWindow="-120" yWindow="-120" windowWidth="20730" windowHeight="11310" firstSheet="2" activeTab="3" xr2:uid="{00000000-000D-0000-FFFF-FFFF00000000}"/>
  </bookViews>
  <sheets>
    <sheet name="Menu" sheetId="1" r:id="rId1"/>
    <sheet name="Reportes" sheetId="22" r:id="rId2"/>
    <sheet name="Registros" sheetId="27" r:id="rId3"/>
    <sheet name="Orden" sheetId="3" r:id="rId4"/>
    <sheet name="Datos" sheetId="4" state="hidden" r:id="rId5"/>
    <sheet name="Calidad" sheetId="5" r:id="rId6"/>
    <sheet name="RegCalidad" sheetId="12" r:id="rId7"/>
    <sheet name="Formulas" sheetId="25" r:id="rId8"/>
    <sheet name="MatPrima" sheetId="7" r:id="rId9"/>
    <sheet name="Fotos" sheetId="14" r:id="rId10"/>
    <sheet name="Precios" sheetId="26" r:id="rId11"/>
    <sheet name="Productos" sheetId="15" r:id="rId12"/>
    <sheet name="Resumen-Produccion" sheetId="16" r:id="rId13"/>
    <sheet name="InventarioPro" sheetId="20" r:id="rId14"/>
    <sheet name="Ent-Sal-Pro" sheetId="21" r:id="rId15"/>
    <sheet name="Exist-Prod" sheetId="23" r:id="rId16"/>
    <sheet name="Hoja1" sheetId="19" r:id="rId17"/>
    <sheet name="Proveedores" sheetId="18" r:id="rId18"/>
    <sheet name="Resumen_Calidad" sheetId="17" r:id="rId19"/>
    <sheet name="ExplosionMatPrima" sheetId="24" r:id="rId20"/>
  </sheets>
  <externalReferences>
    <externalReference r:id="rId21"/>
    <externalReference r:id="rId22"/>
  </externalReferences>
  <definedNames>
    <definedName name="_xlnm.Print_Area" localSheetId="3">Orden!$B$2:$H$10</definedName>
    <definedName name="_xlnm.Print_Area" localSheetId="12">'Resumen-Produccion'!$A$4:$L$33</definedName>
    <definedName name="GrupoAlmuerzo">"15 Imagen,18 Imagen,21 Imagen,26 Imagen,27 Imagen,33 Imagen"</definedName>
    <definedName name="GrupoBroaster">"GrupoCategoria2"</definedName>
    <definedName name="Gruposelector">"formaCancelar,Selector"</definedName>
    <definedName name="Nombre_empresa">Hoja1!$B$1</definedName>
    <definedName name="SegmentaciónDeDatos_Ent_Sal">#N/A</definedName>
    <definedName name="SegmentaciónDeDatos_Existencia">#N/A</definedName>
    <definedName name="SegmentaciónDeDatos_FECHA">#N/A</definedName>
    <definedName name="SegmentaciónDeDatos_Materia_Prima">#N/A</definedName>
    <definedName name="SegmentaciónDeDatos_Materia_Prima11">#N/A</definedName>
    <definedName name="SegmentaciónDeDatos_Producto">#N/A</definedName>
    <definedName name="SegmentaciónDeDatos_Producto1">#N/A</definedName>
    <definedName name="SegmentaciónDeDatos_Producto2">#N/A</definedName>
    <definedName name="SegmentaciónDeDatos_Producto31">#N/A</definedName>
    <definedName name="SegmentaciónDeDatos_Selector">#N/A</definedName>
    <definedName name="SegmentaciónDeDatos_STATUS">#N/A</definedName>
    <definedName name="TABLAPRUEBA">#REF!</definedName>
    <definedName name="TablaRegistros">#REF!</definedName>
  </definedNames>
  <calcPr calcId="181029"/>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4"/>
        <x14:slicerCache r:id="rId35"/>
        <x14:slicerCache r:id="rId36"/>
        <x14:slicerCache r:id="rId37"/>
        <x14:slicerCache r:id="rId38"/>
      </x15:slicerCaches>
    </ext>
  </extLst>
</workbook>
</file>

<file path=xl/calcChain.xml><?xml version="1.0" encoding="utf-8"?>
<calcChain xmlns="http://schemas.openxmlformats.org/spreadsheetml/2006/main">
  <c r="B11" i="3" l="1"/>
  <c r="B12" i="3"/>
  <c r="B13" i="3"/>
  <c r="B14" i="3"/>
  <c r="B15" i="3"/>
  <c r="B16" i="3"/>
  <c r="B17" i="3"/>
  <c r="B21" i="3"/>
  <c r="B10" i="3"/>
  <c r="B4" i="3"/>
  <c r="G147" i="25"/>
  <c r="J147" i="25" s="1"/>
  <c r="K147" i="25" s="1"/>
  <c r="J146" i="25"/>
  <c r="K146" i="25" s="1"/>
  <c r="I146" i="25"/>
  <c r="J145" i="25"/>
  <c r="K145" i="25" s="1"/>
  <c r="I145" i="25"/>
  <c r="J144" i="25"/>
  <c r="K144" i="25" s="1"/>
  <c r="I144" i="25"/>
  <c r="J143" i="25"/>
  <c r="K143" i="25" s="1"/>
  <c r="I143" i="25"/>
  <c r="J142" i="25"/>
  <c r="K142" i="25" s="1"/>
  <c r="I32" i="25" s="1"/>
  <c r="I142" i="25"/>
  <c r="J141" i="25"/>
  <c r="K141" i="25" s="1"/>
  <c r="I42" i="25" s="1"/>
  <c r="I141" i="25"/>
  <c r="J140" i="25"/>
  <c r="K140" i="25" s="1"/>
  <c r="I140" i="25"/>
  <c r="J139" i="25"/>
  <c r="K139" i="25" s="1"/>
  <c r="I49" i="25" s="1"/>
  <c r="I139" i="25"/>
  <c r="J138" i="25"/>
  <c r="K138" i="25" s="1"/>
  <c r="I138" i="25"/>
  <c r="J137" i="25"/>
  <c r="K137" i="25" s="1"/>
  <c r="I137" i="25"/>
  <c r="J136" i="25"/>
  <c r="K136" i="25" s="1"/>
  <c r="I136" i="25"/>
  <c r="J135" i="25"/>
  <c r="K135" i="25" s="1"/>
  <c r="I135" i="25"/>
  <c r="J134" i="25"/>
  <c r="K134" i="25" s="1"/>
  <c r="I134" i="25"/>
  <c r="G132" i="25"/>
  <c r="I132" i="25" s="1"/>
  <c r="J131" i="25"/>
  <c r="K131" i="25" s="1"/>
  <c r="I131" i="25"/>
  <c r="J130" i="25"/>
  <c r="K130" i="25" s="1"/>
  <c r="I59" i="25" s="1"/>
  <c r="I130" i="25"/>
  <c r="J129" i="25"/>
  <c r="K129" i="25" s="1"/>
  <c r="I29" i="25" s="1"/>
  <c r="I129" i="25"/>
  <c r="J128" i="25"/>
  <c r="K128" i="25" s="1"/>
  <c r="I128" i="25"/>
  <c r="J127" i="25"/>
  <c r="K127" i="25" s="1"/>
  <c r="I127" i="25"/>
  <c r="G125" i="25"/>
  <c r="J125" i="25" s="1"/>
  <c r="K125" i="25" s="1"/>
  <c r="J124" i="25"/>
  <c r="K124" i="25" s="1"/>
  <c r="I124" i="25"/>
  <c r="J123" i="25"/>
  <c r="K123" i="25" s="1"/>
  <c r="I123" i="25"/>
  <c r="J122" i="25"/>
  <c r="K122" i="25" s="1"/>
  <c r="I122" i="25"/>
  <c r="J121" i="25"/>
  <c r="K121" i="25" s="1"/>
  <c r="I121" i="25"/>
  <c r="G119" i="25"/>
  <c r="J119" i="25" s="1"/>
  <c r="K119" i="25" s="1"/>
  <c r="J118" i="25"/>
  <c r="K118" i="25" s="1"/>
  <c r="I118" i="25"/>
  <c r="J117" i="25"/>
  <c r="K117" i="25" s="1"/>
  <c r="I39" i="25" s="1"/>
  <c r="I117" i="25"/>
  <c r="J116" i="25"/>
  <c r="K116" i="25" s="1"/>
  <c r="I60" i="25" s="1"/>
  <c r="I116" i="25"/>
  <c r="J115" i="25"/>
  <c r="K115" i="25" s="1"/>
  <c r="I45" i="25" s="1"/>
  <c r="I115" i="25"/>
  <c r="K114" i="25"/>
  <c r="J114" i="25"/>
  <c r="I114" i="25"/>
  <c r="J113" i="25"/>
  <c r="K113" i="25" s="1"/>
  <c r="I113" i="25"/>
  <c r="J112" i="25"/>
  <c r="K112" i="25" s="1"/>
  <c r="I36" i="25" s="1"/>
  <c r="I112" i="25"/>
  <c r="J111" i="25"/>
  <c r="K111" i="25" s="1"/>
  <c r="I111" i="25"/>
  <c r="K110" i="25"/>
  <c r="G109" i="25"/>
  <c r="I109" i="25" s="1"/>
  <c r="J108" i="25"/>
  <c r="K108" i="25" s="1"/>
  <c r="I54" i="25" s="1"/>
  <c r="I108" i="25"/>
  <c r="J107" i="25"/>
  <c r="K107" i="25" s="1"/>
  <c r="I107" i="25"/>
  <c r="J106" i="25"/>
  <c r="K106" i="25" s="1"/>
  <c r="I106" i="25"/>
  <c r="J105" i="25"/>
  <c r="K105" i="25" s="1"/>
  <c r="I44" i="25" s="1"/>
  <c r="I105" i="25"/>
  <c r="K104" i="25"/>
  <c r="G103" i="25"/>
  <c r="J103" i="25" s="1"/>
  <c r="K103" i="25" s="1"/>
  <c r="J102" i="25"/>
  <c r="K102" i="25" s="1"/>
  <c r="I102" i="25"/>
  <c r="J101" i="25"/>
  <c r="K101" i="25" s="1"/>
  <c r="I51" i="25" s="1"/>
  <c r="I101" i="25"/>
  <c r="K100" i="25"/>
  <c r="I56" i="25" s="1"/>
  <c r="J100" i="25"/>
  <c r="I100" i="25"/>
  <c r="J99" i="25"/>
  <c r="K99" i="25" s="1"/>
  <c r="I99" i="25"/>
  <c r="J98" i="25"/>
  <c r="K98" i="25" s="1"/>
  <c r="I98" i="25"/>
  <c r="J97" i="25"/>
  <c r="K97" i="25" s="1"/>
  <c r="I97" i="25"/>
  <c r="J96" i="25"/>
  <c r="K96" i="25" s="1"/>
  <c r="I96" i="25"/>
  <c r="G94" i="25"/>
  <c r="I94" i="25" s="1"/>
  <c r="J93" i="25"/>
  <c r="K93" i="25" s="1"/>
  <c r="I55" i="25" s="1"/>
  <c r="I93" i="25"/>
  <c r="J92" i="25"/>
  <c r="K92" i="25" s="1"/>
  <c r="I92" i="25"/>
  <c r="J91" i="25"/>
  <c r="K91" i="25" s="1"/>
  <c r="I91" i="25"/>
  <c r="J90" i="25"/>
  <c r="K90" i="25" s="1"/>
  <c r="I90" i="25"/>
  <c r="J89" i="25"/>
  <c r="K89" i="25" s="1"/>
  <c r="I89" i="25"/>
  <c r="K88" i="25"/>
  <c r="J88" i="25"/>
  <c r="I88" i="25"/>
  <c r="J87" i="25"/>
  <c r="K87" i="25" s="1"/>
  <c r="I87" i="25"/>
  <c r="M88" i="25" s="1"/>
  <c r="G85" i="25"/>
  <c r="J85" i="25" s="1"/>
  <c r="K85" i="25" s="1"/>
  <c r="J84" i="25"/>
  <c r="K84" i="25" s="1"/>
  <c r="I58" i="25" s="1"/>
  <c r="I84" i="25"/>
  <c r="J83" i="25"/>
  <c r="K83" i="25" s="1"/>
  <c r="I83" i="25"/>
  <c r="K82" i="25"/>
  <c r="J82" i="25"/>
  <c r="I82" i="25"/>
  <c r="J81" i="25"/>
  <c r="K81" i="25" s="1"/>
  <c r="I81" i="25"/>
  <c r="J80" i="25"/>
  <c r="K80" i="25" s="1"/>
  <c r="I27" i="25" s="1"/>
  <c r="I80" i="25"/>
  <c r="J79" i="25"/>
  <c r="K79" i="25" s="1"/>
  <c r="I79" i="25"/>
  <c r="J78" i="25"/>
  <c r="K78" i="25" s="1"/>
  <c r="I78" i="25"/>
  <c r="J77" i="25"/>
  <c r="K77" i="25" s="1"/>
  <c r="I40" i="25" s="1"/>
  <c r="I77" i="25"/>
  <c r="J76" i="25"/>
  <c r="K76" i="25" s="1"/>
  <c r="I23" i="25" s="1"/>
  <c r="I76" i="25"/>
  <c r="H60" i="25"/>
  <c r="K60" i="25" s="1"/>
  <c r="L60" i="25" s="1"/>
  <c r="H58" i="25"/>
  <c r="K58" i="25" s="1"/>
  <c r="L58" i="25" s="1"/>
  <c r="I57" i="25"/>
  <c r="H57" i="25"/>
  <c r="K57" i="25" s="1"/>
  <c r="L57" i="25" s="1"/>
  <c r="H56" i="25"/>
  <c r="K56" i="25" s="1"/>
  <c r="L56" i="25" s="1"/>
  <c r="H55" i="25"/>
  <c r="K55" i="25" s="1"/>
  <c r="L55" i="25" s="1"/>
  <c r="H54" i="25"/>
  <c r="K54" i="25" s="1"/>
  <c r="L54" i="25" s="1"/>
  <c r="H53" i="25"/>
  <c r="K53" i="25" s="1"/>
  <c r="L53" i="25" s="1"/>
  <c r="H51" i="25"/>
  <c r="K51" i="25" s="1"/>
  <c r="L51" i="25" s="1"/>
  <c r="H49" i="25"/>
  <c r="K49" i="25" s="1"/>
  <c r="L49" i="25" s="1"/>
  <c r="H46" i="25"/>
  <c r="K46" i="25" s="1"/>
  <c r="L46" i="25" s="1"/>
  <c r="H44" i="25"/>
  <c r="K44" i="25" s="1"/>
  <c r="L44" i="25" s="1"/>
  <c r="H42" i="25"/>
  <c r="K42" i="25" s="1"/>
  <c r="L42" i="25" s="1"/>
  <c r="I41" i="25"/>
  <c r="H41" i="25"/>
  <c r="K41" i="25" s="1"/>
  <c r="L41" i="25" s="1"/>
  <c r="H40" i="25"/>
  <c r="K40" i="25" s="1"/>
  <c r="L40" i="25" s="1"/>
  <c r="H39" i="25"/>
  <c r="K39" i="25" s="1"/>
  <c r="L39" i="25" s="1"/>
  <c r="I38" i="25"/>
  <c r="H38" i="25"/>
  <c r="K38" i="25" s="1"/>
  <c r="L38" i="25" s="1"/>
  <c r="H36" i="25"/>
  <c r="K36" i="25" s="1"/>
  <c r="L36" i="25" s="1"/>
  <c r="H34" i="25"/>
  <c r="K34" i="25" s="1"/>
  <c r="L34" i="25" s="1"/>
  <c r="I33" i="25"/>
  <c r="H33" i="25"/>
  <c r="K33" i="25" s="1"/>
  <c r="L33" i="25" s="1"/>
  <c r="F33" i="25"/>
  <c r="H32" i="25"/>
  <c r="K32" i="25" s="1"/>
  <c r="F32" i="25"/>
  <c r="K30" i="25"/>
  <c r="I30" i="25"/>
  <c r="F30" i="25"/>
  <c r="H29" i="25"/>
  <c r="K29" i="25" s="1"/>
  <c r="L29" i="25" s="1"/>
  <c r="I28" i="25"/>
  <c r="H28" i="25"/>
  <c r="K28" i="25" s="1"/>
  <c r="L28" i="25" s="1"/>
  <c r="H27" i="25"/>
  <c r="K27" i="25" s="1"/>
  <c r="L27" i="25" s="1"/>
  <c r="H26" i="25"/>
  <c r="K26" i="25" s="1"/>
  <c r="L26" i="25" s="1"/>
  <c r="I25" i="25"/>
  <c r="H25" i="25"/>
  <c r="K25" i="25" s="1"/>
  <c r="F25" i="25"/>
  <c r="H24" i="25"/>
  <c r="K24" i="25" s="1"/>
  <c r="L24" i="25" s="1"/>
  <c r="L25" i="25" l="1"/>
  <c r="I125" i="25"/>
  <c r="I47" i="25"/>
  <c r="I34" i="25"/>
  <c r="I24" i="25"/>
  <c r="H23" i="25"/>
  <c r="H31" i="25"/>
  <c r="K31" i="25" s="1"/>
  <c r="L31" i="25" s="1"/>
  <c r="H35" i="25"/>
  <c r="K35" i="25" s="1"/>
  <c r="L35" i="25" s="1"/>
  <c r="H37" i="25"/>
  <c r="K37" i="25" s="1"/>
  <c r="L37" i="25" s="1"/>
  <c r="H43" i="25"/>
  <c r="K43" i="25" s="1"/>
  <c r="L43" i="25" s="1"/>
  <c r="H45" i="25"/>
  <c r="K45" i="25" s="1"/>
  <c r="L45" i="25" s="1"/>
  <c r="H47" i="25"/>
  <c r="K47" i="25" s="1"/>
  <c r="L47" i="25" s="1"/>
  <c r="H50" i="25"/>
  <c r="K50" i="25" s="1"/>
  <c r="L50" i="25" s="1"/>
  <c r="H52" i="25"/>
  <c r="K52" i="25" s="1"/>
  <c r="L52" i="25" s="1"/>
  <c r="H59" i="25"/>
  <c r="K59" i="25" s="1"/>
  <c r="L59" i="25" s="1"/>
  <c r="I50" i="25"/>
  <c r="I119" i="25"/>
  <c r="I147" i="25"/>
  <c r="M135" i="25" s="1"/>
  <c r="I26" i="25"/>
  <c r="N135" i="25"/>
  <c r="I46" i="25"/>
  <c r="L30" i="25"/>
  <c r="I31" i="25"/>
  <c r="N97" i="25"/>
  <c r="N112" i="25"/>
  <c r="N128" i="25"/>
  <c r="L32" i="25"/>
  <c r="I85" i="25"/>
  <c r="M77" i="25" s="1"/>
  <c r="I103" i="25"/>
  <c r="M97" i="25" s="1"/>
  <c r="M106" i="25"/>
  <c r="M112" i="25"/>
  <c r="M122" i="25"/>
  <c r="M128" i="25"/>
  <c r="I53" i="25"/>
  <c r="N122" i="25"/>
  <c r="K23" i="25"/>
  <c r="I35" i="25"/>
  <c r="I37" i="25"/>
  <c r="N77" i="25"/>
  <c r="I43" i="25"/>
  <c r="J94" i="25"/>
  <c r="J109" i="25"/>
  <c r="K109" i="25" s="1"/>
  <c r="N106" i="25" s="1"/>
  <c r="J132" i="25"/>
  <c r="K132" i="25" s="1"/>
  <c r="I52" i="25"/>
  <c r="L23" i="25" l="1"/>
  <c r="K94" i="25"/>
  <c r="H48" i="25"/>
  <c r="I48" i="25" l="1"/>
  <c r="I61" i="25" s="1"/>
  <c r="N88" i="25"/>
  <c r="N147" i="25" s="1"/>
  <c r="K48" i="25"/>
  <c r="H61" i="25"/>
  <c r="L48" i="25" l="1"/>
  <c r="L61" i="25" s="1"/>
  <c r="K61" i="25"/>
  <c r="B25" i="19" l="1"/>
  <c r="E23" i="19"/>
  <c r="C23" i="19"/>
  <c r="E22" i="19"/>
  <c r="C22" i="19"/>
  <c r="E21" i="19"/>
  <c r="C21" i="19"/>
  <c r="E20" i="19"/>
  <c r="C20" i="19"/>
  <c r="E19" i="19"/>
  <c r="C19" i="19"/>
  <c r="E18" i="19"/>
  <c r="C18" i="19"/>
  <c r="E17" i="19"/>
  <c r="C17" i="19"/>
  <c r="E16" i="19"/>
  <c r="C16" i="19"/>
  <c r="E15" i="19"/>
  <c r="C15" i="19"/>
  <c r="E14" i="19"/>
  <c r="C14" i="19"/>
  <c r="E13" i="19"/>
  <c r="E24" i="19" s="1"/>
  <c r="B11" i="19"/>
  <c r="B10" i="19"/>
  <c r="B9" i="19"/>
  <c r="B8" i="19"/>
  <c r="E4" i="19"/>
  <c r="E3" i="19"/>
  <c r="O1" i="23"/>
  <c r="F32" i="21"/>
  <c r="E32" i="21"/>
  <c r="F31" i="21"/>
  <c r="E31" i="21"/>
  <c r="E30" i="21"/>
  <c r="E29" i="21"/>
  <c r="F28" i="21"/>
  <c r="E28" i="21"/>
  <c r="E27" i="21"/>
  <c r="E26" i="21"/>
  <c r="F25" i="21"/>
  <c r="E25" i="21"/>
  <c r="E24" i="21"/>
  <c r="E23" i="21"/>
  <c r="E22" i="21"/>
  <c r="F21" i="21"/>
  <c r="E21" i="21"/>
  <c r="F20" i="21"/>
  <c r="E20" i="21"/>
  <c r="F19" i="21"/>
  <c r="E19" i="21"/>
  <c r="E18" i="21"/>
  <c r="E17" i="21"/>
  <c r="E16" i="21"/>
  <c r="E15" i="21"/>
  <c r="F14" i="21"/>
  <c r="E14" i="21"/>
  <c r="F13" i="21"/>
  <c r="E13" i="21"/>
  <c r="F12" i="21"/>
  <c r="E12" i="21"/>
  <c r="F11" i="21"/>
  <c r="E11" i="21"/>
  <c r="F10" i="21"/>
  <c r="E10" i="21"/>
  <c r="F9" i="21"/>
  <c r="E9" i="21"/>
  <c r="F8" i="21"/>
  <c r="E8" i="21"/>
  <c r="F7" i="21"/>
  <c r="E7" i="21"/>
  <c r="F6" i="21"/>
  <c r="E6" i="21"/>
  <c r="I4" i="21"/>
  <c r="G14" i="20"/>
  <c r="G13" i="20"/>
  <c r="G13" i="21" s="1"/>
  <c r="G12" i="20"/>
  <c r="G11" i="20"/>
  <c r="G28" i="21" s="1"/>
  <c r="G10" i="20"/>
  <c r="G9" i="20"/>
  <c r="G24" i="21" s="1"/>
  <c r="G8" i="20"/>
  <c r="G7" i="20"/>
  <c r="G32" i="21" s="1"/>
  <c r="C18" i="16"/>
  <c r="C17" i="16"/>
  <c r="E25" i="7"/>
  <c r="E24" i="7"/>
  <c r="E22" i="7"/>
  <c r="E21" i="7"/>
  <c r="E20" i="7"/>
  <c r="E19" i="7"/>
  <c r="E18" i="7"/>
  <c r="E17" i="7"/>
  <c r="E16" i="7"/>
  <c r="E15" i="7"/>
  <c r="E13" i="7"/>
  <c r="E12" i="7"/>
  <c r="E11" i="7"/>
  <c r="E10" i="7"/>
  <c r="A6" i="5"/>
  <c r="B25" i="4"/>
  <c r="H9" i="4"/>
  <c r="G9" i="4"/>
  <c r="H8" i="4"/>
  <c r="G8" i="4"/>
  <c r="H7" i="4"/>
  <c r="G7" i="4"/>
  <c r="H6" i="4"/>
  <c r="G6" i="4"/>
  <c r="H5" i="4"/>
  <c r="G5" i="4"/>
  <c r="H4" i="4"/>
  <c r="G4" i="4"/>
  <c r="H3" i="4"/>
  <c r="G3" i="4"/>
  <c r="H2" i="4"/>
  <c r="G2" i="4"/>
  <c r="A3" i="3"/>
  <c r="J1" i="4" l="1"/>
  <c r="F7" i="20"/>
  <c r="F9" i="20"/>
  <c r="I9" i="20"/>
  <c r="F11" i="20"/>
  <c r="I11" i="20"/>
  <c r="F13" i="20"/>
  <c r="I13" i="20"/>
  <c r="I7" i="20"/>
  <c r="G16" i="21"/>
  <c r="G17" i="21"/>
  <c r="G20" i="21"/>
  <c r="G25" i="21"/>
  <c r="G26" i="21"/>
  <c r="G27" i="21"/>
  <c r="G30" i="21"/>
  <c r="G21" i="21"/>
  <c r="I8" i="20"/>
  <c r="F8" i="20"/>
  <c r="I10" i="20"/>
  <c r="F10" i="20"/>
  <c r="I12" i="20"/>
  <c r="F12" i="20"/>
  <c r="G23" i="21"/>
  <c r="I14" i="20"/>
  <c r="F14" i="20"/>
  <c r="G8" i="21"/>
  <c r="G12" i="21"/>
  <c r="G6" i="21"/>
  <c r="G10" i="21"/>
  <c r="G14" i="21"/>
  <c r="G15" i="21"/>
  <c r="G18" i="21"/>
  <c r="G31" i="21"/>
  <c r="G7" i="21"/>
  <c r="G9" i="21"/>
  <c r="G11" i="21"/>
  <c r="G19" i="21"/>
  <c r="G22" i="21"/>
  <c r="G29" i="21"/>
  <c r="J14" i="20" l="1"/>
  <c r="K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 Joaquin Ibañez HIdalgo</author>
  </authors>
  <commentList>
    <comment ref="D109" authorId="0" shapeId="0" xr:uid="{4BA4F1D9-3DCE-4E86-B0B4-8C383D281B02}">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Angel Joaquin Ibañez HIdalgo</author>
  </authors>
  <commentList>
    <comment ref="K21" authorId="0" shapeId="0" xr:uid="{468BD807-C3FE-4346-A1F6-03E74610BDA6}">
      <text>
        <r>
          <rPr>
            <b/>
            <sz val="9"/>
            <color indexed="81"/>
            <rFont val="Tahoma"/>
            <family val="2"/>
          </rPr>
          <t>Angel Joaquin Ibañez HIdalgo:</t>
        </r>
        <r>
          <rPr>
            <sz val="9"/>
            <color indexed="81"/>
            <rFont val="Tahoma"/>
            <family val="2"/>
          </rPr>
          <t xml:space="preserve">
cantidad de kgs por materia prima que se debe comprar según lo pedido por cada producto</t>
        </r>
      </text>
    </comment>
    <comment ref="K61" authorId="0" shapeId="0" xr:uid="{B2AAD8B3-C44E-4571-8761-D703D14BF874}">
      <text>
        <r>
          <rPr>
            <b/>
            <sz val="9"/>
            <color indexed="81"/>
            <rFont val="Tahoma"/>
            <family val="2"/>
          </rPr>
          <t>Angel Joaquin Ibañez HIdalgo:</t>
        </r>
        <r>
          <rPr>
            <sz val="9"/>
            <color indexed="81"/>
            <rFont val="Tahoma"/>
            <family val="2"/>
          </rPr>
          <t xml:space="preserve">
Total de Kgs que se deben comparar para satisfacer el pedido</t>
        </r>
      </text>
    </comment>
    <comment ref="L61" authorId="0" shapeId="0" xr:uid="{0D5862FB-F5C4-4C4D-AED1-98E16A1588D5}">
      <text>
        <r>
          <rPr>
            <b/>
            <sz val="9"/>
            <color indexed="81"/>
            <rFont val="Tahoma"/>
            <family val="2"/>
          </rPr>
          <t>Angel Joaquin Ibañez HIdalgo:</t>
        </r>
        <r>
          <rPr>
            <sz val="9"/>
            <color indexed="81"/>
            <rFont val="Tahoma"/>
            <family val="2"/>
          </rPr>
          <t xml:space="preserve">
Monto Posible para comprar las materia primas necesarias para satisfacer el pedido</t>
        </r>
      </text>
    </comment>
    <comment ref="F76" authorId="0" shapeId="0" xr:uid="{F31E751C-B87E-4E7E-BA2C-36539CC8A8FA}">
      <text/>
    </comment>
    <comment ref="F80" authorId="0" shapeId="0" xr:uid="{4F751929-6D90-4483-99B1-3B11A39EEF6B}">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 Alejandro Campos</author>
  </authors>
  <commentList>
    <comment ref="E2" authorId="0" shapeId="0" xr:uid="{5AA859FA-7A9A-4C08-99DB-A78BCC9FF927}">
      <text>
        <r>
          <rPr>
            <b/>
            <sz val="9"/>
            <color indexed="81"/>
            <rFont val="Tahoma"/>
            <family val="2"/>
          </rPr>
          <t>Sergio Alejandro Campos:</t>
        </r>
        <r>
          <rPr>
            <sz val="9"/>
            <color indexed="81"/>
            <rFont val="Tahoma"/>
            <family val="2"/>
          </rPr>
          <t xml:space="preserve">
Al dar clic en Guardar, los datos de la factura se guardarán en la hoja Detalle de facturas.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Angel Joaquin Ibañez HIdalgo</author>
  </authors>
  <commentList>
    <comment ref="B5" authorId="0" shapeId="0" xr:uid="{40BCB47A-2039-452A-BCC5-06D048855E3B}">
      <text>
        <r>
          <rPr>
            <b/>
            <sz val="9"/>
            <color indexed="81"/>
            <rFont val="Tahoma"/>
            <family val="2"/>
          </rPr>
          <t>Angel Joaquin Ibañez HIdalgo:</t>
        </r>
        <r>
          <rPr>
            <sz val="9"/>
            <color indexed="81"/>
            <rFont val="Tahoma"/>
            <family val="2"/>
          </rPr>
          <t xml:space="preserve">
Esta es la tabla de entrada de proveedores</t>
        </r>
      </text>
    </comment>
    <comment ref="I6" authorId="0" shapeId="0" xr:uid="{D56C982C-42B7-411D-81E2-6446A23150BF}">
      <text>
        <r>
          <rPr>
            <b/>
            <sz val="9"/>
            <color indexed="81"/>
            <rFont val="Tahoma"/>
            <family val="2"/>
          </rPr>
          <t>Angel Joaquin Ibañez HIdalgo:</t>
        </r>
        <r>
          <rPr>
            <sz val="9"/>
            <color indexed="81"/>
            <rFont val="Tahoma"/>
            <family val="2"/>
          </rPr>
          <t xml:space="preserve">
</t>
        </r>
      </text>
    </comment>
  </commentList>
</comments>
</file>

<file path=xl/sharedStrings.xml><?xml version="1.0" encoding="utf-8"?>
<sst xmlns="http://schemas.openxmlformats.org/spreadsheetml/2006/main" count="1032" uniqueCount="425">
  <si>
    <t>Facturar</t>
  </si>
  <si>
    <t>CANTIDAD</t>
  </si>
  <si>
    <t>Produción</t>
  </si>
  <si>
    <t>Registros</t>
  </si>
  <si>
    <t>Producto</t>
  </si>
  <si>
    <t>Cantidad</t>
  </si>
  <si>
    <t>Lavaplatos Liquido</t>
  </si>
  <si>
    <t>Lavaplatos en Crema</t>
  </si>
  <si>
    <t>Desinfectante Herbal</t>
  </si>
  <si>
    <t>Detergente de Ropa</t>
  </si>
  <si>
    <t>Codigo</t>
  </si>
  <si>
    <t>Orden de produccion</t>
  </si>
  <si>
    <t>N° Lote</t>
  </si>
  <si>
    <t>Be_LL_224</t>
  </si>
  <si>
    <t>Be_LL_225</t>
  </si>
  <si>
    <t>Be_LL_228</t>
  </si>
  <si>
    <t>Be_LL_229</t>
  </si>
  <si>
    <t>Be_LL_230</t>
  </si>
  <si>
    <t>Be_LL_231</t>
  </si>
  <si>
    <t>LL-223-06</t>
  </si>
  <si>
    <t>LL-223-10</t>
  </si>
  <si>
    <t>LL-223-11</t>
  </si>
  <si>
    <t>Orden</t>
  </si>
  <si>
    <t>Lote</t>
  </si>
  <si>
    <t>LL-223-02</t>
  </si>
  <si>
    <t xml:space="preserve">Formato </t>
  </si>
  <si>
    <t>PH</t>
  </si>
  <si>
    <t>Viscosidad</t>
  </si>
  <si>
    <t>Densidad</t>
  </si>
  <si>
    <t>Concentracion</t>
  </si>
  <si>
    <t>Apariencia</t>
  </si>
  <si>
    <t>Color</t>
  </si>
  <si>
    <t>Olor</t>
  </si>
  <si>
    <t>DATOS ORGANOLEPTICOS</t>
  </si>
  <si>
    <t>DATOS TECNICOS</t>
  </si>
  <si>
    <t>CONTROL DE CALIDAD</t>
  </si>
  <si>
    <t>CC-25</t>
  </si>
  <si>
    <t>Materia Prima</t>
  </si>
  <si>
    <t>%</t>
  </si>
  <si>
    <t>Silicato de sodio</t>
  </si>
  <si>
    <t>soda caustica liq 50%</t>
  </si>
  <si>
    <t>Bicarbonato de sodio</t>
  </si>
  <si>
    <t>Glicerina</t>
  </si>
  <si>
    <t>Acido Estearico</t>
  </si>
  <si>
    <t>Agua</t>
  </si>
  <si>
    <t>Acido sulfonico 97%</t>
  </si>
  <si>
    <t>Genapol 28%</t>
  </si>
  <si>
    <t>Soda caustica escamas</t>
  </si>
  <si>
    <t>cocoamida</t>
  </si>
  <si>
    <t>Sal</t>
  </si>
  <si>
    <t>Anilina</t>
  </si>
  <si>
    <t>agua</t>
  </si>
  <si>
    <t>#Item</t>
  </si>
  <si>
    <t>Costo x Kg</t>
  </si>
  <si>
    <t>Unidad</t>
  </si>
  <si>
    <t>Acido Sulfonico Lineal</t>
  </si>
  <si>
    <t>Kg</t>
  </si>
  <si>
    <t>Texapon 70%</t>
  </si>
  <si>
    <t>Trietanolamina 85%</t>
  </si>
  <si>
    <t>Cocoamida</t>
  </si>
  <si>
    <t>CMC alta</t>
  </si>
  <si>
    <t>Acido Acetico</t>
  </si>
  <si>
    <t>Benzoato de sodio</t>
  </si>
  <si>
    <t>Propilenglicol</t>
  </si>
  <si>
    <t>Nonil 10 moles (Arkopal)</t>
  </si>
  <si>
    <t>KG</t>
  </si>
  <si>
    <t>Alcohol Etilico 96%</t>
  </si>
  <si>
    <t>lts</t>
  </si>
  <si>
    <t>Acido Fosforico</t>
  </si>
  <si>
    <t>Carbomero 996</t>
  </si>
  <si>
    <t>Polisorbato (tween)</t>
  </si>
  <si>
    <t>ProBetaina</t>
  </si>
  <si>
    <t>Sulfato de Sodio</t>
  </si>
  <si>
    <t>Amonio Cuaternario</t>
  </si>
  <si>
    <t>Vinagre Blanco</t>
  </si>
  <si>
    <t>Virutas de Jabon</t>
  </si>
  <si>
    <t>Carbonato de Calcio</t>
  </si>
  <si>
    <t>Benzoato de Sodio</t>
  </si>
  <si>
    <t>LL-224-01</t>
  </si>
  <si>
    <t>LL-228-10</t>
  </si>
  <si>
    <t>Be-1</t>
  </si>
  <si>
    <t>Be-2</t>
  </si>
  <si>
    <t>Be-3</t>
  </si>
  <si>
    <t>Be-5</t>
  </si>
  <si>
    <t>Be-6</t>
  </si>
  <si>
    <t>Be-7</t>
  </si>
  <si>
    <t>Be-8</t>
  </si>
  <si>
    <t>Funciones</t>
  </si>
  <si>
    <t>Selector</t>
  </si>
  <si>
    <t>CCalidad</t>
  </si>
  <si>
    <t>Productos</t>
  </si>
  <si>
    <t>DESINFECTANTE</t>
  </si>
  <si>
    <t>Nonilfenol 10 moles</t>
  </si>
  <si>
    <t>Alcohol Cetilico</t>
  </si>
  <si>
    <t>sal</t>
  </si>
  <si>
    <t>Acido Citrico</t>
  </si>
  <si>
    <t>Cloro Jabonoso</t>
  </si>
  <si>
    <t>Multiuso Desengrasante</t>
  </si>
  <si>
    <t>Suavizante de Ropa</t>
  </si>
  <si>
    <t>Be-4</t>
  </si>
  <si>
    <t>Multi-Cerámica</t>
  </si>
  <si>
    <t>LL-223-09</t>
  </si>
  <si>
    <t>1.15</t>
  </si>
  <si>
    <t>Liquido semi viscoso</t>
  </si>
  <si>
    <t>translucido</t>
  </si>
  <si>
    <t>Neutro</t>
  </si>
  <si>
    <t>Liquido viscoso</t>
  </si>
  <si>
    <t>Azul</t>
  </si>
  <si>
    <t>Floral</t>
  </si>
  <si>
    <t>Liquido semi-viscoso</t>
  </si>
  <si>
    <t>Translucido</t>
  </si>
  <si>
    <t>Verde claro</t>
  </si>
  <si>
    <t>Amarilloso</t>
  </si>
  <si>
    <t>Herbal</t>
  </si>
  <si>
    <t>Melon</t>
  </si>
  <si>
    <t>Limon</t>
  </si>
  <si>
    <t>Crema</t>
  </si>
  <si>
    <t>Fecha</t>
  </si>
  <si>
    <t>Etiquetas de fila</t>
  </si>
  <si>
    <t>Suma de PH</t>
  </si>
  <si>
    <t>Numero</t>
  </si>
  <si>
    <t>Proveedor</t>
  </si>
  <si>
    <t>Dirección</t>
  </si>
  <si>
    <t>Telefono</t>
  </si>
  <si>
    <t>E-mail</t>
  </si>
  <si>
    <t>Puntaje</t>
  </si>
  <si>
    <t>RUT</t>
  </si>
  <si>
    <t>BeProv-001</t>
  </si>
  <si>
    <t>Proveedor-1</t>
  </si>
  <si>
    <t>dirección 1</t>
  </si>
  <si>
    <t>123456-1</t>
  </si>
  <si>
    <t>prov1@gmail.com</t>
  </si>
  <si>
    <t>BeProv-002</t>
  </si>
  <si>
    <t>Proveedor--2</t>
  </si>
  <si>
    <t>dirección-2</t>
  </si>
  <si>
    <t>23456-2</t>
  </si>
  <si>
    <t>prov-2@gmail.com</t>
  </si>
  <si>
    <t>BeProv-003</t>
  </si>
  <si>
    <t>Proveedor-3</t>
  </si>
  <si>
    <t>direccion-3</t>
  </si>
  <si>
    <t>2453678-1</t>
  </si>
  <si>
    <t>Provedor3@gmail.com</t>
  </si>
  <si>
    <t>Mi Empresa</t>
  </si>
  <si>
    <t>FACTURA</t>
  </si>
  <si>
    <t>Los clientes no son lo primero, lo primero son los empleados, si cuidas a tus empleados, ellos cuidarán de tus clientes - Richard Branson.</t>
  </si>
  <si>
    <t>La dirección de tu empresa</t>
  </si>
  <si>
    <t>FECHA:</t>
  </si>
  <si>
    <t>Ciudad, estado/provincia y código postal</t>
  </si>
  <si>
    <t>N.º DE FACTURA</t>
  </si>
  <si>
    <t>[Número de] teléfono   [Número de] fax</t>
  </si>
  <si>
    <t>PARA:</t>
  </si>
  <si>
    <t>Descripción del proyecto o servicio</t>
  </si>
  <si>
    <t>Facturar a:</t>
  </si>
  <si>
    <t>Cliente 13</t>
  </si>
  <si>
    <t>CÓDIGO</t>
  </si>
  <si>
    <t>DESCRIPCIÓN</t>
  </si>
  <si>
    <t>IMPORTE</t>
  </si>
  <si>
    <t>TOTAL</t>
  </si>
  <si>
    <t>Si tiene cualquier tipo de pregunta acerca de esta factura, póngase en contacto con Nombre, Número de teléfono o Correo electrónico</t>
  </si>
  <si>
    <t xml:space="preserve">GRACIAS POR SU CONFIANZA </t>
  </si>
  <si>
    <t xml:space="preserve"> </t>
  </si>
  <si>
    <t>Importe</t>
  </si>
  <si>
    <t>Precio</t>
  </si>
  <si>
    <t>E-001</t>
  </si>
  <si>
    <t>E-002</t>
  </si>
  <si>
    <t>E-003</t>
  </si>
  <si>
    <t>S-001</t>
  </si>
  <si>
    <t>S-002</t>
  </si>
  <si>
    <t>S-003</t>
  </si>
  <si>
    <t>S-004</t>
  </si>
  <si>
    <t>E-004</t>
  </si>
  <si>
    <t>E-005</t>
  </si>
  <si>
    <t>INVENTARIO DE PRODUCTOS Be-Eco</t>
  </si>
  <si>
    <t>E-006</t>
  </si>
  <si>
    <t>E-007</t>
  </si>
  <si>
    <t>E-008</t>
  </si>
  <si>
    <t>Monto x Kg</t>
  </si>
  <si>
    <t>Movimiento</t>
  </si>
  <si>
    <t>Lts</t>
  </si>
  <si>
    <t>Kgs</t>
  </si>
  <si>
    <t>Stock Minimo</t>
  </si>
  <si>
    <t>Existencia</t>
  </si>
  <si>
    <t>Ent-Sal</t>
  </si>
  <si>
    <t>STATUS</t>
  </si>
  <si>
    <t>E-009</t>
  </si>
  <si>
    <t>E-000</t>
  </si>
  <si>
    <t>E-010</t>
  </si>
  <si>
    <t>BeProv-004</t>
  </si>
  <si>
    <t>Proveedor-4</t>
  </si>
  <si>
    <t>Direccion-4</t>
  </si>
  <si>
    <t>543534563453-t</t>
  </si>
  <si>
    <t>234567890'</t>
  </si>
  <si>
    <t>asies@gmail.com</t>
  </si>
  <si>
    <t>E-011</t>
  </si>
  <si>
    <t>E-012</t>
  </si>
  <si>
    <t>E-013</t>
  </si>
  <si>
    <t>opcion</t>
  </si>
  <si>
    <t>ENTRADA</t>
  </si>
  <si>
    <t>SALIDA</t>
  </si>
  <si>
    <t>E-014</t>
  </si>
  <si>
    <t>Cajas en Stock:</t>
  </si>
  <si>
    <t>En Stock</t>
  </si>
  <si>
    <t>Cajas</t>
  </si>
  <si>
    <t>Movimiento de Entradas y Salidas del Inventario de Productos</t>
  </si>
  <si>
    <t>Descripcion</t>
  </si>
  <si>
    <t>EXISTENCIA PRODUCTOS INVENTARIO</t>
  </si>
  <si>
    <t>MENU DE LISTAS DESPLEGABLES</t>
  </si>
  <si>
    <t>MENU PRINCIPAL</t>
  </si>
  <si>
    <t>DESCRIPCION</t>
  </si>
  <si>
    <t>COMPRAS Y VENTAS</t>
  </si>
  <si>
    <t>TABLAS Y GRAFICOS</t>
  </si>
  <si>
    <t>VER</t>
  </si>
  <si>
    <t>EDITAR</t>
  </si>
  <si>
    <t>MATERIA_PRIMA</t>
  </si>
  <si>
    <t>IR_A_PRODUCTOS</t>
  </si>
  <si>
    <t>IR_A_FORMULAS</t>
  </si>
  <si>
    <t>INVENTARIO_MP</t>
  </si>
  <si>
    <t>INVENTARIO_P</t>
  </si>
  <si>
    <t>EXISTENCIA</t>
  </si>
  <si>
    <t>|</t>
  </si>
  <si>
    <t>ENTRADA-SALIDA_MP</t>
  </si>
  <si>
    <t>ENTRADA-SALIDA_P</t>
  </si>
  <si>
    <t>DESCRIPCION_MP</t>
  </si>
  <si>
    <t>IR A DESCRIPCION MP</t>
  </si>
  <si>
    <t>SUB-MENU_1</t>
  </si>
  <si>
    <t>SUB-MENU-2</t>
  </si>
  <si>
    <t>MATERIAS PRIMAS Y PRODUCTOS</t>
  </si>
  <si>
    <t>TxtBicarbonato</t>
  </si>
  <si>
    <t>TxtNonil10</t>
  </si>
  <si>
    <t>TxtFosforico</t>
  </si>
  <si>
    <t>TxtGenapol</t>
  </si>
  <si>
    <t>TxtBenzoato</t>
  </si>
  <si>
    <t>TxtSulfonico</t>
  </si>
  <si>
    <t>PROVEEDORES_MP</t>
  </si>
  <si>
    <t>EXISTENCIA_P</t>
  </si>
  <si>
    <t>COSTO STOCK</t>
  </si>
  <si>
    <t>Broaster2</t>
  </si>
  <si>
    <t>REPORTE DE PRODUCCION</t>
  </si>
  <si>
    <t xml:space="preserve">Debido a la poca información que en estos meses se ha generado entre nuestras partes y a solicitud de Ud, Dr Rojas es por lo cual le redacto este informe con el fin de aclararle algunos puntos sobre los productos que esperamos producir con el debido respaldo suyo y adaptado a la extensa línea de productos que ya tiene en su haber, para ello me voy a dar a la tarea de analizar en una forma media algunos de los mencionados productos para que tenga una idea de lo que se pretende hacer y pueda tener un criterio mucho más amplio y seguro de lo que estamos ofertando.
Productos Orgánicos y Biodegradables.
	En este punto es bien importante separar estos dos conceptos, ya que no es completamente cierto que, aunque un producto orgánico puede ser biodegradable no necesariamente un producto biodegradable es de por si orgánico, lo que por otro lado no desmerita su uso y no desafina como se puede pensar al lado de los productos orgánicos de cuidado diario y de limpieza, a continuación, veremos algunos ejemplos de lo que estoy diciendo. </t>
  </si>
  <si>
    <t>DASHBOARD PRODUCCIÓN</t>
  </si>
  <si>
    <t xml:space="preserve"> Productos</t>
  </si>
  <si>
    <t xml:space="preserve"> Cantidad</t>
  </si>
  <si>
    <t>Mas Producido:</t>
  </si>
  <si>
    <t>Total General:</t>
  </si>
  <si>
    <t>Kgs Pedido</t>
  </si>
  <si>
    <t>Costo pedido</t>
  </si>
  <si>
    <t>stock 28/01/21</t>
  </si>
  <si>
    <t>Total a Comprar</t>
  </si>
  <si>
    <t>Costo de la Compra</t>
  </si>
  <si>
    <t>INVENTARIO</t>
  </si>
  <si>
    <t>PEDIDO-STOCK</t>
  </si>
  <si>
    <t>Soda caustica liq 50%</t>
  </si>
  <si>
    <t>Anfotero</t>
  </si>
  <si>
    <t>limonene</t>
  </si>
  <si>
    <t>DeterBase</t>
  </si>
  <si>
    <t>Hipoclorito de sodio 13%</t>
  </si>
  <si>
    <t>Pedido</t>
  </si>
  <si>
    <t>Cantidad Pedida</t>
  </si>
  <si>
    <t>PRECIO</t>
  </si>
  <si>
    <t>$/Kg</t>
  </si>
  <si>
    <t>Cantidad (Kg)</t>
  </si>
  <si>
    <t>$/pedido</t>
  </si>
  <si>
    <t>Lavaplatos</t>
  </si>
  <si>
    <t>DETERGENTE</t>
  </si>
  <si>
    <t>Detergente ropa</t>
  </si>
  <si>
    <t>DESENGRASANTE</t>
  </si>
  <si>
    <t>Desengrasante</t>
  </si>
  <si>
    <t>Desinfectante</t>
  </si>
  <si>
    <t>SUAVIZANTE</t>
  </si>
  <si>
    <t>Suavizante</t>
  </si>
  <si>
    <t xml:space="preserve">Genapol </t>
  </si>
  <si>
    <t>Vinagre blanco</t>
  </si>
  <si>
    <t>CLORO</t>
  </si>
  <si>
    <t>Hipoclorito de Sodio 13%</t>
  </si>
  <si>
    <t>Soda caustica Liq 50%</t>
  </si>
  <si>
    <t>BAÑOS</t>
  </si>
  <si>
    <t>Multi-Baños</t>
  </si>
  <si>
    <t>Acido fosforico</t>
  </si>
  <si>
    <t>Sulfato de sodio</t>
  </si>
  <si>
    <t>Bicarbonato de Sodio</t>
  </si>
  <si>
    <t>lavaplatos en Crema</t>
  </si>
  <si>
    <t>Elemento</t>
  </si>
  <si>
    <t>ORDEN DE PRODUCCIÓN</t>
  </si>
  <si>
    <t>PR-PD-002-F01</t>
  </si>
  <si>
    <t>PRODUCTO</t>
  </si>
  <si>
    <t>TAMAÑO DEL LOTE</t>
  </si>
  <si>
    <t>FECHA DE INICIO</t>
  </si>
  <si>
    <t>FECHA FINALIZA</t>
  </si>
  <si>
    <t>LOTE N°</t>
  </si>
  <si>
    <t>ORDEN DE PRODUCCIÓN:</t>
  </si>
  <si>
    <t>PRESENTACIÓN</t>
  </si>
  <si>
    <t>CODIGO DEL PRODUCTO:</t>
  </si>
  <si>
    <t>1 LT</t>
  </si>
  <si>
    <t>500 CC</t>
  </si>
  <si>
    <t>GALÓN</t>
  </si>
  <si>
    <t>10 LT</t>
  </si>
  <si>
    <t>CODIGO</t>
  </si>
  <si>
    <t>MATERIA PRIMA</t>
  </si>
  <si>
    <t>LOTE</t>
  </si>
  <si>
    <t>PESADO POR:</t>
  </si>
  <si>
    <t>VERIFICADO POR:</t>
  </si>
  <si>
    <t>2 LT</t>
  </si>
  <si>
    <t>Be-MP-001</t>
  </si>
  <si>
    <t>Be-MP-002</t>
  </si>
  <si>
    <t>Be-MP-003</t>
  </si>
  <si>
    <t>Be-MP-004</t>
  </si>
  <si>
    <t>Be-MP-005</t>
  </si>
  <si>
    <t>Be-MP-006</t>
  </si>
  <si>
    <t>Be-MP-007</t>
  </si>
  <si>
    <t>Be-MP-008</t>
  </si>
  <si>
    <t>Be-MP-009</t>
  </si>
  <si>
    <t>Be-MP-010</t>
  </si>
  <si>
    <t>Be-MP-011</t>
  </si>
  <si>
    <t>Be-MP-012</t>
  </si>
  <si>
    <t>Be-MP-013</t>
  </si>
  <si>
    <t>Be-MP-014</t>
  </si>
  <si>
    <t>Be-MP-015</t>
  </si>
  <si>
    <t>Be-MP-016</t>
  </si>
  <si>
    <t>Be-MP-017</t>
  </si>
  <si>
    <t>Be-MP-018</t>
  </si>
  <si>
    <t>Be-MP-019</t>
  </si>
  <si>
    <t>Be-MP-020</t>
  </si>
  <si>
    <t>Be-MP-021</t>
  </si>
  <si>
    <t>Be-MP-022</t>
  </si>
  <si>
    <t>Be-MP-023</t>
  </si>
  <si>
    <t>Be-MP-024</t>
  </si>
  <si>
    <t>Be-MP-025</t>
  </si>
  <si>
    <t>Be-MP-026</t>
  </si>
  <si>
    <t>Be-MP-027</t>
  </si>
  <si>
    <t>Be-MP-028</t>
  </si>
  <si>
    <t>Texapon 40%</t>
  </si>
  <si>
    <t>EDTA</t>
  </si>
  <si>
    <t>Fragancia Herbal</t>
  </si>
  <si>
    <t>Fragancia R.Coconut</t>
  </si>
  <si>
    <t>Fragancia Pino Silvestre</t>
  </si>
  <si>
    <t>Fragancia Pepino Melon</t>
  </si>
  <si>
    <t>Fragancia Aloe Vera</t>
  </si>
  <si>
    <t>Fragancia Flores Magicas</t>
  </si>
  <si>
    <t>Fragancia Florex</t>
  </si>
  <si>
    <t>Costo Unitario</t>
  </si>
  <si>
    <t>Costo Pedido</t>
  </si>
  <si>
    <t xml:space="preserve">Acido Acetico </t>
  </si>
  <si>
    <t>lavaplatos Crema</t>
  </si>
  <si>
    <t>Fragancia - Pepino Melon</t>
  </si>
  <si>
    <t>Be-MP-029</t>
  </si>
  <si>
    <t>Be-MP-030</t>
  </si>
  <si>
    <t>Be-MP-031</t>
  </si>
  <si>
    <t>Be-MP-032</t>
  </si>
  <si>
    <t>Be-MP-033</t>
  </si>
  <si>
    <t>Be-MP-034</t>
  </si>
  <si>
    <t>Be-MP-035</t>
  </si>
  <si>
    <t>Be-MP-036</t>
  </si>
  <si>
    <t>Be-MP-037</t>
  </si>
  <si>
    <t>Be-MP-038</t>
  </si>
  <si>
    <t>Unidad Medida</t>
  </si>
  <si>
    <t>Precio Tienda</t>
  </si>
  <si>
    <t>Precio P.Natural</t>
  </si>
  <si>
    <t>Precio Público</t>
  </si>
  <si>
    <t>Be-Pro-001</t>
  </si>
  <si>
    <t>Cloro Jabonoso 2 Lt</t>
  </si>
  <si>
    <t>2000 ml</t>
  </si>
  <si>
    <t>Be-Pro-002</t>
  </si>
  <si>
    <t>Cloro Jabonoso Galon</t>
  </si>
  <si>
    <t>3800 ml</t>
  </si>
  <si>
    <t>Be-Pro-003</t>
  </si>
  <si>
    <t>Cloro Jabonoso 10 L</t>
  </si>
  <si>
    <t>10000 ml</t>
  </si>
  <si>
    <t>Be-Pro-004</t>
  </si>
  <si>
    <t>Limpiador Desinfectante 1 Lt</t>
  </si>
  <si>
    <t>1000 lt</t>
  </si>
  <si>
    <t>Be-Pro-005</t>
  </si>
  <si>
    <t>Limpiador Desinfectante galón</t>
  </si>
  <si>
    <t>Be-Pro-006</t>
  </si>
  <si>
    <t>Limpiador Desinfectante 10 Lt</t>
  </si>
  <si>
    <t>Be-Pro-007</t>
  </si>
  <si>
    <t>Multiusos Desengrasante 1/2 Lt</t>
  </si>
  <si>
    <t>Be-Pro-008</t>
  </si>
  <si>
    <t>Multiusos Desengrasante Galón</t>
  </si>
  <si>
    <t>Be-Pro-009</t>
  </si>
  <si>
    <t>Multiusos Desengrasante 10 Lt</t>
  </si>
  <si>
    <t>Be-Pro-010</t>
  </si>
  <si>
    <t>Multiusos p/Baños 1/2 Lt</t>
  </si>
  <si>
    <t>500 ml</t>
  </si>
  <si>
    <t>Be-Pro-011</t>
  </si>
  <si>
    <t>Multiusos p/Baños Galón</t>
  </si>
  <si>
    <t>Be-Pro-012</t>
  </si>
  <si>
    <t>Multiusos p/Baños 10 Lt</t>
  </si>
  <si>
    <t>Be-Pro-013</t>
  </si>
  <si>
    <t>Detergente Ropa 2 Lt</t>
  </si>
  <si>
    <t>Be-Pro-014</t>
  </si>
  <si>
    <t>Detergente Ropa Galón</t>
  </si>
  <si>
    <t>Be-Pro-015</t>
  </si>
  <si>
    <t>Detergente Ropa 10 Lt</t>
  </si>
  <si>
    <t>Be-Pro-016</t>
  </si>
  <si>
    <t>Suavizante 2 Lt</t>
  </si>
  <si>
    <t>Be-Pro-017</t>
  </si>
  <si>
    <t>Suavizante Galón</t>
  </si>
  <si>
    <t>Be-Pro-018</t>
  </si>
  <si>
    <t>Suavizante 10 Lt</t>
  </si>
  <si>
    <t>Be-Pro-019</t>
  </si>
  <si>
    <t>Lavaloza Liquido 0,8 Lt</t>
  </si>
  <si>
    <t>800 ml</t>
  </si>
  <si>
    <t>Be-Pro-020</t>
  </si>
  <si>
    <t>Lavaloza Liquido Galón</t>
  </si>
  <si>
    <t>Be-Pro-021</t>
  </si>
  <si>
    <t>Lavaloza Liquido 10 Lt</t>
  </si>
  <si>
    <t>ID</t>
  </si>
  <si>
    <t>CANTIDAD A PESAR (Kg)</t>
  </si>
  <si>
    <t>CANTIDAD PESADA (Kg)</t>
  </si>
  <si>
    <t>TARA (Kg)</t>
  </si>
  <si>
    <t>A.Ibañez</t>
  </si>
  <si>
    <t>0.80</t>
  </si>
  <si>
    <t>Elaborado por:</t>
  </si>
  <si>
    <t>Verificado por:</t>
  </si>
  <si>
    <t>Observaciones:</t>
  </si>
  <si>
    <t>Codigo Producto</t>
  </si>
  <si>
    <t>500 cc</t>
  </si>
  <si>
    <t>1 Lt</t>
  </si>
  <si>
    <t>2 Ll</t>
  </si>
  <si>
    <t>Galón</t>
  </si>
  <si>
    <t>10 Lt</t>
  </si>
  <si>
    <t>Columna1</t>
  </si>
  <si>
    <t>Codigo Producción</t>
  </si>
  <si>
    <t>N° Orden</t>
  </si>
  <si>
    <t>Cantidad a Producir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</si>
</sst>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7" formatCode="&quot;$&quot;\ #,##0.00;\-&quot;$&quot;\ #,##0.00"/>
    <numFmt numFmtId="44" formatCode="_-&quot;$&quot;\ * #,##0.00_-;\-&quot;$&quot;\ * #,##0.00_-;_-&quot;$&quot;\ * &quot;-&quot;??_-;_-@_-"/>
    <numFmt numFmtId="164" formatCode="_(&quot;$&quot;* #,##0.00_);_(&quot;$&quot;* \(#,##0.00\);_(&quot;$&quot;* &quot;-&quot;??_);_(@_)"/>
    <numFmt numFmtId="165" formatCode="&quot;$&quot;\ #,##0"/>
    <numFmt numFmtId="166" formatCode="&quot;$&quot;\ #,##0.0"/>
    <numFmt numFmtId="167" formatCode="0.0"/>
    <numFmt numFmtId="168" formatCode="dd\-mm\-yy;@"/>
    <numFmt numFmtId="170" formatCode="dd/mm/yy;@"/>
    <numFmt numFmtId="171" formatCode="[$-C0A]d\ &quot;de&quot;\ mmmm\ &quot;de&quot;\ yyyy;@"/>
    <numFmt numFmtId="172" formatCode="[&lt;=9999999]###\-####;\(###\)\ ###\-####"/>
    <numFmt numFmtId="173" formatCode="_-&quot;$&quot;* #,##0.00_-;\-&quot;$&quot;* #,##0.00_-;_-&quot;$&quot;* &quot;-&quot;??_-;_-@_-"/>
    <numFmt numFmtId="174" formatCode="d/mm/yyyy;@"/>
    <numFmt numFmtId="175" formatCode="dd/mm/yyyy;@"/>
    <numFmt numFmtId="176" formatCode="#,##0.0"/>
    <numFmt numFmtId="177" formatCode="0000"/>
  </numFmts>
  <fonts count="65"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b/>
      <sz val="36"/>
      <color rgb="FFFF0000"/>
      <name val="Calibri"/>
      <family val="2"/>
      <scheme val="minor"/>
    </font>
    <font>
      <sz val="11"/>
      <color rgb="FF0070C0"/>
      <name val="Calibri"/>
      <family val="2"/>
      <scheme val="minor"/>
    </font>
    <font>
      <sz val="8"/>
      <color theme="3" tint="0.59999389629810485"/>
      <name val="Calibri"/>
      <family val="2"/>
      <scheme val="minor"/>
    </font>
    <font>
      <sz val="11"/>
      <color theme="3" tint="0.59999389629810485"/>
      <name val="Calibri"/>
      <family val="2"/>
      <scheme val="minor"/>
    </font>
    <font>
      <b/>
      <sz val="14"/>
      <color rgb="FF0070C0"/>
      <name val="Calibri"/>
      <family val="2"/>
      <scheme val="minor"/>
    </font>
    <font>
      <b/>
      <sz val="48"/>
      <color rgb="FFFF0000"/>
      <name val="Calibri"/>
      <family val="2"/>
      <scheme val="minor"/>
    </font>
    <font>
      <b/>
      <sz val="20"/>
      <color theme="1"/>
      <name val="Calibri"/>
      <family val="2"/>
      <scheme val="minor"/>
    </font>
    <font>
      <b/>
      <sz val="11"/>
      <color rgb="FFFF0000"/>
      <name val="Calibri"/>
      <family val="2"/>
      <scheme val="minor"/>
    </font>
    <font>
      <sz val="8"/>
      <name val="Calibri"/>
      <family val="2"/>
      <scheme val="minor"/>
    </font>
    <font>
      <b/>
      <sz val="22"/>
      <color theme="1"/>
      <name val="Calibri"/>
      <family val="2"/>
      <scheme val="minor"/>
    </font>
    <font>
      <b/>
      <sz val="14"/>
      <color rgb="FFFF0000"/>
      <name val="Calibri"/>
      <family val="2"/>
      <scheme val="minor"/>
    </font>
    <font>
      <b/>
      <sz val="20"/>
      <color rgb="FFFF0000"/>
      <name val="Calibri"/>
      <family val="2"/>
      <scheme val="minor"/>
    </font>
    <font>
      <sz val="11"/>
      <color theme="3" tint="0.39997558519241921"/>
      <name val="Calibri"/>
      <family val="2"/>
      <scheme val="minor"/>
    </font>
    <font>
      <b/>
      <sz val="11"/>
      <name val="Calibri"/>
      <family val="2"/>
      <scheme val="minor"/>
    </font>
    <font>
      <b/>
      <sz val="14"/>
      <color rgb="FFFFFF00"/>
      <name val="Calibri"/>
      <family val="2"/>
      <scheme val="minor"/>
    </font>
    <font>
      <b/>
      <sz val="16"/>
      <color theme="1"/>
      <name val="Calibri"/>
      <family val="2"/>
      <scheme val="minor"/>
    </font>
    <font>
      <sz val="11"/>
      <color rgb="FFFF0000"/>
      <name val="Calibri"/>
      <family val="2"/>
      <scheme val="minor"/>
    </font>
    <font>
      <sz val="8"/>
      <color rgb="FFFF0000"/>
      <name val="Calibri"/>
      <family val="2"/>
      <scheme val="minor"/>
    </font>
    <font>
      <sz val="11"/>
      <name val="Calibri"/>
      <family val="2"/>
      <scheme val="minor"/>
    </font>
    <font>
      <b/>
      <sz val="18"/>
      <color rgb="FFFF0000"/>
      <name val="Calibri"/>
      <family val="2"/>
      <scheme val="minor"/>
    </font>
    <font>
      <sz val="11"/>
      <color rgb="FF00B0F0"/>
      <name val="Calibri"/>
      <family val="2"/>
      <scheme val="minor"/>
    </font>
    <font>
      <sz val="16"/>
      <color theme="1"/>
      <name val="Calibri"/>
      <family val="2"/>
      <scheme val="minor"/>
    </font>
    <font>
      <b/>
      <sz val="14"/>
      <name val="Calibri"/>
      <family val="2"/>
      <scheme val="minor"/>
    </font>
    <font>
      <b/>
      <sz val="14"/>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i/>
      <sz val="11"/>
      <color rgb="FF7F7F7F"/>
      <name val="Calibri"/>
      <family val="2"/>
      <scheme val="minor"/>
    </font>
    <font>
      <sz val="11"/>
      <name val="Arial"/>
      <family val="2"/>
    </font>
    <font>
      <i/>
      <sz val="11"/>
      <color theme="1"/>
      <name val="Calibri"/>
      <family val="2"/>
      <scheme val="minor"/>
    </font>
    <font>
      <b/>
      <sz val="18"/>
      <color theme="6" tint="-0.499984740745262"/>
      <name val="Calibri"/>
      <family val="2"/>
      <scheme val="minor"/>
    </font>
    <font>
      <b/>
      <sz val="16"/>
      <color theme="4" tint="-0.499984740745262"/>
      <name val="Calibri"/>
      <family val="2"/>
      <scheme val="minor"/>
    </font>
    <font>
      <sz val="11"/>
      <color theme="4" tint="-0.499984740745262"/>
      <name val="Calibri"/>
      <family val="2"/>
      <scheme val="minor"/>
    </font>
    <font>
      <sz val="14"/>
      <color theme="1"/>
      <name val="Calibri"/>
      <family val="2"/>
      <scheme val="minor"/>
    </font>
    <font>
      <b/>
      <sz val="16"/>
      <color theme="9" tint="-0.249977111117893"/>
      <name val="Calibri"/>
      <family val="2"/>
      <scheme val="minor"/>
    </font>
    <font>
      <b/>
      <sz val="11"/>
      <color theme="5" tint="-0.249977111117893"/>
      <name val="Calibri"/>
      <family val="2"/>
      <scheme val="minor"/>
    </font>
    <font>
      <sz val="11"/>
      <color theme="1" tint="4.9989318521683403E-2"/>
      <name val="Calibri"/>
      <family val="2"/>
      <scheme val="minor"/>
    </font>
    <font>
      <b/>
      <sz val="12"/>
      <color theme="1" tint="4.9989318521683403E-2"/>
      <name val="Calibri"/>
      <family val="2"/>
      <scheme val="minor"/>
    </font>
    <font>
      <b/>
      <sz val="11"/>
      <color rgb="FFFFFF00"/>
      <name val="Calibri"/>
      <family val="2"/>
      <scheme val="minor"/>
    </font>
    <font>
      <b/>
      <sz val="14"/>
      <color theme="0"/>
      <name val="Calibri"/>
      <family val="2"/>
      <scheme val="minor"/>
    </font>
    <font>
      <b/>
      <sz val="24"/>
      <color rgb="FFFF0000"/>
      <name val="Calibri"/>
      <family val="2"/>
      <scheme val="minor"/>
    </font>
    <font>
      <b/>
      <sz val="18"/>
      <color theme="0"/>
      <name val="Calibri"/>
      <family val="2"/>
      <scheme val="minor"/>
    </font>
    <font>
      <b/>
      <sz val="14"/>
      <color theme="0"/>
      <name val="Arial Black"/>
      <family val="2"/>
    </font>
    <font>
      <b/>
      <sz val="24"/>
      <color theme="1"/>
      <name val="Calibri"/>
      <family val="2"/>
      <scheme val="minor"/>
    </font>
    <font>
      <b/>
      <sz val="12"/>
      <color rgb="FFFF0000"/>
      <name val="Calibri"/>
      <family val="2"/>
      <scheme val="minor"/>
    </font>
    <font>
      <sz val="10"/>
      <name val="Arial"/>
      <family val="2"/>
    </font>
    <font>
      <b/>
      <sz val="36"/>
      <color theme="1"/>
      <name val="Calibri"/>
      <family val="2"/>
      <scheme val="minor"/>
    </font>
    <font>
      <sz val="14"/>
      <color theme="9" tint="-0.249977111117893"/>
      <name val="Calibri"/>
      <family val="2"/>
      <scheme val="minor"/>
    </font>
    <font>
      <b/>
      <sz val="12"/>
      <color rgb="FFFFFF00"/>
      <name val="Calibri"/>
      <family val="2"/>
      <scheme val="minor"/>
    </font>
    <font>
      <b/>
      <sz val="10"/>
      <color theme="1"/>
      <name val="Calibri"/>
      <family val="2"/>
      <scheme val="minor"/>
    </font>
    <font>
      <b/>
      <sz val="9"/>
      <color theme="1"/>
      <name val="Calibri"/>
      <family val="2"/>
      <scheme val="minor"/>
    </font>
    <font>
      <b/>
      <sz val="6"/>
      <color theme="1"/>
      <name val="Calibri"/>
      <family val="2"/>
      <scheme val="minor"/>
    </font>
    <font>
      <b/>
      <sz val="12"/>
      <color theme="1"/>
      <name val="Calibri"/>
      <family val="2"/>
      <scheme val="minor"/>
    </font>
    <font>
      <b/>
      <sz val="18"/>
      <color theme="1"/>
      <name val="Calibri"/>
      <family val="2"/>
      <scheme val="minor"/>
    </font>
    <font>
      <b/>
      <sz val="12"/>
      <color rgb="FF0070C0"/>
      <name val="Calibri"/>
      <family val="2"/>
      <scheme val="minor"/>
    </font>
    <font>
      <b/>
      <sz val="14"/>
      <color rgb="FF0070C0"/>
      <name val="Brush Script MT"/>
      <family val="4"/>
    </font>
  </fonts>
  <fills count="4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4" tint="0.59996337778862885"/>
        <bgColor indexed="64"/>
      </patternFill>
    </fill>
    <fill>
      <gradientFill degree="90">
        <stop position="0">
          <color theme="4" tint="-0.25098422193060094"/>
        </stop>
        <stop position="1">
          <color theme="3" tint="0.59999389629810485"/>
        </stop>
      </gradientFill>
    </fill>
    <fill>
      <patternFill patternType="solid">
        <fgColor theme="3" tint="0.599963377788628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
      <patternFill patternType="solid">
        <fgColor theme="3" tint="0.59999389629810485"/>
        <bgColor indexed="64"/>
      </patternFill>
    </fill>
    <fill>
      <patternFill patternType="solid">
        <fgColor theme="4"/>
        <bgColor theme="4"/>
      </patternFill>
    </fill>
    <fill>
      <patternFill patternType="solid">
        <fgColor theme="3"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bgColor indexed="64"/>
      </patternFill>
    </fill>
    <fill>
      <patternFill patternType="solid">
        <fgColor theme="1" tint="0.249977111117893"/>
        <bgColor indexed="64"/>
      </patternFill>
    </fill>
    <fill>
      <patternFill patternType="solid">
        <fgColor theme="6" tint="0.39994506668294322"/>
        <bgColor indexed="64"/>
      </patternFill>
    </fill>
    <fill>
      <gradientFill degree="90">
        <stop position="0">
          <color theme="6" tint="0.40000610370189521"/>
        </stop>
        <stop position="1">
          <color theme="6" tint="-0.49803155613879818"/>
        </stop>
      </gradientFill>
    </fill>
    <fill>
      <gradientFill degree="90">
        <stop position="0">
          <color theme="3" tint="0.80001220740379042"/>
        </stop>
        <stop position="1">
          <color theme="3" tint="-0.25098422193060094"/>
        </stop>
      </gradientFill>
    </fill>
    <fill>
      <patternFill patternType="solid">
        <fgColor theme="6" tint="-0.499984740745262"/>
        <bgColor indexed="64"/>
      </patternFill>
    </fill>
    <fill>
      <patternFill patternType="solid">
        <fgColor theme="9" tint="0.59996337778862885"/>
        <bgColor indexed="64"/>
      </patternFill>
    </fill>
    <fill>
      <gradientFill degree="90">
        <stop position="0">
          <color theme="9" tint="0.59999389629810485"/>
        </stop>
        <stop position="1">
          <color theme="9" tint="-0.49803155613879818"/>
        </stop>
      </gradientFill>
    </fill>
    <fill>
      <patternFill patternType="solid">
        <fgColor theme="9" tint="-0.249977111117893"/>
        <bgColor indexed="64"/>
      </patternFill>
    </fill>
    <fill>
      <patternFill patternType="solid">
        <fgColor theme="9" tint="0.39997558519241921"/>
        <bgColor theme="4" tint="0.79998168889431442"/>
      </patternFill>
    </fill>
    <fill>
      <patternFill patternType="solid">
        <fgColor theme="9" tint="0.39997558519241921"/>
        <bgColor indexed="64"/>
      </patternFill>
    </fill>
    <fill>
      <patternFill patternType="solid">
        <fgColor theme="1"/>
        <bgColor indexed="64"/>
      </patternFill>
    </fill>
    <fill>
      <gradientFill degree="270">
        <stop position="0">
          <color theme="0"/>
        </stop>
        <stop position="1">
          <color theme="4"/>
        </stop>
      </gradientFill>
    </fill>
    <fill>
      <patternFill patternType="solid">
        <fgColor theme="6"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7" tint="-0.249977111117893"/>
        <bgColor indexed="64"/>
      </patternFill>
    </fill>
    <fill>
      <gradientFill degree="90">
        <stop position="0">
          <color theme="6" tint="-0.25098422193060094"/>
        </stop>
        <stop position="1">
          <color theme="6" tint="0.59999389629810485"/>
        </stop>
      </gradientFill>
    </fill>
    <fill>
      <gradientFill degree="270">
        <stop position="0">
          <color theme="6" tint="-0.25098422193060094"/>
        </stop>
        <stop position="1">
          <color theme="6" tint="0.59999389629810485"/>
        </stop>
      </gradientFill>
    </fill>
    <fill>
      <patternFill patternType="solid">
        <fgColor theme="9" tint="0.79998168889431442"/>
        <bgColor indexed="64"/>
      </patternFill>
    </fill>
    <fill>
      <gradientFill degree="90">
        <stop position="0">
          <color theme="9" tint="0.80001220740379042"/>
        </stop>
        <stop position="1">
          <color theme="9" tint="-0.25098422193060094"/>
        </stop>
      </gradientFill>
    </fill>
    <fill>
      <patternFill patternType="solid">
        <fgColor theme="4" tint="-0.249977111117893"/>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double">
        <color theme="4"/>
      </bottom>
      <diagonal/>
    </border>
    <border>
      <left/>
      <right/>
      <top style="thin">
        <color indexed="64"/>
      </top>
      <bottom/>
      <diagonal/>
    </border>
    <border>
      <left/>
      <right/>
      <top/>
      <bottom style="thin">
        <color theme="4" tint="0.39997558519241921"/>
      </bottom>
      <diagonal/>
    </border>
    <border>
      <left style="medium">
        <color indexed="64"/>
      </left>
      <right style="medium">
        <color indexed="64"/>
      </right>
      <top style="thin">
        <color indexed="64"/>
      </top>
      <bottom style="medium">
        <color indexed="64"/>
      </bottom>
      <diagonal/>
    </border>
    <border>
      <left/>
      <right style="thin">
        <color theme="4" tint="0.39997558519241921"/>
      </right>
      <top/>
      <bottom style="thin">
        <color auto="1"/>
      </bottom>
      <diagonal/>
    </border>
    <border>
      <left style="thin">
        <color indexed="64"/>
      </left>
      <right style="thin">
        <color theme="1"/>
      </right>
      <top/>
      <bottom style="thin">
        <color indexed="64"/>
      </bottom>
      <diagonal/>
    </border>
  </borders>
  <cellStyleXfs count="14">
    <xf numFmtId="0" fontId="0" fillId="0" borderId="0"/>
    <xf numFmtId="0" fontId="30" fillId="0" borderId="0" applyNumberFormat="0" applyFill="0" applyBorder="0" applyAlignment="0" applyProtection="0"/>
    <xf numFmtId="164" fontId="31" fillId="0" borderId="0" applyFont="0" applyFill="0" applyBorder="0" applyAlignment="0" applyProtection="0"/>
    <xf numFmtId="0" fontId="32" fillId="0" borderId="0" applyNumberForma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6" fillId="0" borderId="0" applyNumberFormat="0" applyFill="0" applyBorder="0" applyAlignment="0" applyProtection="0"/>
    <xf numFmtId="0" fontId="1" fillId="0" borderId="27" applyNumberFormat="0" applyFill="0" applyAlignment="0" applyProtection="0"/>
    <xf numFmtId="0" fontId="37" fillId="0" borderId="0" applyNumberFormat="0" applyFont="0" applyFill="0" applyBorder="0">
      <alignment horizontal="right" wrapText="1"/>
    </xf>
    <xf numFmtId="172" fontId="37" fillId="0" borderId="0" applyFont="0" applyFill="0" applyBorder="0">
      <alignment horizontal="left" vertical="top"/>
    </xf>
    <xf numFmtId="0" fontId="37" fillId="0" borderId="0" applyFont="0" applyFill="0" applyBorder="0">
      <alignment horizontal="right" vertical="top" wrapText="1"/>
    </xf>
    <xf numFmtId="0" fontId="37" fillId="0" borderId="0" applyFont="0" applyFill="0" applyBorder="0">
      <alignment vertical="center" wrapText="1"/>
    </xf>
    <xf numFmtId="0" fontId="54" fillId="0" borderId="0"/>
  </cellStyleXfs>
  <cellXfs count="391">
    <xf numFmtId="0" fontId="0" fillId="0" borderId="0" xfId="0"/>
    <xf numFmtId="0" fontId="0" fillId="2" borderId="0" xfId="0" applyFill="1"/>
    <xf numFmtId="0" fontId="0" fillId="2" borderId="0" xfId="0" applyFill="1" applyBorder="1"/>
    <xf numFmtId="0" fontId="0" fillId="0" borderId="0" xfId="0" applyAlignment="1">
      <alignment horizontal="center"/>
    </xf>
    <xf numFmtId="0" fontId="0" fillId="4" borderId="0" xfId="0" applyFill="1"/>
    <xf numFmtId="0" fontId="0" fillId="5" borderId="0" xfId="0" applyFill="1"/>
    <xf numFmtId="0" fontId="0" fillId="6" borderId="0" xfId="0" applyFill="1"/>
    <xf numFmtId="0" fontId="0" fillId="8" borderId="0" xfId="0" applyFill="1"/>
    <xf numFmtId="0" fontId="0" fillId="8" borderId="6" xfId="0" applyFill="1" applyBorder="1"/>
    <xf numFmtId="0" fontId="8" fillId="8" borderId="6" xfId="0" applyFont="1" applyFill="1" applyBorder="1" applyAlignment="1">
      <alignment horizontal="center"/>
    </xf>
    <xf numFmtId="165" fontId="0" fillId="8" borderId="6" xfId="0" applyNumberFormat="1" applyFill="1" applyBorder="1"/>
    <xf numFmtId="165" fontId="8" fillId="8" borderId="6" xfId="0" applyNumberFormat="1" applyFont="1" applyFill="1" applyBorder="1" applyAlignment="1">
      <alignment horizontal="center"/>
    </xf>
    <xf numFmtId="165" fontId="0" fillId="2" borderId="0" xfId="0" applyNumberFormat="1" applyFill="1"/>
    <xf numFmtId="0" fontId="7" fillId="11" borderId="0" xfId="0" applyFont="1" applyFill="1"/>
    <xf numFmtId="0" fontId="5" fillId="11" borderId="0" xfId="0" applyFont="1" applyFill="1"/>
    <xf numFmtId="0" fontId="6" fillId="11" borderId="0" xfId="0" applyFont="1" applyFill="1" applyAlignment="1">
      <alignment horizontal="left"/>
    </xf>
    <xf numFmtId="0" fontId="1" fillId="0" borderId="3" xfId="0" applyFont="1" applyBorder="1" applyAlignment="1">
      <alignment horizontal="center"/>
    </xf>
    <xf numFmtId="0" fontId="0" fillId="0" borderId="1" xfId="0" applyBorder="1"/>
    <xf numFmtId="0" fontId="0" fillId="0" borderId="2" xfId="0" applyBorder="1"/>
    <xf numFmtId="0" fontId="0" fillId="0" borderId="4" xfId="0" applyBorder="1"/>
    <xf numFmtId="0" fontId="0" fillId="0" borderId="3" xfId="0" applyBorder="1"/>
    <xf numFmtId="0" fontId="0" fillId="3" borderId="8" xfId="0" applyFont="1" applyFill="1" applyBorder="1"/>
    <xf numFmtId="0" fontId="0" fillId="0" borderId="8" xfId="0" applyFont="1" applyBorder="1"/>
    <xf numFmtId="0" fontId="3" fillId="12" borderId="9" xfId="0" applyFont="1" applyFill="1" applyBorder="1" applyAlignment="1">
      <alignment horizontal="center"/>
    </xf>
    <xf numFmtId="1" fontId="4" fillId="8" borderId="7" xfId="0" applyNumberFormat="1" applyFont="1" applyFill="1" applyBorder="1" applyAlignment="1">
      <alignment horizontal="center" vertical="center"/>
    </xf>
    <xf numFmtId="1" fontId="8" fillId="8" borderId="5" xfId="0" applyNumberFormat="1" applyFont="1" applyFill="1" applyBorder="1" applyAlignment="1">
      <alignment horizontal="center"/>
    </xf>
    <xf numFmtId="1" fontId="0" fillId="2" borderId="0" xfId="0" applyNumberFormat="1" applyFill="1"/>
    <xf numFmtId="0" fontId="8" fillId="9" borderId="6" xfId="0" applyFont="1" applyFill="1" applyBorder="1" applyAlignment="1">
      <alignment horizontal="center"/>
    </xf>
    <xf numFmtId="165" fontId="8" fillId="9" borderId="6" xfId="0" applyNumberFormat="1" applyFont="1" applyFill="1" applyBorder="1" applyAlignment="1">
      <alignment horizontal="center"/>
    </xf>
    <xf numFmtId="1" fontId="8" fillId="9" borderId="5" xfId="0" applyNumberFormat="1" applyFont="1" applyFill="1" applyBorder="1" applyAlignment="1">
      <alignment horizontal="center"/>
    </xf>
    <xf numFmtId="0" fontId="16" fillId="6" borderId="0" xfId="0" applyFont="1" applyFill="1"/>
    <xf numFmtId="0" fontId="14" fillId="9" borderId="1" xfId="0" applyFont="1" applyFill="1" applyBorder="1" applyAlignment="1">
      <alignment horizontal="center"/>
    </xf>
    <xf numFmtId="0" fontId="11" fillId="9" borderId="1" xfId="0" applyFont="1" applyFill="1" applyBorder="1" applyAlignment="1">
      <alignment horizontal="center"/>
    </xf>
    <xf numFmtId="0" fontId="1" fillId="9" borderId="1" xfId="0" applyFont="1" applyFill="1" applyBorder="1"/>
    <xf numFmtId="0" fontId="17" fillId="9" borderId="1" xfId="0" applyFont="1" applyFill="1" applyBorder="1" applyAlignment="1">
      <alignment horizontal="center"/>
    </xf>
    <xf numFmtId="0" fontId="17" fillId="9" borderId="1" xfId="0" applyFont="1" applyFill="1" applyBorder="1"/>
    <xf numFmtId="166" fontId="1" fillId="9" borderId="1" xfId="0" applyNumberFormat="1" applyFont="1" applyFill="1" applyBorder="1"/>
    <xf numFmtId="167" fontId="17" fillId="9" borderId="1" xfId="0" applyNumberFormat="1" applyFont="1" applyFill="1" applyBorder="1" applyAlignment="1">
      <alignment horizontal="center"/>
    </xf>
    <xf numFmtId="0" fontId="0" fillId="9" borderId="1" xfId="0" applyFill="1" applyBorder="1"/>
    <xf numFmtId="0" fontId="0" fillId="0" borderId="12" xfId="0" applyBorder="1"/>
    <xf numFmtId="0" fontId="0" fillId="0" borderId="7" xfId="0" applyBorder="1"/>
    <xf numFmtId="0" fontId="0" fillId="3" borderId="1" xfId="0" applyFont="1" applyFill="1" applyBorder="1"/>
    <xf numFmtId="0" fontId="0" fillId="0" borderId="1" xfId="0" applyFont="1" applyBorder="1"/>
    <xf numFmtId="0" fontId="8" fillId="8" borderId="1" xfId="0" applyFont="1" applyFill="1" applyBorder="1" applyAlignment="1">
      <alignment horizontal="center"/>
    </xf>
    <xf numFmtId="165" fontId="8" fillId="8" borderId="1" xfId="0" applyNumberFormat="1" applyFont="1" applyFill="1" applyBorder="1" applyAlignment="1">
      <alignment horizontal="center"/>
    </xf>
    <xf numFmtId="1" fontId="8" fillId="8" borderId="1" xfId="0" applyNumberFormat="1" applyFont="1" applyFill="1" applyBorder="1" applyAlignment="1">
      <alignment horizontal="center"/>
    </xf>
    <xf numFmtId="0" fontId="8" fillId="14" borderId="6" xfId="0" applyFont="1" applyFill="1" applyBorder="1" applyAlignment="1">
      <alignment horizontal="center"/>
    </xf>
    <xf numFmtId="1" fontId="8" fillId="14" borderId="5" xfId="0" applyNumberFormat="1" applyFont="1" applyFill="1" applyBorder="1" applyAlignment="1">
      <alignment horizontal="center"/>
    </xf>
    <xf numFmtId="0" fontId="20" fillId="11" borderId="0" xfId="0" applyFont="1" applyFill="1"/>
    <xf numFmtId="0" fontId="21" fillId="11" borderId="0" xfId="0" applyFont="1" applyFill="1" applyAlignment="1">
      <alignment horizontal="left"/>
    </xf>
    <xf numFmtId="0" fontId="22" fillId="15" borderId="0" xfId="0" applyFont="1" applyFill="1"/>
    <xf numFmtId="0" fontId="0" fillId="16" borderId="0" xfId="0" applyFill="1"/>
    <xf numFmtId="0" fontId="23" fillId="0" borderId="0" xfId="0" applyFont="1" applyAlignment="1">
      <alignment horizontal="center"/>
    </xf>
    <xf numFmtId="0" fontId="0" fillId="17" borderId="16" xfId="0" applyFill="1" applyBorder="1"/>
    <xf numFmtId="0" fontId="0" fillId="17" borderId="17" xfId="0" applyFill="1" applyBorder="1"/>
    <xf numFmtId="0" fontId="23" fillId="17" borderId="17" xfId="0" applyFont="1" applyFill="1" applyBorder="1" applyAlignment="1">
      <alignment horizontal="center"/>
    </xf>
    <xf numFmtId="0" fontId="0" fillId="17" borderId="18" xfId="0" applyFill="1" applyBorder="1"/>
    <xf numFmtId="0" fontId="0" fillId="17" borderId="19" xfId="0" applyFill="1" applyBorder="1"/>
    <xf numFmtId="0" fontId="0" fillId="17" borderId="0" xfId="0" applyFill="1" applyBorder="1"/>
    <xf numFmtId="0" fontId="23" fillId="17" borderId="0" xfId="0" applyFont="1" applyFill="1" applyBorder="1" applyAlignment="1">
      <alignment horizontal="center"/>
    </xf>
    <xf numFmtId="0" fontId="0" fillId="17" borderId="20" xfId="0" applyFill="1" applyBorder="1"/>
    <xf numFmtId="0" fontId="0" fillId="17" borderId="0" xfId="0" applyFill="1" applyBorder="1" applyAlignment="1">
      <alignment horizontal="center"/>
    </xf>
    <xf numFmtId="0" fontId="24" fillId="17" borderId="0" xfId="0" applyFont="1" applyFill="1" applyBorder="1"/>
    <xf numFmtId="0" fontId="0" fillId="17" borderId="21" xfId="0" applyFill="1" applyBorder="1"/>
    <xf numFmtId="0" fontId="0" fillId="17" borderId="22" xfId="0" applyFill="1" applyBorder="1"/>
    <xf numFmtId="0" fontId="23" fillId="17" borderId="22" xfId="0" applyFont="1" applyFill="1" applyBorder="1" applyAlignment="1">
      <alignment horizontal="center"/>
    </xf>
    <xf numFmtId="0" fontId="0" fillId="17" borderId="23" xfId="0" applyFill="1" applyBorder="1"/>
    <xf numFmtId="0" fontId="25" fillId="0" borderId="0" xfId="0" applyFont="1"/>
    <xf numFmtId="167" fontId="8" fillId="8" borderId="5" xfId="0" applyNumberFormat="1" applyFont="1" applyFill="1" applyBorder="1" applyAlignment="1">
      <alignment horizontal="center"/>
    </xf>
    <xf numFmtId="167" fontId="8" fillId="8" borderId="1" xfId="0" applyNumberFormat="1" applyFont="1" applyFill="1" applyBorder="1" applyAlignment="1">
      <alignment horizontal="center"/>
    </xf>
    <xf numFmtId="2" fontId="8" fillId="8" borderId="5" xfId="0" applyNumberFormat="1" applyFont="1" applyFill="1" applyBorder="1" applyAlignment="1">
      <alignment horizontal="center"/>
    </xf>
    <xf numFmtId="2" fontId="8" fillId="8" borderId="1" xfId="0" applyNumberFormat="1" applyFont="1" applyFill="1" applyBorder="1" applyAlignment="1">
      <alignment horizontal="center"/>
    </xf>
    <xf numFmtId="1" fontId="26" fillId="15" borderId="7" xfId="0" applyNumberFormat="1" applyFont="1" applyFill="1" applyBorder="1" applyAlignment="1">
      <alignment horizontal="center"/>
    </xf>
    <xf numFmtId="0" fontId="26" fillId="15" borderId="9" xfId="0" applyFont="1" applyFill="1" applyBorder="1" applyAlignment="1">
      <alignment horizontal="center"/>
    </xf>
    <xf numFmtId="0" fontId="26" fillId="15" borderId="7" xfId="0" applyFont="1" applyFill="1" applyBorder="1" applyAlignment="1">
      <alignment horizontal="center"/>
    </xf>
    <xf numFmtId="165" fontId="26" fillId="15" borderId="7" xfId="0" applyNumberFormat="1" applyFont="1" applyFill="1" applyBorder="1" applyAlignment="1">
      <alignment horizontal="center"/>
    </xf>
    <xf numFmtId="1" fontId="26" fillId="15" borderId="10" xfId="0" applyNumberFormat="1" applyFont="1" applyFill="1" applyBorder="1" applyAlignment="1">
      <alignment horizontal="center"/>
    </xf>
    <xf numFmtId="170" fontId="26" fillId="15" borderId="7" xfId="0" applyNumberFormat="1" applyFont="1" applyFill="1" applyBorder="1" applyAlignment="1">
      <alignment horizontal="center"/>
    </xf>
    <xf numFmtId="170" fontId="0" fillId="0" borderId="0" xfId="0" applyNumberFormat="1"/>
    <xf numFmtId="0" fontId="0" fillId="0" borderId="0" xfId="0" pivotButton="1"/>
    <xf numFmtId="170" fontId="0" fillId="0" borderId="0" xfId="0" applyNumberFormat="1" applyAlignment="1">
      <alignment horizontal="left"/>
    </xf>
    <xf numFmtId="167" fontId="0" fillId="0" borderId="0" xfId="0" applyNumberFormat="1"/>
    <xf numFmtId="0" fontId="1" fillId="9" borderId="12" xfId="0" applyFont="1" applyFill="1" applyBorder="1" applyAlignment="1">
      <alignment horizontal="center"/>
    </xf>
    <xf numFmtId="0" fontId="0" fillId="9" borderId="2" xfId="0" applyFill="1" applyBorder="1" applyAlignment="1">
      <alignment horizontal="center"/>
    </xf>
    <xf numFmtId="0" fontId="1" fillId="9" borderId="2" xfId="0" applyFont="1" applyFill="1" applyBorder="1" applyAlignment="1">
      <alignment horizontal="center"/>
    </xf>
    <xf numFmtId="0" fontId="14" fillId="9" borderId="11" xfId="0" applyFont="1" applyFill="1" applyBorder="1" applyAlignment="1">
      <alignment horizontal="center"/>
    </xf>
    <xf numFmtId="0" fontId="14" fillId="9" borderId="3" xfId="0" applyFont="1" applyFill="1" applyBorder="1" applyAlignment="1">
      <alignment horizontal="center"/>
    </xf>
    <xf numFmtId="0" fontId="14" fillId="9" borderId="4" xfId="0" applyFont="1" applyFill="1" applyBorder="1" applyAlignment="1">
      <alignment horizontal="center"/>
    </xf>
    <xf numFmtId="0" fontId="1" fillId="9" borderId="5" xfId="0" applyFont="1" applyFill="1" applyBorder="1"/>
    <xf numFmtId="0" fontId="0" fillId="9" borderId="6" xfId="0" applyFill="1" applyBorder="1" applyAlignment="1">
      <alignment horizontal="center"/>
    </xf>
    <xf numFmtId="4" fontId="14" fillId="9" borderId="3" xfId="0" applyNumberFormat="1" applyFont="1" applyFill="1" applyBorder="1" applyAlignment="1">
      <alignment horizontal="center"/>
    </xf>
    <xf numFmtId="4" fontId="1" fillId="9" borderId="1" xfId="0" applyNumberFormat="1" applyFont="1" applyFill="1" applyBorder="1"/>
    <xf numFmtId="4" fontId="0" fillId="9" borderId="1" xfId="0" applyNumberFormat="1" applyFill="1" applyBorder="1"/>
    <xf numFmtId="4" fontId="1" fillId="9" borderId="5" xfId="0" applyNumberFormat="1" applyFont="1" applyFill="1" applyBorder="1"/>
    <xf numFmtId="4" fontId="0" fillId="0" borderId="0" xfId="0" applyNumberFormat="1"/>
    <xf numFmtId="0" fontId="0" fillId="0" borderId="6" xfId="0" applyBorder="1"/>
    <xf numFmtId="0" fontId="27" fillId="0" borderId="3" xfId="0" applyFont="1" applyBorder="1" applyAlignment="1">
      <alignment horizontal="center"/>
    </xf>
    <xf numFmtId="0" fontId="27" fillId="0" borderId="11" xfId="0" applyFont="1" applyBorder="1" applyAlignment="1">
      <alignment horizontal="center"/>
    </xf>
    <xf numFmtId="0" fontId="27" fillId="0" borderId="4" xfId="0" applyFont="1" applyBorder="1" applyAlignment="1">
      <alignment horizontal="center"/>
    </xf>
    <xf numFmtId="0" fontId="0" fillId="0" borderId="5" xfId="0" applyBorder="1"/>
    <xf numFmtId="0" fontId="30" fillId="0" borderId="5" xfId="1" applyBorder="1"/>
    <xf numFmtId="0" fontId="0" fillId="0" borderId="8" xfId="0" applyBorder="1" applyAlignment="1">
      <alignment horizontal="center"/>
    </xf>
    <xf numFmtId="0" fontId="0" fillId="0" borderId="0" xfId="0" applyAlignment="1">
      <alignment wrapText="1"/>
    </xf>
    <xf numFmtId="0" fontId="33" fillId="0" borderId="24" xfId="4"/>
    <xf numFmtId="0" fontId="34" fillId="0" borderId="25" xfId="5" applyAlignment="1">
      <alignment horizontal="centerContinuous" vertical="top" wrapText="1"/>
    </xf>
    <xf numFmtId="0" fontId="17" fillId="0" borderId="0" xfId="9" applyFont="1">
      <alignment horizontal="right" wrapText="1"/>
    </xf>
    <xf numFmtId="171" fontId="0" fillId="0" borderId="0" xfId="9" applyNumberFormat="1" applyFont="1">
      <alignment horizontal="right" wrapText="1"/>
    </xf>
    <xf numFmtId="0" fontId="0" fillId="0" borderId="0" xfId="9" applyFont="1">
      <alignment horizontal="right" wrapText="1"/>
    </xf>
    <xf numFmtId="172" fontId="0" fillId="0" borderId="0" xfId="10" applyFont="1">
      <alignment horizontal="left" vertical="top"/>
    </xf>
    <xf numFmtId="0" fontId="17" fillId="0" borderId="0" xfId="11" applyFont="1">
      <alignment horizontal="right" vertical="top" wrapText="1"/>
    </xf>
    <xf numFmtId="0" fontId="38" fillId="0" borderId="0" xfId="11" applyFont="1">
      <alignment horizontal="right" vertical="top" wrapText="1"/>
    </xf>
    <xf numFmtId="0" fontId="35" fillId="0" borderId="26" xfId="6"/>
    <xf numFmtId="0" fontId="22" fillId="0" borderId="0" xfId="0" applyFont="1" applyAlignment="1">
      <alignment wrapText="1"/>
    </xf>
    <xf numFmtId="0" fontId="1" fillId="0" borderId="28" xfId="8" applyBorder="1" applyAlignment="1">
      <alignment horizontal="right" vertical="center"/>
    </xf>
    <xf numFmtId="173" fontId="31" fillId="8" borderId="3" xfId="2" applyNumberFormat="1" applyFont="1" applyFill="1" applyBorder="1" applyAlignment="1">
      <alignment horizontal="right" vertical="center"/>
    </xf>
    <xf numFmtId="0" fontId="2" fillId="19" borderId="1" xfId="0" applyFont="1" applyFill="1" applyBorder="1" applyAlignment="1">
      <alignment horizontal="center" vertical="center"/>
    </xf>
    <xf numFmtId="0" fontId="0" fillId="0" borderId="1" xfId="12" applyFont="1" applyBorder="1" applyAlignment="1">
      <alignment vertical="center"/>
    </xf>
    <xf numFmtId="0" fontId="0" fillId="0" borderId="1" xfId="12" applyFont="1" applyBorder="1">
      <alignment vertical="center" wrapText="1"/>
    </xf>
    <xf numFmtId="0" fontId="0" fillId="0" borderId="1" xfId="12" applyFont="1" applyBorder="1" applyAlignment="1">
      <alignment horizontal="center" vertical="center"/>
    </xf>
    <xf numFmtId="164" fontId="0" fillId="0" borderId="1" xfId="2" applyFont="1" applyBorder="1" applyAlignment="1">
      <alignment horizontal="right" vertical="center"/>
    </xf>
    <xf numFmtId="0" fontId="0" fillId="18" borderId="0" xfId="0" applyFill="1"/>
    <xf numFmtId="0" fontId="0" fillId="18" borderId="0" xfId="0" applyFill="1" applyBorder="1"/>
    <xf numFmtId="0" fontId="0" fillId="20" borderId="0" xfId="0" applyFill="1"/>
    <xf numFmtId="0" fontId="39" fillId="20" borderId="22" xfId="0" applyFont="1" applyFill="1" applyBorder="1" applyAlignment="1"/>
    <xf numFmtId="0" fontId="0" fillId="20" borderId="22" xfId="0" applyFill="1" applyBorder="1" applyAlignment="1"/>
    <xf numFmtId="0" fontId="0" fillId="20" borderId="22" xfId="0" applyFill="1" applyBorder="1"/>
    <xf numFmtId="164" fontId="0" fillId="20" borderId="1" xfId="2" applyFont="1" applyFill="1" applyBorder="1"/>
    <xf numFmtId="164" fontId="0" fillId="20" borderId="2" xfId="2" applyFont="1" applyFill="1" applyBorder="1"/>
    <xf numFmtId="164" fontId="0" fillId="20" borderId="5" xfId="2" applyFont="1" applyFill="1" applyBorder="1"/>
    <xf numFmtId="164" fontId="0" fillId="20" borderId="6" xfId="2" applyFont="1" applyFill="1" applyBorder="1"/>
    <xf numFmtId="0" fontId="0" fillId="21" borderId="0" xfId="0" applyFill="1"/>
    <xf numFmtId="0" fontId="0" fillId="14" borderId="0" xfId="0" applyFill="1"/>
    <xf numFmtId="0" fontId="0" fillId="14" borderId="22" xfId="0" applyFill="1" applyBorder="1"/>
    <xf numFmtId="0" fontId="0" fillId="14" borderId="0" xfId="0" applyFill="1" applyAlignment="1">
      <alignment horizontal="center"/>
    </xf>
    <xf numFmtId="175" fontId="0" fillId="14" borderId="0" xfId="0" applyNumberFormat="1" applyFill="1" applyAlignment="1">
      <alignment horizontal="center"/>
    </xf>
    <xf numFmtId="0" fontId="0" fillId="14" borderId="0" xfId="0" applyFill="1" applyBorder="1" applyAlignment="1">
      <alignment horizontal="center"/>
    </xf>
    <xf numFmtId="174" fontId="0" fillId="14" borderId="0" xfId="0" applyNumberFormat="1" applyFill="1" applyBorder="1" applyAlignment="1">
      <alignment horizontal="center"/>
    </xf>
    <xf numFmtId="174" fontId="0" fillId="14" borderId="0" xfId="0" applyNumberFormat="1" applyFill="1" applyAlignment="1">
      <alignment horizontal="center"/>
    </xf>
    <xf numFmtId="0" fontId="0" fillId="22" borderId="0" xfId="0" applyFill="1"/>
    <xf numFmtId="0" fontId="42" fillId="13" borderId="0" xfId="0" applyFont="1" applyFill="1" applyAlignment="1">
      <alignment horizontal="center"/>
    </xf>
    <xf numFmtId="0" fontId="19" fillId="23" borderId="11" xfId="0" applyFont="1" applyFill="1" applyBorder="1" applyAlignment="1">
      <alignment horizontal="center" vertical="center"/>
    </xf>
    <xf numFmtId="0" fontId="19" fillId="23" borderId="3" xfId="0" applyFont="1" applyFill="1" applyBorder="1" applyAlignment="1">
      <alignment horizontal="center" vertical="center"/>
    </xf>
    <xf numFmtId="0" fontId="19" fillId="23" borderId="4" xfId="0" applyFont="1" applyFill="1" applyBorder="1" applyAlignment="1">
      <alignment horizontal="center" vertical="center"/>
    </xf>
    <xf numFmtId="0" fontId="0" fillId="24" borderId="0" xfId="0" applyFill="1"/>
    <xf numFmtId="0" fontId="0" fillId="24" borderId="22" xfId="0" applyFill="1" applyBorder="1"/>
    <xf numFmtId="0" fontId="0" fillId="24" borderId="0" xfId="0" applyFill="1" applyAlignment="1">
      <alignment horizontal="center"/>
    </xf>
    <xf numFmtId="0" fontId="0" fillId="25" borderId="0" xfId="0" applyFill="1"/>
    <xf numFmtId="0" fontId="2" fillId="26" borderId="0" xfId="0" applyFont="1" applyFill="1"/>
    <xf numFmtId="14" fontId="0" fillId="24" borderId="0" xfId="0" applyNumberFormat="1" applyFill="1"/>
    <xf numFmtId="0" fontId="2" fillId="26" borderId="0" xfId="0" applyFont="1" applyFill="1" applyAlignment="1">
      <alignment horizontal="center"/>
    </xf>
    <xf numFmtId="0" fontId="0" fillId="25" borderId="0" xfId="0" applyFill="1" applyAlignment="1">
      <alignment horizontal="center"/>
    </xf>
    <xf numFmtId="0" fontId="27" fillId="9" borderId="1" xfId="0" applyFont="1" applyFill="1" applyBorder="1" applyAlignment="1">
      <alignment horizontal="center"/>
    </xf>
    <xf numFmtId="0" fontId="27" fillId="9" borderId="5" xfId="0" applyFont="1" applyFill="1" applyBorder="1" applyAlignment="1">
      <alignment horizontal="center"/>
    </xf>
    <xf numFmtId="0" fontId="0" fillId="20" borderId="0" xfId="0" applyFill="1" applyAlignment="1">
      <alignment horizontal="center"/>
    </xf>
    <xf numFmtId="0" fontId="0" fillId="20" borderId="22" xfId="0" applyFill="1" applyBorder="1" applyAlignment="1">
      <alignment horizontal="center"/>
    </xf>
    <xf numFmtId="0" fontId="0" fillId="20" borderId="1" xfId="0" applyFill="1" applyBorder="1" applyAlignment="1">
      <alignment horizontal="center"/>
    </xf>
    <xf numFmtId="0" fontId="0" fillId="21" borderId="0" xfId="0" applyFill="1" applyAlignment="1">
      <alignment horizontal="center"/>
    </xf>
    <xf numFmtId="0" fontId="0" fillId="18" borderId="0" xfId="0" applyFill="1" applyAlignment="1">
      <alignment horizontal="center"/>
    </xf>
    <xf numFmtId="0" fontId="0" fillId="18" borderId="0" xfId="0" applyFill="1" applyBorder="1" applyAlignment="1">
      <alignment horizontal="center"/>
    </xf>
    <xf numFmtId="0" fontId="44" fillId="27" borderId="8" xfId="0" applyFont="1" applyFill="1" applyBorder="1" applyAlignment="1">
      <alignment horizontal="center"/>
    </xf>
    <xf numFmtId="0" fontId="44" fillId="28" borderId="8" xfId="0" applyFont="1" applyFill="1" applyBorder="1" applyAlignment="1">
      <alignment horizontal="center"/>
    </xf>
    <xf numFmtId="0" fontId="1" fillId="20" borderId="1" xfId="0" applyFont="1" applyFill="1" applyBorder="1"/>
    <xf numFmtId="0" fontId="0" fillId="18" borderId="0" xfId="0" applyFont="1" applyFill="1" applyAlignment="1">
      <alignment horizontal="center"/>
    </xf>
    <xf numFmtId="14" fontId="0" fillId="18" borderId="0" xfId="0" applyNumberFormat="1" applyFont="1" applyFill="1" applyAlignment="1">
      <alignment horizontal="center"/>
    </xf>
    <xf numFmtId="0" fontId="0" fillId="18" borderId="0" xfId="0" applyFont="1" applyFill="1" applyBorder="1" applyAlignment="1">
      <alignment horizontal="center"/>
    </xf>
    <xf numFmtId="174" fontId="0" fillId="18" borderId="0" xfId="0" applyNumberFormat="1" applyFont="1" applyFill="1" applyAlignment="1">
      <alignment horizontal="center"/>
    </xf>
    <xf numFmtId="0" fontId="45" fillId="18" borderId="0" xfId="0" applyFont="1" applyFill="1" applyAlignment="1">
      <alignment horizontal="center"/>
    </xf>
    <xf numFmtId="0" fontId="0" fillId="18" borderId="0" xfId="0" applyNumberFormat="1" applyFill="1" applyAlignment="1">
      <alignment horizontal="center"/>
    </xf>
    <xf numFmtId="0" fontId="45" fillId="18" borderId="0" xfId="0" applyNumberFormat="1" applyFont="1" applyFill="1" applyAlignment="1">
      <alignment horizontal="center"/>
    </xf>
    <xf numFmtId="0" fontId="46" fillId="11" borderId="1" xfId="0" applyFont="1" applyFill="1" applyBorder="1" applyAlignment="1">
      <alignment horizontal="center"/>
    </xf>
    <xf numFmtId="0" fontId="47" fillId="10" borderId="1" xfId="0" applyFont="1" applyFill="1" applyBorder="1" applyAlignment="1">
      <alignment horizontal="center"/>
    </xf>
    <xf numFmtId="170" fontId="8" fillId="18" borderId="3" xfId="0" applyNumberFormat="1" applyFont="1" applyFill="1" applyBorder="1" applyAlignment="1">
      <alignment horizontal="center"/>
    </xf>
    <xf numFmtId="0" fontId="8" fillId="18" borderId="11" xfId="0" applyFont="1" applyFill="1" applyBorder="1" applyAlignment="1">
      <alignment horizontal="center"/>
    </xf>
    <xf numFmtId="0" fontId="8" fillId="18" borderId="3" xfId="0" applyFont="1" applyFill="1" applyBorder="1" applyAlignment="1">
      <alignment horizontal="center"/>
    </xf>
    <xf numFmtId="165" fontId="8" fillId="18" borderId="3" xfId="0" applyNumberFormat="1" applyFont="1" applyFill="1" applyBorder="1" applyAlignment="1">
      <alignment horizontal="center"/>
    </xf>
    <xf numFmtId="1" fontId="8" fillId="18" borderId="3" xfId="0" applyNumberFormat="1" applyFont="1" applyFill="1" applyBorder="1" applyAlignment="1">
      <alignment horizontal="center"/>
    </xf>
    <xf numFmtId="1" fontId="8" fillId="18" borderId="4" xfId="0" applyNumberFormat="1" applyFont="1" applyFill="1" applyBorder="1" applyAlignment="1">
      <alignment horizontal="center"/>
    </xf>
    <xf numFmtId="170" fontId="8" fillId="18" borderId="7" xfId="0" applyNumberFormat="1" applyFont="1" applyFill="1" applyBorder="1" applyAlignment="1">
      <alignment horizontal="center"/>
    </xf>
    <xf numFmtId="0" fontId="8" fillId="18" borderId="9" xfId="0" applyFont="1" applyFill="1" applyBorder="1" applyAlignment="1">
      <alignment horizontal="center"/>
    </xf>
    <xf numFmtId="0" fontId="8" fillId="18" borderId="7" xfId="0" applyFont="1" applyFill="1" applyBorder="1" applyAlignment="1">
      <alignment horizontal="center"/>
    </xf>
    <xf numFmtId="165" fontId="8" fillId="18" borderId="7" xfId="0" applyNumberFormat="1" applyFont="1" applyFill="1" applyBorder="1" applyAlignment="1">
      <alignment horizontal="center"/>
    </xf>
    <xf numFmtId="1" fontId="8" fillId="18" borderId="7" xfId="0" applyNumberFormat="1" applyFont="1" applyFill="1" applyBorder="1" applyAlignment="1">
      <alignment horizontal="center"/>
    </xf>
    <xf numFmtId="1" fontId="8" fillId="18" borderId="10" xfId="0" applyNumberFormat="1" applyFont="1" applyFill="1" applyBorder="1" applyAlignment="1">
      <alignment horizontal="center"/>
    </xf>
    <xf numFmtId="0" fontId="48" fillId="29" borderId="0" xfId="0" applyFont="1" applyFill="1" applyAlignment="1">
      <alignment horizontal="center"/>
    </xf>
    <xf numFmtId="0" fontId="0" fillId="13" borderId="0" xfId="0" applyFill="1"/>
    <xf numFmtId="0" fontId="2" fillId="13" borderId="0" xfId="0" applyFont="1" applyFill="1" applyAlignment="1">
      <alignment vertical="center"/>
    </xf>
    <xf numFmtId="0" fontId="50" fillId="13" borderId="0" xfId="0" applyFont="1" applyFill="1" applyAlignment="1">
      <alignment vertical="center"/>
    </xf>
    <xf numFmtId="14" fontId="50" fillId="13" borderId="0" xfId="0" applyNumberFormat="1" applyFont="1" applyFill="1" applyAlignment="1">
      <alignment vertical="center"/>
    </xf>
    <xf numFmtId="0" fontId="0" fillId="13" borderId="0" xfId="0" applyFill="1" applyAlignment="1">
      <alignment horizontal="center"/>
    </xf>
    <xf numFmtId="0" fontId="0" fillId="13" borderId="0" xfId="0" applyFill="1" applyAlignment="1">
      <alignment horizontal="left"/>
    </xf>
    <xf numFmtId="0" fontId="0" fillId="13" borderId="0" xfId="0" applyNumberFormat="1" applyFill="1" applyAlignment="1">
      <alignment horizontal="center"/>
    </xf>
    <xf numFmtId="0" fontId="0" fillId="30" borderId="0" xfId="0" applyFill="1"/>
    <xf numFmtId="0" fontId="0" fillId="30" borderId="0" xfId="0" applyFill="1" applyAlignment="1">
      <alignment horizontal="center"/>
    </xf>
    <xf numFmtId="0" fontId="0" fillId="6" borderId="0" xfId="0" applyFill="1" applyAlignment="1">
      <alignment horizontal="center"/>
    </xf>
    <xf numFmtId="0" fontId="0" fillId="6" borderId="0" xfId="0" applyFill="1" applyAlignment="1">
      <alignment horizontal="center" vertical="center"/>
    </xf>
    <xf numFmtId="0" fontId="0" fillId="31" borderId="6" xfId="0" applyFill="1" applyBorder="1"/>
    <xf numFmtId="0" fontId="0" fillId="31" borderId="10" xfId="0" applyFill="1" applyBorder="1"/>
    <xf numFmtId="0" fontId="0" fillId="31" borderId="4" xfId="0" applyFill="1" applyBorder="1"/>
    <xf numFmtId="0" fontId="0" fillId="31" borderId="13" xfId="0" applyFill="1" applyBorder="1"/>
    <xf numFmtId="0" fontId="3" fillId="29" borderId="0" xfId="0" applyFont="1" applyFill="1" applyBorder="1" applyAlignment="1">
      <alignment horizontal="center"/>
    </xf>
    <xf numFmtId="0" fontId="0" fillId="2" borderId="1" xfId="0" applyFill="1" applyBorder="1"/>
    <xf numFmtId="0" fontId="0" fillId="2" borderId="14" xfId="0" applyFill="1" applyBorder="1"/>
    <xf numFmtId="0" fontId="0" fillId="2" borderId="29" xfId="0" applyFill="1" applyBorder="1"/>
    <xf numFmtId="0" fontId="20" fillId="18" borderId="13" xfId="0" applyFont="1" applyFill="1" applyBorder="1"/>
    <xf numFmtId="0" fontId="0" fillId="34" borderId="13" xfId="0" applyFont="1" applyFill="1" applyBorder="1"/>
    <xf numFmtId="0" fontId="27" fillId="32" borderId="1" xfId="0" applyFont="1" applyFill="1" applyBorder="1" applyAlignment="1">
      <alignment horizontal="center" vertical="center"/>
    </xf>
    <xf numFmtId="0" fontId="27" fillId="28" borderId="1" xfId="0" applyFont="1" applyFill="1" applyBorder="1" applyAlignment="1">
      <alignment horizontal="center" vertical="center"/>
    </xf>
    <xf numFmtId="0" fontId="27" fillId="33" borderId="1" xfId="0" applyFont="1" applyFill="1" applyBorder="1" applyAlignment="1">
      <alignment horizontal="center" vertical="center"/>
    </xf>
    <xf numFmtId="164" fontId="0" fillId="20" borderId="0" xfId="0" applyNumberFormat="1" applyFill="1"/>
    <xf numFmtId="0" fontId="53" fillId="9" borderId="1" xfId="0" applyFont="1" applyFill="1" applyBorder="1"/>
    <xf numFmtId="0" fontId="0" fillId="37" borderId="0" xfId="0" applyFill="1"/>
    <xf numFmtId="0" fontId="25" fillId="37" borderId="0" xfId="0" applyFont="1" applyFill="1"/>
    <xf numFmtId="0" fontId="0" fillId="17" borderId="0" xfId="0" applyFill="1"/>
    <xf numFmtId="0" fontId="1" fillId="3" borderId="30" xfId="0" applyFont="1" applyFill="1" applyBorder="1"/>
    <xf numFmtId="0" fontId="25" fillId="20" borderId="0" xfId="0" applyFont="1" applyFill="1"/>
    <xf numFmtId="0" fontId="42" fillId="0" borderId="0" xfId="0" pivotButton="1" applyFont="1" applyAlignment="1">
      <alignment horizontal="center"/>
    </xf>
    <xf numFmtId="0" fontId="42" fillId="0" borderId="0" xfId="0" applyFont="1" applyAlignment="1">
      <alignment horizontal="center"/>
    </xf>
    <xf numFmtId="0" fontId="0" fillId="38" borderId="0" xfId="0" applyFill="1"/>
    <xf numFmtId="0" fontId="0" fillId="38" borderId="0" xfId="0" applyFill="1" applyAlignment="1">
      <alignment horizontal="center"/>
    </xf>
    <xf numFmtId="0" fontId="0" fillId="38" borderId="0" xfId="0" applyFill="1" applyBorder="1"/>
    <xf numFmtId="0" fontId="0" fillId="38" borderId="0" xfId="0" applyFill="1" applyBorder="1" applyAlignment="1">
      <alignment horizontal="center"/>
    </xf>
    <xf numFmtId="0" fontId="50" fillId="38" borderId="0" xfId="0" applyFont="1" applyFill="1" applyBorder="1" applyAlignment="1">
      <alignment horizontal="left"/>
    </xf>
    <xf numFmtId="164" fontId="50" fillId="38" borderId="0" xfId="0" applyNumberFormat="1" applyFont="1" applyFill="1" applyBorder="1"/>
    <xf numFmtId="0" fontId="50" fillId="26" borderId="1" xfId="0" applyFont="1" applyFill="1" applyBorder="1" applyAlignment="1">
      <alignment horizontal="left"/>
    </xf>
    <xf numFmtId="164" fontId="50" fillId="26" borderId="1" xfId="0" applyNumberFormat="1" applyFont="1" applyFill="1" applyBorder="1"/>
    <xf numFmtId="0" fontId="23" fillId="9" borderId="15" xfId="0" applyFont="1" applyFill="1" applyBorder="1" applyAlignment="1">
      <alignment horizontal="center"/>
    </xf>
    <xf numFmtId="0" fontId="23" fillId="9" borderId="31" xfId="0" applyFont="1" applyFill="1" applyBorder="1" applyAlignment="1">
      <alignment horizontal="center"/>
    </xf>
    <xf numFmtId="0" fontId="56" fillId="38" borderId="0" xfId="0" applyFont="1" applyFill="1" applyAlignment="1">
      <alignment horizontal="center"/>
    </xf>
    <xf numFmtId="0" fontId="18" fillId="40" borderId="1" xfId="0" applyFont="1" applyFill="1" applyBorder="1"/>
    <xf numFmtId="0" fontId="1" fillId="0" borderId="1" xfId="0" applyFont="1" applyBorder="1" applyAlignment="1">
      <alignment horizontal="center"/>
    </xf>
    <xf numFmtId="0" fontId="1" fillId="9" borderId="1" xfId="0" applyFont="1" applyFill="1" applyBorder="1" applyAlignment="1">
      <alignment horizontal="center"/>
    </xf>
    <xf numFmtId="176" fontId="1" fillId="9" borderId="1" xfId="0" applyNumberFormat="1" applyFont="1" applyFill="1" applyBorder="1"/>
    <xf numFmtId="0" fontId="31" fillId="9" borderId="1" xfId="0" applyFont="1" applyFill="1" applyBorder="1" applyAlignment="1">
      <alignment horizontal="center"/>
    </xf>
    <xf numFmtId="0" fontId="14" fillId="9" borderId="1" xfId="0" applyFont="1" applyFill="1" applyBorder="1"/>
    <xf numFmtId="164" fontId="14" fillId="9" borderId="1" xfId="2" applyFont="1" applyFill="1" applyBorder="1"/>
    <xf numFmtId="0" fontId="1" fillId="41" borderId="1" xfId="0" applyFont="1" applyFill="1" applyBorder="1" applyAlignment="1">
      <alignment horizontal="center"/>
    </xf>
    <xf numFmtId="164" fontId="27" fillId="41" borderId="1" xfId="2" applyFont="1" applyFill="1" applyBorder="1" applyAlignment="1">
      <alignment horizontal="center"/>
    </xf>
    <xf numFmtId="0" fontId="14" fillId="18" borderId="0" xfId="0" applyFont="1" applyFill="1"/>
    <xf numFmtId="164" fontId="14" fillId="18" borderId="0" xfId="2" applyFont="1" applyFill="1" applyBorder="1"/>
    <xf numFmtId="0" fontId="31" fillId="0" borderId="0" xfId="0" applyFont="1"/>
    <xf numFmtId="166" fontId="1" fillId="9" borderId="2" xfId="0" applyNumberFormat="1" applyFont="1" applyFill="1" applyBorder="1"/>
    <xf numFmtId="164" fontId="3" fillId="29" borderId="0" xfId="2" applyFont="1" applyFill="1"/>
    <xf numFmtId="0" fontId="17" fillId="9" borderId="5" xfId="0" applyFont="1" applyFill="1" applyBorder="1"/>
    <xf numFmtId="0" fontId="17" fillId="9" borderId="5" xfId="0" applyFont="1" applyFill="1" applyBorder="1" applyAlignment="1">
      <alignment horizontal="center"/>
    </xf>
    <xf numFmtId="166" fontId="1" fillId="9" borderId="6" xfId="0" applyNumberFormat="1" applyFont="1" applyFill="1" applyBorder="1"/>
    <xf numFmtId="0" fontId="48" fillId="34" borderId="1" xfId="0" applyFont="1" applyFill="1" applyBorder="1" applyAlignment="1">
      <alignment horizontal="center"/>
    </xf>
    <xf numFmtId="0" fontId="48" fillId="34" borderId="3" xfId="0" applyFont="1" applyFill="1" applyBorder="1" applyAlignment="1">
      <alignment horizontal="center"/>
    </xf>
    <xf numFmtId="0" fontId="0" fillId="7" borderId="0" xfId="0" applyFill="1" applyAlignment="1">
      <alignment horizontal="center"/>
    </xf>
    <xf numFmtId="0" fontId="0" fillId="7" borderId="0" xfId="0" applyFill="1"/>
    <xf numFmtId="164" fontId="3" fillId="7" borderId="0" xfId="2" applyFont="1" applyFill="1"/>
    <xf numFmtId="167" fontId="17" fillId="9" borderId="5" xfId="0" applyNumberFormat="1" applyFont="1" applyFill="1" applyBorder="1" applyAlignment="1">
      <alignment horizontal="center"/>
    </xf>
    <xf numFmtId="164" fontId="3" fillId="29" borderId="0" xfId="2" applyFont="1" applyFill="1" applyBorder="1"/>
    <xf numFmtId="0" fontId="17" fillId="9" borderId="3" xfId="0" applyFont="1" applyFill="1" applyBorder="1" applyAlignment="1">
      <alignment horizontal="center"/>
    </xf>
    <xf numFmtId="0" fontId="31" fillId="0" borderId="1" xfId="0" applyFont="1" applyBorder="1" applyAlignment="1">
      <alignment horizontal="center"/>
    </xf>
    <xf numFmtId="0" fontId="0" fillId="43" borderId="0" xfId="0" applyFill="1"/>
    <xf numFmtId="0" fontId="0" fillId="43" borderId="0" xfId="0" applyFill="1" applyAlignment="1">
      <alignment horizontal="center"/>
    </xf>
    <xf numFmtId="0" fontId="14" fillId="43" borderId="0" xfId="0" applyFont="1" applyFill="1"/>
    <xf numFmtId="164" fontId="14" fillId="43" borderId="0" xfId="2" applyFont="1" applyFill="1" applyBorder="1"/>
    <xf numFmtId="3" fontId="42" fillId="0" borderId="0" xfId="0" applyNumberFormat="1" applyFont="1" applyAlignment="1">
      <alignment horizontal="center"/>
    </xf>
    <xf numFmtId="3" fontId="0" fillId="0" borderId="0" xfId="0" applyNumberFormat="1"/>
    <xf numFmtId="1" fontId="62" fillId="8" borderId="1" xfId="0" applyNumberFormat="1" applyFont="1" applyFill="1" applyBorder="1" applyAlignment="1">
      <alignment horizontal="center" vertical="center"/>
    </xf>
    <xf numFmtId="0" fontId="8" fillId="14" borderId="6" xfId="0" applyFont="1" applyFill="1" applyBorder="1" applyAlignment="1">
      <alignment horizontal="center" wrapText="1"/>
    </xf>
    <xf numFmtId="0" fontId="26" fillId="0" borderId="6" xfId="0" applyFont="1" applyFill="1" applyBorder="1" applyAlignment="1">
      <alignment horizontal="center"/>
    </xf>
    <xf numFmtId="0" fontId="26" fillId="8" borderId="6" xfId="0" applyFont="1" applyFill="1" applyBorder="1" applyAlignment="1">
      <alignment horizontal="center"/>
    </xf>
    <xf numFmtId="1" fontId="26" fillId="8" borderId="5" xfId="0" applyNumberFormat="1" applyFont="1" applyFill="1" applyBorder="1" applyAlignment="1">
      <alignment horizontal="center"/>
    </xf>
    <xf numFmtId="177" fontId="26" fillId="0" borderId="5" xfId="0" applyNumberFormat="1" applyFont="1" applyFill="1" applyBorder="1" applyAlignment="1">
      <alignment horizontal="center"/>
    </xf>
    <xf numFmtId="14" fontId="26" fillId="8" borderId="6" xfId="0" applyNumberFormat="1" applyFont="1" applyFill="1" applyBorder="1" applyAlignment="1">
      <alignment horizontal="center"/>
    </xf>
    <xf numFmtId="0" fontId="11" fillId="9" borderId="1" xfId="0" applyFont="1" applyFill="1" applyBorder="1"/>
    <xf numFmtId="1" fontId="0" fillId="16" borderId="0" xfId="0" applyNumberFormat="1" applyFill="1" applyAlignment="1">
      <alignment horizontal="center" vertical="center"/>
    </xf>
    <xf numFmtId="0" fontId="0" fillId="16" borderId="0" xfId="0" applyFill="1" applyAlignment="1">
      <alignment horizontal="center"/>
    </xf>
    <xf numFmtId="1" fontId="0" fillId="0" borderId="0" xfId="0" applyNumberFormat="1" applyAlignment="1">
      <alignment horizontal="center" vertical="center"/>
    </xf>
    <xf numFmtId="1" fontId="14" fillId="9" borderId="1" xfId="0" applyNumberFormat="1" applyFont="1" applyFill="1" applyBorder="1" applyAlignment="1">
      <alignment horizontal="center" vertical="center"/>
    </xf>
    <xf numFmtId="164" fontId="18" fillId="40" borderId="1" xfId="2" applyFont="1" applyFill="1" applyBorder="1"/>
    <xf numFmtId="1" fontId="1" fillId="0" borderId="1" xfId="0" applyNumberFormat="1" applyFont="1" applyBorder="1" applyAlignment="1">
      <alignment horizontal="center" vertical="center"/>
    </xf>
    <xf numFmtId="164" fontId="1" fillId="0" borderId="1" xfId="2" applyFont="1" applyBorder="1" applyAlignment="1">
      <alignment horizontal="center" vertical="center"/>
    </xf>
    <xf numFmtId="167" fontId="1" fillId="0" borderId="1" xfId="0" applyNumberFormat="1" applyFont="1" applyBorder="1" applyAlignment="1">
      <alignment horizontal="center" vertical="center"/>
    </xf>
    <xf numFmtId="1" fontId="1" fillId="0" borderId="0" xfId="0" applyNumberFormat="1" applyFont="1" applyAlignment="1">
      <alignment horizontal="center" vertical="center"/>
    </xf>
    <xf numFmtId="1" fontId="0" fillId="43" borderId="0" xfId="0" applyNumberFormat="1" applyFill="1" applyAlignment="1">
      <alignment horizontal="center" vertical="center"/>
    </xf>
    <xf numFmtId="1" fontId="48" fillId="34" borderId="1" xfId="0" applyNumberFormat="1" applyFont="1" applyFill="1" applyBorder="1" applyAlignment="1">
      <alignment horizontal="center" vertical="center"/>
    </xf>
    <xf numFmtId="2" fontId="11" fillId="9" borderId="1" xfId="0" applyNumberFormat="1" applyFont="1" applyFill="1" applyBorder="1" applyAlignment="1">
      <alignment horizontal="center" vertical="center"/>
    </xf>
    <xf numFmtId="164" fontId="11" fillId="9" borderId="1" xfId="0" applyNumberFormat="1" applyFont="1" applyFill="1" applyBorder="1" applyAlignment="1">
      <alignment horizontal="center"/>
    </xf>
    <xf numFmtId="0" fontId="3" fillId="29" borderId="1" xfId="0" applyFont="1" applyFill="1" applyBorder="1" applyAlignment="1">
      <alignment horizontal="center"/>
    </xf>
    <xf numFmtId="166" fontId="3" fillId="29" borderId="1" xfId="0" applyNumberFormat="1" applyFont="1" applyFill="1" applyBorder="1" applyAlignment="1">
      <alignment horizontal="center"/>
    </xf>
    <xf numFmtId="44" fontId="3" fillId="29" borderId="1" xfId="0" applyNumberFormat="1" applyFont="1" applyFill="1" applyBorder="1"/>
    <xf numFmtId="1" fontId="11" fillId="7" borderId="1" xfId="0" applyNumberFormat="1" applyFont="1" applyFill="1" applyBorder="1" applyAlignment="1">
      <alignment horizontal="center" vertical="center"/>
    </xf>
    <xf numFmtId="167" fontId="11" fillId="9" borderId="1" xfId="0" applyNumberFormat="1" applyFont="1" applyFill="1" applyBorder="1" applyAlignment="1">
      <alignment horizontal="center" vertical="center"/>
    </xf>
    <xf numFmtId="0" fontId="3" fillId="29" borderId="0" xfId="0" applyFont="1" applyFill="1" applyAlignment="1">
      <alignment horizontal="center"/>
    </xf>
    <xf numFmtId="0" fontId="2" fillId="0" borderId="0" xfId="0" applyFont="1" applyAlignment="1">
      <alignment horizontal="center"/>
    </xf>
    <xf numFmtId="0" fontId="17" fillId="9" borderId="11" xfId="0" applyFont="1" applyFill="1" applyBorder="1" applyAlignment="1">
      <alignment horizontal="center"/>
    </xf>
    <xf numFmtId="0" fontId="17" fillId="9" borderId="12" xfId="0" applyFont="1" applyFill="1" applyBorder="1" applyAlignment="1">
      <alignment horizontal="center"/>
    </xf>
    <xf numFmtId="0" fontId="17" fillId="9" borderId="8" xfId="0" applyFont="1" applyFill="1" applyBorder="1" applyAlignment="1">
      <alignment horizontal="center"/>
    </xf>
    <xf numFmtId="167" fontId="11" fillId="9" borderId="5" xfId="0" applyNumberFormat="1" applyFont="1" applyFill="1" applyBorder="1" applyAlignment="1">
      <alignment horizontal="center" vertical="center"/>
    </xf>
    <xf numFmtId="0" fontId="1" fillId="7" borderId="1" xfId="0" applyFont="1" applyFill="1" applyBorder="1" applyAlignment="1">
      <alignment vertical="center" textRotation="255"/>
    </xf>
    <xf numFmtId="0" fontId="17" fillId="7" borderId="1" xfId="0" applyFont="1" applyFill="1" applyBorder="1" applyAlignment="1">
      <alignment horizontal="center"/>
    </xf>
    <xf numFmtId="0" fontId="17" fillId="7" borderId="1" xfId="0" applyFont="1" applyFill="1" applyBorder="1"/>
    <xf numFmtId="167" fontId="17" fillId="7" borderId="1" xfId="0" applyNumberFormat="1" applyFont="1" applyFill="1" applyBorder="1" applyAlignment="1">
      <alignment horizontal="center"/>
    </xf>
    <xf numFmtId="166" fontId="1" fillId="7" borderId="2" xfId="0" applyNumberFormat="1" applyFont="1" applyFill="1" applyBorder="1"/>
    <xf numFmtId="164" fontId="3" fillId="7" borderId="12" xfId="2" applyFont="1" applyFill="1" applyBorder="1"/>
    <xf numFmtId="0" fontId="17" fillId="9" borderId="3" xfId="0" applyFont="1" applyFill="1" applyBorder="1"/>
    <xf numFmtId="166" fontId="1" fillId="9" borderId="3" xfId="0" applyNumberFormat="1" applyFont="1" applyFill="1" applyBorder="1"/>
    <xf numFmtId="1" fontId="11" fillId="9" borderId="3" xfId="0" applyNumberFormat="1" applyFont="1" applyFill="1" applyBorder="1" applyAlignment="1">
      <alignment horizontal="center" vertical="center"/>
    </xf>
    <xf numFmtId="164" fontId="3" fillId="29" borderId="32" xfId="2" applyFont="1" applyFill="1" applyBorder="1"/>
    <xf numFmtId="1" fontId="11" fillId="9" borderId="1" xfId="0" applyNumberFormat="1" applyFont="1" applyFill="1" applyBorder="1" applyAlignment="1">
      <alignment horizontal="center" vertical="center"/>
    </xf>
    <xf numFmtId="44" fontId="11" fillId="9" borderId="0" xfId="0" applyNumberFormat="1" applyFont="1" applyFill="1"/>
    <xf numFmtId="7" fontId="0" fillId="0" borderId="0" xfId="2" applyNumberFormat="1" applyFont="1" applyAlignment="1">
      <alignment horizontal="center"/>
    </xf>
    <xf numFmtId="0" fontId="63" fillId="14" borderId="6" xfId="0" applyFont="1" applyFill="1" applyBorder="1" applyAlignment="1">
      <alignment horizontal="center" wrapText="1"/>
    </xf>
    <xf numFmtId="0" fontId="64" fillId="8" borderId="6" xfId="0" applyFont="1" applyFill="1" applyBorder="1" applyAlignment="1">
      <alignment horizontal="center"/>
    </xf>
    <xf numFmtId="0" fontId="8" fillId="8" borderId="29" xfId="0" applyFont="1" applyFill="1" applyBorder="1" applyAlignment="1">
      <alignment horizontal="center"/>
    </xf>
    <xf numFmtId="0" fontId="51" fillId="35" borderId="8" xfId="0" applyFont="1" applyFill="1" applyBorder="1" applyAlignment="1">
      <alignment horizontal="center" vertical="center" textRotation="255" wrapText="1"/>
    </xf>
    <xf numFmtId="0" fontId="51" fillId="35" borderId="9" xfId="0" applyFont="1" applyFill="1" applyBorder="1" applyAlignment="1">
      <alignment horizontal="center" vertical="center" textRotation="255" wrapText="1"/>
    </xf>
    <xf numFmtId="0" fontId="51" fillId="35" borderId="11" xfId="0" applyFont="1" applyFill="1" applyBorder="1" applyAlignment="1">
      <alignment horizontal="center" vertical="center" textRotation="255" wrapText="1"/>
    </xf>
    <xf numFmtId="0" fontId="10" fillId="31" borderId="29" xfId="0" applyFont="1" applyFill="1" applyBorder="1" applyAlignment="1">
      <alignment horizontal="center" vertical="center"/>
    </xf>
    <xf numFmtId="0" fontId="19" fillId="31" borderId="29" xfId="0" applyFont="1" applyFill="1" applyBorder="1" applyAlignment="1">
      <alignment horizontal="center" vertical="center"/>
    </xf>
    <xf numFmtId="0" fontId="19" fillId="31" borderId="0" xfId="0" applyFont="1" applyFill="1" applyBorder="1" applyAlignment="1">
      <alignment horizontal="center" vertical="center"/>
    </xf>
    <xf numFmtId="0" fontId="0" fillId="0" borderId="0" xfId="0" applyAlignment="1">
      <alignment horizontal="left" vertical="top" wrapText="1"/>
    </xf>
    <xf numFmtId="0" fontId="19" fillId="0" borderId="0" xfId="0" applyFont="1" applyAlignment="1">
      <alignment horizontal="center"/>
    </xf>
    <xf numFmtId="0" fontId="8" fillId="8" borderId="2" xfId="0" applyFont="1" applyFill="1" applyBorder="1" applyAlignment="1">
      <alignment horizontal="center"/>
    </xf>
    <xf numFmtId="0" fontId="8" fillId="8" borderId="14" xfId="0" applyFont="1" applyFill="1" applyBorder="1" applyAlignment="1">
      <alignment horizontal="center"/>
    </xf>
    <xf numFmtId="0" fontId="8" fillId="8" borderId="12" xfId="0" applyFont="1" applyFill="1" applyBorder="1" applyAlignment="1">
      <alignment horizontal="center"/>
    </xf>
    <xf numFmtId="0" fontId="8" fillId="14" borderId="2" xfId="0" applyFont="1" applyFill="1" applyBorder="1" applyAlignment="1">
      <alignment horizontal="center"/>
    </xf>
    <xf numFmtId="0" fontId="8" fillId="14" borderId="12" xfId="0" applyFont="1" applyFill="1" applyBorder="1" applyAlignment="1">
      <alignment horizontal="center"/>
    </xf>
    <xf numFmtId="0" fontId="8" fillId="14" borderId="5" xfId="0" applyFont="1" applyFill="1" applyBorder="1" applyAlignment="1">
      <alignment horizontal="center" vertical="center"/>
    </xf>
    <xf numFmtId="0" fontId="8" fillId="14" borderId="3" xfId="0" applyFont="1" applyFill="1" applyBorder="1" applyAlignment="1">
      <alignment horizontal="center" vertical="center"/>
    </xf>
    <xf numFmtId="14" fontId="13" fillId="7" borderId="13" xfId="0" applyNumberFormat="1" applyFont="1" applyFill="1" applyBorder="1" applyAlignment="1">
      <alignment horizontal="center" vertical="center"/>
    </xf>
    <xf numFmtId="14" fontId="13" fillId="7" borderId="11" xfId="0" applyNumberFormat="1" applyFont="1" applyFill="1" applyBorder="1" applyAlignment="1">
      <alignment horizontal="center" vertical="center"/>
    </xf>
    <xf numFmtId="165" fontId="13" fillId="8" borderId="2" xfId="0" applyNumberFormat="1" applyFont="1" applyFill="1" applyBorder="1" applyAlignment="1">
      <alignment horizontal="center" vertical="center"/>
    </xf>
    <xf numFmtId="165" fontId="0" fillId="8" borderId="14" xfId="0" applyNumberFormat="1" applyFill="1" applyBorder="1" applyAlignment="1">
      <alignment horizontal="center" vertical="center"/>
    </xf>
    <xf numFmtId="165" fontId="0" fillId="8" borderId="12" xfId="0" applyNumberFormat="1" applyFill="1" applyBorder="1" applyAlignment="1">
      <alignment horizontal="center" vertical="center"/>
    </xf>
    <xf numFmtId="0" fontId="0" fillId="8" borderId="2" xfId="0" applyFill="1" applyBorder="1" applyAlignment="1">
      <alignment horizontal="center"/>
    </xf>
    <xf numFmtId="0" fontId="0" fillId="8" borderId="14" xfId="0" applyFill="1" applyBorder="1" applyAlignment="1">
      <alignment horizontal="center"/>
    </xf>
    <xf numFmtId="0" fontId="0" fillId="8" borderId="12" xfId="0" applyFill="1" applyBorder="1" applyAlignment="1">
      <alignment horizontal="center"/>
    </xf>
    <xf numFmtId="0" fontId="26" fillId="0" borderId="2" xfId="0" applyFont="1" applyFill="1" applyBorder="1" applyAlignment="1">
      <alignment horizontal="center"/>
    </xf>
    <xf numFmtId="0" fontId="26" fillId="0" borderId="12" xfId="0" applyFont="1" applyFill="1" applyBorder="1" applyAlignment="1">
      <alignment horizontal="center"/>
    </xf>
    <xf numFmtId="165" fontId="0" fillId="8" borderId="2" xfId="0" applyNumberFormat="1" applyFill="1" applyBorder="1" applyAlignment="1">
      <alignment horizontal="center"/>
    </xf>
    <xf numFmtId="165" fontId="0" fillId="8" borderId="14" xfId="0" applyNumberFormat="1" applyFill="1" applyBorder="1" applyAlignment="1">
      <alignment horizontal="center"/>
    </xf>
    <xf numFmtId="165" fontId="0" fillId="8" borderId="12" xfId="0" applyNumberFormat="1" applyFill="1" applyBorder="1" applyAlignment="1">
      <alignment horizontal="center"/>
    </xf>
    <xf numFmtId="1" fontId="15" fillId="8" borderId="2" xfId="0" applyNumberFormat="1" applyFont="1" applyFill="1" applyBorder="1" applyAlignment="1">
      <alignment horizontal="center" vertical="center"/>
    </xf>
    <xf numFmtId="1" fontId="4" fillId="8" borderId="14" xfId="0" applyNumberFormat="1" applyFont="1" applyFill="1" applyBorder="1" applyAlignment="1">
      <alignment horizontal="center" vertical="center"/>
    </xf>
    <xf numFmtId="1" fontId="4" fillId="8" borderId="12" xfId="0" applyNumberFormat="1" applyFont="1" applyFill="1" applyBorder="1" applyAlignment="1">
      <alignment horizontal="center" vertical="center"/>
    </xf>
    <xf numFmtId="1" fontId="4" fillId="8" borderId="2" xfId="0" applyNumberFormat="1" applyFont="1" applyFill="1" applyBorder="1" applyAlignment="1">
      <alignment horizontal="center" vertical="center"/>
    </xf>
    <xf numFmtId="1" fontId="9" fillId="8" borderId="10" xfId="0" applyNumberFormat="1" applyFont="1" applyFill="1" applyBorder="1" applyAlignment="1">
      <alignment horizontal="center" vertical="center"/>
    </xf>
    <xf numFmtId="1" fontId="9" fillId="8" borderId="0" xfId="0" applyNumberFormat="1" applyFont="1" applyFill="1" applyBorder="1" applyAlignment="1">
      <alignment horizontal="center" vertical="center"/>
    </xf>
    <xf numFmtId="1" fontId="9" fillId="8" borderId="9" xfId="0" applyNumberFormat="1" applyFont="1" applyFill="1" applyBorder="1" applyAlignment="1">
      <alignment horizontal="center" vertical="center"/>
    </xf>
    <xf numFmtId="1" fontId="9" fillId="8" borderId="4" xfId="0" applyNumberFormat="1" applyFont="1" applyFill="1" applyBorder="1" applyAlignment="1">
      <alignment horizontal="center" vertical="center"/>
    </xf>
    <xf numFmtId="1" fontId="9" fillId="8" borderId="13" xfId="0" applyNumberFormat="1" applyFont="1" applyFill="1" applyBorder="1" applyAlignment="1">
      <alignment horizontal="center" vertical="center"/>
    </xf>
    <xf numFmtId="1" fontId="9" fillId="8" borderId="11" xfId="0" applyNumberFormat="1" applyFont="1" applyFill="1" applyBorder="1" applyAlignment="1">
      <alignment horizontal="center" vertical="center"/>
    </xf>
    <xf numFmtId="165" fontId="10" fillId="8" borderId="6" xfId="0" applyNumberFormat="1" applyFont="1" applyFill="1" applyBorder="1" applyAlignment="1">
      <alignment horizontal="center"/>
    </xf>
    <xf numFmtId="165" fontId="10" fillId="8" borderId="9" xfId="0" applyNumberFormat="1" applyFont="1" applyFill="1" applyBorder="1" applyAlignment="1">
      <alignment horizontal="center"/>
    </xf>
    <xf numFmtId="165" fontId="10" fillId="8" borderId="4" xfId="0" applyNumberFormat="1" applyFont="1" applyFill="1" applyBorder="1" applyAlignment="1">
      <alignment horizontal="center"/>
    </xf>
    <xf numFmtId="165" fontId="10" fillId="8" borderId="11" xfId="0" applyNumberFormat="1" applyFont="1" applyFill="1" applyBorder="1" applyAlignment="1">
      <alignment horizontal="center"/>
    </xf>
    <xf numFmtId="165" fontId="13" fillId="8" borderId="2" xfId="0" applyNumberFormat="1" applyFont="1" applyFill="1" applyBorder="1" applyAlignment="1">
      <alignment horizontal="center" wrapText="1"/>
    </xf>
    <xf numFmtId="165" fontId="0" fillId="8" borderId="12" xfId="0" applyNumberFormat="1" applyFill="1" applyBorder="1" applyAlignment="1">
      <alignment horizontal="center" wrapText="1"/>
    </xf>
    <xf numFmtId="0" fontId="1" fillId="42" borderId="1" xfId="0" applyFont="1" applyFill="1" applyBorder="1" applyAlignment="1">
      <alignment horizontal="center" vertical="center" textRotation="255"/>
    </xf>
    <xf numFmtId="0" fontId="1" fillId="42" borderId="5" xfId="0" applyFont="1" applyFill="1" applyBorder="1" applyAlignment="1">
      <alignment horizontal="center" vertical="center" textRotation="255"/>
    </xf>
    <xf numFmtId="0" fontId="1" fillId="42" borderId="7" xfId="0" applyFont="1" applyFill="1" applyBorder="1" applyAlignment="1">
      <alignment horizontal="center" vertical="center" textRotation="255"/>
    </xf>
    <xf numFmtId="0" fontId="1" fillId="42" borderId="3" xfId="0" applyFont="1" applyFill="1" applyBorder="1" applyAlignment="1">
      <alignment horizontal="center" vertical="center" textRotation="255"/>
    </xf>
    <xf numFmtId="0" fontId="58" fillId="42" borderId="1" xfId="0" applyFont="1" applyFill="1" applyBorder="1" applyAlignment="1">
      <alignment horizontal="center" vertical="center" textRotation="255"/>
    </xf>
    <xf numFmtId="0" fontId="57" fillId="10" borderId="0" xfId="0" applyFont="1" applyFill="1" applyAlignment="1">
      <alignment horizontal="center"/>
    </xf>
    <xf numFmtId="0" fontId="61" fillId="42" borderId="1" xfId="0" applyFont="1" applyFill="1" applyBorder="1" applyAlignment="1">
      <alignment horizontal="center" vertical="center" textRotation="255"/>
    </xf>
    <xf numFmtId="0" fontId="59" fillId="42" borderId="1" xfId="0" applyFont="1" applyFill="1" applyBorder="1" applyAlignment="1">
      <alignment horizontal="center" vertical="center" textRotation="255"/>
    </xf>
    <xf numFmtId="0" fontId="59" fillId="42" borderId="1" xfId="0" applyFont="1" applyFill="1" applyBorder="1" applyAlignment="1">
      <alignment horizontal="center" textRotation="255"/>
    </xf>
    <xf numFmtId="0" fontId="60" fillId="42" borderId="1" xfId="0" applyFont="1" applyFill="1" applyBorder="1" applyAlignment="1">
      <alignment horizontal="center" vertical="center" textRotation="255"/>
    </xf>
    <xf numFmtId="0" fontId="0" fillId="39" borderId="0" xfId="0" applyFill="1" applyAlignment="1">
      <alignment horizontal="center"/>
    </xf>
    <xf numFmtId="0" fontId="55" fillId="36" borderId="0" xfId="0" applyFont="1" applyFill="1" applyAlignment="1">
      <alignment horizontal="center"/>
    </xf>
    <xf numFmtId="0" fontId="52" fillId="20" borderId="5" xfId="0" applyFont="1" applyFill="1" applyBorder="1" applyAlignment="1">
      <alignment horizontal="center" vertical="center"/>
    </xf>
    <xf numFmtId="0" fontId="52" fillId="20" borderId="7" xfId="0" applyFont="1" applyFill="1" applyBorder="1" applyAlignment="1">
      <alignment horizontal="center" vertical="center"/>
    </xf>
    <xf numFmtId="0" fontId="52" fillId="20" borderId="3" xfId="0" applyFont="1" applyFill="1" applyBorder="1" applyAlignment="1">
      <alignment horizontal="center" vertical="center"/>
    </xf>
    <xf numFmtId="3" fontId="10" fillId="20" borderId="6" xfId="0" applyNumberFormat="1" applyFont="1" applyFill="1" applyBorder="1" applyAlignment="1">
      <alignment horizontal="center" vertical="center"/>
    </xf>
    <xf numFmtId="3" fontId="10" fillId="20" borderId="29" xfId="0" applyNumberFormat="1" applyFont="1" applyFill="1" applyBorder="1" applyAlignment="1">
      <alignment horizontal="center" vertical="center"/>
    </xf>
    <xf numFmtId="3" fontId="10" fillId="20" borderId="8" xfId="0" applyNumberFormat="1" applyFont="1" applyFill="1" applyBorder="1" applyAlignment="1">
      <alignment horizontal="center" vertical="center"/>
    </xf>
    <xf numFmtId="3" fontId="10" fillId="20" borderId="10" xfId="0" applyNumberFormat="1" applyFont="1" applyFill="1" applyBorder="1" applyAlignment="1">
      <alignment horizontal="center" vertical="center"/>
    </xf>
    <xf numFmtId="3" fontId="10" fillId="20" borderId="0" xfId="0" applyNumberFormat="1" applyFont="1" applyFill="1" applyBorder="1" applyAlignment="1">
      <alignment horizontal="center" vertical="center"/>
    </xf>
    <xf numFmtId="3" fontId="10" fillId="20" borderId="9" xfId="0" applyNumberFormat="1" applyFont="1" applyFill="1" applyBorder="1" applyAlignment="1">
      <alignment horizontal="center" vertical="center"/>
    </xf>
    <xf numFmtId="3" fontId="10" fillId="20" borderId="4" xfId="0" applyNumberFormat="1" applyFont="1" applyFill="1" applyBorder="1" applyAlignment="1">
      <alignment horizontal="center" vertical="center"/>
    </xf>
    <xf numFmtId="3" fontId="10" fillId="20" borderId="13" xfId="0" applyNumberFormat="1" applyFont="1" applyFill="1" applyBorder="1" applyAlignment="1">
      <alignment horizontal="center" vertical="center"/>
    </xf>
    <xf numFmtId="3" fontId="10" fillId="20" borderId="11" xfId="0" applyNumberFormat="1" applyFont="1" applyFill="1" applyBorder="1" applyAlignment="1">
      <alignment horizontal="center" vertical="center"/>
    </xf>
    <xf numFmtId="0" fontId="40" fillId="14" borderId="22" xfId="0" applyFont="1" applyFill="1" applyBorder="1" applyAlignment="1">
      <alignment horizontal="left"/>
    </xf>
    <xf numFmtId="0" fontId="41" fillId="14" borderId="22" xfId="0" applyFont="1" applyFill="1" applyBorder="1" applyAlignment="1">
      <alignment horizontal="left"/>
    </xf>
    <xf numFmtId="0" fontId="43" fillId="24" borderId="22" xfId="0" applyFont="1" applyFill="1" applyBorder="1" applyAlignment="1">
      <alignment horizontal="left"/>
    </xf>
    <xf numFmtId="164" fontId="52" fillId="14" borderId="1" xfId="0" applyNumberFormat="1" applyFont="1" applyFill="1" applyBorder="1" applyAlignment="1">
      <alignment horizontal="center" vertical="center" textRotation="90" wrapText="1"/>
    </xf>
    <xf numFmtId="0" fontId="13" fillId="38" borderId="22" xfId="0" applyFont="1" applyFill="1" applyBorder="1" applyAlignment="1">
      <alignment horizontal="center" vertical="center"/>
    </xf>
    <xf numFmtId="0" fontId="49" fillId="13" borderId="0" xfId="0" applyFont="1" applyFill="1" applyAlignment="1">
      <alignment horizontal="center" vertical="center"/>
    </xf>
    <xf numFmtId="0" fontId="32" fillId="0" borderId="0" xfId="3" applyAlignment="1">
      <alignment horizontal="right"/>
    </xf>
    <xf numFmtId="0" fontId="0" fillId="0" borderId="0" xfId="0" applyAlignment="1">
      <alignment horizontal="left" wrapText="1"/>
    </xf>
    <xf numFmtId="0" fontId="0" fillId="0" borderId="0" xfId="0" applyAlignment="1">
      <alignment wrapText="1"/>
    </xf>
    <xf numFmtId="0" fontId="36" fillId="0" borderId="0" xfId="7" applyAlignment="1">
      <alignment horizontal="center"/>
    </xf>
    <xf numFmtId="14" fontId="0" fillId="0" borderId="0" xfId="0" applyNumberFormat="1"/>
    <xf numFmtId="168" fontId="11" fillId="9" borderId="33" xfId="0" applyNumberFormat="1" applyFont="1" applyFill="1" applyBorder="1" applyAlignment="1">
      <alignment horizontal="center"/>
    </xf>
    <xf numFmtId="1" fontId="11" fillId="9" borderId="33" xfId="0" applyNumberFormat="1" applyFont="1" applyFill="1" applyBorder="1" applyAlignment="1">
      <alignment horizontal="center"/>
    </xf>
    <xf numFmtId="0" fontId="11" fillId="9" borderId="33" xfId="0" applyFont="1" applyFill="1" applyBorder="1" applyAlignment="1">
      <alignment horizontal="center"/>
    </xf>
    <xf numFmtId="0" fontId="11" fillId="9" borderId="3" xfId="0" applyFont="1" applyFill="1" applyBorder="1" applyAlignment="1">
      <alignment horizontal="center"/>
    </xf>
  </cellXfs>
  <cellStyles count="14">
    <cellStyle name="Alineado a la derecha" xfId="9" xr:uid="{F79F25E3-39E1-49A3-9222-DF42787335B9}"/>
    <cellStyle name="Alineado arriba" xfId="11" xr:uid="{8FF8E6C7-54C0-49BA-ABD2-E55FE00F85D3}"/>
    <cellStyle name="Descripción" xfId="12" xr:uid="{B9798511-1B49-44D6-858F-54654C659DC0}"/>
    <cellStyle name="Encabezado 1" xfId="4" builtinId="16"/>
    <cellStyle name="Hipervínculo" xfId="1" builtinId="8"/>
    <cellStyle name="Moneda" xfId="2" builtinId="4"/>
    <cellStyle name="Normal" xfId="0" builtinId="0"/>
    <cellStyle name="Normal 3" xfId="13" xr:uid="{1415A6F0-A0DE-4BE5-9CC6-769FEE8EFCE0}"/>
    <cellStyle name="Teléfono" xfId="10" xr:uid="{8789D811-6D70-423A-BA2A-CF8AE239ACFA}"/>
    <cellStyle name="Texto explicativo" xfId="7" builtinId="53"/>
    <cellStyle name="Título" xfId="3" builtinId="15"/>
    <cellStyle name="Título 2" xfId="5" builtinId="17"/>
    <cellStyle name="Título 3" xfId="6" builtinId="18"/>
    <cellStyle name="Total" xfId="8" builtinId="25"/>
  </cellStyles>
  <dxfs count="235">
    <dxf>
      <font>
        <b/>
        <i val="0"/>
        <strike val="0"/>
        <condense val="0"/>
        <extend val="0"/>
        <outline val="0"/>
        <shadow val="0"/>
        <u val="none"/>
        <vertAlign val="baseline"/>
        <sz val="11"/>
        <color rgb="FFFF0000"/>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9" formatCode="d/mm/yyyy"/>
    </dxf>
    <dxf>
      <border outline="0">
        <bottom style="thin">
          <color indexed="64"/>
        </bottom>
      </border>
    </dxf>
    <dxf>
      <border outline="0">
        <top style="thin">
          <color indexed="64"/>
        </top>
      </border>
    </dxf>
    <dxf>
      <font>
        <b/>
        <i val="0"/>
        <color rgb="FFFF0000"/>
      </font>
      <fill>
        <patternFill>
          <bgColor rgb="FFFFFF00"/>
        </patternFill>
      </fill>
      <border>
        <left style="thin">
          <color auto="1"/>
        </left>
        <right style="thin">
          <color auto="1"/>
        </right>
        <top style="thin">
          <color auto="1"/>
        </top>
        <bottom style="thin">
          <color auto="1"/>
        </bottom>
        <vertical/>
        <horizontal/>
      </border>
    </dxf>
    <dxf>
      <font>
        <b/>
        <i val="0"/>
        <color rgb="FFFFFF00"/>
      </font>
      <fill>
        <patternFill>
          <bgColor theme="6" tint="-0.499984740745262"/>
        </patternFill>
      </fill>
      <border>
        <left style="thin">
          <color auto="1"/>
        </left>
        <right style="thin">
          <color auto="1"/>
        </right>
        <top style="thin">
          <color auto="1"/>
        </top>
        <bottom style="thin">
          <color auto="1"/>
        </bottom>
        <vertical/>
        <horizontal/>
      </border>
    </dxf>
    <dxf>
      <font>
        <color rgb="FF9C5700"/>
      </font>
      <fill>
        <patternFill>
          <bgColor rgb="FFFFEB9C"/>
        </patternFill>
      </fill>
    </dxf>
    <dxf>
      <font>
        <b/>
        <i/>
        <color rgb="FFFF0000"/>
      </font>
    </dxf>
    <dxf>
      <numFmt numFmtId="167" formatCode="0.0"/>
    </dxf>
    <dxf>
      <numFmt numFmtId="167" formatCode="0.0"/>
    </dxf>
    <dxf>
      <numFmt numFmtId="167" formatCode="0.0"/>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3" formatCode="_-&quot;$&quot;* #,##0.00_-;\-&quot;$&quot;* #,##0.00_-;_-&quot;$&quot;* &quot;-&quot;??_-;_-@_-"/>
      <fill>
        <patternFill patternType="solid">
          <fgColor indexed="64"/>
          <bgColor theme="0" tint="-4.9989318521683403E-2"/>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_(&quot;$&quot;* #,##0.00_);_(&quot;$&quot;* \(#,##0.00\);_(&quot;$&quot;* &quot;-&quot;??_);_(@_)"/>
      <alignment vertical="center" textRotation="0" wrapTex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name val="Calibri"/>
        <family val="2"/>
        <scheme val="minor"/>
      </font>
      <fill>
        <patternFill patternType="solid">
          <fgColor indexed="64"/>
          <bgColor theme="1" tint="0.249977111117893"/>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fgColor indexed="64"/>
          <bgColor theme="0"/>
        </patternFill>
      </fill>
      <alignment horizontal="center" vertical="bottom" textRotation="0" wrapText="0" indent="0" justifyLastLine="0" shrinkToFit="0" readingOrder="0"/>
    </dxf>
    <dxf>
      <fill>
        <patternFill>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4" formatCode="d/mm/yyyy;@"/>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4"/>
        <color theme="9" tint="-0.249977111117893"/>
        <name val="Calibri"/>
        <family val="2"/>
        <scheme val="minor"/>
      </font>
      <fill>
        <patternFill patternType="solid">
          <fgColor indexed="64"/>
          <bgColor theme="9" tint="0.79998168889431442"/>
        </patternFill>
      </fill>
      <alignment horizontal="center" vertical="bottom" textRotation="0" wrapText="0" indent="0" justifyLastLine="0" shrinkToFit="0" readingOrder="0"/>
    </dxf>
    <dxf>
      <numFmt numFmtId="164" formatCode="_(&quot;$&quot;* #,##0.00_);_(&quot;$&quot;* \(#,##0.00\);_(&quot;$&quot;* &quot;-&quot;??_);_(@_)"/>
      <fill>
        <patternFill>
          <bgColor theme="6" tint="0.39994506668294322"/>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bgColor theme="6" tint="0.39994506668294322"/>
        </patternFill>
      </fill>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theme="1"/>
        <name val="Calibri"/>
        <family val="2"/>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4"/>
        <color theme="1"/>
        <name val="Calibri"/>
        <family val="2"/>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39994506668294322"/>
        </patternFill>
      </fill>
      <alignment horizontal="center"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bgColor theme="6" tint="0.39994506668294322"/>
        </patternFill>
      </fill>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5" tint="-0.249977111117893"/>
        <name val="Calibri"/>
        <family val="2"/>
        <scheme val="minor"/>
      </font>
      <fill>
        <patternFill patternType="solid">
          <fgColor theme="4" tint="0.79998168889431442"/>
          <bgColor theme="9" tint="0.39997558519241921"/>
        </patternFill>
      </fill>
      <alignment horizontal="center" vertical="bottom" textRotation="0" wrapText="0" indent="0" justifyLastLine="0" shrinkToFit="0" readingOrder="0"/>
      <border diagonalUp="0" diagonalDown="0" outline="0">
        <left/>
        <right/>
        <top style="thin">
          <color indexed="64"/>
        </top>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bgColor theme="6" tint="0.39994506668294322"/>
        </patternFill>
      </fill>
    </dxf>
    <dxf>
      <border>
        <bottom style="thin">
          <color indexed="64"/>
        </bottom>
      </border>
    </dxf>
    <dxf>
      <font>
        <b/>
        <i val="0"/>
        <strike val="0"/>
        <condense val="0"/>
        <extend val="0"/>
        <outline val="0"/>
        <shadow val="0"/>
        <u val="none"/>
        <vertAlign val="baseline"/>
        <sz val="16"/>
        <color theme="1"/>
        <name val="Calibri"/>
        <family val="2"/>
        <scheme val="minor"/>
      </font>
      <fill>
        <patternFill patternType="solid">
          <fgColor indexed="64"/>
          <bgColor theme="6"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3" formatCode="#,##0"/>
    </dxf>
    <dxf>
      <font>
        <sz val="14"/>
      </font>
    </dxf>
    <dxf>
      <font>
        <sz val="14"/>
      </font>
    </dxf>
    <dxf>
      <font>
        <sz val="14"/>
      </font>
    </dxf>
    <dxf>
      <font>
        <sz val="14"/>
      </font>
    </dxf>
    <dxf>
      <font>
        <sz val="14"/>
      </font>
    </dxf>
    <dxf>
      <font>
        <sz val="14"/>
      </font>
    </dxf>
    <dxf>
      <numFmt numFmtId="164" formatCode="_(&quot;$&quot;* #,##0.00_);_(&quot;$&quot;* \(#,##0.00\);_(&quot;$&quot;* &quot;-&quot;??_);_(@_)"/>
    </dxf>
    <dxf>
      <alignment horizontal="center"/>
    </dxf>
    <dxf>
      <alignment horizontal="center"/>
    </dxf>
    <dxf>
      <alignment horizontal="center"/>
    </dxf>
    <dxf>
      <alignment horizontal="center"/>
    </dxf>
    <dxf>
      <alignment horizontal="center"/>
    </dxf>
    <dxf>
      <alignment horizontal="center"/>
    </dxf>
    <dxf>
      <fill>
        <patternFill>
          <bgColor rgb="FFFFFF00"/>
        </patternFill>
      </fill>
    </dxf>
    <dxf>
      <fill>
        <patternFill>
          <bgColor rgb="FFFFFF00"/>
        </patternFill>
      </fill>
    </dxf>
    <dxf>
      <fill>
        <patternFill>
          <bgColor rgb="FFFFFF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alignment horizontal="center"/>
    </dxf>
    <dxf>
      <alignment horizontal="center"/>
    </dxf>
    <dxf>
      <alignment horizontal="center"/>
    </dxf>
    <dxf>
      <font>
        <b/>
      </font>
    </dxf>
    <dxf>
      <font>
        <b/>
      </font>
    </dxf>
    <dxf>
      <font>
        <b/>
      </font>
    </dxf>
    <dxf>
      <font>
        <sz val="18"/>
      </font>
    </dxf>
    <dxf>
      <font>
        <sz val="18"/>
      </font>
    </dxf>
    <dxf>
      <font>
        <sz val="18"/>
      </font>
    </dxf>
    <dxf>
      <font>
        <color rgb="FFFF0000"/>
      </font>
    </dxf>
    <dxf>
      <font>
        <color rgb="FFFF0000"/>
      </font>
    </dxf>
    <dxf>
      <font>
        <color rgb="FFFF000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1" formatCode="&quot;$&quot;\ #,##0.00;\-&quot;$&quot;\ #,##0.00"/>
      <alignment horizontal="center" vertical="bottom" textRotation="0" wrapText="0" indent="0" justifyLastLine="0" shrinkToFit="0" readingOrder="0"/>
    </dxf>
    <dxf>
      <numFmt numFmtId="11" formatCode="&quot;$&quot;\ #,##0.00;\-&quot;$&quot;\ #,##0.00"/>
      <alignment horizontal="center" vertical="bottom" textRotation="0" wrapText="0" indent="0" justifyLastLine="0" shrinkToFit="0" readingOrder="0"/>
    </dxf>
    <dxf>
      <numFmt numFmtId="11" formatCode="&quot;$&quot;\ #,##0.00;\-&quot;$&quot;\ #,##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4" formatCode="#,##0.00"/>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4"/>
        <color rgb="FFFF0000"/>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249977111117893"/>
        </patternFill>
      </fill>
    </dxf>
    <dxf>
      <fill>
        <patternFill>
          <bgColor theme="9" tint="-0.249977111117893"/>
        </patternFill>
      </fill>
    </dxf>
    <dxf>
      <fill>
        <patternFill>
          <bgColor theme="9" tint="0.79998168889431442"/>
        </patternFill>
      </fill>
    </dxf>
    <dxf>
      <fill>
        <patternFill>
          <bgColor theme="9" tint="0.79998168889431442"/>
        </patternFill>
      </fill>
    </dxf>
    <dxf>
      <fill>
        <patternFill>
          <bgColor theme="9" tint="0.79998168889431442"/>
        </patternFill>
      </fill>
    </dxf>
    <dxf>
      <font>
        <color theme="0"/>
      </font>
    </dxf>
    <dxf>
      <font>
        <color theme="0"/>
      </font>
    </dxf>
    <dxf>
      <fill>
        <patternFill patternType="solid">
          <bgColor theme="3" tint="-0.499984740745262"/>
        </patternFill>
      </fill>
    </dxf>
    <dxf>
      <fill>
        <patternFill patternType="solid">
          <bgColor theme="3" tint="-0.49998474074526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numFmt numFmtId="164" formatCode="_(&quot;$&quot;* #,##0.00_);_(&quot;$&quot;* \(#,##0.00\);_(&quot;$&quot;* &quot;-&quot;??_);_(@_)"/>
    </dxf>
    <dxf>
      <font>
        <sz val="14"/>
      </font>
    </dxf>
    <dxf>
      <font>
        <b/>
      </font>
    </dxf>
    <dxf>
      <font>
        <color theme="3" tint="0.39997558519241921"/>
      </font>
    </dxf>
    <dxf>
      <alignment horizontal="center"/>
    </dxf>
    <dxf>
      <alignment horizontal="center"/>
    </dxf>
    <dxf>
      <font>
        <b/>
        <i val="0"/>
        <strike val="0"/>
        <condense val="0"/>
        <extend val="0"/>
        <outline val="0"/>
        <shadow val="0"/>
        <u val="none"/>
        <vertAlign val="baseline"/>
        <sz val="16"/>
        <color theme="0"/>
        <name val="Calibri"/>
        <family val="2"/>
        <scheme val="minor"/>
      </font>
      <numFmt numFmtId="164" formatCode="_(&quot;$&quot;* #,##0.00_);_(&quot;$&quot;* \(#,##0.00\);_(&quot;$&quot;* &quot;-&quot;??_);_(@_)"/>
      <fill>
        <patternFill patternType="solid">
          <fgColor indexed="64"/>
          <bgColor theme="1"/>
        </patternFill>
      </fill>
    </dxf>
    <dxf>
      <font>
        <b/>
        <strike val="0"/>
        <outline val="0"/>
        <shadow val="0"/>
        <u val="none"/>
        <vertAlign val="baseline"/>
        <sz val="11"/>
        <color theme="0"/>
        <name val="Calibri"/>
        <scheme val="minor"/>
      </font>
      <fill>
        <patternFill patternType="solid">
          <fgColor indexed="64"/>
          <bgColor theme="1"/>
        </patternFill>
      </fill>
    </dxf>
    <dxf>
      <font>
        <b/>
        <i val="0"/>
        <strike val="0"/>
        <condense val="0"/>
        <extend val="0"/>
        <outline val="0"/>
        <shadow val="0"/>
        <u val="none"/>
        <vertAlign val="baseline"/>
        <sz val="16"/>
        <color rgb="FFFF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strike val="0"/>
        <outline val="0"/>
        <shadow val="0"/>
        <u val="none"/>
        <vertAlign val="baseline"/>
        <sz val="11"/>
        <color rgb="FFFF0000"/>
        <name val="Calibri"/>
        <scheme val="minor"/>
      </font>
      <numFmt numFmtId="1" formatCode="0"/>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6" formatCode="&quot;$&quot;\ #,##0.0"/>
      <fill>
        <patternFill patternType="solid">
          <fgColor indexed="64"/>
          <bgColor rgb="FFFFFF00"/>
        </patternFill>
      </fill>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Calibri"/>
        <family val="2"/>
        <scheme val="minor"/>
      </font>
      <numFmt numFmtId="166" formatCode="&quot;$&quot;\ #,##0.0"/>
      <fill>
        <patternFill patternType="solid">
          <fgColor indexed="64"/>
          <bgColor rgb="FFFFFF00"/>
        </patternFill>
      </fill>
      <border diagonalUp="0" diagonalDown="0" outline="0">
        <left style="thin">
          <color auto="1"/>
        </left>
        <right/>
        <top style="thin">
          <color auto="1"/>
        </top>
        <bottom style="thin">
          <color auto="1"/>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bottom style="thin">
          <color auto="1"/>
        </bottom>
      </border>
    </dxf>
    <dxf>
      <border>
        <bottom style="thin">
          <color indexed="64"/>
        </bottom>
      </border>
    </dxf>
    <dxf>
      <font>
        <b/>
        <i val="0"/>
        <strike val="0"/>
        <condense val="0"/>
        <extend val="0"/>
        <outline val="0"/>
        <shadow val="0"/>
        <u val="none"/>
        <vertAlign val="baseline"/>
        <sz val="14"/>
        <color theme="0"/>
        <name val="Calibri"/>
        <family val="2"/>
        <scheme val="minor"/>
      </font>
      <fill>
        <patternFill patternType="solid">
          <fgColor indexed="64"/>
          <bgColor theme="3"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auto="1"/>
      </font>
      <fill>
        <patternFill>
          <fgColor indexed="64"/>
          <bgColor rgb="FFFFFFFF"/>
        </patternFill>
      </fill>
      <border diagonalUp="0" diagonalDown="0" outline="0">
        <left style="thin">
          <color indexed="64"/>
        </left>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right style="thin">
          <color indexed="64"/>
        </right>
        <top style="thin">
          <color indexed="64"/>
        </top>
        <bottom style="thin">
          <color indexed="64"/>
        </bottom>
      </border>
    </dxf>
    <dxf>
      <font>
        <color auto="1"/>
      </font>
      <numFmt numFmtId="170" formatCode="dd/mm/yy;@"/>
      <fill>
        <patternFill>
          <fgColor indexed="64"/>
          <bgColor rgb="FFFFFFFF"/>
        </patternFill>
      </fill>
      <border diagonalUp="0" diagonalDown="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color auto="1"/>
      </font>
      <fill>
        <patternFill>
          <fgColor indexed="64"/>
          <bgColor rgb="FFFFFFFF"/>
        </patternFill>
      </fill>
    </dxf>
    <dxf>
      <border>
        <bottom style="thin">
          <color indexed="64"/>
        </bottom>
      </border>
    </dxf>
    <dxf>
      <font>
        <b/>
        <i val="0"/>
        <strike val="0"/>
        <condense val="0"/>
        <extend val="0"/>
        <outline val="0"/>
        <shadow val="0"/>
        <u val="none"/>
        <vertAlign val="baseline"/>
        <sz val="14"/>
        <color rgb="FF0070C0"/>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indexed="64"/>
        </right>
        <top style="thin">
          <color indexed="64"/>
        </top>
        <bottom/>
        <vertical/>
        <horizontal/>
      </border>
    </dxf>
    <dxf>
      <border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ill>
        <patternFill patternType="solid">
          <fgColor indexed="64"/>
          <bgColor rgb="FF0070C0"/>
        </patternFill>
      </fill>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theme="3" tint="-0.249977111117893"/>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ill>
        <patternFill patternType="solid">
          <fgColor indexed="64"/>
          <bgColor rgb="FF0070C0"/>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ill>
        <patternFill patternType="solid">
          <fgColor indexed="64"/>
          <bgColor rgb="FF0070C0"/>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ont>
        <strike val="0"/>
        <outline val="0"/>
        <shadow val="0"/>
        <u val="none"/>
        <vertAlign val="baseline"/>
        <sz val="11"/>
        <color rgb="FFFF0000"/>
        <name val="Calibri"/>
        <family val="2"/>
        <scheme val="minor"/>
      </font>
      <fill>
        <patternFill patternType="solid">
          <fgColor indexed="64"/>
          <bgColor theme="0"/>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ont>
        <strike val="0"/>
        <outline val="0"/>
        <shadow val="0"/>
        <u val="none"/>
        <vertAlign val="baseline"/>
        <sz val="11"/>
        <color rgb="FFFF0000"/>
        <name val="Calibri"/>
        <family val="2"/>
        <scheme val="minor"/>
      </font>
      <fill>
        <patternFill patternType="solid">
          <fgColor indexed="64"/>
          <bgColor theme="0"/>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ont>
        <strike val="0"/>
        <outline val="0"/>
        <shadow val="0"/>
        <u val="none"/>
        <vertAlign val="baseline"/>
        <sz val="11"/>
        <color rgb="FFFF0000"/>
        <name val="Calibri"/>
        <family val="2"/>
        <scheme val="minor"/>
      </font>
      <fill>
        <patternFill patternType="solid">
          <fgColor indexed="64"/>
          <bgColor theme="0"/>
        </patternFill>
      </fill>
    </dxf>
    <dxf>
      <font>
        <b val="0"/>
        <i val="0"/>
      </font>
      <fill>
        <patternFill>
          <bgColor theme="0" tint="-4.9989318521683403E-2"/>
        </patternFill>
      </fill>
      <border>
        <left style="thin">
          <color auto="1"/>
        </left>
        <right style="thin">
          <color auto="1"/>
        </right>
        <top style="thin">
          <color auto="1"/>
        </top>
        <bottom style="thin">
          <color auto="1"/>
        </bottom>
      </border>
    </dxf>
    <dxf>
      <border>
        <left style="thin">
          <color auto="1"/>
        </left>
      </border>
    </dxf>
    <dxf>
      <border>
        <left style="thin">
          <color auto="1"/>
        </left>
      </border>
    </dxf>
    <dxf>
      <border>
        <left style="thin">
          <color auto="1"/>
        </left>
      </border>
    </dxf>
    <dxf>
      <font>
        <b/>
        <i val="0"/>
      </font>
      <border diagonalUp="0" diagonalDown="0">
        <left/>
        <right/>
        <top style="thin">
          <color auto="1"/>
        </top>
        <bottom/>
        <vertical/>
        <horizontal/>
      </border>
    </dxf>
    <dxf>
      <font>
        <b/>
        <i val="0"/>
      </font>
      <fill>
        <patternFill>
          <bgColor theme="0" tint="-4.9989318521683403E-2"/>
        </patternFill>
      </fill>
      <border>
        <left style="thin">
          <color auto="1"/>
        </left>
        <right style="thin">
          <color auto="1"/>
        </right>
        <top style="thin">
          <color auto="1"/>
        </top>
        <bottom style="thin">
          <color auto="1"/>
        </bottom>
        <vertical/>
      </border>
    </dxf>
    <dxf>
      <border>
        <left style="thin">
          <color auto="1"/>
        </left>
        <right style="thin">
          <color auto="1"/>
        </right>
        <top style="thin">
          <color auto="1"/>
        </top>
        <bottom style="thin">
          <color auto="1"/>
        </bottom>
        <horizontal style="thin">
          <color auto="1"/>
        </horizontal>
      </border>
    </dxf>
  </dxfs>
  <tableStyles count="1" defaultTableStyle="TableStyleMedium2" defaultPivotStyle="PivotStyleLight16">
    <tableStyle name="Factura que calcula el total" pivot="0" count="7" xr9:uid="{2A6413BB-5F4B-47DB-9A7E-255AFD40EB37}">
      <tableStyleElement type="wholeTable" dxfId="234"/>
      <tableStyleElement type="headerRow" dxfId="233"/>
      <tableStyleElement type="totalRow" dxfId="232"/>
      <tableStyleElement type="lastColumn" dxfId="231"/>
      <tableStyleElement type="secondColumnStripe" dxfId="230"/>
      <tableStyleElement type="lastHeaderCell" dxfId="229"/>
      <tableStyleElement type="lastTotalCell" dxfId="2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microsoft.com/office/2007/relationships/slicerCache" Target="slicerCaches/slicerCache7.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microsoft.com/office/2007/relationships/slicerCache" Target="slicerCaches/slicerCache6.xml"/><Relationship Id="rId38" Type="http://schemas.microsoft.com/office/2007/relationships/slicerCache" Target="slicerCaches/slicerCache1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07/relationships/slicerCache" Target="slicerCaches/slicerCache5.xml"/><Relationship Id="rId37" Type="http://schemas.microsoft.com/office/2007/relationships/slicerCache" Target="slicerCaches/slicerCache10.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microsoft.com/office/2007/relationships/slicerCache" Target="slicerCaches/slicerCache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dLbls>
          <c:showLegendKey val="0"/>
          <c:showVal val="0"/>
          <c:showCatName val="0"/>
          <c:showSerName val="0"/>
          <c:showPercent val="0"/>
          <c:showBubbleSize val="0"/>
        </c:dLbls>
        <c:marker val="1"/>
        <c:smooth val="0"/>
        <c:axId val="414996416"/>
        <c:axId val="414998056"/>
      </c:lineChart>
      <c:catAx>
        <c:axId val="41499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14998056"/>
        <c:crosses val="autoZero"/>
        <c:auto val="1"/>
        <c:lblAlgn val="ctr"/>
        <c:lblOffset val="100"/>
        <c:noMultiLvlLbl val="0"/>
      </c:catAx>
      <c:valAx>
        <c:axId val="414998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14996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[BeEco_ProCal NEW.xlsm]Resumen-Produccion!TablaDinámica2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Producción x Productos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CO"/>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'Resumen-Produccion'!$C$8</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6FA-4221-91CB-85C905BE0A2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76FA-4221-91CB-85C905BE0A2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6FA-4221-91CB-85C905BE0A2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76FA-4221-91CB-85C905BE0A2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6FA-4221-91CB-85C905BE0A25}"/>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76FA-4221-91CB-85C905BE0A25}"/>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76FA-4221-91CB-85C905BE0A25}"/>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76FA-4221-91CB-85C905BE0A2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CO"/>
              </a:p>
            </c:txPr>
            <c:dLblPos val="outEnd"/>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'Resumen-Produccion'!$B$9:$B$16</c:f>
              <c:strCache>
                <c:ptCount val="8"/>
                <c:pt idx="0">
                  <c:v>Cloro Jabonoso</c:v>
                </c:pt>
                <c:pt idx="1">
                  <c:v>Desinfectante Herbal</c:v>
                </c:pt>
                <c:pt idx="2">
                  <c:v>Detergente de Ropa</c:v>
                </c:pt>
                <c:pt idx="3">
                  <c:v>Lavaplatos en Crema</c:v>
                </c:pt>
                <c:pt idx="4">
                  <c:v>Lavaplatos Liquido</c:v>
                </c:pt>
                <c:pt idx="5">
                  <c:v>Multi-Cerámica</c:v>
                </c:pt>
                <c:pt idx="6">
                  <c:v>Multiuso Desengrasante</c:v>
                </c:pt>
                <c:pt idx="7">
                  <c:v>Suavizante de Ropa</c:v>
                </c:pt>
              </c:strCache>
            </c:strRef>
          </c:cat>
          <c:val>
            <c:numRef>
              <c:f>'Resumen-Produccion'!$C$9:$C$16</c:f>
              <c:numCache>
                <c:formatCode>#,##0</c:formatCode>
                <c:ptCount val="8"/>
                <c:pt idx="0">
                  <c:v>720</c:v>
                </c:pt>
                <c:pt idx="1">
                  <c:v>800</c:v>
                </c:pt>
                <c:pt idx="2">
                  <c:v>300</c:v>
                </c:pt>
                <c:pt idx="3">
                  <c:v>2150</c:v>
                </c:pt>
                <c:pt idx="4">
                  <c:v>2070</c:v>
                </c:pt>
                <c:pt idx="5">
                  <c:v>1800</c:v>
                </c:pt>
                <c:pt idx="6">
                  <c:v>460</c:v>
                </c:pt>
                <c:pt idx="7">
                  <c:v>1911</c:v>
                </c:pt>
              </c:numCache>
            </c:numRef>
          </c:val>
          <c:extLst>
            <c:ext xmlns:c16="http://schemas.microsoft.com/office/drawing/2014/chart" uri="{C3380CC4-5D6E-409C-BE32-E72D297353CC}">
              <c16:uniqueId val="{00000000-76FA-4221-91CB-85C905BE0A25}"/>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CO"/>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ln>
              <a:effectLst/>
            </c:spPr>
            <c:trendlineType val="linear"/>
            <c:dispRSqr val="0"/>
            <c:dispEq val="0"/>
          </c:trendline>
          <c:trendline>
            <c:spPr>
              <a:ln w="19050" cap="rnd">
                <a:solidFill>
                  <a:schemeClr val="accent1"/>
                </a:solidFill>
              </a:ln>
              <a:effectLst/>
            </c:spPr>
            <c:trendlineType val="exp"/>
            <c:dispRSqr val="0"/>
            <c:dispEq val="0"/>
          </c:trendline>
          <c:cat>
            <c:strLit>
              <c:ptCount val="4"/>
              <c:pt idx="0">
                <c:v>4-dic</c:v>
              </c:pt>
              <c:pt idx="1">
                <c:v>26-dic</c:v>
              </c:pt>
              <c:pt idx="2">
                <c:v>28-dic</c:v>
              </c:pt>
              <c:pt idx="3">
                <c:v>29-dic</c:v>
              </c:pt>
            </c:strLit>
          </c:cat>
          <c:val>
            <c:numLit>
              <c:formatCode>General</c:formatCode>
              <c:ptCount val="4"/>
              <c:pt idx="0">
                <c:v>500</c:v>
              </c:pt>
              <c:pt idx="1">
                <c:v>940</c:v>
              </c:pt>
              <c:pt idx="2">
                <c:v>250</c:v>
              </c:pt>
              <c:pt idx="3">
                <c:v>111</c:v>
              </c:pt>
            </c:numLit>
          </c:val>
          <c:extLst>
            <c:ext xmlns:c16="http://schemas.microsoft.com/office/drawing/2014/chart" uri="{C3380CC4-5D6E-409C-BE32-E72D297353CC}">
              <c16:uniqueId val="{00000000-9CDC-41A9-9D7D-AF95D694ABA0}"/>
            </c:ext>
          </c:extLst>
        </c:ser>
        <c:dLbls>
          <c:showLegendKey val="0"/>
          <c:showVal val="1"/>
          <c:showCatName val="0"/>
          <c:showSerName val="0"/>
          <c:showPercent val="0"/>
          <c:showBubbleSize val="0"/>
        </c:dLbls>
        <c:gapWidth val="100"/>
        <c:overlap val="-24"/>
        <c:axId val="899748368"/>
        <c:axId val="636133888"/>
      </c:barChart>
      <c:catAx>
        <c:axId val="89974836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36133888"/>
        <c:crosses val="autoZero"/>
        <c:auto val="1"/>
        <c:lblAlgn val="ctr"/>
        <c:lblOffset val="100"/>
        <c:noMultiLvlLbl val="0"/>
      </c:catAx>
      <c:valAx>
        <c:axId val="63613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99748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[BeEco_ProCal NEW.xlsm]Exist-Prod!TablaDinámica2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EXISTENCIA</a:t>
            </a:r>
            <a:r>
              <a:rPr lang="en-US" baseline="0"/>
              <a:t> INVENTARIO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'Exist-Prod'!$D$3:$D$4</c:f>
              <c:strCache>
                <c:ptCount val="1"/>
                <c:pt idx="0">
                  <c:v>ENTRADA</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59A-4BB8-804B-58554C883D4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59A-4BB8-804B-58554C883D4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59A-4BB8-804B-58554C883D4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59A-4BB8-804B-58554C883D4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59A-4BB8-804B-58554C883D4E}"/>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759A-4BB8-804B-58554C883D4E}"/>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759A-4BB8-804B-58554C883D4E}"/>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759A-4BB8-804B-58554C883D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'Exist-Prod'!$C$5:$C$6</c:f>
              <c:strCache>
                <c:ptCount val="1"/>
                <c:pt idx="0">
                  <c:v>Cloro Jabonoso</c:v>
                </c:pt>
              </c:strCache>
            </c:strRef>
          </c:cat>
          <c:val>
            <c:numRef>
              <c:f>'Exist-Prod'!$D$5:$D$6</c:f>
              <c:numCache>
                <c:formatCode>General</c:formatCode>
                <c:ptCount val="1"/>
                <c:pt idx="0">
                  <c:v>200</c:v>
                </c:pt>
              </c:numCache>
            </c:numRef>
          </c:val>
          <c:extLst>
            <c:ext xmlns:c16="http://schemas.microsoft.com/office/drawing/2014/chart" uri="{C3380CC4-5D6E-409C-BE32-E72D297353CC}">
              <c16:uniqueId val="{00000000-5E7D-4A0D-8D61-32362C048A5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svg"/><Relationship Id="rId5" Type="http://schemas.openxmlformats.org/officeDocument/2006/relationships/image" Target="../media/image4.png"/><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2.jpeg"/><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2.jpeg"/><Relationship Id="rId1" Type="http://schemas.openxmlformats.org/officeDocument/2006/relationships/hyperlink" Target="#Menu!A1"/><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6.jpeg"/><Relationship Id="rId4"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hyperlink" Target="#'Ent-Sal-Pro'!A1"/></Relationships>
</file>

<file path=xl/drawings/_rels/drawing1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vmlDrawing2.v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2</xdr:col>
      <xdr:colOff>412749</xdr:colOff>
      <xdr:row>107</xdr:row>
      <xdr:rowOff>39688</xdr:rowOff>
    </xdr:from>
    <xdr:to>
      <xdr:col>2</xdr:col>
      <xdr:colOff>1055687</xdr:colOff>
      <xdr:row>107</xdr:row>
      <xdr:rowOff>174625</xdr:rowOff>
    </xdr:to>
    <xdr:sp macro="" textlink="">
      <xdr:nvSpPr>
        <xdr:cNvPr id="29" name="Flecha: a la derecha 28">
          <a:extLst>
            <a:ext uri="{FF2B5EF4-FFF2-40B4-BE49-F238E27FC236}">
              <a16:creationId xmlns:a16="http://schemas.microsoft.com/office/drawing/2014/main" id="{0E9A6D5C-827C-4E1A-9337-41EAF0D81B15}"/>
            </a:ext>
          </a:extLst>
        </xdr:cNvPr>
        <xdr:cNvSpPr/>
      </xdr:nvSpPr>
      <xdr:spPr>
        <a:xfrm>
          <a:off x="2674937" y="23439438"/>
          <a:ext cx="642938" cy="1349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xdr:col>
      <xdr:colOff>139970</xdr:colOff>
      <xdr:row>1</xdr:row>
      <xdr:rowOff>46108</xdr:rowOff>
    </xdr:from>
    <xdr:to>
      <xdr:col>7</xdr:col>
      <xdr:colOff>643208</xdr:colOff>
      <xdr:row>8</xdr:row>
      <xdr:rowOff>794692</xdr:rowOff>
    </xdr:to>
    <xdr:pic>
      <xdr:nvPicPr>
        <xdr:cNvPr id="31" name="Imagen 30">
          <a:extLst>
            <a:ext uri="{FF2B5EF4-FFF2-40B4-BE49-F238E27FC236}">
              <a16:creationId xmlns:a16="http://schemas.microsoft.com/office/drawing/2014/main" id="{F738D7CD-D5C3-4FA2-8CA7-574C33FB412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artisticFilmGrain/>
                  </a14:imgEffect>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3869250" y="409350"/>
          <a:ext cx="6403894" cy="4066189"/>
        </a:xfrm>
        <a:prstGeom prst="rect">
          <a:avLst/>
        </a:prstGeom>
        <a:solidFill>
          <a:srgbClr val="FFFFFF">
            <a:shade val="85000"/>
          </a:srgbClr>
        </a:solidFill>
        <a:ln w="1905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0</xdr:col>
      <xdr:colOff>1017721</xdr:colOff>
      <xdr:row>1</xdr:row>
      <xdr:rowOff>34927</xdr:rowOff>
    </xdr:from>
    <xdr:to>
      <xdr:col>6</xdr:col>
      <xdr:colOff>485908</xdr:colOff>
      <xdr:row>9</xdr:row>
      <xdr:rowOff>201614</xdr:rowOff>
    </xdr:to>
    <xdr:grpSp>
      <xdr:nvGrpSpPr>
        <xdr:cNvPr id="41890" name="Grupo 41889">
          <a:extLst>
            <a:ext uri="{FF2B5EF4-FFF2-40B4-BE49-F238E27FC236}">
              <a16:creationId xmlns:a16="http://schemas.microsoft.com/office/drawing/2014/main" id="{8F7E1610-D91F-4D51-B925-1B29ECDF2AE5}"/>
            </a:ext>
          </a:extLst>
        </xdr:cNvPr>
        <xdr:cNvGrpSpPr/>
      </xdr:nvGrpSpPr>
      <xdr:grpSpPr>
        <a:xfrm>
          <a:off x="1017721" y="398169"/>
          <a:ext cx="8024543" cy="4372216"/>
          <a:chOff x="1010030" y="230583"/>
          <a:chExt cx="6048375" cy="3786187"/>
        </a:xfrm>
      </xdr:grpSpPr>
      <xdr:sp macro="" textlink="">
        <xdr:nvSpPr>
          <xdr:cNvPr id="17" name="Rectángulo: esquinas redondeadas 16">
            <a:extLst>
              <a:ext uri="{FF2B5EF4-FFF2-40B4-BE49-F238E27FC236}">
                <a16:creationId xmlns:a16="http://schemas.microsoft.com/office/drawing/2014/main" id="{5CCC00BA-0DCB-4E4D-906E-A1082544C4F7}"/>
              </a:ext>
            </a:extLst>
          </xdr:cNvPr>
          <xdr:cNvSpPr/>
        </xdr:nvSpPr>
        <xdr:spPr>
          <a:xfrm>
            <a:off x="1010030" y="230583"/>
            <a:ext cx="6048375" cy="3786187"/>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s-CO" sz="1100"/>
          </a:p>
        </xdr:txBody>
      </xdr:sp>
      <xdr:sp macro="[0]!cambiocolorCategoriaBroaster" textlink="$A$3">
        <xdr:nvSpPr>
          <xdr:cNvPr id="12" name="FormaBroaster">
            <a:extLst>
              <a:ext uri="{FF2B5EF4-FFF2-40B4-BE49-F238E27FC236}">
                <a16:creationId xmlns:a16="http://schemas.microsoft.com/office/drawing/2014/main" id="{00000000-0008-0000-0000-00000C000000}"/>
              </a:ext>
            </a:extLst>
          </xdr:cNvPr>
          <xdr:cNvSpPr/>
        </xdr:nvSpPr>
        <xdr:spPr>
          <a:xfrm>
            <a:off x="1293813" y="1239836"/>
            <a:ext cx="1138375" cy="612000"/>
          </a:xfrm>
          <a:prstGeom prst="roundRect">
            <a:avLst/>
          </a:prstGeom>
          <a:solidFill>
            <a:srgbClr val="008000"/>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fld id="{03A65A02-67E6-43B5-8FDB-8B96EE1C7D2F}" type="TxLink">
              <a:rPr lang="es-CO" sz="1100" b="1"/>
              <a:pPr algn="ctr"/>
              <a:t>Productos</a:t>
            </a:fld>
            <a:endParaRPr lang="es-CO" sz="1100" b="1"/>
          </a:p>
        </xdr:txBody>
      </xdr:sp>
      <xdr:sp macro="[0]!cambiocolorCategoriaAlmuerzos" textlink="$A$4">
        <xdr:nvSpPr>
          <xdr:cNvPr id="25" name="FormaAlmuerzo">
            <a:extLst>
              <a:ext uri="{FF2B5EF4-FFF2-40B4-BE49-F238E27FC236}">
                <a16:creationId xmlns:a16="http://schemas.microsoft.com/office/drawing/2014/main" id="{00000000-0008-0000-0000-000019000000}"/>
              </a:ext>
            </a:extLst>
          </xdr:cNvPr>
          <xdr:cNvSpPr/>
        </xdr:nvSpPr>
        <xdr:spPr>
          <a:xfrm>
            <a:off x="1293813" y="1887900"/>
            <a:ext cx="1138375" cy="615175"/>
          </a:xfrm>
          <a:prstGeom prst="roundRect">
            <a:avLst/>
          </a:prstGeom>
          <a:solidFill>
            <a:srgbClr val="00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A2C9F024-6EF5-4193-9A53-88D8B879A79C}" type="TxLink">
              <a:rPr lang="es-CO" sz="1100" b="1"/>
              <a:pPr algn="ctr"/>
              <a:t>Produción</a:t>
            </a:fld>
            <a:endParaRPr lang="es-CO" sz="1100" b="1"/>
          </a:p>
        </xdr:txBody>
      </xdr:sp>
      <xdr:sp macro="[0]!cambiocolorCategoriaBebidas" textlink="$A$5">
        <xdr:nvSpPr>
          <xdr:cNvPr id="26" name="FormaBebida">
            <a:extLst>
              <a:ext uri="{FF2B5EF4-FFF2-40B4-BE49-F238E27FC236}">
                <a16:creationId xmlns:a16="http://schemas.microsoft.com/office/drawing/2014/main" id="{00000000-0008-0000-0000-00001A000000}"/>
              </a:ext>
            </a:extLst>
          </xdr:cNvPr>
          <xdr:cNvSpPr/>
        </xdr:nvSpPr>
        <xdr:spPr>
          <a:xfrm>
            <a:off x="1309688" y="2529465"/>
            <a:ext cx="1122499" cy="615175"/>
          </a:xfrm>
          <a:prstGeom prst="roundRect">
            <a:avLst/>
          </a:prstGeom>
          <a:solidFill>
            <a:srgbClr val="008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ED1F7C42-FFA0-4515-841D-E95985D278ED}" type="TxLink">
              <a:rPr lang="es-CO" sz="1200" b="1"/>
              <a:pPr algn="ctr"/>
              <a:t>CCalidad</a:t>
            </a:fld>
            <a:endParaRPr lang="es-CO" sz="1200" b="1"/>
          </a:p>
        </xdr:txBody>
      </xdr:sp>
      <xdr:sp macro="[0]!cambiocolorCategoriaExtras" textlink="$A$6">
        <xdr:nvSpPr>
          <xdr:cNvPr id="41" name="FormaExtra">
            <a:extLst>
              <a:ext uri="{FF2B5EF4-FFF2-40B4-BE49-F238E27FC236}">
                <a16:creationId xmlns:a16="http://schemas.microsoft.com/office/drawing/2014/main" id="{00000000-0008-0000-0000-000029000000}"/>
              </a:ext>
            </a:extLst>
          </xdr:cNvPr>
          <xdr:cNvSpPr/>
        </xdr:nvSpPr>
        <xdr:spPr>
          <a:xfrm>
            <a:off x="1303703" y="3180704"/>
            <a:ext cx="1138375" cy="612000"/>
          </a:xfrm>
          <a:prstGeom prst="roundRect">
            <a:avLst/>
          </a:prstGeom>
          <a:solidFill>
            <a:srgbClr val="008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2E0FE504-C871-4093-BD4A-148F2429B97B}" type="TxLink">
              <a:rPr lang="es-CO" sz="1200" b="1"/>
              <a:pPr algn="ctr"/>
              <a:t>Registros</a:t>
            </a:fld>
            <a:endParaRPr lang="es-CO" sz="1200" b="1"/>
          </a:p>
        </xdr:txBody>
      </xdr:sp>
      <xdr:sp macro="" textlink="">
        <xdr:nvSpPr>
          <xdr:cNvPr id="13" name="Rectángulo 12">
            <a:extLst>
              <a:ext uri="{FF2B5EF4-FFF2-40B4-BE49-F238E27FC236}">
                <a16:creationId xmlns:a16="http://schemas.microsoft.com/office/drawing/2014/main" id="{A9A83B5F-0E04-46E1-AED2-87B34240800C}"/>
              </a:ext>
            </a:extLst>
          </xdr:cNvPr>
          <xdr:cNvSpPr/>
        </xdr:nvSpPr>
        <xdr:spPr>
          <a:xfrm>
            <a:off x="2444750" y="495593"/>
            <a:ext cx="4253851" cy="530658"/>
          </a:xfrm>
          <a:prstGeom prst="rect">
            <a:avLst/>
          </a:prstGeom>
          <a:solidFill>
            <a:srgbClr val="92D050"/>
          </a:solidFill>
        </xdr:spPr>
        <xdr:style>
          <a:lnRef idx="0">
            <a:schemeClr val="accent5"/>
          </a:lnRef>
          <a:fillRef idx="3">
            <a:schemeClr val="accent5"/>
          </a:fillRef>
          <a:effectRef idx="3">
            <a:schemeClr val="accent5"/>
          </a:effectRef>
          <a:fontRef idx="minor">
            <a:schemeClr val="lt1"/>
          </a:fontRef>
        </xdr:style>
        <xdr:txBody>
          <a:bodyPr wrap="square" lIns="91440" tIns="45720" rIns="91440" bIns="45720">
            <a:noAutofit/>
          </a:bodyPr>
          <a:lstStyle/>
          <a:p>
            <a:pPr algn="ctr"/>
            <a:r>
              <a:rPr lang="es-ES" sz="2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Sistema</a:t>
            </a:r>
            <a:r>
              <a:rPr lang="es-ES" sz="28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de Gestion Cal-Pro</a:t>
            </a:r>
            <a:endParaRPr lang="es-ES" sz="28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grpSp>
    <xdr:clientData/>
  </xdr:twoCellAnchor>
  <xdr:twoCellAnchor>
    <xdr:from>
      <xdr:col>4</xdr:col>
      <xdr:colOff>127000</xdr:colOff>
      <xdr:row>1</xdr:row>
      <xdr:rowOff>15875</xdr:rowOff>
    </xdr:from>
    <xdr:to>
      <xdr:col>8</xdr:col>
      <xdr:colOff>333375</xdr:colOff>
      <xdr:row>9</xdr:row>
      <xdr:rowOff>158750</xdr:rowOff>
    </xdr:to>
    <xdr:grpSp>
      <xdr:nvGrpSpPr>
        <xdr:cNvPr id="38" name="Grupo 37" hidden="1">
          <a:extLst>
            <a:ext uri="{FF2B5EF4-FFF2-40B4-BE49-F238E27FC236}">
              <a16:creationId xmlns:a16="http://schemas.microsoft.com/office/drawing/2014/main" id="{A7B15D00-1D2E-4F44-9040-AC676BC6B531}"/>
            </a:ext>
          </a:extLst>
        </xdr:cNvPr>
        <xdr:cNvGrpSpPr/>
      </xdr:nvGrpSpPr>
      <xdr:grpSpPr>
        <a:xfrm>
          <a:off x="5511047" y="379117"/>
          <a:ext cx="5525845" cy="4348404"/>
          <a:chOff x="4548188" y="381000"/>
          <a:chExt cx="4524375" cy="3762375"/>
        </a:xfrm>
      </xdr:grpSpPr>
      <xdr:pic>
        <xdr:nvPicPr>
          <xdr:cNvPr id="36" name="Imagen 35">
            <a:extLst>
              <a:ext uri="{FF2B5EF4-FFF2-40B4-BE49-F238E27FC236}">
                <a16:creationId xmlns:a16="http://schemas.microsoft.com/office/drawing/2014/main" id="{E7561734-3BE0-43A4-8331-CB3DE773BCF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548188" y="381000"/>
            <a:ext cx="4524375" cy="3762375"/>
          </a:xfrm>
          <a:prstGeom prst="rect">
            <a:avLst/>
          </a:prstGeom>
        </xdr:spPr>
      </xdr:pic>
      <xdr:sp macro="" textlink="">
        <xdr:nvSpPr>
          <xdr:cNvPr id="37" name="Rectángulo 36">
            <a:extLst>
              <a:ext uri="{FF2B5EF4-FFF2-40B4-BE49-F238E27FC236}">
                <a16:creationId xmlns:a16="http://schemas.microsoft.com/office/drawing/2014/main" id="{AD152141-6750-4449-B179-895CD80DAADE}"/>
              </a:ext>
            </a:extLst>
          </xdr:cNvPr>
          <xdr:cNvSpPr/>
        </xdr:nvSpPr>
        <xdr:spPr>
          <a:xfrm>
            <a:off x="4769775" y="416216"/>
            <a:ext cx="4128823" cy="536284"/>
          </a:xfrm>
          <a:prstGeom prst="rect">
            <a:avLst/>
          </a:prstGeom>
        </xdr:spPr>
        <xdr:style>
          <a:lnRef idx="0">
            <a:schemeClr val="accent3"/>
          </a:lnRef>
          <a:fillRef idx="3">
            <a:schemeClr val="accent3"/>
          </a:fillRef>
          <a:effectRef idx="3">
            <a:schemeClr val="accent3"/>
          </a:effectRef>
          <a:fontRef idx="minor">
            <a:schemeClr val="lt1"/>
          </a:fontRef>
        </xdr:style>
        <xdr:txBody>
          <a:bodyPr wrap="none" lIns="91440" tIns="45720" rIns="91440" bIns="45720">
            <a:noAutofit/>
          </a:bodyPr>
          <a:lstStyle/>
          <a:p>
            <a:pPr algn="ctr"/>
            <a:r>
              <a:rPr lang="es-ES"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SALIR-CALIDAD</a:t>
            </a:r>
          </a:p>
        </xdr:txBody>
      </xdr:sp>
    </xdr:grpSp>
    <xdr:clientData/>
  </xdr:twoCellAnchor>
  <xdr:twoCellAnchor>
    <xdr:from>
      <xdr:col>2</xdr:col>
      <xdr:colOff>1016000</xdr:colOff>
      <xdr:row>6</xdr:row>
      <xdr:rowOff>68263</xdr:rowOff>
    </xdr:from>
    <xdr:to>
      <xdr:col>5</xdr:col>
      <xdr:colOff>873125</xdr:colOff>
      <xdr:row>9</xdr:row>
      <xdr:rowOff>7938</xdr:rowOff>
    </xdr:to>
    <xdr:grpSp>
      <xdr:nvGrpSpPr>
        <xdr:cNvPr id="63" name="Grupo 62">
          <a:extLst>
            <a:ext uri="{FF2B5EF4-FFF2-40B4-BE49-F238E27FC236}">
              <a16:creationId xmlns:a16="http://schemas.microsoft.com/office/drawing/2014/main" id="{D9E562B6-8463-454B-B511-9643D7C8E548}"/>
            </a:ext>
          </a:extLst>
        </xdr:cNvPr>
        <xdr:cNvGrpSpPr/>
      </xdr:nvGrpSpPr>
      <xdr:grpSpPr>
        <a:xfrm>
          <a:off x="3268097" y="1448581"/>
          <a:ext cx="4797210" cy="3128128"/>
          <a:chOff x="2532062" y="1336967"/>
          <a:chExt cx="4143375" cy="2655596"/>
        </a:xfrm>
      </xdr:grpSpPr>
      <xdr:pic macro="[0]!EntrarProduccion">
        <xdr:nvPicPr>
          <xdr:cNvPr id="45" name="Imagen 44">
            <a:extLst>
              <a:ext uri="{FF2B5EF4-FFF2-40B4-BE49-F238E27FC236}">
                <a16:creationId xmlns:a16="http://schemas.microsoft.com/office/drawing/2014/main" id="{17CB1C24-7AE0-453F-9EF0-89F8A2A0F1F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32062" y="1397000"/>
            <a:ext cx="4143375" cy="2595563"/>
          </a:xfrm>
          <a:prstGeom prst="rect">
            <a:avLst/>
          </a:prstGeom>
        </xdr:spPr>
      </xdr:pic>
      <xdr:sp macro="[0]!EntrarProduccion" textlink="">
        <xdr:nvSpPr>
          <xdr:cNvPr id="46" name="Rectángulo 45">
            <a:extLst>
              <a:ext uri="{FF2B5EF4-FFF2-40B4-BE49-F238E27FC236}">
                <a16:creationId xmlns:a16="http://schemas.microsoft.com/office/drawing/2014/main" id="{EB63676B-1723-433A-BB32-1490A27DA3E7}"/>
              </a:ext>
            </a:extLst>
          </xdr:cNvPr>
          <xdr:cNvSpPr/>
        </xdr:nvSpPr>
        <xdr:spPr>
          <a:xfrm>
            <a:off x="2782655" y="1336967"/>
            <a:ext cx="3737433" cy="655885"/>
          </a:xfrm>
          <a:prstGeom prst="rect">
            <a:avLst/>
          </a:prstGeom>
          <a:noFill/>
        </xdr:spPr>
        <xdr:txBody>
          <a:bodyPr wrap="none" lIns="91440" tIns="45720" rIns="91440" bIns="45720">
            <a:no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3200" b="1" cap="none" spc="0">
                <a:ln/>
                <a:solidFill>
                  <a:schemeClr val="accent3"/>
                </a:solidFill>
                <a:effectLst/>
              </a:rPr>
              <a:t>Be-Eco</a:t>
            </a:r>
            <a:r>
              <a:rPr lang="es-ES" sz="3200" b="1" cap="none" spc="0" baseline="0">
                <a:ln/>
                <a:solidFill>
                  <a:schemeClr val="accent3"/>
                </a:solidFill>
                <a:effectLst/>
              </a:rPr>
              <a:t> Producción</a:t>
            </a:r>
            <a:endParaRPr lang="es-ES" sz="3200" b="1" cap="none" spc="0">
              <a:ln/>
              <a:solidFill>
                <a:schemeClr val="accent3"/>
              </a:solidFill>
              <a:effectLst/>
            </a:endParaRPr>
          </a:p>
        </xdr:txBody>
      </xdr:sp>
      <xdr:pic macro="[0]!EntrarProduccion">
        <xdr:nvPicPr>
          <xdr:cNvPr id="49" name="Imagen 48">
            <a:extLst>
              <a:ext uri="{FF2B5EF4-FFF2-40B4-BE49-F238E27FC236}">
                <a16:creationId xmlns:a16="http://schemas.microsoft.com/office/drawing/2014/main" id="{76929563-74C6-401F-8DB0-D27F012787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00750" y="3341579"/>
            <a:ext cx="604838" cy="623996"/>
          </a:xfrm>
          <a:prstGeom prst="rect">
            <a:avLst/>
          </a:prstGeom>
        </xdr:spPr>
      </xdr:pic>
    </xdr:grpSp>
    <xdr:clientData/>
  </xdr:twoCellAnchor>
  <xdr:twoCellAnchor>
    <xdr:from>
      <xdr:col>2</xdr:col>
      <xdr:colOff>920750</xdr:colOff>
      <xdr:row>6</xdr:row>
      <xdr:rowOff>31750</xdr:rowOff>
    </xdr:from>
    <xdr:to>
      <xdr:col>5</xdr:col>
      <xdr:colOff>801688</xdr:colOff>
      <xdr:row>9</xdr:row>
      <xdr:rowOff>23522</xdr:rowOff>
    </xdr:to>
    <xdr:grpSp>
      <xdr:nvGrpSpPr>
        <xdr:cNvPr id="41892" name="Grupo 41891" hidden="1">
          <a:extLst>
            <a:ext uri="{FF2B5EF4-FFF2-40B4-BE49-F238E27FC236}">
              <a16:creationId xmlns:a16="http://schemas.microsoft.com/office/drawing/2014/main" id="{9C0CC99C-EC02-44F4-8922-994594F5A025}"/>
            </a:ext>
          </a:extLst>
        </xdr:cNvPr>
        <xdr:cNvGrpSpPr/>
      </xdr:nvGrpSpPr>
      <xdr:grpSpPr>
        <a:xfrm>
          <a:off x="3172847" y="1412068"/>
          <a:ext cx="4821023" cy="3180225"/>
          <a:chOff x="3333751" y="960437"/>
          <a:chExt cx="4405313" cy="2655597"/>
        </a:xfrm>
      </xdr:grpSpPr>
      <xdr:pic macro="[0]!Btn_Productos">
        <xdr:nvPicPr>
          <xdr:cNvPr id="32" name="Imagen 31" hidden="1">
            <a:extLst>
              <a:ext uri="{FF2B5EF4-FFF2-40B4-BE49-F238E27FC236}">
                <a16:creationId xmlns:a16="http://schemas.microsoft.com/office/drawing/2014/main" id="{06BED600-B41F-476B-8A4D-E0F503ABC4C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49229" y="1053186"/>
            <a:ext cx="4245484" cy="2562848"/>
          </a:xfrm>
          <a:prstGeom prst="rect">
            <a:avLst/>
          </a:prstGeom>
        </xdr:spPr>
      </xdr:pic>
      <xdr:sp macro="[0]!Btn_Productos" textlink="">
        <xdr:nvSpPr>
          <xdr:cNvPr id="33" name="Rectángulo 32" hidden="1">
            <a:extLst>
              <a:ext uri="{FF2B5EF4-FFF2-40B4-BE49-F238E27FC236}">
                <a16:creationId xmlns:a16="http://schemas.microsoft.com/office/drawing/2014/main" id="{6A439738-EC23-4707-A762-110EE64337FA}"/>
              </a:ext>
            </a:extLst>
          </xdr:cNvPr>
          <xdr:cNvSpPr/>
        </xdr:nvSpPr>
        <xdr:spPr>
          <a:xfrm>
            <a:off x="3333751" y="960437"/>
            <a:ext cx="4405313" cy="540498"/>
          </a:xfrm>
          <a:prstGeom prst="rect">
            <a:avLst/>
          </a:prstGeom>
          <a:noFill/>
        </xdr:spPr>
        <xdr:txBody>
          <a:bodyPr wrap="square" lIns="91440" tIns="45720" rIns="91440" bIns="45720">
            <a:no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2800" b="1" cap="none" spc="0">
                <a:ln/>
                <a:solidFill>
                  <a:schemeClr val="accent3"/>
                </a:solidFill>
                <a:effectLst/>
              </a:rPr>
              <a:t>Be-Eco</a:t>
            </a:r>
            <a:r>
              <a:rPr lang="es-ES" sz="2800" b="1" cap="none" spc="0" baseline="0">
                <a:ln/>
                <a:solidFill>
                  <a:schemeClr val="accent3"/>
                </a:solidFill>
                <a:effectLst/>
              </a:rPr>
              <a:t> Productos</a:t>
            </a:r>
            <a:endParaRPr lang="es-ES" sz="2800" b="1" cap="none" spc="0">
              <a:ln/>
              <a:solidFill>
                <a:schemeClr val="accent3"/>
              </a:solidFill>
              <a:effectLst/>
            </a:endParaRPr>
          </a:p>
        </xdr:txBody>
      </xdr:sp>
      <xdr:pic macro="[0]!Btn_Productos">
        <xdr:nvPicPr>
          <xdr:cNvPr id="42" name="Imagen 41" hidden="1">
            <a:extLst>
              <a:ext uri="{FF2B5EF4-FFF2-40B4-BE49-F238E27FC236}">
                <a16:creationId xmlns:a16="http://schemas.microsoft.com/office/drawing/2014/main" id="{399E9D88-E7ED-45A7-8216-39C2D6ED333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021897" y="2944304"/>
            <a:ext cx="625736" cy="635566"/>
          </a:xfrm>
          <a:prstGeom prst="rect">
            <a:avLst/>
          </a:prstGeom>
          <a:scene3d>
            <a:camera prst="orthographicFront"/>
            <a:lightRig rig="threePt" dir="t"/>
          </a:scene3d>
          <a:sp3d>
            <a:bevelT w="101600" prst="riblet"/>
          </a:sp3d>
        </xdr:spPr>
      </xdr:pic>
    </xdr:grpSp>
    <xdr:clientData/>
  </xdr:twoCellAnchor>
  <xdr:twoCellAnchor>
    <xdr:from>
      <xdr:col>2</xdr:col>
      <xdr:colOff>976313</xdr:colOff>
      <xdr:row>6</xdr:row>
      <xdr:rowOff>57149</xdr:rowOff>
    </xdr:from>
    <xdr:to>
      <xdr:col>5</xdr:col>
      <xdr:colOff>936626</xdr:colOff>
      <xdr:row>9</xdr:row>
      <xdr:rowOff>38100</xdr:rowOff>
    </xdr:to>
    <xdr:grpSp>
      <xdr:nvGrpSpPr>
        <xdr:cNvPr id="41888" name="Grupo 41887" hidden="1">
          <a:extLst>
            <a:ext uri="{FF2B5EF4-FFF2-40B4-BE49-F238E27FC236}">
              <a16:creationId xmlns:a16="http://schemas.microsoft.com/office/drawing/2014/main" id="{04BA8C7D-BB06-4DDD-880A-3489BD2CB1D8}"/>
            </a:ext>
          </a:extLst>
        </xdr:cNvPr>
        <xdr:cNvGrpSpPr/>
      </xdr:nvGrpSpPr>
      <xdr:grpSpPr>
        <a:xfrm>
          <a:off x="3228410" y="1437467"/>
          <a:ext cx="4900398" cy="3169404"/>
          <a:chOff x="2533650" y="1354430"/>
          <a:chExt cx="4143375" cy="2655596"/>
        </a:xfrm>
      </xdr:grpSpPr>
      <xdr:pic>
        <xdr:nvPicPr>
          <xdr:cNvPr id="76" name="Imagen 75" hidden="1">
            <a:extLst>
              <a:ext uri="{FF2B5EF4-FFF2-40B4-BE49-F238E27FC236}">
                <a16:creationId xmlns:a16="http://schemas.microsoft.com/office/drawing/2014/main" id="{B03C5F92-3A23-4E6C-BB3A-4EF45F0AFE2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33650" y="1414463"/>
            <a:ext cx="4143375" cy="2595563"/>
          </a:xfrm>
          <a:prstGeom prst="rect">
            <a:avLst/>
          </a:prstGeom>
        </xdr:spPr>
      </xdr:pic>
      <xdr:sp macro="" textlink="">
        <xdr:nvSpPr>
          <xdr:cNvPr id="83" name="Rectángulo 82" hidden="1">
            <a:extLst>
              <a:ext uri="{FF2B5EF4-FFF2-40B4-BE49-F238E27FC236}">
                <a16:creationId xmlns:a16="http://schemas.microsoft.com/office/drawing/2014/main" id="{77748115-CB9F-41C1-BF67-DAED2ECCF1AC}"/>
              </a:ext>
            </a:extLst>
          </xdr:cNvPr>
          <xdr:cNvSpPr/>
        </xdr:nvSpPr>
        <xdr:spPr>
          <a:xfrm>
            <a:off x="2784243" y="1354430"/>
            <a:ext cx="3737433" cy="655885"/>
          </a:xfrm>
          <a:prstGeom prst="rect">
            <a:avLst/>
          </a:prstGeom>
          <a:noFill/>
        </xdr:spPr>
        <xdr:txBody>
          <a:bodyPr wrap="none" lIns="91440" tIns="45720" rIns="91440" bIns="45720">
            <a:no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3200" b="1" cap="none" spc="0">
                <a:ln/>
                <a:solidFill>
                  <a:schemeClr val="accent3"/>
                </a:solidFill>
                <a:effectLst/>
              </a:rPr>
              <a:t>Be-Eco</a:t>
            </a:r>
            <a:r>
              <a:rPr lang="es-ES" sz="3200" b="1" cap="none" spc="0" baseline="0">
                <a:ln/>
                <a:solidFill>
                  <a:schemeClr val="accent3"/>
                </a:solidFill>
                <a:effectLst/>
              </a:rPr>
              <a:t> CCalidad</a:t>
            </a:r>
            <a:endParaRPr lang="es-ES" sz="3200" b="1" cap="none" spc="0">
              <a:ln/>
              <a:solidFill>
                <a:schemeClr val="accent3"/>
              </a:solidFill>
              <a:effectLst/>
            </a:endParaRPr>
          </a:p>
        </xdr:txBody>
      </xdr:sp>
      <xdr:pic macro="[0]!EntrarCalidad">
        <xdr:nvPicPr>
          <xdr:cNvPr id="84" name="Imagen 83" hidden="1">
            <a:extLst>
              <a:ext uri="{FF2B5EF4-FFF2-40B4-BE49-F238E27FC236}">
                <a16:creationId xmlns:a16="http://schemas.microsoft.com/office/drawing/2014/main" id="{62D6C4D7-E320-498E-8418-643CE66343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02338" y="3359042"/>
            <a:ext cx="604838" cy="623996"/>
          </a:xfrm>
          <a:prstGeom prst="rect">
            <a:avLst/>
          </a:prstGeom>
        </xdr:spPr>
      </xdr:pic>
    </xdr:grpSp>
    <xdr:clientData/>
  </xdr:twoCellAnchor>
  <xdr:twoCellAnchor>
    <xdr:from>
      <xdr:col>2</xdr:col>
      <xdr:colOff>1030288</xdr:colOff>
      <xdr:row>6</xdr:row>
      <xdr:rowOff>4762</xdr:rowOff>
    </xdr:from>
    <xdr:to>
      <xdr:col>5</xdr:col>
      <xdr:colOff>815975</xdr:colOff>
      <xdr:row>9</xdr:row>
      <xdr:rowOff>1</xdr:rowOff>
    </xdr:to>
    <xdr:grpSp>
      <xdr:nvGrpSpPr>
        <xdr:cNvPr id="41889" name="Grupo 41888" hidden="1">
          <a:extLst>
            <a:ext uri="{FF2B5EF4-FFF2-40B4-BE49-F238E27FC236}">
              <a16:creationId xmlns:a16="http://schemas.microsoft.com/office/drawing/2014/main" id="{60A08F08-505A-4A90-A539-172BD63EE8C6}"/>
            </a:ext>
          </a:extLst>
        </xdr:cNvPr>
        <xdr:cNvGrpSpPr/>
      </xdr:nvGrpSpPr>
      <xdr:grpSpPr>
        <a:xfrm>
          <a:off x="3282385" y="1385080"/>
          <a:ext cx="4725772" cy="3183692"/>
          <a:chOff x="2535238" y="1387768"/>
          <a:chExt cx="4143375" cy="2655596"/>
        </a:xfrm>
      </xdr:grpSpPr>
      <xdr:pic>
        <xdr:nvPicPr>
          <xdr:cNvPr id="90" name="Imagen 89" hidden="1">
            <a:extLst>
              <a:ext uri="{FF2B5EF4-FFF2-40B4-BE49-F238E27FC236}">
                <a16:creationId xmlns:a16="http://schemas.microsoft.com/office/drawing/2014/main" id="{23E68A89-7F16-4CFA-A726-AC097ECB618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35238" y="1447801"/>
            <a:ext cx="4143375" cy="2595563"/>
          </a:xfrm>
          <a:prstGeom prst="rect">
            <a:avLst/>
          </a:prstGeom>
          <a:scene3d>
            <a:camera prst="orthographicFront"/>
            <a:lightRig rig="threePt" dir="t"/>
          </a:scene3d>
          <a:sp3d/>
        </xdr:spPr>
      </xdr:pic>
      <xdr:sp macro="" textlink="">
        <xdr:nvSpPr>
          <xdr:cNvPr id="91" name="Rectángulo 90" hidden="1">
            <a:extLst>
              <a:ext uri="{FF2B5EF4-FFF2-40B4-BE49-F238E27FC236}">
                <a16:creationId xmlns:a16="http://schemas.microsoft.com/office/drawing/2014/main" id="{7A3769F1-F3B6-40B4-9484-8D8C65C50035}"/>
              </a:ext>
            </a:extLst>
          </xdr:cNvPr>
          <xdr:cNvSpPr/>
        </xdr:nvSpPr>
        <xdr:spPr>
          <a:xfrm>
            <a:off x="2785831" y="1387768"/>
            <a:ext cx="3737433" cy="655885"/>
          </a:xfrm>
          <a:prstGeom prst="rect">
            <a:avLst/>
          </a:prstGeom>
          <a:noFill/>
          <a:scene3d>
            <a:camera prst="orthographicFront"/>
            <a:lightRig rig="harsh" dir="t"/>
          </a:scene3d>
          <a:sp3d/>
        </xdr:spPr>
        <xdr:txBody>
          <a:bodyPr wrap="none" lIns="91440" tIns="45720" rIns="91440" bIns="45720">
            <a:noAutofit/>
            <a:sp3d extrusionH="57150" prstMaterial="matte">
              <a:bevelT w="63500" h="12700" prst="angle"/>
              <a:contourClr>
                <a:schemeClr val="bg1">
                  <a:lumMod val="65000"/>
                </a:schemeClr>
              </a:contourClr>
            </a:sp3d>
          </a:bodyPr>
          <a:lstStyle/>
          <a:p>
            <a:pPr algn="ctr"/>
            <a:r>
              <a:rPr lang="es-ES" sz="3200" b="1" cap="none" spc="0">
                <a:ln/>
                <a:solidFill>
                  <a:schemeClr val="accent3"/>
                </a:solidFill>
                <a:effectLst/>
              </a:rPr>
              <a:t>Be-Eco</a:t>
            </a:r>
            <a:r>
              <a:rPr lang="es-ES" sz="3200" b="1" cap="none" spc="0" baseline="0">
                <a:ln/>
                <a:solidFill>
                  <a:schemeClr val="accent3"/>
                </a:solidFill>
                <a:effectLst/>
              </a:rPr>
              <a:t> Registros</a:t>
            </a:r>
            <a:endParaRPr lang="es-ES" sz="3200" b="1" cap="none" spc="0">
              <a:ln/>
              <a:solidFill>
                <a:schemeClr val="accent3"/>
              </a:solidFill>
              <a:effectLst/>
            </a:endParaRPr>
          </a:p>
        </xdr:txBody>
      </xdr:sp>
      <xdr:pic macro="[0]!EntrarRegistros">
        <xdr:nvPicPr>
          <xdr:cNvPr id="92" name="Imagen 91" hidden="1">
            <a:extLst>
              <a:ext uri="{FF2B5EF4-FFF2-40B4-BE49-F238E27FC236}">
                <a16:creationId xmlns:a16="http://schemas.microsoft.com/office/drawing/2014/main" id="{13244AC6-50F3-48B6-9A21-0B5E7989D1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03926" y="3392380"/>
            <a:ext cx="604838" cy="623996"/>
          </a:xfrm>
          <a:prstGeom prst="rect">
            <a:avLst/>
          </a:prstGeom>
          <a:scene3d>
            <a:camera prst="orthographicFront"/>
            <a:lightRig rig="threePt" dir="t"/>
          </a:scene3d>
          <a:sp3d/>
        </xdr:spPr>
      </xdr:pic>
    </xdr:grpSp>
    <xdr:clientData/>
  </xdr:twoCellAnchor>
  <xdr:twoCellAnchor>
    <xdr:from>
      <xdr:col>10</xdr:col>
      <xdr:colOff>968375</xdr:colOff>
      <xdr:row>4</xdr:row>
      <xdr:rowOff>23814</xdr:rowOff>
    </xdr:from>
    <xdr:to>
      <xdr:col>17</xdr:col>
      <xdr:colOff>238124</xdr:colOff>
      <xdr:row>8</xdr:row>
      <xdr:rowOff>342127</xdr:rowOff>
    </xdr:to>
    <xdr:grpSp>
      <xdr:nvGrpSpPr>
        <xdr:cNvPr id="41891" name="Grupo 41890" hidden="1">
          <a:extLst>
            <a:ext uri="{FF2B5EF4-FFF2-40B4-BE49-F238E27FC236}">
              <a16:creationId xmlns:a16="http://schemas.microsoft.com/office/drawing/2014/main" id="{59513D02-846E-4E12-8FE9-228809CA9597}"/>
            </a:ext>
          </a:extLst>
        </xdr:cNvPr>
        <xdr:cNvGrpSpPr/>
      </xdr:nvGrpSpPr>
      <xdr:grpSpPr>
        <a:xfrm>
          <a:off x="13819053" y="968242"/>
          <a:ext cx="4121041" cy="3054732"/>
          <a:chOff x="2540000" y="1436688"/>
          <a:chExt cx="4111624" cy="2477313"/>
        </a:xfrm>
      </xdr:grpSpPr>
      <xdr:sp macro="[0]!Materiaprima" textlink="">
        <xdr:nvSpPr>
          <xdr:cNvPr id="95" name="Rectángulo 94" hidden="1">
            <a:extLst>
              <a:ext uri="{FF2B5EF4-FFF2-40B4-BE49-F238E27FC236}">
                <a16:creationId xmlns:a16="http://schemas.microsoft.com/office/drawing/2014/main" id="{5A8181FE-776D-434B-8174-B9181CE073C3}"/>
              </a:ext>
            </a:extLst>
          </xdr:cNvPr>
          <xdr:cNvSpPr/>
        </xdr:nvSpPr>
        <xdr:spPr>
          <a:xfrm>
            <a:off x="2540000" y="1436688"/>
            <a:ext cx="4103687" cy="611187"/>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2400" b="1"/>
              <a:t>MATERIA</a:t>
            </a:r>
            <a:r>
              <a:rPr lang="es-CO" sz="2400" b="1" baseline="0"/>
              <a:t> PRIMA</a:t>
            </a:r>
            <a:endParaRPr lang="es-CO" sz="2400" b="1"/>
          </a:p>
        </xdr:txBody>
      </xdr:sp>
      <xdr:sp macro="[0]!Módulo2.Productos" textlink="">
        <xdr:nvSpPr>
          <xdr:cNvPr id="98" name="Rectángulo 97" hidden="1">
            <a:extLst>
              <a:ext uri="{FF2B5EF4-FFF2-40B4-BE49-F238E27FC236}">
                <a16:creationId xmlns:a16="http://schemas.microsoft.com/office/drawing/2014/main" id="{72046A8B-D72D-42D8-B5AE-5BB2C3DE0A05}"/>
              </a:ext>
            </a:extLst>
          </xdr:cNvPr>
          <xdr:cNvSpPr/>
        </xdr:nvSpPr>
        <xdr:spPr>
          <a:xfrm>
            <a:off x="2540000" y="2058989"/>
            <a:ext cx="4104000" cy="612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2400" b="1"/>
              <a:t>PRODUCTOS</a:t>
            </a:r>
          </a:p>
        </xdr:txBody>
      </xdr:sp>
      <xdr:sp macro="[0]!Salir" textlink="">
        <xdr:nvSpPr>
          <xdr:cNvPr id="100" name="Rectángulo 99" hidden="1">
            <a:extLst>
              <a:ext uri="{FF2B5EF4-FFF2-40B4-BE49-F238E27FC236}">
                <a16:creationId xmlns:a16="http://schemas.microsoft.com/office/drawing/2014/main" id="{68F3B314-738B-4ACF-BE77-0C1DA6506170}"/>
              </a:ext>
            </a:extLst>
          </xdr:cNvPr>
          <xdr:cNvSpPr/>
        </xdr:nvSpPr>
        <xdr:spPr>
          <a:xfrm>
            <a:off x="2540000" y="3302001"/>
            <a:ext cx="4103687" cy="612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2400" b="1"/>
              <a:t>SALIR</a:t>
            </a:r>
          </a:p>
        </xdr:txBody>
      </xdr:sp>
      <xdr:sp macro="[0]!Formulas" textlink="">
        <xdr:nvSpPr>
          <xdr:cNvPr id="101" name="Rectángulo 100" hidden="1">
            <a:extLst>
              <a:ext uri="{FF2B5EF4-FFF2-40B4-BE49-F238E27FC236}">
                <a16:creationId xmlns:a16="http://schemas.microsoft.com/office/drawing/2014/main" id="{D99A1C95-98FC-4CDE-895D-B5F09CB329C2}"/>
              </a:ext>
            </a:extLst>
          </xdr:cNvPr>
          <xdr:cNvSpPr/>
        </xdr:nvSpPr>
        <xdr:spPr>
          <a:xfrm>
            <a:off x="2547937" y="2682875"/>
            <a:ext cx="4103687" cy="612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2400" b="1"/>
              <a:t>FORMULAS</a:t>
            </a:r>
          </a:p>
        </xdr:txBody>
      </xdr:sp>
    </xdr:grpSp>
    <xdr:clientData/>
  </xdr:twoCellAnchor>
  <xdr:twoCellAnchor>
    <xdr:from>
      <xdr:col>1</xdr:col>
      <xdr:colOff>39553</xdr:colOff>
      <xdr:row>4</xdr:row>
      <xdr:rowOff>213265</xdr:rowOff>
    </xdr:from>
    <xdr:to>
      <xdr:col>4</xdr:col>
      <xdr:colOff>1792154</xdr:colOff>
      <xdr:row>7</xdr:row>
      <xdr:rowOff>1405477</xdr:rowOff>
    </xdr:to>
    <xdr:grpSp>
      <xdr:nvGrpSpPr>
        <xdr:cNvPr id="41898" name="Grupo 41897" hidden="1">
          <a:extLst>
            <a:ext uri="{FF2B5EF4-FFF2-40B4-BE49-F238E27FC236}">
              <a16:creationId xmlns:a16="http://schemas.microsoft.com/office/drawing/2014/main" id="{BE5530DA-48B2-4957-8086-BFA1E43F75B6}"/>
            </a:ext>
          </a:extLst>
        </xdr:cNvPr>
        <xdr:cNvGrpSpPr/>
      </xdr:nvGrpSpPr>
      <xdr:grpSpPr>
        <a:xfrm>
          <a:off x="1218070" y="1157693"/>
          <a:ext cx="5958131" cy="2516026"/>
          <a:chOff x="1257300" y="1066800"/>
          <a:chExt cx="5962651" cy="2506662"/>
        </a:xfrm>
      </xdr:grpSpPr>
      <xdr:grpSp>
        <xdr:nvGrpSpPr>
          <xdr:cNvPr id="3" name="Grupo 2" hidden="1">
            <a:extLst>
              <a:ext uri="{FF2B5EF4-FFF2-40B4-BE49-F238E27FC236}">
                <a16:creationId xmlns:a16="http://schemas.microsoft.com/office/drawing/2014/main" id="{DCE25D5C-F806-4384-BA11-4163C3D2F5DB}"/>
              </a:ext>
            </a:extLst>
          </xdr:cNvPr>
          <xdr:cNvGrpSpPr/>
        </xdr:nvGrpSpPr>
        <xdr:grpSpPr>
          <a:xfrm>
            <a:off x="2284412" y="3144838"/>
            <a:ext cx="4935539" cy="428624"/>
            <a:chOff x="2265362" y="2430463"/>
            <a:chExt cx="4935539" cy="428624"/>
          </a:xfrm>
        </xdr:grpSpPr>
        <xdr:sp macro="[0]!menu_lista" textlink="">
          <xdr:nvSpPr>
            <xdr:cNvPr id="89" name="Rectángulo 88" hidden="1">
              <a:extLst>
                <a:ext uri="{FF2B5EF4-FFF2-40B4-BE49-F238E27FC236}">
                  <a16:creationId xmlns:a16="http://schemas.microsoft.com/office/drawing/2014/main" id="{C08614FC-E430-4D3F-9878-1F28B7EE8A63}"/>
                </a:ext>
              </a:extLst>
            </xdr:cNvPr>
            <xdr:cNvSpPr/>
          </xdr:nvSpPr>
          <xdr:spPr>
            <a:xfrm>
              <a:off x="2265362" y="2446337"/>
              <a:ext cx="1444626" cy="41275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AYUDA</a:t>
              </a:r>
            </a:p>
          </xdr:txBody>
        </xdr:sp>
        <xdr:sp macro="[0]!Btn_Productos_salir" textlink="">
          <xdr:nvSpPr>
            <xdr:cNvPr id="87" name="Rectángulo 86" hidden="1">
              <a:extLst>
                <a:ext uri="{FF2B5EF4-FFF2-40B4-BE49-F238E27FC236}">
                  <a16:creationId xmlns:a16="http://schemas.microsoft.com/office/drawing/2014/main" id="{7EE7222C-055B-4E9F-99A8-6507C94BCAD0}"/>
                </a:ext>
              </a:extLst>
            </xdr:cNvPr>
            <xdr:cNvSpPr/>
          </xdr:nvSpPr>
          <xdr:spPr>
            <a:xfrm>
              <a:off x="5407025" y="2430463"/>
              <a:ext cx="1793876" cy="41275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SALIR</a:t>
              </a:r>
            </a:p>
          </xdr:txBody>
        </xdr:sp>
        <xdr:sp macro="[0]!menu_lista" textlink="">
          <xdr:nvSpPr>
            <xdr:cNvPr id="30" name="Rectángulo 29" hidden="1">
              <a:extLst>
                <a:ext uri="{FF2B5EF4-FFF2-40B4-BE49-F238E27FC236}">
                  <a16:creationId xmlns:a16="http://schemas.microsoft.com/office/drawing/2014/main" id="{ACCFFBD3-4E5B-4F4E-84EC-0825D607E19A}"/>
                </a:ext>
              </a:extLst>
            </xdr:cNvPr>
            <xdr:cNvSpPr/>
          </xdr:nvSpPr>
          <xdr:spPr>
            <a:xfrm>
              <a:off x="3749676" y="2438400"/>
              <a:ext cx="1619250" cy="41275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ACEPTAR</a:t>
              </a:r>
            </a:p>
          </xdr:txBody>
        </xdr:sp>
      </xdr:grpSp>
      <xdr:sp macro="" textlink="">
        <xdr:nvSpPr>
          <xdr:cNvPr id="24" name="Flecha: hacia arriba 23" hidden="1">
            <a:extLst>
              <a:ext uri="{FF2B5EF4-FFF2-40B4-BE49-F238E27FC236}">
                <a16:creationId xmlns:a16="http://schemas.microsoft.com/office/drawing/2014/main" id="{EFAD6E2F-CB65-4936-9DAC-841D59E64A64}"/>
              </a:ext>
            </a:extLst>
          </xdr:cNvPr>
          <xdr:cNvSpPr/>
        </xdr:nvSpPr>
        <xdr:spPr>
          <a:xfrm>
            <a:off x="3009900" y="2219325"/>
            <a:ext cx="295275" cy="647700"/>
          </a:xfrm>
          <a:prstGeom prst="up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s-CO" sz="1100"/>
          </a:p>
        </xdr:txBody>
      </xdr:sp>
      <xdr:sp macro="" textlink="">
        <xdr:nvSpPr>
          <xdr:cNvPr id="88" name="Flecha: hacia arriba 87" hidden="1">
            <a:extLst>
              <a:ext uri="{FF2B5EF4-FFF2-40B4-BE49-F238E27FC236}">
                <a16:creationId xmlns:a16="http://schemas.microsoft.com/office/drawing/2014/main" id="{91DAE08A-A8CC-43AB-86EA-3697347FE52C}"/>
              </a:ext>
            </a:extLst>
          </xdr:cNvPr>
          <xdr:cNvSpPr/>
        </xdr:nvSpPr>
        <xdr:spPr>
          <a:xfrm>
            <a:off x="4467225" y="2266950"/>
            <a:ext cx="276225" cy="647700"/>
          </a:xfrm>
          <a:prstGeom prst="up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s-CO" sz="1100"/>
          </a:p>
        </xdr:txBody>
      </xdr:sp>
      <xdr:sp macro="" textlink="">
        <xdr:nvSpPr>
          <xdr:cNvPr id="94" name="Flecha: hacia arriba 93" hidden="1">
            <a:extLst>
              <a:ext uri="{FF2B5EF4-FFF2-40B4-BE49-F238E27FC236}">
                <a16:creationId xmlns:a16="http://schemas.microsoft.com/office/drawing/2014/main" id="{0D8C2D51-7F5E-4B21-AB13-6422897A4BBB}"/>
              </a:ext>
            </a:extLst>
          </xdr:cNvPr>
          <xdr:cNvSpPr/>
        </xdr:nvSpPr>
        <xdr:spPr>
          <a:xfrm>
            <a:off x="6143625" y="2257425"/>
            <a:ext cx="295275" cy="647700"/>
          </a:xfrm>
          <a:prstGeom prst="up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s-CO" sz="1100"/>
          </a:p>
        </xdr:txBody>
      </xdr:sp>
      <xdr:sp macro="" textlink="">
        <xdr:nvSpPr>
          <xdr:cNvPr id="41893" name="Rectángulo 41892" hidden="1">
            <a:extLst>
              <a:ext uri="{FF2B5EF4-FFF2-40B4-BE49-F238E27FC236}">
                <a16:creationId xmlns:a16="http://schemas.microsoft.com/office/drawing/2014/main" id="{902B1974-691E-4B43-8D70-8CBA783DB7C9}"/>
              </a:ext>
            </a:extLst>
          </xdr:cNvPr>
          <xdr:cNvSpPr/>
        </xdr:nvSpPr>
        <xdr:spPr>
          <a:xfrm>
            <a:off x="2743201" y="2876550"/>
            <a:ext cx="828674" cy="247649"/>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200" b="1"/>
              <a:t>Paso</a:t>
            </a:r>
            <a:r>
              <a:rPr lang="es-CO" sz="1200" b="1" baseline="0"/>
              <a:t> 1</a:t>
            </a:r>
            <a:endParaRPr lang="es-CO" sz="1200" b="1"/>
          </a:p>
        </xdr:txBody>
      </xdr:sp>
      <xdr:sp macro="" textlink="">
        <xdr:nvSpPr>
          <xdr:cNvPr id="96" name="Rectángulo 95" hidden="1">
            <a:extLst>
              <a:ext uri="{FF2B5EF4-FFF2-40B4-BE49-F238E27FC236}">
                <a16:creationId xmlns:a16="http://schemas.microsoft.com/office/drawing/2014/main" id="{84FEAE8E-DEB4-4D0F-9BC9-F603590A156A}"/>
              </a:ext>
            </a:extLst>
          </xdr:cNvPr>
          <xdr:cNvSpPr/>
        </xdr:nvSpPr>
        <xdr:spPr>
          <a:xfrm>
            <a:off x="4181475" y="2886075"/>
            <a:ext cx="828674" cy="247649"/>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200" b="1"/>
              <a:t>Paso</a:t>
            </a:r>
            <a:r>
              <a:rPr lang="es-CO" sz="1200" b="1" baseline="0"/>
              <a:t> 2</a:t>
            </a:r>
            <a:endParaRPr lang="es-CO" sz="1200" b="1"/>
          </a:p>
        </xdr:txBody>
      </xdr:sp>
      <xdr:sp macro="" textlink="">
        <xdr:nvSpPr>
          <xdr:cNvPr id="97" name="Rectángulo 96" hidden="1">
            <a:extLst>
              <a:ext uri="{FF2B5EF4-FFF2-40B4-BE49-F238E27FC236}">
                <a16:creationId xmlns:a16="http://schemas.microsoft.com/office/drawing/2014/main" id="{83C27D01-008B-434E-9762-BC5C01126600}"/>
              </a:ext>
            </a:extLst>
          </xdr:cNvPr>
          <xdr:cNvSpPr/>
        </xdr:nvSpPr>
        <xdr:spPr>
          <a:xfrm>
            <a:off x="5905500" y="2867025"/>
            <a:ext cx="828674" cy="247649"/>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200" b="1"/>
              <a:t>Paso</a:t>
            </a:r>
            <a:r>
              <a:rPr lang="es-CO" sz="1200" b="1" baseline="0"/>
              <a:t> 3</a:t>
            </a:r>
            <a:endParaRPr lang="es-CO" sz="1200" b="1"/>
          </a:p>
        </xdr:txBody>
      </xdr:sp>
      <xdr:sp macro="" textlink="">
        <xdr:nvSpPr>
          <xdr:cNvPr id="41895" name="Rectángulo 41894" hidden="1">
            <a:extLst>
              <a:ext uri="{FF2B5EF4-FFF2-40B4-BE49-F238E27FC236}">
                <a16:creationId xmlns:a16="http://schemas.microsoft.com/office/drawing/2014/main" id="{0CF5E196-A39C-4513-AF9E-B6D457BE9DBD}"/>
              </a:ext>
            </a:extLst>
          </xdr:cNvPr>
          <xdr:cNvSpPr/>
        </xdr:nvSpPr>
        <xdr:spPr>
          <a:xfrm>
            <a:off x="1257300" y="1066800"/>
            <a:ext cx="866775" cy="2667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1100" b="1"/>
              <a:t>AYUDA</a:t>
            </a:r>
          </a:p>
        </xdr:txBody>
      </xdr:sp>
      <xdr:sp macro="" textlink="">
        <xdr:nvSpPr>
          <xdr:cNvPr id="93" name="Rectángulo 92" hidden="1">
            <a:extLst>
              <a:ext uri="{FF2B5EF4-FFF2-40B4-BE49-F238E27FC236}">
                <a16:creationId xmlns:a16="http://schemas.microsoft.com/office/drawing/2014/main" id="{99CA15F7-113A-48C3-8C89-3B30971EC00F}"/>
              </a:ext>
            </a:extLst>
          </xdr:cNvPr>
          <xdr:cNvSpPr/>
        </xdr:nvSpPr>
        <xdr:spPr>
          <a:xfrm>
            <a:off x="1285875" y="2705100"/>
            <a:ext cx="914400" cy="81915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1"/>
              <a:t>SEGUIR LOS PASOS SIGUIENTES</a:t>
            </a:r>
          </a:p>
        </xdr:txBody>
      </xdr:sp>
      <xdr:sp macro="" textlink="">
        <xdr:nvSpPr>
          <xdr:cNvPr id="41896" name="Flecha: doblada 41895" hidden="1">
            <a:extLst>
              <a:ext uri="{FF2B5EF4-FFF2-40B4-BE49-F238E27FC236}">
                <a16:creationId xmlns:a16="http://schemas.microsoft.com/office/drawing/2014/main" id="{D124B3C6-A9E2-4E60-8CD7-AE056CAAE6AB}"/>
              </a:ext>
            </a:extLst>
          </xdr:cNvPr>
          <xdr:cNvSpPr/>
        </xdr:nvSpPr>
        <xdr:spPr>
          <a:xfrm rot="10800000" flipH="1">
            <a:off x="1628775" y="1323975"/>
            <a:ext cx="590550" cy="1371600"/>
          </a:xfrm>
          <a:prstGeom prst="ben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solidFill>
                <a:schemeClr val="tx1"/>
              </a:solidFill>
            </a:endParaRPr>
          </a:p>
        </xdr:txBody>
      </xdr:sp>
    </xdr:grpSp>
    <xdr:clientData/>
  </xdr:twoCellAnchor>
  <xdr:twoCellAnchor>
    <xdr:from>
      <xdr:col>1</xdr:col>
      <xdr:colOff>276225</xdr:colOff>
      <xdr:row>2</xdr:row>
      <xdr:rowOff>161925</xdr:rowOff>
    </xdr:from>
    <xdr:to>
      <xdr:col>2</xdr:col>
      <xdr:colOff>571500</xdr:colOff>
      <xdr:row>5</xdr:row>
      <xdr:rowOff>114300</xdr:rowOff>
    </xdr:to>
    <xdr:sp macro="[0]!llamar_menu" textlink="">
      <xdr:nvSpPr>
        <xdr:cNvPr id="41899" name="BtnAyuda" hidden="1">
          <a:extLst>
            <a:ext uri="{FF2B5EF4-FFF2-40B4-BE49-F238E27FC236}">
              <a16:creationId xmlns:a16="http://schemas.microsoft.com/office/drawing/2014/main" id="{0287E660-5507-4A49-8E49-CC4EBFF196DD}"/>
            </a:ext>
          </a:extLst>
        </xdr:cNvPr>
        <xdr:cNvSpPr/>
      </xdr:nvSpPr>
      <xdr:spPr>
        <a:xfrm>
          <a:off x="1457325" y="714375"/>
          <a:ext cx="1371600" cy="5715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1800"/>
            <a:t>AYUDA</a:t>
          </a:r>
        </a:p>
      </xdr:txBody>
    </xdr:sp>
    <xdr:clientData/>
  </xdr:twoCellAnchor>
  <xdr:twoCellAnchor>
    <xdr:from>
      <xdr:col>5</xdr:col>
      <xdr:colOff>1152525</xdr:colOff>
      <xdr:row>6</xdr:row>
      <xdr:rowOff>295275</xdr:rowOff>
    </xdr:from>
    <xdr:to>
      <xdr:col>8</xdr:col>
      <xdr:colOff>552450</xdr:colOff>
      <xdr:row>8</xdr:row>
      <xdr:rowOff>38100</xdr:rowOff>
    </xdr:to>
    <xdr:sp macro="[0]!esconderayuda1" textlink="">
      <xdr:nvSpPr>
        <xdr:cNvPr id="41900" name="ayuda-1" hidden="1">
          <a:extLst>
            <a:ext uri="{FF2B5EF4-FFF2-40B4-BE49-F238E27FC236}">
              <a16:creationId xmlns:a16="http://schemas.microsoft.com/office/drawing/2014/main" id="{58D7983B-5365-4489-9D98-2BDD50C53417}"/>
            </a:ext>
          </a:extLst>
        </xdr:cNvPr>
        <xdr:cNvSpPr/>
      </xdr:nvSpPr>
      <xdr:spPr>
        <a:xfrm>
          <a:off x="8353425" y="1657350"/>
          <a:ext cx="2914650" cy="2038350"/>
        </a:xfrm>
        <a:prstGeom prst="wedgeEllipseCallout">
          <a:avLst>
            <a:gd name="adj1" fmla="val -58847"/>
            <a:gd name="adj2" fmla="val -8236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s-CO" sz="1100"/>
            <a:t>Version del Sistema de Gestión</a:t>
          </a:r>
          <a:r>
            <a:rPr lang="es-CO" sz="1100" baseline="0"/>
            <a:t> de Producción y Control de Calidad V 2.1 en formato libre utilizando lo mejor de Excel en combinacion con VB (Visual Basic) dirijido a objetos, hecho por Ing Angel Ibañez</a:t>
          </a:r>
          <a:endParaRPr lang="es-CO" sz="1100"/>
        </a:p>
      </xdr:txBody>
    </xdr:sp>
    <xdr:clientData/>
  </xdr:twoCellAnchor>
  <xdr:twoCellAnchor editAs="oneCell">
    <xdr:from>
      <xdr:col>1</xdr:col>
      <xdr:colOff>755650</xdr:colOff>
      <xdr:row>2</xdr:row>
      <xdr:rowOff>152400</xdr:rowOff>
    </xdr:from>
    <xdr:to>
      <xdr:col>2</xdr:col>
      <xdr:colOff>273050</xdr:colOff>
      <xdr:row>5</xdr:row>
      <xdr:rowOff>127000</xdr:rowOff>
    </xdr:to>
    <xdr:pic macro="[0]!llamar_menu">
      <xdr:nvPicPr>
        <xdr:cNvPr id="5" name="Gráfico 4" descr="Herramientas de minería">
          <a:extLst>
            <a:ext uri="{FF2B5EF4-FFF2-40B4-BE49-F238E27FC236}">
              <a16:creationId xmlns:a16="http://schemas.microsoft.com/office/drawing/2014/main" id="{F7A16627-553A-48B7-8956-E680C76E3E3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936750" y="704850"/>
          <a:ext cx="596900" cy="596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234731</xdr:colOff>
      <xdr:row>2</xdr:row>
      <xdr:rowOff>0</xdr:rowOff>
    </xdr:from>
    <xdr:to>
      <xdr:col>17</xdr:col>
      <xdr:colOff>587155</xdr:colOff>
      <xdr:row>2</xdr:row>
      <xdr:rowOff>206157</xdr:rowOff>
    </xdr:to>
    <xdr:sp macro="[0]!LimpiarComanda" textlink="">
      <xdr:nvSpPr>
        <xdr:cNvPr id="19" name="18 Rectángulo">
          <a:extLst>
            <a:ext uri="{FF2B5EF4-FFF2-40B4-BE49-F238E27FC236}">
              <a16:creationId xmlns:a16="http://schemas.microsoft.com/office/drawing/2014/main" id="{00000000-0008-0000-0200-000013000000}"/>
            </a:ext>
          </a:extLst>
        </xdr:cNvPr>
        <xdr:cNvSpPr/>
      </xdr:nvSpPr>
      <xdr:spPr>
        <a:xfrm>
          <a:off x="11916541" y="434209"/>
          <a:ext cx="1118804" cy="1370396"/>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s-CO" sz="1400" b="1"/>
            <a:t>Limpiar Formato</a:t>
          </a:r>
        </a:p>
      </xdr:txBody>
    </xdr:sp>
    <xdr:clientData/>
  </xdr:twoCellAnchor>
  <xdr:twoCellAnchor>
    <xdr:from>
      <xdr:col>16</xdr:col>
      <xdr:colOff>175172</xdr:colOff>
      <xdr:row>3</xdr:row>
      <xdr:rowOff>131380</xdr:rowOff>
    </xdr:from>
    <xdr:to>
      <xdr:col>17</xdr:col>
      <xdr:colOff>580258</xdr:colOff>
      <xdr:row>6</xdr:row>
      <xdr:rowOff>32846</xdr:rowOff>
    </xdr:to>
    <xdr:sp macro="" textlink="">
      <xdr:nvSpPr>
        <xdr:cNvPr id="4" name="3 Flecha izquierda">
          <a:hlinkClick xmlns:r="http://schemas.openxmlformats.org/officeDocument/2006/relationships" r:id="rId1"/>
          <a:extLst>
            <a:ext uri="{FF2B5EF4-FFF2-40B4-BE49-F238E27FC236}">
              <a16:creationId xmlns:a16="http://schemas.microsoft.com/office/drawing/2014/main" id="{00000000-0008-0000-0200-000004000000}"/>
            </a:ext>
          </a:extLst>
        </xdr:cNvPr>
        <xdr:cNvSpPr/>
      </xdr:nvSpPr>
      <xdr:spPr>
        <a:xfrm>
          <a:off x="11856982" y="2200604"/>
          <a:ext cx="1171466" cy="755432"/>
        </a:xfrm>
        <a:prstGeom prst="lef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400" b="1"/>
            <a:t>INICIO</a:t>
          </a:r>
        </a:p>
      </xdr:txBody>
    </xdr:sp>
    <xdr:clientData/>
  </xdr:twoCellAnchor>
  <xdr:twoCellAnchor editAs="oneCell">
    <xdr:from>
      <xdr:col>0</xdr:col>
      <xdr:colOff>372241</xdr:colOff>
      <xdr:row>1</xdr:row>
      <xdr:rowOff>0</xdr:rowOff>
    </xdr:from>
    <xdr:to>
      <xdr:col>1</xdr:col>
      <xdr:colOff>1467069</xdr:colOff>
      <xdr:row>1</xdr:row>
      <xdr:rowOff>1237155</xdr:rowOff>
    </xdr:to>
    <xdr:pic>
      <xdr:nvPicPr>
        <xdr:cNvPr id="5" name="Imagen 4">
          <a:extLst>
            <a:ext uri="{FF2B5EF4-FFF2-40B4-BE49-F238E27FC236}">
              <a16:creationId xmlns:a16="http://schemas.microsoft.com/office/drawing/2014/main" id="{49C6769A-48EF-488B-8D6A-D662949284C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2241" y="186121"/>
          <a:ext cx="2649483" cy="1237155"/>
        </a:xfrm>
        <a:prstGeom prst="rect">
          <a:avLst/>
        </a:prstGeom>
      </xdr:spPr>
    </xdr:pic>
    <xdr:clientData/>
  </xdr:twoCellAnchor>
  <xdr:twoCellAnchor>
    <xdr:from>
      <xdr:col>8</xdr:col>
      <xdr:colOff>361293</xdr:colOff>
      <xdr:row>2</xdr:row>
      <xdr:rowOff>405086</xdr:rowOff>
    </xdr:from>
    <xdr:to>
      <xdr:col>10</xdr:col>
      <xdr:colOff>65689</xdr:colOff>
      <xdr:row>5</xdr:row>
      <xdr:rowOff>43794</xdr:rowOff>
    </xdr:to>
    <xdr:sp macro="[0]!verMateriasPrimas" textlink="">
      <xdr:nvSpPr>
        <xdr:cNvPr id="2" name="Rectángulo: esquinas redondeadas 1">
          <a:extLst>
            <a:ext uri="{FF2B5EF4-FFF2-40B4-BE49-F238E27FC236}">
              <a16:creationId xmlns:a16="http://schemas.microsoft.com/office/drawing/2014/main" id="{8FD21753-80AC-49E8-AB58-8379D54CF226}"/>
            </a:ext>
          </a:extLst>
        </xdr:cNvPr>
        <xdr:cNvSpPr/>
      </xdr:nvSpPr>
      <xdr:spPr>
        <a:xfrm>
          <a:off x="10597931" y="1883103"/>
          <a:ext cx="1237155" cy="678794"/>
        </a:xfrm>
        <a:prstGeom prst="roundRect">
          <a:avLst/>
        </a:prstGeom>
        <a:scene3d>
          <a:camera prst="orthographicFront">
            <a:rot lat="0" lon="0" rev="0"/>
          </a:camera>
          <a:lightRig rig="threePt" dir="t">
            <a:rot lat="0" lon="0" rev="1200000"/>
          </a:lightRig>
        </a:scene3d>
        <a:sp3d>
          <a:bevelT w="63500" h="25400" prst="artDeco"/>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100" b="1"/>
            <a:t>Listado</a:t>
          </a:r>
        </a:p>
        <a:p>
          <a:pPr algn="ctr"/>
          <a:r>
            <a:rPr lang="es-CO" sz="1100" b="1"/>
            <a:t>de</a:t>
          </a:r>
        </a:p>
        <a:p>
          <a:pPr algn="ctr"/>
          <a:r>
            <a:rPr lang="es-CO" sz="1100" b="1"/>
            <a:t>Materias</a:t>
          </a:r>
          <a:r>
            <a:rPr lang="es-CO" sz="1100" b="1" baseline="0"/>
            <a:t> Primas</a:t>
          </a:r>
          <a:endParaRPr lang="es-CO" sz="1100" b="1"/>
        </a:p>
      </xdr:txBody>
    </xdr:sp>
    <xdr:clientData/>
  </xdr:twoCellAnchor>
  <xdr:twoCellAnchor>
    <xdr:from>
      <xdr:col>8</xdr:col>
      <xdr:colOff>394137</xdr:colOff>
      <xdr:row>5</xdr:row>
      <xdr:rowOff>142329</xdr:rowOff>
    </xdr:from>
    <xdr:to>
      <xdr:col>10</xdr:col>
      <xdr:colOff>98533</xdr:colOff>
      <xdr:row>7</xdr:row>
      <xdr:rowOff>251812</xdr:rowOff>
    </xdr:to>
    <xdr:sp macro="[0]!verProductosTerminados" textlink="">
      <xdr:nvSpPr>
        <xdr:cNvPr id="7" name="Rectángulo: esquinas redondeadas 6">
          <a:extLst>
            <a:ext uri="{FF2B5EF4-FFF2-40B4-BE49-F238E27FC236}">
              <a16:creationId xmlns:a16="http://schemas.microsoft.com/office/drawing/2014/main" id="{AAF39664-4416-4DE8-9563-427EB651EFF6}"/>
            </a:ext>
          </a:extLst>
        </xdr:cNvPr>
        <xdr:cNvSpPr/>
      </xdr:nvSpPr>
      <xdr:spPr>
        <a:xfrm>
          <a:off x="11024913" y="2660432"/>
          <a:ext cx="1237154" cy="678794"/>
        </a:xfrm>
        <a:prstGeom prst="roundRect">
          <a:avLst/>
        </a:prstGeom>
        <a:scene3d>
          <a:camera prst="orthographicFront">
            <a:rot lat="0" lon="0" rev="0"/>
          </a:camera>
          <a:lightRig rig="threePt" dir="t">
            <a:rot lat="0" lon="0" rev="1200000"/>
          </a:lightRig>
        </a:scene3d>
        <a:sp3d>
          <a:bevelT w="63500" h="25400" prst="artDeco"/>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100" b="1"/>
            <a:t>Listado</a:t>
          </a:r>
        </a:p>
        <a:p>
          <a:pPr algn="ctr"/>
          <a:r>
            <a:rPr lang="es-CO" sz="1100" b="1"/>
            <a:t>de</a:t>
          </a:r>
        </a:p>
        <a:p>
          <a:pPr algn="ctr"/>
          <a:r>
            <a:rPr lang="es-CO" sz="1100" b="1"/>
            <a:t>Productos</a:t>
          </a:r>
          <a:r>
            <a:rPr lang="es-CO" sz="1100" b="1" baseline="0"/>
            <a:t> </a:t>
          </a:r>
          <a:endParaRPr lang="es-CO" sz="1100" b="1"/>
        </a:p>
      </xdr:txBody>
    </xdr:sp>
    <xdr:clientData/>
  </xdr:twoCellAnchor>
  <xdr:twoCellAnchor editAs="oneCell">
    <xdr:from>
      <xdr:col>8</xdr:col>
      <xdr:colOff>470776</xdr:colOff>
      <xdr:row>8</xdr:row>
      <xdr:rowOff>153276</xdr:rowOff>
    </xdr:from>
    <xdr:to>
      <xdr:col>10</xdr:col>
      <xdr:colOff>109484</xdr:colOff>
      <xdr:row>10</xdr:row>
      <xdr:rowOff>218965</xdr:rowOff>
    </xdr:to>
    <xdr:pic macro="[0]!ImprimirPDF">
      <xdr:nvPicPr>
        <xdr:cNvPr id="10" name="Imagen 9">
          <a:extLst>
            <a:ext uri="{FF2B5EF4-FFF2-40B4-BE49-F238E27FC236}">
              <a16:creationId xmlns:a16="http://schemas.microsoft.com/office/drawing/2014/main" id="{0D314068-37E8-445A-A0D3-2AFCF2A606B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594224" y="3525345"/>
          <a:ext cx="1171466" cy="799223"/>
        </a:xfrm>
        <a:prstGeom prst="rect">
          <a:avLst/>
        </a:prstGeom>
      </xdr:spPr>
    </xdr:pic>
    <xdr:clientData/>
  </xdr:twoCellAnchor>
  <xdr:twoCellAnchor>
    <xdr:from>
      <xdr:col>8</xdr:col>
      <xdr:colOff>448879</xdr:colOff>
      <xdr:row>11</xdr:row>
      <xdr:rowOff>54741</xdr:rowOff>
    </xdr:from>
    <xdr:to>
      <xdr:col>10</xdr:col>
      <xdr:colOff>153275</xdr:colOff>
      <xdr:row>13</xdr:row>
      <xdr:rowOff>208018</xdr:rowOff>
    </xdr:to>
    <xdr:sp macro="[0]!Módulo2.Productos" textlink="">
      <xdr:nvSpPr>
        <xdr:cNvPr id="9" name="Rectángulo: esquinas redondeadas 8">
          <a:extLst>
            <a:ext uri="{FF2B5EF4-FFF2-40B4-BE49-F238E27FC236}">
              <a16:creationId xmlns:a16="http://schemas.microsoft.com/office/drawing/2014/main" id="{CE6706C0-A1CC-4CB3-8BCB-DD7D5B294B96}"/>
            </a:ext>
          </a:extLst>
        </xdr:cNvPr>
        <xdr:cNvSpPr/>
      </xdr:nvSpPr>
      <xdr:spPr>
        <a:xfrm>
          <a:off x="11791293" y="4423103"/>
          <a:ext cx="1237154" cy="678794"/>
        </a:xfrm>
        <a:prstGeom prst="roundRect">
          <a:avLst/>
        </a:prstGeom>
        <a:scene3d>
          <a:camera prst="orthographicFront">
            <a:rot lat="0" lon="0" rev="0"/>
          </a:camera>
          <a:lightRig rig="threePt" dir="t">
            <a:rot lat="0" lon="0" rev="1200000"/>
          </a:lightRig>
        </a:scene3d>
        <a:sp3d>
          <a:bevelT w="63500" h="25400" prst="artDeco"/>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100" b="1"/>
            <a:t>Registrar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266700</xdr:colOff>
      <xdr:row>0</xdr:row>
      <xdr:rowOff>161925</xdr:rowOff>
    </xdr:from>
    <xdr:to>
      <xdr:col>13</xdr:col>
      <xdr:colOff>695325</xdr:colOff>
      <xdr:row>3</xdr:row>
      <xdr:rowOff>47625</xdr:rowOff>
    </xdr:to>
    <xdr:sp macro="[0]!Registros" textlink="">
      <xdr:nvSpPr>
        <xdr:cNvPr id="2" name="2 Rectángulo redondeado">
          <a:extLst>
            <a:ext uri="{FF2B5EF4-FFF2-40B4-BE49-F238E27FC236}">
              <a16:creationId xmlns:a16="http://schemas.microsoft.com/office/drawing/2014/main" id="{5EC4716D-335E-4ABC-B474-7A6693D883EB}"/>
            </a:ext>
          </a:extLst>
        </xdr:cNvPr>
        <xdr:cNvSpPr/>
      </xdr:nvSpPr>
      <xdr:spPr>
        <a:xfrm>
          <a:off x="11239500" y="161925"/>
          <a:ext cx="1190625" cy="50482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400" b="1"/>
            <a:t>REGISTRAR</a:t>
          </a:r>
        </a:p>
      </xdr:txBody>
    </xdr:sp>
    <xdr:clientData/>
  </xdr:twoCellAnchor>
  <xdr:twoCellAnchor>
    <xdr:from>
      <xdr:col>12</xdr:col>
      <xdr:colOff>304800</xdr:colOff>
      <xdr:row>3</xdr:row>
      <xdr:rowOff>161926</xdr:rowOff>
    </xdr:from>
    <xdr:to>
      <xdr:col>13</xdr:col>
      <xdr:colOff>657225</xdr:colOff>
      <xdr:row>4</xdr:row>
      <xdr:rowOff>371475</xdr:rowOff>
    </xdr:to>
    <xdr:sp macro="[0]!LimpiarComanda" textlink="">
      <xdr:nvSpPr>
        <xdr:cNvPr id="3" name="18 Rectángulo">
          <a:extLst>
            <a:ext uri="{FF2B5EF4-FFF2-40B4-BE49-F238E27FC236}">
              <a16:creationId xmlns:a16="http://schemas.microsoft.com/office/drawing/2014/main" id="{C8DEFDAE-301C-4941-BD0E-BE2D980C3CA4}"/>
            </a:ext>
          </a:extLst>
        </xdr:cNvPr>
        <xdr:cNvSpPr/>
      </xdr:nvSpPr>
      <xdr:spPr>
        <a:xfrm>
          <a:off x="11277600" y="781051"/>
          <a:ext cx="1114425" cy="647699"/>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s-CO" sz="1400" b="1"/>
            <a:t>Limpiar Formato</a:t>
          </a:r>
        </a:p>
      </xdr:txBody>
    </xdr:sp>
    <xdr:clientData/>
  </xdr:twoCellAnchor>
  <xdr:twoCellAnchor>
    <xdr:from>
      <xdr:col>12</xdr:col>
      <xdr:colOff>183711</xdr:colOff>
      <xdr:row>6</xdr:row>
      <xdr:rowOff>242286</xdr:rowOff>
    </xdr:from>
    <xdr:to>
      <xdr:col>13</xdr:col>
      <xdr:colOff>588798</xdr:colOff>
      <xdr:row>9</xdr:row>
      <xdr:rowOff>143752</xdr:rowOff>
    </xdr:to>
    <xdr:sp macro="" textlink="">
      <xdr:nvSpPr>
        <xdr:cNvPr id="4" name="3 Flecha izquierda">
          <a:hlinkClick xmlns:r="http://schemas.openxmlformats.org/officeDocument/2006/relationships" r:id="rId1"/>
          <a:extLst>
            <a:ext uri="{FF2B5EF4-FFF2-40B4-BE49-F238E27FC236}">
              <a16:creationId xmlns:a16="http://schemas.microsoft.com/office/drawing/2014/main" id="{FD53A6F9-7A98-4CC5-A8F9-8F5DCA4913F0}"/>
            </a:ext>
          </a:extLst>
        </xdr:cNvPr>
        <xdr:cNvSpPr/>
      </xdr:nvSpPr>
      <xdr:spPr>
        <a:xfrm>
          <a:off x="11156511" y="2604486"/>
          <a:ext cx="1167087" cy="758716"/>
        </a:xfrm>
        <a:prstGeom prst="lef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400" b="1"/>
            <a:t>INICIO</a:t>
          </a:r>
        </a:p>
      </xdr:txBody>
    </xdr:sp>
    <xdr:clientData/>
  </xdr:twoCellAnchor>
  <xdr:twoCellAnchor editAs="oneCell">
    <xdr:from>
      <xdr:col>0</xdr:col>
      <xdr:colOff>138058</xdr:colOff>
      <xdr:row>1</xdr:row>
      <xdr:rowOff>47625</xdr:rowOff>
    </xdr:from>
    <xdr:to>
      <xdr:col>1</xdr:col>
      <xdr:colOff>1885950</xdr:colOff>
      <xdr:row>4</xdr:row>
      <xdr:rowOff>781050</xdr:rowOff>
    </xdr:to>
    <xdr:pic>
      <xdr:nvPicPr>
        <xdr:cNvPr id="5" name="Imagen 4">
          <a:extLst>
            <a:ext uri="{FF2B5EF4-FFF2-40B4-BE49-F238E27FC236}">
              <a16:creationId xmlns:a16="http://schemas.microsoft.com/office/drawing/2014/main" id="{755B5FC0-A41C-48BE-9132-333A253368B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058" y="238125"/>
          <a:ext cx="2547992" cy="1600200"/>
        </a:xfrm>
        <a:prstGeom prst="rect">
          <a:avLst/>
        </a:prstGeom>
      </xdr:spPr>
    </xdr:pic>
    <xdr:clientData/>
  </xdr:twoCellAnchor>
  <xdr:twoCellAnchor>
    <xdr:from>
      <xdr:col>7</xdr:col>
      <xdr:colOff>304799</xdr:colOff>
      <xdr:row>2</xdr:row>
      <xdr:rowOff>19050</xdr:rowOff>
    </xdr:from>
    <xdr:to>
      <xdr:col>8</xdr:col>
      <xdr:colOff>380999</xdr:colOff>
      <xdr:row>3</xdr:row>
      <xdr:rowOff>228599</xdr:rowOff>
    </xdr:to>
    <xdr:sp macro="" textlink="">
      <xdr:nvSpPr>
        <xdr:cNvPr id="6" name="Flecha: a la derecha 5">
          <a:hlinkClick xmlns:r="http://schemas.openxmlformats.org/officeDocument/2006/relationships" r:id="rId1"/>
          <a:extLst>
            <a:ext uri="{FF2B5EF4-FFF2-40B4-BE49-F238E27FC236}">
              <a16:creationId xmlns:a16="http://schemas.microsoft.com/office/drawing/2014/main" id="{8097ECAA-DBCA-4172-A022-2C3743490095}"/>
            </a:ext>
          </a:extLst>
        </xdr:cNvPr>
        <xdr:cNvSpPr/>
      </xdr:nvSpPr>
      <xdr:spPr>
        <a:xfrm>
          <a:off x="7334249" y="428625"/>
          <a:ext cx="962025" cy="419099"/>
        </a:xfrm>
        <a:prstGeom prst="rightArrow">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l"/>
          <a:r>
            <a:rPr lang="es-CO" sz="1100" b="1"/>
            <a:t>Inicio</a:t>
          </a:r>
        </a:p>
      </xdr:txBody>
    </xdr:sp>
    <xdr:clientData/>
  </xdr:twoCellAnchor>
  <xdr:twoCellAnchor editAs="oneCell">
    <xdr:from>
      <xdr:col>4</xdr:col>
      <xdr:colOff>104775</xdr:colOff>
      <xdr:row>3</xdr:row>
      <xdr:rowOff>57150</xdr:rowOff>
    </xdr:from>
    <xdr:to>
      <xdr:col>5</xdr:col>
      <xdr:colOff>112898</xdr:colOff>
      <xdr:row>4</xdr:row>
      <xdr:rowOff>438150</xdr:rowOff>
    </xdr:to>
    <xdr:pic macro="[0]!ImprimirPDFResumenPro">
      <xdr:nvPicPr>
        <xdr:cNvPr id="16" name="Imagen 15">
          <a:extLst>
            <a:ext uri="{FF2B5EF4-FFF2-40B4-BE49-F238E27FC236}">
              <a16:creationId xmlns:a16="http://schemas.microsoft.com/office/drawing/2014/main" id="{30F5F4DF-9B80-475B-AB40-BC51735B218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33900" y="676275"/>
          <a:ext cx="951098" cy="819150"/>
        </a:xfrm>
        <a:prstGeom prst="rect">
          <a:avLst/>
        </a:prstGeom>
      </xdr:spPr>
    </xdr:pic>
    <xdr:clientData/>
  </xdr:twoCellAnchor>
  <xdr:twoCellAnchor editAs="oneCell">
    <xdr:from>
      <xdr:col>11</xdr:col>
      <xdr:colOff>190500</xdr:colOff>
      <xdr:row>2</xdr:row>
      <xdr:rowOff>190500</xdr:rowOff>
    </xdr:from>
    <xdr:to>
      <xdr:col>11</xdr:col>
      <xdr:colOff>1143000</xdr:colOff>
      <xdr:row>4</xdr:row>
      <xdr:rowOff>495300</xdr:rowOff>
    </xdr:to>
    <xdr:pic>
      <xdr:nvPicPr>
        <xdr:cNvPr id="18" name="Imagen 17">
          <a:extLst>
            <a:ext uri="{FF2B5EF4-FFF2-40B4-BE49-F238E27FC236}">
              <a16:creationId xmlns:a16="http://schemas.microsoft.com/office/drawing/2014/main" id="{E2C925DC-E1D8-4F65-8851-50429AC9627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439525" y="600075"/>
          <a:ext cx="952500" cy="952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22</xdr:row>
      <xdr:rowOff>0</xdr:rowOff>
    </xdr:from>
    <xdr:to>
      <xdr:col>2</xdr:col>
      <xdr:colOff>542925</xdr:colOff>
      <xdr:row>25</xdr:row>
      <xdr:rowOff>9525</xdr:rowOff>
    </xdr:to>
    <xdr:sp macro="" textlink="">
      <xdr:nvSpPr>
        <xdr:cNvPr id="5" name="Flecha: hacia abajo 4">
          <a:extLst>
            <a:ext uri="{FF2B5EF4-FFF2-40B4-BE49-F238E27FC236}">
              <a16:creationId xmlns:a16="http://schemas.microsoft.com/office/drawing/2014/main" id="{2C7C677B-0ECD-4D53-BC0E-3193D6F2F0BB}"/>
            </a:ext>
          </a:extLst>
        </xdr:cNvPr>
        <xdr:cNvSpPr/>
      </xdr:nvSpPr>
      <xdr:spPr>
        <a:xfrm>
          <a:off x="1571625" y="2476500"/>
          <a:ext cx="542925" cy="5810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533400</xdr:colOff>
      <xdr:row>21</xdr:row>
      <xdr:rowOff>161925</xdr:rowOff>
    </xdr:from>
    <xdr:to>
      <xdr:col>2</xdr:col>
      <xdr:colOff>1076325</xdr:colOff>
      <xdr:row>24</xdr:row>
      <xdr:rowOff>171450</xdr:rowOff>
    </xdr:to>
    <xdr:sp macro="" textlink="">
      <xdr:nvSpPr>
        <xdr:cNvPr id="7" name="Flecha: hacia abajo 6">
          <a:extLst>
            <a:ext uri="{FF2B5EF4-FFF2-40B4-BE49-F238E27FC236}">
              <a16:creationId xmlns:a16="http://schemas.microsoft.com/office/drawing/2014/main" id="{960D2D0D-AAC8-443C-83E9-B92F0CFC67CE}"/>
            </a:ext>
          </a:extLst>
        </xdr:cNvPr>
        <xdr:cNvSpPr/>
      </xdr:nvSpPr>
      <xdr:spPr>
        <a:xfrm rot="10800000">
          <a:off x="2105025" y="2447925"/>
          <a:ext cx="542925" cy="5810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2</xdr:col>
      <xdr:colOff>1381832</xdr:colOff>
      <xdr:row>20</xdr:row>
      <xdr:rowOff>150310</xdr:rowOff>
    </xdr:from>
    <xdr:ext cx="8323432" cy="937629"/>
    <xdr:sp macro="" textlink="">
      <xdr:nvSpPr>
        <xdr:cNvPr id="8" name="Rectángulo 7">
          <a:extLst>
            <a:ext uri="{FF2B5EF4-FFF2-40B4-BE49-F238E27FC236}">
              <a16:creationId xmlns:a16="http://schemas.microsoft.com/office/drawing/2014/main" id="{1F0F9FFF-4FFA-430B-BBC2-763A33836071}"/>
            </a:ext>
          </a:extLst>
        </xdr:cNvPr>
        <xdr:cNvSpPr/>
      </xdr:nvSpPr>
      <xdr:spPr>
        <a:xfrm>
          <a:off x="2953457" y="2245810"/>
          <a:ext cx="8323432" cy="937629"/>
        </a:xfrm>
        <a:prstGeom prst="rect">
          <a:avLst/>
        </a:prstGeom>
      </xdr:spPr>
      <xdr:style>
        <a:lnRef idx="3">
          <a:schemeClr val="lt1"/>
        </a:lnRef>
        <a:fillRef idx="1">
          <a:schemeClr val="accent3"/>
        </a:fillRef>
        <a:effectRef idx="1">
          <a:schemeClr val="accent3"/>
        </a:effectRef>
        <a:fontRef idx="minor">
          <a:schemeClr val="lt1"/>
        </a:fontRef>
      </xdr:style>
      <xdr:txBody>
        <a:bodyPr wrap="none" lIns="91440" tIns="45720" rIns="91440" bIns="45720">
          <a:spAutoFit/>
        </a:bodyPr>
        <a:lstStyle/>
        <a:p>
          <a:pPr algn="ctr"/>
          <a:r>
            <a:rPr lang="es-ES" sz="5400" b="1" cap="none" spc="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rPr>
            <a:t>Registro</a:t>
          </a:r>
          <a:r>
            <a:rPr lang="es-ES" sz="5400" b="1" cap="none" spc="0" baseline="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rPr>
            <a:t> mensual de Calidad</a:t>
          </a:r>
          <a:endParaRPr lang="es-ES" sz="5400" b="1" cap="none" spc="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endParaRPr>
        </a:p>
      </xdr:txBody>
    </xdr:sp>
    <xdr:clientData/>
  </xdr:oneCellAnchor>
  <xdr:twoCellAnchor editAs="oneCell">
    <xdr:from>
      <xdr:col>0</xdr:col>
      <xdr:colOff>238125</xdr:colOff>
      <xdr:row>21</xdr:row>
      <xdr:rowOff>66675</xdr:rowOff>
    </xdr:from>
    <xdr:to>
      <xdr:col>1</xdr:col>
      <xdr:colOff>379598</xdr:colOff>
      <xdr:row>25</xdr:row>
      <xdr:rowOff>123826</xdr:rowOff>
    </xdr:to>
    <xdr:pic macro="[0]!ImprimirPDFResumenPro">
      <xdr:nvPicPr>
        <xdr:cNvPr id="10" name="Imagen 9">
          <a:extLst>
            <a:ext uri="{FF2B5EF4-FFF2-40B4-BE49-F238E27FC236}">
              <a16:creationId xmlns:a16="http://schemas.microsoft.com/office/drawing/2014/main" id="{2DD3C33F-6C46-4DE4-BBA9-36A14A9B4C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2352675"/>
          <a:ext cx="951098" cy="819150"/>
        </a:xfrm>
        <a:prstGeom prst="rect">
          <a:avLst/>
        </a:prstGeom>
      </xdr:spPr>
    </xdr:pic>
    <xdr:clientData/>
  </xdr:twoCellAnchor>
  <xdr:twoCellAnchor>
    <xdr:from>
      <xdr:col>10</xdr:col>
      <xdr:colOff>1657350</xdr:colOff>
      <xdr:row>22</xdr:row>
      <xdr:rowOff>47625</xdr:rowOff>
    </xdr:from>
    <xdr:to>
      <xdr:col>11</xdr:col>
      <xdr:colOff>781050</xdr:colOff>
      <xdr:row>25</xdr:row>
      <xdr:rowOff>19050</xdr:rowOff>
    </xdr:to>
    <xdr:sp macro="" textlink="">
      <xdr:nvSpPr>
        <xdr:cNvPr id="11" name="Flecha: a la derecha 10">
          <a:hlinkClick xmlns:r="http://schemas.openxmlformats.org/officeDocument/2006/relationships" r:id="rId2"/>
          <a:extLst>
            <a:ext uri="{FF2B5EF4-FFF2-40B4-BE49-F238E27FC236}">
              <a16:creationId xmlns:a16="http://schemas.microsoft.com/office/drawing/2014/main" id="{95797283-01A4-425D-AC96-3C6A63A2D9A9}"/>
            </a:ext>
          </a:extLst>
        </xdr:cNvPr>
        <xdr:cNvSpPr/>
      </xdr:nvSpPr>
      <xdr:spPr>
        <a:xfrm>
          <a:off x="11468100" y="2524125"/>
          <a:ext cx="790575" cy="542925"/>
        </a:xfrm>
        <a:prstGeom prst="righ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s-CO" sz="1100"/>
            <a:t>MENU</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5</xdr:col>
      <xdr:colOff>990600</xdr:colOff>
      <xdr:row>7</xdr:row>
      <xdr:rowOff>2673</xdr:rowOff>
    </xdr:from>
    <xdr:ext cx="4949304" cy="937629"/>
    <xdr:sp macro="" textlink="">
      <xdr:nvSpPr>
        <xdr:cNvPr id="2" name="Rectángulo 1">
          <a:extLst>
            <a:ext uri="{FF2B5EF4-FFF2-40B4-BE49-F238E27FC236}">
              <a16:creationId xmlns:a16="http://schemas.microsoft.com/office/drawing/2014/main" id="{F71369FE-5488-4012-9419-16EA98582666}"/>
            </a:ext>
          </a:extLst>
        </xdr:cNvPr>
        <xdr:cNvSpPr/>
      </xdr:nvSpPr>
      <xdr:spPr>
        <a:xfrm>
          <a:off x="5581650" y="1336173"/>
          <a:ext cx="4949304" cy="937629"/>
        </a:xfrm>
        <a:prstGeom prst="rect">
          <a:avLst/>
        </a:prstGeom>
      </xdr:spPr>
      <xdr:style>
        <a:lnRef idx="1">
          <a:schemeClr val="accent6"/>
        </a:lnRef>
        <a:fillRef idx="2">
          <a:schemeClr val="accent6"/>
        </a:fillRef>
        <a:effectRef idx="1">
          <a:schemeClr val="accent6"/>
        </a:effectRef>
        <a:fontRef idx="minor">
          <a:schemeClr val="dk1"/>
        </a:fontRef>
      </xdr:style>
      <xdr:txBody>
        <a:bodyPr wrap="none" lIns="91440" tIns="45720" rIns="91440" bIns="45720">
          <a:spAutoFit/>
        </a:bodyPr>
        <a:lstStyle/>
        <a:p>
          <a:pPr algn="ctr"/>
          <a:r>
            <a:rPr lang="es-E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Formulas</a:t>
          </a:r>
          <a:r>
            <a:rPr lang="es-ES" sz="54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Be-Eco</a:t>
          </a:r>
          <a:endParaRPr lang="es-E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endParaRPr>
        </a:p>
      </xdr:txBody>
    </xdr:sp>
    <xdr:clientData/>
  </xdr:oneCellAnchor>
  <xdr:twoCellAnchor>
    <xdr:from>
      <xdr:col>11</xdr:col>
      <xdr:colOff>381000</xdr:colOff>
      <xdr:row>9</xdr:row>
      <xdr:rowOff>3175</xdr:rowOff>
    </xdr:from>
    <xdr:to>
      <xdr:col>12</xdr:col>
      <xdr:colOff>682625</xdr:colOff>
      <xdr:row>11</xdr:row>
      <xdr:rowOff>219075</xdr:rowOff>
    </xdr:to>
    <xdr:sp macro="" textlink="">
      <xdr:nvSpPr>
        <xdr:cNvPr id="3" name="Flecha: a la derecha 2">
          <a:hlinkClick xmlns:r="http://schemas.openxmlformats.org/officeDocument/2006/relationships" r:id="rId1"/>
          <a:extLst>
            <a:ext uri="{FF2B5EF4-FFF2-40B4-BE49-F238E27FC236}">
              <a16:creationId xmlns:a16="http://schemas.microsoft.com/office/drawing/2014/main" id="{74C6A739-C899-45CB-945D-9BBC351CE36A}"/>
            </a:ext>
          </a:extLst>
        </xdr:cNvPr>
        <xdr:cNvSpPr/>
      </xdr:nvSpPr>
      <xdr:spPr>
        <a:xfrm>
          <a:off x="12544425" y="1717675"/>
          <a:ext cx="1854200" cy="568325"/>
        </a:xfrm>
        <a:prstGeom prst="rightArrow">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CO" sz="1100"/>
            <a:t>MENU PRINCIPAL</a:t>
          </a:r>
        </a:p>
      </xdr:txBody>
    </xdr:sp>
    <xdr:clientData/>
  </xdr:twoCellAnchor>
  <xdr:twoCellAnchor>
    <xdr:from>
      <xdr:col>4</xdr:col>
      <xdr:colOff>698500</xdr:colOff>
      <xdr:row>7</xdr:row>
      <xdr:rowOff>133350</xdr:rowOff>
    </xdr:from>
    <xdr:to>
      <xdr:col>4</xdr:col>
      <xdr:colOff>1054100</xdr:colOff>
      <xdr:row>11</xdr:row>
      <xdr:rowOff>158750</xdr:rowOff>
    </xdr:to>
    <xdr:sp macro="" textlink="">
      <xdr:nvSpPr>
        <xdr:cNvPr id="4" name="Flecha: hacia abajo 3">
          <a:extLst>
            <a:ext uri="{FF2B5EF4-FFF2-40B4-BE49-F238E27FC236}">
              <a16:creationId xmlns:a16="http://schemas.microsoft.com/office/drawing/2014/main" id="{6B3FF38A-EA59-4AB5-9135-611EE5ABBCD4}"/>
            </a:ext>
          </a:extLst>
        </xdr:cNvPr>
        <xdr:cNvSpPr/>
      </xdr:nvSpPr>
      <xdr:spPr>
        <a:xfrm>
          <a:off x="3746500" y="1466850"/>
          <a:ext cx="355600" cy="787400"/>
        </a:xfrm>
        <a:prstGeom prst="down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s-CO" sz="1100"/>
        </a:p>
      </xdr:txBody>
    </xdr:sp>
    <xdr:clientData/>
  </xdr:twoCellAnchor>
  <xdr:twoCellAnchor>
    <xdr:from>
      <xdr:col>4</xdr:col>
      <xdr:colOff>203200</xdr:colOff>
      <xdr:row>7</xdr:row>
      <xdr:rowOff>123825</xdr:rowOff>
    </xdr:from>
    <xdr:to>
      <xdr:col>4</xdr:col>
      <xdr:colOff>558800</xdr:colOff>
      <xdr:row>11</xdr:row>
      <xdr:rowOff>111125</xdr:rowOff>
    </xdr:to>
    <xdr:sp macro="" textlink="">
      <xdr:nvSpPr>
        <xdr:cNvPr id="5" name="Flecha: hacia abajo 4">
          <a:extLst>
            <a:ext uri="{FF2B5EF4-FFF2-40B4-BE49-F238E27FC236}">
              <a16:creationId xmlns:a16="http://schemas.microsoft.com/office/drawing/2014/main" id="{518D4EE4-AC50-4DB4-853A-63387BC18316}"/>
            </a:ext>
          </a:extLst>
        </xdr:cNvPr>
        <xdr:cNvSpPr/>
      </xdr:nvSpPr>
      <xdr:spPr>
        <a:xfrm rot="10800000">
          <a:off x="3251200" y="1457325"/>
          <a:ext cx="355600" cy="749300"/>
        </a:xfrm>
        <a:prstGeom prst="down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s-CO" sz="1100"/>
        </a:p>
      </xdr:txBody>
    </xdr:sp>
    <xdr:clientData/>
  </xdr:twoCellAnchor>
  <xdr:oneCellAnchor>
    <xdr:from>
      <xdr:col>5</xdr:col>
      <xdr:colOff>401781</xdr:colOff>
      <xdr:row>16</xdr:row>
      <xdr:rowOff>92872</xdr:rowOff>
    </xdr:from>
    <xdr:ext cx="4467225" cy="530658"/>
    <xdr:sp macro="" textlink="">
      <xdr:nvSpPr>
        <xdr:cNvPr id="6" name="Rectángulo 5">
          <a:extLst>
            <a:ext uri="{FF2B5EF4-FFF2-40B4-BE49-F238E27FC236}">
              <a16:creationId xmlns:a16="http://schemas.microsoft.com/office/drawing/2014/main" id="{282A1F11-229C-4E26-819A-58893E99B80D}"/>
            </a:ext>
          </a:extLst>
        </xdr:cNvPr>
        <xdr:cNvSpPr/>
      </xdr:nvSpPr>
      <xdr:spPr>
        <a:xfrm>
          <a:off x="4992831" y="3140872"/>
          <a:ext cx="4467225" cy="530658"/>
        </a:xfrm>
        <a:prstGeom prst="rect">
          <a:avLst/>
        </a:prstGeom>
        <a:noFill/>
      </xdr:spPr>
      <xdr:txBody>
        <a:bodyPr wrap="square" lIns="91440" tIns="45720" rIns="91440" bIns="45720">
          <a:spAutoFit/>
        </a:bodyPr>
        <a:lstStyle/>
        <a:p>
          <a:pPr algn="ctr"/>
          <a:r>
            <a:rPr lang="es-ES" sz="2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Listado</a:t>
          </a:r>
          <a:r>
            <a:rPr lang="es-ES" sz="28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de Materias Primas</a:t>
          </a:r>
          <a:endParaRPr lang="es-ES" sz="28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twoCellAnchor editAs="absolute">
    <xdr:from>
      <xdr:col>2</xdr:col>
      <xdr:colOff>714374</xdr:colOff>
      <xdr:row>66</xdr:row>
      <xdr:rowOff>38100</xdr:rowOff>
    </xdr:from>
    <xdr:to>
      <xdr:col>5</xdr:col>
      <xdr:colOff>952499</xdr:colOff>
      <xdr:row>73</xdr:row>
      <xdr:rowOff>85724</xdr:rowOff>
    </xdr:to>
    <mc:AlternateContent xmlns:mc="http://schemas.openxmlformats.org/markup-compatibility/2006" xmlns:sle15="http://schemas.microsoft.com/office/drawing/2012/slicer">
      <mc:Choice Requires="sle15">
        <xdr:graphicFrame macro="">
          <xdr:nvGraphicFramePr>
            <xdr:cNvPr id="7" name="Producto 4">
              <a:extLst>
                <a:ext uri="{FF2B5EF4-FFF2-40B4-BE49-F238E27FC236}">
                  <a16:creationId xmlns:a16="http://schemas.microsoft.com/office/drawing/2014/main" id="{29828A1C-DD55-4DEF-B3E4-A14D8ED8E4C1}"/>
                </a:ext>
              </a:extLst>
            </xdr:cNvPr>
            <xdr:cNvGraphicFramePr/>
          </xdr:nvGraphicFramePr>
          <xdr:xfrm>
            <a:off x="0" y="0"/>
            <a:ext cx="0" cy="0"/>
          </xdr:xfrm>
          <a:graphic>
            <a:graphicData uri="http://schemas.microsoft.com/office/drawing/2010/slicer">
              <sle:slicer xmlns:sle="http://schemas.microsoft.com/office/drawing/2010/slicer" name="Producto 4"/>
            </a:graphicData>
          </a:graphic>
        </xdr:graphicFrame>
      </mc:Choice>
      <mc:Fallback xmlns="">
        <xdr:sp macro="" textlink="">
          <xdr:nvSpPr>
            <xdr:cNvPr id="0" name=""/>
            <xdr:cNvSpPr>
              <a:spLocks noTextEdit="1"/>
            </xdr:cNvSpPr>
          </xdr:nvSpPr>
          <xdr:spPr>
            <a:xfrm>
              <a:off x="2238374" y="14801850"/>
              <a:ext cx="3305175" cy="1628774"/>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5</xdr:col>
      <xdr:colOff>1228725</xdr:colOff>
      <xdr:row>66</xdr:row>
      <xdr:rowOff>34925</xdr:rowOff>
    </xdr:from>
    <xdr:to>
      <xdr:col>10</xdr:col>
      <xdr:colOff>619125</xdr:colOff>
      <xdr:row>73</xdr:row>
      <xdr:rowOff>66675</xdr:rowOff>
    </xdr:to>
    <mc:AlternateContent xmlns:mc="http://schemas.openxmlformats.org/markup-compatibility/2006" xmlns:sle15="http://schemas.microsoft.com/office/drawing/2012/slicer">
      <mc:Choice Requires="sle15">
        <xdr:graphicFrame macro="">
          <xdr:nvGraphicFramePr>
            <xdr:cNvPr id="8" name="Materia Prima 2">
              <a:extLst>
                <a:ext uri="{FF2B5EF4-FFF2-40B4-BE49-F238E27FC236}">
                  <a16:creationId xmlns:a16="http://schemas.microsoft.com/office/drawing/2014/main" id="{5FB6B910-5487-409F-A675-B9531FE90ED2}"/>
                </a:ext>
              </a:extLst>
            </xdr:cNvPr>
            <xdr:cNvGraphicFramePr/>
          </xdr:nvGraphicFramePr>
          <xdr:xfrm>
            <a:off x="0" y="0"/>
            <a:ext cx="0" cy="0"/>
          </xdr:xfrm>
          <a:graphic>
            <a:graphicData uri="http://schemas.microsoft.com/office/drawing/2010/slicer">
              <sle:slicer xmlns:sle="http://schemas.microsoft.com/office/drawing/2010/slicer" name="Materia Prima 2"/>
            </a:graphicData>
          </a:graphic>
        </xdr:graphicFrame>
      </mc:Choice>
      <mc:Fallback xmlns="">
        <xdr:sp macro="" textlink="">
          <xdr:nvSpPr>
            <xdr:cNvPr id="0" name=""/>
            <xdr:cNvSpPr>
              <a:spLocks noTextEdit="1"/>
            </xdr:cNvSpPr>
          </xdr:nvSpPr>
          <xdr:spPr>
            <a:xfrm>
              <a:off x="5819775" y="14798675"/>
              <a:ext cx="5686425" cy="16129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xdr:from>
      <xdr:col>10</xdr:col>
      <xdr:colOff>333375</xdr:colOff>
      <xdr:row>16</xdr:row>
      <xdr:rowOff>19050</xdr:rowOff>
    </xdr:from>
    <xdr:to>
      <xdr:col>11</xdr:col>
      <xdr:colOff>1209675</xdr:colOff>
      <xdr:row>18</xdr:row>
      <xdr:rowOff>180975</xdr:rowOff>
    </xdr:to>
    <xdr:sp macro="[1]!insertar_fila" textlink="">
      <xdr:nvSpPr>
        <xdr:cNvPr id="9" name="Rectángulo: esquinas redondeadas 8">
          <a:extLst>
            <a:ext uri="{FF2B5EF4-FFF2-40B4-BE49-F238E27FC236}">
              <a16:creationId xmlns:a16="http://schemas.microsoft.com/office/drawing/2014/main" id="{6B42CBB2-2A39-4326-A20F-A8A1011F689B}"/>
            </a:ext>
          </a:extLst>
        </xdr:cNvPr>
        <xdr:cNvSpPr/>
      </xdr:nvSpPr>
      <xdr:spPr>
        <a:xfrm>
          <a:off x="11220450" y="3067050"/>
          <a:ext cx="2152650" cy="542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Entrada</a:t>
          </a:r>
          <a:r>
            <a:rPr lang="es-CO" sz="1400" baseline="0"/>
            <a:t> de materiales</a:t>
          </a:r>
          <a:endParaRPr lang="es-CO" sz="12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171449</xdr:colOff>
      <xdr:row>6</xdr:row>
      <xdr:rowOff>0</xdr:rowOff>
    </xdr:from>
    <xdr:to>
      <xdr:col>19</xdr:col>
      <xdr:colOff>219075</xdr:colOff>
      <xdr:row>25</xdr:row>
      <xdr:rowOff>114300</xdr:rowOff>
    </xdr:to>
    <mc:AlternateContent xmlns:mc="http://schemas.openxmlformats.org/markup-compatibility/2006" xmlns:a14="http://schemas.microsoft.com/office/drawing/2010/main">
      <mc:Choice Requires="a14">
        <xdr:graphicFrame macro="">
          <xdr:nvGraphicFramePr>
            <xdr:cNvPr id="2" name="Materia Prima">
              <a:extLst>
                <a:ext uri="{FF2B5EF4-FFF2-40B4-BE49-F238E27FC236}">
                  <a16:creationId xmlns:a16="http://schemas.microsoft.com/office/drawing/2014/main" id="{8CE59BC5-E134-427C-832E-0AE73E8501C9}"/>
                </a:ext>
              </a:extLst>
            </xdr:cNvPr>
            <xdr:cNvGraphicFramePr/>
          </xdr:nvGraphicFramePr>
          <xdr:xfrm>
            <a:off x="0" y="0"/>
            <a:ext cx="0" cy="0"/>
          </xdr:xfrm>
          <a:graphic>
            <a:graphicData uri="http://schemas.microsoft.com/office/drawing/2010/slicer">
              <sle:slicer xmlns:sle="http://schemas.microsoft.com/office/drawing/2010/slicer" name="Materia Prima"/>
            </a:graphicData>
          </a:graphic>
        </xdr:graphicFrame>
      </mc:Choice>
      <mc:Fallback xmlns="">
        <xdr:sp macro="" textlink="">
          <xdr:nvSpPr>
            <xdr:cNvPr id="0" name=""/>
            <xdr:cNvSpPr>
              <a:spLocks noTextEdit="1"/>
            </xdr:cNvSpPr>
          </xdr:nvSpPr>
          <xdr:spPr>
            <a:xfrm>
              <a:off x="12468224" y="1143000"/>
              <a:ext cx="4619626" cy="38862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8</xdr:col>
      <xdr:colOff>514350</xdr:colOff>
      <xdr:row>8</xdr:row>
      <xdr:rowOff>171450</xdr:rowOff>
    </xdr:from>
    <xdr:to>
      <xdr:col>12</xdr:col>
      <xdr:colOff>847726</xdr:colOff>
      <xdr:row>25</xdr:row>
      <xdr:rowOff>152399</xdr:rowOff>
    </xdr:to>
    <xdr:sp macro="" textlink="">
      <xdr:nvSpPr>
        <xdr:cNvPr id="3" name="TxtSulfonico" hidden="1">
          <a:extLst>
            <a:ext uri="{FF2B5EF4-FFF2-40B4-BE49-F238E27FC236}">
              <a16:creationId xmlns:a16="http://schemas.microsoft.com/office/drawing/2014/main" id="{359F2E83-8E94-4345-A6C2-46B894066993}"/>
            </a:ext>
          </a:extLst>
        </xdr:cNvPr>
        <xdr:cNvSpPr txBox="1"/>
      </xdr:nvSpPr>
      <xdr:spPr>
        <a:xfrm>
          <a:off x="7496175" y="1847850"/>
          <a:ext cx="4772026" cy="3219449"/>
        </a:xfrm>
        <a:prstGeom prst="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ctr"/>
          <a:r>
            <a:rPr lang="es-CO" sz="1400" b="0" i="0">
              <a:solidFill>
                <a:schemeClr val="lt1"/>
              </a:solidFill>
              <a:effectLst/>
              <a:latin typeface="+mn-lt"/>
              <a:ea typeface="+mn-ea"/>
              <a:cs typeface="+mn-cs"/>
            </a:rPr>
            <a:t>Ácido sulfonico</a:t>
          </a:r>
          <a:endParaRPr lang="es-CO" sz="1100" b="0" i="0">
            <a:solidFill>
              <a:schemeClr val="lt1"/>
            </a:solidFill>
            <a:effectLst/>
            <a:latin typeface="+mn-lt"/>
            <a:ea typeface="+mn-ea"/>
            <a:cs typeface="+mn-cs"/>
          </a:endParaRPr>
        </a:p>
        <a:p>
          <a:r>
            <a:rPr lang="es-CO" sz="1100" b="0" i="0">
              <a:solidFill>
                <a:schemeClr val="bg1"/>
              </a:solidFill>
              <a:effectLst/>
              <a:latin typeface="+mn-lt"/>
              <a:ea typeface="+mn-ea"/>
              <a:cs typeface="+mn-cs"/>
            </a:rPr>
            <a:t>Los </a:t>
          </a:r>
          <a:r>
            <a:rPr lang="es-CO" sz="1100" b="1" i="0">
              <a:solidFill>
                <a:schemeClr val="bg1"/>
              </a:solidFill>
              <a:effectLst/>
              <a:latin typeface="+mn-lt"/>
              <a:ea typeface="+mn-ea"/>
              <a:cs typeface="+mn-cs"/>
            </a:rPr>
            <a:t>ácidos sulfónicos</a:t>
          </a:r>
          <a:r>
            <a:rPr lang="es-CO" sz="1100" b="0" i="0">
              <a:solidFill>
                <a:schemeClr val="bg1"/>
              </a:solidFill>
              <a:effectLst/>
              <a:latin typeface="+mn-lt"/>
              <a:ea typeface="+mn-ea"/>
              <a:cs typeface="+mn-cs"/>
            </a:rPr>
            <a:t> son una clase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ácidos orgánicos</a:t>
          </a:r>
          <a:r>
            <a:rPr lang="es-CO" sz="1100" b="0" i="0">
              <a:solidFill>
                <a:schemeClr val="bg1"/>
              </a:solidFill>
              <a:effectLst/>
              <a:latin typeface="+mn-lt"/>
              <a:ea typeface="+mn-ea"/>
              <a:cs typeface="+mn-cs"/>
            </a:rPr>
            <a:t> con la fórmula general </a:t>
          </a:r>
          <a:r>
            <a:rPr lang="es-CO" sz="1100" b="0" i="1">
              <a:solidFill>
                <a:schemeClr val="bg1"/>
              </a:solidFill>
              <a:effectLst/>
              <a:latin typeface="+mn-lt"/>
              <a:ea typeface="+mn-ea"/>
              <a:cs typeface="+mn-cs"/>
            </a:rPr>
            <a:t>R</a:t>
          </a:r>
          <a:r>
            <a:rPr lang="es-CO" sz="1100" b="0" i="0">
              <a:solidFill>
                <a:schemeClr val="bg1"/>
              </a:solidFill>
              <a:effectLst/>
              <a:latin typeface="+mn-lt"/>
              <a:ea typeface="+mn-ea"/>
              <a:cs typeface="+mn-cs"/>
            </a:rPr>
            <a:t>-S(=O)</a:t>
          </a:r>
          <a:r>
            <a:rPr lang="es-CO" sz="1100" b="0" i="0" baseline="-25000">
              <a:solidFill>
                <a:schemeClr val="bg1"/>
              </a:solidFill>
              <a:effectLst/>
              <a:latin typeface="+mn-lt"/>
              <a:ea typeface="+mn-ea"/>
              <a:cs typeface="+mn-cs"/>
            </a:rPr>
            <a:t>2</a:t>
          </a:r>
          <a:r>
            <a:rPr lang="es-CO" sz="1100" b="0" i="0">
              <a:solidFill>
                <a:schemeClr val="bg1"/>
              </a:solidFill>
              <a:effectLst/>
              <a:latin typeface="+mn-lt"/>
              <a:ea typeface="+mn-ea"/>
              <a:cs typeface="+mn-cs"/>
            </a:rPr>
            <a:t>-OH, donde </a:t>
          </a:r>
          <a:r>
            <a:rPr lang="es-CO" sz="1100" b="0" i="1">
              <a:solidFill>
                <a:schemeClr val="bg1"/>
              </a:solidFill>
              <a:effectLst/>
              <a:latin typeface="+mn-lt"/>
              <a:ea typeface="+mn-ea"/>
              <a:cs typeface="+mn-cs"/>
            </a:rPr>
            <a:t>R</a:t>
          </a:r>
          <a:r>
            <a:rPr lang="es-CO" sz="1100" b="0" i="0">
              <a:solidFill>
                <a:schemeClr val="bg1"/>
              </a:solidFill>
              <a:effectLst/>
              <a:latin typeface="+mn-lt"/>
              <a:ea typeface="+mn-ea"/>
              <a:cs typeface="+mn-cs"/>
            </a:rPr>
            <a:t> es generalmente una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cadena lateral</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hidrocarbonada</a:t>
          </a:r>
          <a:r>
            <a:rPr lang="es-CO" sz="1100" b="0" i="0">
              <a:solidFill>
                <a:schemeClr val="bg1"/>
              </a:solidFill>
              <a:effectLst/>
              <a:latin typeface="+mn-lt"/>
              <a:ea typeface="+mn-ea"/>
              <a:cs typeface="+mn-cs"/>
            </a:rPr>
            <a:t>. Los ácidos sulfónicos son generalmente ácidos mucho más fuertes que sus contrapartes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carboxílicas</a:t>
          </a:r>
          <a:r>
            <a:rPr lang="es-CO" sz="1100" b="0" i="0">
              <a:solidFill>
                <a:schemeClr val="bg1"/>
              </a:solidFill>
              <a:effectLst/>
              <a:latin typeface="+mn-lt"/>
              <a:ea typeface="+mn-ea"/>
              <a:cs typeface="+mn-cs"/>
            </a:rPr>
            <a:t>, y tienen la tendencia única de unirse a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proteínas</a:t>
          </a:r>
          <a:r>
            <a:rPr lang="es-CO" sz="1100" b="0" i="0">
              <a:solidFill>
                <a:schemeClr val="bg1"/>
              </a:solidFill>
              <a:effectLst/>
              <a:latin typeface="+mn-lt"/>
              <a:ea typeface="+mn-ea"/>
              <a:cs typeface="+mn-cs"/>
            </a:rPr>
            <a:t> y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carbohidratos</a:t>
          </a:r>
          <a:r>
            <a:rPr lang="es-CO" sz="1100" b="0" i="0">
              <a:solidFill>
                <a:schemeClr val="bg1"/>
              </a:solidFill>
              <a:effectLst/>
              <a:latin typeface="+mn-lt"/>
              <a:ea typeface="+mn-ea"/>
              <a:cs typeface="+mn-cs"/>
            </a:rPr>
            <a:t> fuertemente; muchos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tintes</a:t>
          </a:r>
          <a:r>
            <a:rPr lang="es-CO" sz="1100" b="0" i="0">
              <a:solidFill>
                <a:schemeClr val="bg1"/>
              </a:solidFill>
              <a:effectLst/>
              <a:latin typeface="+mn-lt"/>
              <a:ea typeface="+mn-ea"/>
              <a:cs typeface="+mn-cs"/>
            </a:rPr>
            <a:t> "lavables" son ácidos sulfónicos (o tienen el grupo funcional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sulfonilo</a:t>
          </a:r>
          <a:r>
            <a:rPr lang="es-CO" sz="1100" b="0" i="0">
              <a:solidFill>
                <a:schemeClr val="bg1"/>
              </a:solidFill>
              <a:effectLst/>
              <a:latin typeface="+mn-lt"/>
              <a:ea typeface="+mn-ea"/>
              <a:cs typeface="+mn-cs"/>
            </a:rPr>
            <a:t> en ellos) por esta razón. También son usados 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catalizadores</a:t>
          </a:r>
          <a:r>
            <a:rPr lang="es-CO" sz="1100" b="0" i="0">
              <a:solidFill>
                <a:schemeClr val="bg1"/>
              </a:solidFill>
              <a:effectLst/>
              <a:latin typeface="+mn-lt"/>
              <a:ea typeface="+mn-ea"/>
              <a:cs typeface="+mn-cs"/>
            </a:rPr>
            <a:t> e intermediarios para un gran número de productos diferentes. Los ácidos sulfónicos y sus sales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sulfonato</a:t>
          </a:r>
          <a:r>
            <a:rPr lang="es-CO" sz="1100" b="0" i="0">
              <a:solidFill>
                <a:schemeClr val="bg1"/>
              </a:solidFill>
              <a:effectLst/>
              <a:latin typeface="+mn-lt"/>
              <a:ea typeface="+mn-ea"/>
              <a:cs typeface="+mn-cs"/>
            </a:rPr>
            <a:t> son ampliamente usados en diversos productos, tales 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detergentes</a:t>
          </a:r>
          <a:r>
            <a:rPr lang="es-CO" sz="1100" b="0" i="0">
              <a:solidFill>
                <a:schemeClr val="bg1"/>
              </a:solidFill>
              <a:effectLst/>
              <a:latin typeface="+mn-lt"/>
              <a:ea typeface="+mn-ea"/>
              <a:cs typeface="+mn-cs"/>
            </a:rPr>
            <a:t>, drogas antibacteriales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sulfas</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resinas de intercambio aniónico</a:t>
          </a:r>
          <a:r>
            <a:rPr lang="es-CO" sz="1100" b="0" i="0">
              <a:solidFill>
                <a:schemeClr val="bg1"/>
              </a:solidFill>
              <a:effectLst/>
              <a:latin typeface="+mn-lt"/>
              <a:ea typeface="+mn-ea"/>
              <a:cs typeface="+mn-cs"/>
            </a:rPr>
            <a:t> (purificación de agua) y tintes. El ejemplo más simple es el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metansulfónico</a:t>
          </a:r>
          <a:r>
            <a:rPr lang="es-CO" sz="1100" b="0" i="0">
              <a:solidFill>
                <a:schemeClr val="bg1"/>
              </a:solidFill>
              <a:effectLst/>
              <a:latin typeface="+mn-lt"/>
              <a:ea typeface="+mn-ea"/>
              <a:cs typeface="+mn-cs"/>
            </a:rPr>
            <a:t>, CH</a:t>
          </a:r>
          <a:r>
            <a:rPr lang="es-CO" sz="1100" b="0" i="0" baseline="-25000">
              <a:solidFill>
                <a:schemeClr val="bg1"/>
              </a:solidFill>
              <a:effectLst/>
              <a:latin typeface="+mn-lt"/>
              <a:ea typeface="+mn-ea"/>
              <a:cs typeface="+mn-cs"/>
            </a:rPr>
            <a:t>3</a:t>
          </a:r>
          <a:r>
            <a:rPr lang="es-CO" sz="1100" b="0" i="0">
              <a:solidFill>
                <a:schemeClr val="bg1"/>
              </a:solidFill>
              <a:effectLst/>
              <a:latin typeface="+mn-lt"/>
              <a:ea typeface="+mn-ea"/>
              <a:cs typeface="+mn-cs"/>
            </a:rPr>
            <a:t>SO</a:t>
          </a:r>
          <a:r>
            <a:rPr lang="es-CO" sz="1100" b="0" i="0" baseline="-25000">
              <a:solidFill>
                <a:schemeClr val="bg1"/>
              </a:solidFill>
              <a:effectLst/>
              <a:latin typeface="+mn-lt"/>
              <a:ea typeface="+mn-ea"/>
              <a:cs typeface="+mn-cs"/>
            </a:rPr>
            <a:t>2</a:t>
          </a:r>
          <a:r>
            <a:rPr lang="es-CO" sz="1100" b="0" i="0">
              <a:solidFill>
                <a:schemeClr val="bg1"/>
              </a:solidFill>
              <a:effectLst/>
              <a:latin typeface="+mn-lt"/>
              <a:ea typeface="+mn-ea"/>
              <a:cs typeface="+mn-cs"/>
            </a:rPr>
            <a:t>OH,que es un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reactivo</a:t>
          </a:r>
          <a:r>
            <a:rPr lang="es-CO" sz="1100" b="0" i="0">
              <a:solidFill>
                <a:schemeClr val="bg1"/>
              </a:solidFill>
              <a:effectLst/>
              <a:latin typeface="+mn-lt"/>
              <a:ea typeface="+mn-ea"/>
              <a:cs typeface="+mn-cs"/>
            </a:rPr>
            <a:t> regularmente usado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química orgánica</a:t>
          </a:r>
          <a:r>
            <a:rPr lang="es-CO" sz="1100" b="0" i="0">
              <a:solidFill>
                <a:schemeClr val="bg1"/>
              </a:solidFill>
              <a:effectLst/>
              <a:latin typeface="+mn-lt"/>
              <a:ea typeface="+mn-ea"/>
              <a:cs typeface="+mn-cs"/>
            </a:rPr>
            <a:t>. El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a:t>
          </a:r>
          <a:r>
            <a:rPr lang="es-CO" sz="1100" b="0" i="1"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-toluenosulfónico</a:t>
          </a:r>
          <a:r>
            <a:rPr lang="es-CO" sz="1100" b="0" i="0">
              <a:solidFill>
                <a:schemeClr val="bg1"/>
              </a:solidFill>
              <a:effectLst/>
              <a:latin typeface="+mn-lt"/>
              <a:ea typeface="+mn-ea"/>
              <a:cs typeface="+mn-cs"/>
            </a:rPr>
            <a:t> también es un reactivo importante.</a:t>
          </a:r>
        </a:p>
        <a:p>
          <a:pPr algn="ctr"/>
          <a:endParaRPr lang="es-CO" sz="1100"/>
        </a:p>
      </xdr:txBody>
    </xdr:sp>
    <xdr:clientData/>
  </xdr:twoCellAnchor>
  <xdr:twoCellAnchor>
    <xdr:from>
      <xdr:col>8</xdr:col>
      <xdr:colOff>466725</xdr:colOff>
      <xdr:row>8</xdr:row>
      <xdr:rowOff>142875</xdr:rowOff>
    </xdr:from>
    <xdr:to>
      <xdr:col>12</xdr:col>
      <xdr:colOff>847725</xdr:colOff>
      <xdr:row>35</xdr:row>
      <xdr:rowOff>9525</xdr:rowOff>
    </xdr:to>
    <xdr:sp macro="" textlink="">
      <xdr:nvSpPr>
        <xdr:cNvPr id="4" name="TxtBenzoato" hidden="1">
          <a:extLst>
            <a:ext uri="{FF2B5EF4-FFF2-40B4-BE49-F238E27FC236}">
              <a16:creationId xmlns:a16="http://schemas.microsoft.com/office/drawing/2014/main" id="{771FEF78-AC0C-4570-A62B-9F1568F5755F}"/>
            </a:ext>
          </a:extLst>
        </xdr:cNvPr>
        <xdr:cNvSpPr txBox="1"/>
      </xdr:nvSpPr>
      <xdr:spPr>
        <a:xfrm>
          <a:off x="7448550" y="1819275"/>
          <a:ext cx="4476750" cy="501015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dk1"/>
              </a:solidFill>
              <a:effectLst/>
              <a:latin typeface="+mn-lt"/>
              <a:ea typeface="+mn-ea"/>
              <a:cs typeface="+mn-cs"/>
            </a:rPr>
            <a:t>Benzoato de sodio</a:t>
          </a:r>
        </a:p>
        <a:p>
          <a:r>
            <a:rPr lang="es-CO" sz="1100" b="0" i="0">
              <a:solidFill>
                <a:schemeClr val="bg1"/>
              </a:solidFill>
              <a:effectLst/>
              <a:latin typeface="+mn-lt"/>
              <a:ea typeface="+mn-ea"/>
              <a:cs typeface="+mn-cs"/>
            </a:rPr>
            <a:t>El </a:t>
          </a:r>
          <a:r>
            <a:rPr lang="es-CO" sz="1100" b="1" i="0">
              <a:solidFill>
                <a:schemeClr val="bg1"/>
              </a:solidFill>
              <a:effectLst/>
              <a:latin typeface="+mn-lt"/>
              <a:ea typeface="+mn-ea"/>
              <a:cs typeface="+mn-cs"/>
            </a:rPr>
            <a:t>benzoato de sodio</a:t>
          </a:r>
          <a:r>
            <a:rPr lang="es-CO" sz="1100" b="0" i="0">
              <a:solidFill>
                <a:schemeClr val="bg1"/>
              </a:solidFill>
              <a:effectLst/>
              <a:latin typeface="+mn-lt"/>
              <a:ea typeface="+mn-ea"/>
              <a:cs typeface="+mn-cs"/>
            </a:rPr>
            <a:t>, también conocido como </a:t>
          </a:r>
          <a:r>
            <a:rPr lang="es-CO" sz="1100" b="1" i="0">
              <a:solidFill>
                <a:schemeClr val="bg1"/>
              </a:solidFill>
              <a:effectLst/>
              <a:latin typeface="+mn-lt"/>
              <a:ea typeface="+mn-ea"/>
              <a:cs typeface="+mn-cs"/>
            </a:rPr>
            <a:t>benzoato de sosa</a:t>
          </a:r>
          <a:r>
            <a:rPr lang="es-CO" sz="1100" b="0" i="0">
              <a:solidFill>
                <a:schemeClr val="bg1"/>
              </a:solidFill>
              <a:effectLst/>
              <a:latin typeface="+mn-lt"/>
              <a:ea typeface="+mn-ea"/>
              <a:cs typeface="+mn-cs"/>
            </a:rPr>
            <a:t> o (E211), es una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sal</a:t>
          </a:r>
          <a:r>
            <a:rPr lang="es-CO" sz="1100" b="0" i="0">
              <a:solidFill>
                <a:schemeClr val="bg1"/>
              </a:solidFill>
              <a:effectLst/>
              <a:latin typeface="+mn-lt"/>
              <a:ea typeface="+mn-ea"/>
              <a:cs typeface="+mn-cs"/>
            </a:rPr>
            <a:t> del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benzoico</a:t>
          </a:r>
          <a:r>
            <a:rPr lang="es-CO" sz="1100" b="0" i="0">
              <a:solidFill>
                <a:schemeClr val="bg1"/>
              </a:solidFill>
              <a:effectLst/>
              <a:latin typeface="+mn-lt"/>
              <a:ea typeface="+mn-ea"/>
              <a:cs typeface="+mn-cs"/>
            </a:rPr>
            <a:t>, blanca, cristalina y gelatinosa o granulada, de fórmula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t>
          </a:r>
          <a:r>
            <a:rPr lang="es-CO" sz="1100" b="0" i="0" baseline="-25000">
              <a:solidFill>
                <a:schemeClr val="bg1"/>
              </a:solidFill>
              <a:effectLst/>
              <a:latin typeface="+mn-lt"/>
              <a:ea typeface="+mn-ea"/>
              <a:cs typeface="+mn-cs"/>
            </a:rPr>
            <a:t>6</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a:t>
          </a:r>
          <a:r>
            <a:rPr lang="es-CO" sz="1100" b="0" i="0" baseline="-25000">
              <a:solidFill>
                <a:schemeClr val="bg1"/>
              </a:solidFill>
              <a:effectLst/>
              <a:latin typeface="+mn-lt"/>
              <a:ea typeface="+mn-ea"/>
              <a:cs typeface="+mn-cs"/>
            </a:rPr>
            <a:t>5</a:t>
          </a:r>
          <a:r>
            <a:rPr lang="es-CO" sz="1100" b="0" i="0">
              <a:solidFill>
                <a:schemeClr val="bg1"/>
              </a:solidFill>
              <a:effectLst/>
              <a:latin typeface="+mn-lt"/>
              <a:ea typeface="+mn-ea"/>
              <a:cs typeface="+mn-cs"/>
            </a:rPr>
            <a:t>C</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O</a:t>
          </a:r>
          <a:r>
            <a:rPr lang="es-CO" sz="1100" b="0" i="0">
              <a:solidFill>
                <a:schemeClr val="bg1"/>
              </a:solidFill>
              <a:effectLst/>
              <a:latin typeface="+mn-lt"/>
              <a:ea typeface="+mn-ea"/>
              <a:cs typeface="+mn-cs"/>
            </a:rPr>
            <a:t>O</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Na</a:t>
          </a:r>
          <a:r>
            <a:rPr lang="es-CO" sz="1100" b="0" i="0">
              <a:solidFill>
                <a:schemeClr val="bg1"/>
              </a:solidFill>
              <a:effectLst/>
              <a:latin typeface="+mn-lt"/>
              <a:ea typeface="+mn-ea"/>
              <a:cs typeface="+mn-cs"/>
            </a:rPr>
            <a:t>. Es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soluble</a:t>
          </a:r>
          <a:r>
            <a:rPr lang="es-CO" sz="1100" b="0" i="0">
              <a:solidFill>
                <a:schemeClr val="bg1"/>
              </a:solidFill>
              <a:effectLst/>
              <a:latin typeface="+mn-lt"/>
              <a:ea typeface="+mn-ea"/>
              <a:cs typeface="+mn-cs"/>
            </a:rPr>
            <a:t>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agua</a:t>
          </a:r>
          <a:r>
            <a:rPr lang="es-CO" sz="1100" b="0" i="0">
              <a:solidFill>
                <a:schemeClr val="bg1"/>
              </a:solidFill>
              <a:effectLst/>
              <a:latin typeface="+mn-lt"/>
              <a:ea typeface="+mn-ea"/>
              <a:cs typeface="+mn-cs"/>
            </a:rPr>
            <a:t> y ligeramente soluble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alcohol</a:t>
          </a:r>
          <a:r>
            <a:rPr lang="es-CO" sz="1100" b="0" i="0">
              <a:solidFill>
                <a:schemeClr val="bg1"/>
              </a:solidFill>
              <a:effectLst/>
              <a:latin typeface="+mn-lt"/>
              <a:ea typeface="+mn-ea"/>
              <a:cs typeface="+mn-cs"/>
            </a:rPr>
            <a:t>. La sal es antiséptica y se usa generalmente para conservar los alimentos.</a:t>
          </a:r>
        </a:p>
        <a:p>
          <a:endParaRPr lang="es-CO" sz="1100" b="0" i="0">
            <a:solidFill>
              <a:schemeClr val="bg1"/>
            </a:solidFill>
            <a:effectLst/>
            <a:latin typeface="+mn-lt"/>
            <a:ea typeface="+mn-ea"/>
            <a:cs typeface="+mn-cs"/>
          </a:endParaRPr>
        </a:p>
        <a:p>
          <a:pPr algn="ctr"/>
          <a:r>
            <a:rPr lang="es-CO" sz="1100" b="1" i="0" u="sng">
              <a:solidFill>
                <a:schemeClr val="bg1"/>
              </a:solidFill>
              <a:effectLst/>
              <a:latin typeface="+mn-lt"/>
              <a:ea typeface="+mn-ea"/>
              <a:cs typeface="+mn-cs"/>
            </a:rPr>
            <a:t>Usos</a:t>
          </a:r>
        </a:p>
        <a:p>
          <a:r>
            <a:rPr lang="es-CO" sz="1100" b="0" i="0">
              <a:solidFill>
                <a:schemeClr val="bg1"/>
              </a:solidFill>
              <a:effectLst/>
              <a:latin typeface="+mn-lt"/>
              <a:ea typeface="+mn-ea"/>
              <a:cs typeface="+mn-cs"/>
            </a:rPr>
            <a:t>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aditivo alimentario</a:t>
          </a:r>
          <a:r>
            <a:rPr lang="es-CO" sz="1100" b="0" i="0">
              <a:solidFill>
                <a:schemeClr val="bg1"/>
              </a:solidFill>
              <a:effectLst/>
              <a:latin typeface="+mn-lt"/>
              <a:ea typeface="+mn-ea"/>
              <a:cs typeface="+mn-cs"/>
            </a:rPr>
            <a:t> es usado 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conservante</a:t>
          </a:r>
          <a:r>
            <a:rPr lang="es-CO" sz="1100" b="0" i="0">
              <a:solidFill>
                <a:schemeClr val="bg1"/>
              </a:solidFill>
              <a:effectLst/>
              <a:latin typeface="+mn-lt"/>
              <a:ea typeface="+mn-ea"/>
              <a:cs typeface="+mn-cs"/>
            </a:rPr>
            <a:t>, matando eficientemente a la mayoría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levaduras</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bacterias</a:t>
          </a:r>
          <a:r>
            <a:rPr lang="es-CO" sz="1100" b="0" i="0">
              <a:solidFill>
                <a:schemeClr val="bg1"/>
              </a:solidFill>
              <a:effectLst/>
              <a:latin typeface="+mn-lt"/>
              <a:ea typeface="+mn-ea"/>
              <a:cs typeface="+mn-cs"/>
            </a:rPr>
            <a:t> y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hongos</a:t>
          </a:r>
          <a:r>
            <a:rPr lang="es-CO" sz="1100" b="0" i="0">
              <a:solidFill>
                <a:schemeClr val="bg1"/>
              </a:solidFill>
              <a:effectLst/>
              <a:latin typeface="+mn-lt"/>
              <a:ea typeface="+mn-ea"/>
              <a:cs typeface="+mn-cs"/>
            </a:rPr>
            <a:t> . El benzoato sódico sólo es efectivo en condiciones ácidas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pH</a:t>
          </a:r>
          <a:r>
            <a:rPr lang="es-CO" sz="1100" b="0" i="0">
              <a:solidFill>
                <a:schemeClr val="bg1"/>
              </a:solidFill>
              <a:effectLst/>
              <a:latin typeface="+mn-lt"/>
              <a:ea typeface="+mn-ea"/>
              <a:cs typeface="+mn-cs"/>
            </a:rPr>
            <a:t>,-6) lo que hace que su uso más frecuente sea en conservas, en aliño de ensaladas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vinagre</a:t>
          </a:r>
          <a:r>
            <a:rPr lang="es-CO" sz="1100" b="0" i="0">
              <a:solidFill>
                <a:schemeClr val="bg1"/>
              </a:solidFill>
              <a:effectLst/>
              <a:latin typeface="+mn-lt"/>
              <a:ea typeface="+mn-ea"/>
              <a:cs typeface="+mn-cs"/>
            </a:rPr>
            <a:t>), en bebidas carbonatadas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carbónico</a:t>
          </a:r>
          <a:r>
            <a:rPr lang="es-CO" sz="1100" b="0" i="0">
              <a:solidFill>
                <a:schemeClr val="bg1"/>
              </a:solidFill>
              <a:effectLst/>
              <a:latin typeface="+mn-lt"/>
              <a:ea typeface="+mn-ea"/>
              <a:cs typeface="+mn-cs"/>
            </a:rPr>
            <a:t>), en mermeladas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cítrico</a:t>
          </a:r>
          <a:r>
            <a:rPr lang="es-CO" sz="1100" b="0" i="0">
              <a:solidFill>
                <a:schemeClr val="bg1"/>
              </a:solidFill>
              <a:effectLst/>
              <a:latin typeface="+mn-lt"/>
              <a:ea typeface="+mn-ea"/>
              <a:cs typeface="+mn-cs"/>
            </a:rPr>
            <a:t>), en zumo de frutas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cítrico</a:t>
          </a:r>
          <a:r>
            <a:rPr lang="es-CO" sz="1100" b="0" i="0">
              <a:solidFill>
                <a:schemeClr val="bg1"/>
              </a:solidFill>
              <a:effectLst/>
              <a:latin typeface="+mn-lt"/>
              <a:ea typeface="+mn-ea"/>
              <a:cs typeface="+mn-cs"/>
            </a:rPr>
            <a:t>) y en salsas de comida china (soja, mostaza y pato). También se encuentra en enjuagues de base alcohólica y en el pulido de la plata. Más recientemente, el benzoato sódico viene estando presente en muchos refrescos 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Sprite</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Fanta</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Coke Zero</a:t>
          </a:r>
          <a:r>
            <a:rPr lang="es-CO" sz="1100" b="0" i="0">
              <a:solidFill>
                <a:schemeClr val="bg1"/>
              </a:solidFill>
              <a:effectLst/>
              <a:latin typeface="+mn-lt"/>
              <a:ea typeface="+mn-ea"/>
              <a:cs typeface="+mn-cs"/>
            </a:rPr>
            <a:t>. El sabor del benzoato sódico no puede ser detectado por alrededor de un 35 % de la población, pero para los que han probado el producto químico, tienden a percibirlo como dulce, salado o a veces amargo.</a:t>
          </a:r>
        </a:p>
        <a:p>
          <a:r>
            <a:rPr lang="es-CO" sz="1100" b="0" i="0">
              <a:solidFill>
                <a:schemeClr val="bg1"/>
              </a:solidFill>
              <a:effectLst/>
              <a:latin typeface="+mn-lt"/>
              <a:ea typeface="+mn-ea"/>
              <a:cs typeface="+mn-cs"/>
            </a:rPr>
            <a:t>También se utiliza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pirotecnia</a:t>
          </a:r>
          <a:r>
            <a:rPr lang="es-CO" sz="1100" b="0" i="0">
              <a:solidFill>
                <a:schemeClr val="bg1"/>
              </a:solidFill>
              <a:effectLst/>
              <a:latin typeface="+mn-lt"/>
              <a:ea typeface="+mn-ea"/>
              <a:cs typeface="+mn-cs"/>
            </a:rPr>
            <a:t>, como combustible en la mezcla del polvo que produce un silbido cuando es comprimida y encendida en un tubo.</a:t>
          </a:r>
        </a:p>
        <a:p>
          <a:r>
            <a:rPr lang="es-CO" sz="1100" b="0" i="0">
              <a:solidFill>
                <a:schemeClr val="bg1"/>
              </a:solidFill>
              <a:effectLst/>
              <a:latin typeface="+mn-lt"/>
              <a:ea typeface="+mn-ea"/>
              <a:cs typeface="+mn-cs"/>
            </a:rPr>
            <a:t>En la naturaleza lo podemos encontrar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arándanos</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pasas</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ciruelas</a:t>
          </a:r>
          <a:r>
            <a:rPr lang="es-CO" sz="1100" b="0" i="0">
              <a:solidFill>
                <a:schemeClr val="bg1"/>
              </a:solidFill>
              <a:effectLst/>
              <a:latin typeface="+mn-lt"/>
              <a:ea typeface="+mn-ea"/>
              <a:cs typeface="+mn-cs"/>
            </a:rPr>
            <a:t> pasas,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canela</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clavos de olor</a:t>
          </a:r>
          <a:r>
            <a:rPr lang="es-CO" sz="1100" b="0" i="0">
              <a:solidFill>
                <a:schemeClr val="bg1"/>
              </a:solidFill>
              <a:effectLst/>
              <a:latin typeface="+mn-lt"/>
              <a:ea typeface="+mn-ea"/>
              <a:cs typeface="+mn-cs"/>
            </a:rPr>
            <a:t> maduros y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manzanas</a:t>
          </a:r>
          <a:r>
            <a:rPr lang="es-CO" sz="1100" b="0" i="0">
              <a:solidFill>
                <a:schemeClr val="bg1"/>
              </a:solidFill>
              <a:effectLst/>
              <a:latin typeface="+mn-lt"/>
              <a:ea typeface="+mn-ea"/>
              <a:cs typeface="+mn-cs"/>
            </a:rPr>
            <a:t>.</a:t>
          </a:r>
        </a:p>
        <a:p>
          <a:endParaRPr lang="es-CO" sz="1100"/>
        </a:p>
      </xdr:txBody>
    </xdr:sp>
    <xdr:clientData/>
  </xdr:twoCellAnchor>
  <xdr:twoCellAnchor>
    <xdr:from>
      <xdr:col>8</xdr:col>
      <xdr:colOff>0</xdr:colOff>
      <xdr:row>8</xdr:row>
      <xdr:rowOff>85725</xdr:rowOff>
    </xdr:from>
    <xdr:to>
      <xdr:col>12</xdr:col>
      <xdr:colOff>876300</xdr:colOff>
      <xdr:row>25</xdr:row>
      <xdr:rowOff>1</xdr:rowOff>
    </xdr:to>
    <xdr:sp macro="" textlink="">
      <xdr:nvSpPr>
        <xdr:cNvPr id="5" name="TxtGenapol" hidden="1">
          <a:extLst>
            <a:ext uri="{FF2B5EF4-FFF2-40B4-BE49-F238E27FC236}">
              <a16:creationId xmlns:a16="http://schemas.microsoft.com/office/drawing/2014/main" id="{2882E9D9-15AE-4B72-B0FE-5A7ACCD53B4C}"/>
            </a:ext>
          </a:extLst>
        </xdr:cNvPr>
        <xdr:cNvSpPr txBox="1"/>
      </xdr:nvSpPr>
      <xdr:spPr>
        <a:xfrm>
          <a:off x="6981825" y="1762125"/>
          <a:ext cx="4448175" cy="31527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bg1"/>
              </a:solidFill>
              <a:effectLst/>
              <a:latin typeface="+mn-lt"/>
              <a:ea typeface="+mn-ea"/>
              <a:cs typeface="+mn-cs"/>
            </a:rPr>
            <a:t>Lauril éter sulfato sódico</a:t>
          </a:r>
        </a:p>
        <a:p>
          <a:r>
            <a:rPr lang="es-CO" sz="1100" b="0" i="0">
              <a:solidFill>
                <a:schemeClr val="bg1"/>
              </a:solidFill>
              <a:effectLst/>
              <a:latin typeface="+mn-lt"/>
              <a:ea typeface="+mn-ea"/>
              <a:cs typeface="+mn-cs"/>
            </a:rPr>
            <a:t>El </a:t>
          </a:r>
          <a:r>
            <a:rPr lang="es-CO" sz="1100" b="1" i="0">
              <a:solidFill>
                <a:schemeClr val="bg1"/>
              </a:solidFill>
              <a:effectLst/>
              <a:latin typeface="+mn-lt"/>
              <a:ea typeface="+mn-ea"/>
              <a:cs typeface="+mn-cs"/>
            </a:rPr>
            <a:t>lauril éter sulfato de sodio</a:t>
          </a:r>
          <a:r>
            <a:rPr lang="es-CO" sz="1100" b="0" i="0">
              <a:solidFill>
                <a:schemeClr val="bg1"/>
              </a:solidFill>
              <a:effectLst/>
              <a:latin typeface="+mn-lt"/>
              <a:ea typeface="+mn-ea"/>
              <a:cs typeface="+mn-cs"/>
            </a:rPr>
            <a:t> (SLES por la sigla en inglés de </a:t>
          </a:r>
          <a:r>
            <a:rPr lang="es-CO" sz="1100" b="0" i="1">
              <a:solidFill>
                <a:schemeClr val="bg1"/>
              </a:solidFill>
              <a:effectLst/>
              <a:latin typeface="+mn-lt"/>
              <a:ea typeface="+mn-ea"/>
              <a:cs typeface="+mn-cs"/>
            </a:rPr>
            <a:t>sodium lauryl ether sulfate</a:t>
          </a:r>
          <a:r>
            <a:rPr lang="es-CO" sz="1100" b="0" i="0">
              <a:solidFill>
                <a:schemeClr val="bg1"/>
              </a:solidFill>
              <a:effectLst/>
              <a:latin typeface="+mn-lt"/>
              <a:ea typeface="+mn-ea"/>
              <a:cs typeface="+mn-cs"/>
            </a:rPr>
            <a:t>) es un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detergente</a:t>
          </a:r>
          <a:r>
            <a:rPr lang="es-CO" sz="1100" b="0" i="0">
              <a:solidFill>
                <a:schemeClr val="bg1"/>
              </a:solidFill>
              <a:effectLst/>
              <a:latin typeface="+mn-lt"/>
              <a:ea typeface="+mn-ea"/>
              <a:cs typeface="+mn-cs"/>
            </a:rPr>
            <a:t> y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surfactante</a:t>
          </a:r>
          <a:r>
            <a:rPr lang="es-CO" sz="1100" b="0" i="0">
              <a:solidFill>
                <a:schemeClr val="bg1"/>
              </a:solidFill>
              <a:effectLst/>
              <a:latin typeface="+mn-lt"/>
              <a:ea typeface="+mn-ea"/>
              <a:cs typeface="+mn-cs"/>
            </a:rPr>
            <a:t> encontrado en numerosos productos del cuidado personal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jabón</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champú</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pasta de dientes</a:t>
          </a:r>
          <a:r>
            <a:rPr lang="es-CO" sz="1100" b="0" i="0">
              <a:solidFill>
                <a:schemeClr val="bg1"/>
              </a:solidFill>
              <a:effectLst/>
              <a:latin typeface="+mn-lt"/>
              <a:ea typeface="+mn-ea"/>
              <a:cs typeface="+mn-cs"/>
            </a:rPr>
            <a:t>). SLES es un económico y muy efectivo agente formador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espuma</a:t>
          </a:r>
          <a:r>
            <a:rPr lang="es-CO" sz="1100" b="0" i="0">
              <a:solidFill>
                <a:schemeClr val="bg1"/>
              </a:solidFill>
              <a:effectLst/>
              <a:latin typeface="+mn-lt"/>
              <a:ea typeface="+mn-ea"/>
              <a:cs typeface="+mn-cs"/>
            </a:rPr>
            <a:t>. </a:t>
          </a:r>
        </a:p>
        <a:p>
          <a:endParaRPr lang="es-CO" sz="1100" b="0" i="0">
            <a:solidFill>
              <a:schemeClr val="bg1"/>
            </a:solidFill>
            <a:effectLst/>
            <a:latin typeface="+mn-lt"/>
            <a:ea typeface="+mn-ea"/>
            <a:cs typeface="+mn-cs"/>
          </a:endParaRPr>
        </a:p>
        <a:p>
          <a:pPr algn="ctr"/>
          <a:r>
            <a:rPr lang="es-CO" sz="1100" b="1" i="0" u="sng">
              <a:solidFill>
                <a:schemeClr val="bg1"/>
              </a:solidFill>
              <a:effectLst/>
              <a:latin typeface="+mn-lt"/>
              <a:ea typeface="+mn-ea"/>
              <a:cs typeface="+mn-cs"/>
            </a:rPr>
            <a:t>Aplicaciones</a:t>
          </a:r>
        </a:p>
        <a:p>
          <a:r>
            <a:rPr lang="es-CO" sz="1100" b="0" i="0">
              <a:solidFill>
                <a:schemeClr val="bg1"/>
              </a:solidFill>
              <a:effectLst/>
              <a:latin typeface="+mn-lt"/>
              <a:ea typeface="+mn-ea"/>
              <a:cs typeface="+mn-cs"/>
            </a:rPr>
            <a:t>Su alta compatibilidad con la piel y su capacidad humectante y emulsionante, hacen que sea una de las materias primas más usadas en la industria cosmética. A estas propiedades hay que sumarle su ligero olor que permite que sea perfumado sin inconvenientes.</a:t>
          </a:r>
        </a:p>
        <a:p>
          <a:r>
            <a:rPr lang="es-CO" sz="1100" b="0" i="0">
              <a:solidFill>
                <a:schemeClr val="bg1"/>
              </a:solidFill>
              <a:effectLst/>
              <a:latin typeface="+mn-lt"/>
              <a:ea typeface="+mn-ea"/>
              <a:cs typeface="+mn-cs"/>
            </a:rPr>
            <a:t>Se suele combinar con alcanolamidas de ácidos grasos para sobreengrasar y espesar el producto. Una manera de aumentar la viscosidad de estos compuestos es mediante la adición de sal común (cloruro sódico) El lauril éter sulfato sódico se puede mezclar con un gran número de sustancias detergentes, en cualquier proporción, y también con otros principios activos y aditivos especiales .</a:t>
          </a:r>
        </a:p>
        <a:p>
          <a:endParaRPr lang="es-CO" sz="1100"/>
        </a:p>
      </xdr:txBody>
    </xdr:sp>
    <xdr:clientData/>
  </xdr:twoCellAnchor>
  <xdr:oneCellAnchor>
    <xdr:from>
      <xdr:col>9</xdr:col>
      <xdr:colOff>390969</xdr:colOff>
      <xdr:row>0</xdr:row>
      <xdr:rowOff>155073</xdr:rowOff>
    </xdr:from>
    <xdr:ext cx="7123810" cy="781111"/>
    <xdr:sp macro="" textlink="">
      <xdr:nvSpPr>
        <xdr:cNvPr id="6" name="Rectángulo 5">
          <a:extLst>
            <a:ext uri="{FF2B5EF4-FFF2-40B4-BE49-F238E27FC236}">
              <a16:creationId xmlns:a16="http://schemas.microsoft.com/office/drawing/2014/main" id="{ACE28E75-EBB9-4C6C-8C3B-3BA769E15406}"/>
            </a:ext>
          </a:extLst>
        </xdr:cNvPr>
        <xdr:cNvSpPr/>
      </xdr:nvSpPr>
      <xdr:spPr>
        <a:xfrm>
          <a:off x="8134794" y="155073"/>
          <a:ext cx="7123810" cy="781111"/>
        </a:xfrm>
        <a:prstGeom prst="rect">
          <a:avLst/>
        </a:prstGeom>
      </xdr:spPr>
      <xdr:style>
        <a:lnRef idx="0">
          <a:schemeClr val="accent5"/>
        </a:lnRef>
        <a:fillRef idx="3">
          <a:schemeClr val="accent5"/>
        </a:fillRef>
        <a:effectRef idx="3">
          <a:schemeClr val="accent5"/>
        </a:effectRef>
        <a:fontRef idx="minor">
          <a:schemeClr val="lt1"/>
        </a:fontRef>
      </xdr:style>
      <xdr:txBody>
        <a:bodyPr wrap="none" lIns="91440" tIns="45720" rIns="91440" bIns="45720">
          <a:spAutoFit/>
        </a:bodyPr>
        <a:lstStyle/>
        <a:p>
          <a:pPr algn="ctr"/>
          <a:r>
            <a:rPr lang="es-ES" sz="4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Descripcion</a:t>
          </a:r>
          <a:r>
            <a:rPr lang="es-ES" sz="4400" b="1" cap="none" spc="0" baseline="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 de Materia Prima</a:t>
          </a:r>
          <a:endParaRPr lang="es-ES" sz="4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twoCellAnchor>
    <xdr:from>
      <xdr:col>8</xdr:col>
      <xdr:colOff>476250</xdr:colOff>
      <xdr:row>8</xdr:row>
      <xdr:rowOff>152400</xdr:rowOff>
    </xdr:from>
    <xdr:to>
      <xdr:col>12</xdr:col>
      <xdr:colOff>857250</xdr:colOff>
      <xdr:row>29</xdr:row>
      <xdr:rowOff>9525</xdr:rowOff>
    </xdr:to>
    <xdr:sp macro="" textlink="">
      <xdr:nvSpPr>
        <xdr:cNvPr id="7" name="TxtFosforico" hidden="1">
          <a:extLst>
            <a:ext uri="{FF2B5EF4-FFF2-40B4-BE49-F238E27FC236}">
              <a16:creationId xmlns:a16="http://schemas.microsoft.com/office/drawing/2014/main" id="{447DFC34-AC7D-40B5-82E0-810841ED8E5B}"/>
            </a:ext>
          </a:extLst>
        </xdr:cNvPr>
        <xdr:cNvSpPr txBox="1"/>
      </xdr:nvSpPr>
      <xdr:spPr>
        <a:xfrm>
          <a:off x="7458075" y="1828800"/>
          <a:ext cx="4191000" cy="385762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dk1"/>
              </a:solidFill>
              <a:effectLst/>
              <a:latin typeface="+mn-lt"/>
              <a:ea typeface="+mn-ea"/>
              <a:cs typeface="+mn-cs"/>
            </a:rPr>
            <a:t>Acido</a:t>
          </a:r>
          <a:r>
            <a:rPr lang="es-ES" sz="1100" b="1" i="0" u="sng" baseline="0">
              <a:solidFill>
                <a:schemeClr val="dk1"/>
              </a:solidFill>
              <a:effectLst/>
              <a:latin typeface="+mn-lt"/>
              <a:ea typeface="+mn-ea"/>
              <a:cs typeface="+mn-cs"/>
            </a:rPr>
            <a:t> Fosfórico</a:t>
          </a:r>
          <a:endParaRPr lang="es-ES" sz="1100" b="1" i="0" u="sng">
            <a:solidFill>
              <a:schemeClr val="dk1"/>
            </a:solidFill>
            <a:effectLst/>
            <a:latin typeface="+mn-lt"/>
            <a:ea typeface="+mn-ea"/>
            <a:cs typeface="+mn-cs"/>
          </a:endParaRPr>
        </a:p>
        <a:p>
          <a:r>
            <a:rPr lang="es-CO" sz="1100" b="0" i="0">
              <a:solidFill>
                <a:schemeClr val="tx1"/>
              </a:solidFill>
              <a:effectLst/>
              <a:latin typeface="+mn-lt"/>
              <a:ea typeface="+mn-ea"/>
              <a:cs typeface="+mn-cs"/>
            </a:rPr>
            <a:t>El </a:t>
          </a:r>
          <a:r>
            <a:rPr lang="es-CO" sz="1100" b="1" i="0">
              <a:solidFill>
                <a:schemeClr val="tx1"/>
              </a:solidFill>
              <a:effectLst/>
              <a:latin typeface="+mn-lt"/>
              <a:ea typeface="+mn-ea"/>
              <a:cs typeface="+mn-cs"/>
            </a:rPr>
            <a:t>ácido fosfórico</a:t>
          </a:r>
          <a:r>
            <a:rPr lang="es-CO" sz="1100" b="0" i="0">
              <a:solidFill>
                <a:schemeClr val="tx1"/>
              </a:solidFill>
              <a:effectLst/>
              <a:latin typeface="+mn-lt"/>
              <a:ea typeface="+mn-ea"/>
              <a:cs typeface="+mn-cs"/>
            </a:rPr>
            <a:t> (a veces llamado </a:t>
          </a:r>
          <a:r>
            <a:rPr lang="es-CO" sz="1100" b="1" i="0">
              <a:solidFill>
                <a:schemeClr val="tx1"/>
              </a:solidFill>
              <a:effectLst/>
              <a:latin typeface="+mn-lt"/>
              <a:ea typeface="+mn-ea"/>
              <a:cs typeface="+mn-cs"/>
            </a:rPr>
            <a:t>ácido ortofosfórico</a:t>
          </a:r>
          <a:r>
            <a:rPr lang="es-CO" sz="1100" b="0" i="0">
              <a:solidFill>
                <a:schemeClr val="tx1"/>
              </a:solidFill>
              <a:effectLst/>
              <a:latin typeface="+mn-lt"/>
              <a:ea typeface="+mn-ea"/>
              <a:cs typeface="+mn-cs"/>
            </a:rPr>
            <a:t>) es un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compuesto químico</a:t>
          </a:r>
          <a:r>
            <a:rPr lang="es-CO" sz="1100" b="0" i="0">
              <a:solidFill>
                <a:schemeClr val="tx1"/>
              </a:solidFill>
              <a:effectLst/>
              <a:latin typeface="+mn-lt"/>
              <a:ea typeface="+mn-ea"/>
              <a:cs typeface="+mn-cs"/>
            </a:rPr>
            <a:t>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a:t>
          </a:r>
          <a:r>
            <a:rPr lang="es-CO" sz="1100" b="0" i="0">
              <a:solidFill>
                <a:schemeClr val="tx1"/>
              </a:solidFill>
              <a:effectLst/>
              <a:latin typeface="+mn-lt"/>
              <a:ea typeface="+mn-ea"/>
              <a:cs typeface="+mn-cs"/>
            </a:rPr>
            <a:t> (más precisamente un compuesto ternario que pertenece a la categoría de los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oxácidos</a:t>
          </a:r>
          <a:r>
            <a:rPr lang="es-CO" sz="1100" b="0" i="0">
              <a:solidFill>
                <a:schemeClr val="tx1"/>
              </a:solidFill>
              <a:effectLst/>
              <a:latin typeface="+mn-lt"/>
              <a:ea typeface="+mn-ea"/>
              <a:cs typeface="+mn-cs"/>
            </a:rPr>
            <a:t>) de fórmula H</a:t>
          </a:r>
          <a:r>
            <a:rPr lang="es-CO" sz="1100" b="0" i="0" baseline="-25000">
              <a:solidFill>
                <a:schemeClr val="tx1"/>
              </a:solidFill>
              <a:effectLst/>
              <a:latin typeface="+mn-lt"/>
              <a:ea typeface="+mn-ea"/>
              <a:cs typeface="+mn-cs"/>
            </a:rPr>
            <a:t>3</a:t>
          </a:r>
          <a:r>
            <a:rPr lang="es-CO" sz="1100" b="0" i="0">
              <a:solidFill>
                <a:schemeClr val="tx1"/>
              </a:solidFill>
              <a:effectLst/>
              <a:latin typeface="+mn-lt"/>
              <a:ea typeface="+mn-ea"/>
              <a:cs typeface="+mn-cs"/>
            </a:rPr>
            <a:t>PO</a:t>
          </a:r>
          <a:r>
            <a:rPr lang="es-CO" sz="1100" b="0" i="0" baseline="-25000">
              <a:solidFill>
                <a:schemeClr val="tx1"/>
              </a:solidFill>
              <a:effectLst/>
              <a:latin typeface="+mn-lt"/>
              <a:ea typeface="+mn-ea"/>
              <a:cs typeface="+mn-cs"/>
            </a:rPr>
            <a:t>4</a:t>
          </a:r>
          <a:r>
            <a:rPr lang="es-CO" sz="1100" b="0" i="0">
              <a:solidFill>
                <a:schemeClr val="tx1"/>
              </a:solidFill>
              <a:effectLst/>
              <a:latin typeface="+mn-lt"/>
              <a:ea typeface="+mn-ea"/>
              <a:cs typeface="+mn-cs"/>
            </a:rPr>
            <a:t>.</a:t>
          </a:r>
          <a:r>
            <a:rPr lang="es-CO" sz="1100" b="0" i="0" u="none" strike="noStrike" baseline="30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2</a:t>
          </a:r>
          <a:r>
            <a:rPr lang="es-CO" sz="1100" b="0" i="0">
              <a:solidFill>
                <a:schemeClr val="tx1"/>
              </a:solidFill>
              <a:effectLst/>
              <a:latin typeface="+mn-lt"/>
              <a:ea typeface="+mn-ea"/>
              <a:cs typeface="+mn-cs"/>
            </a:rPr>
            <a:t>​ Es un ortofosfato cuyo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código</a:t>
          </a:r>
          <a:r>
            <a:rPr lang="es-CO" sz="1100" b="0" i="0">
              <a:solidFill>
                <a:schemeClr val="tx1"/>
              </a:solidFill>
              <a:effectLst/>
              <a:latin typeface="+mn-lt"/>
              <a:ea typeface="+mn-ea"/>
              <a:cs typeface="+mn-cs"/>
            </a:rPr>
            <a:t> en el Sistema Internacional de Numeración es </a:t>
          </a:r>
          <a:r>
            <a:rPr lang="es-CO" sz="1100" b="1" i="0">
              <a:solidFill>
                <a:schemeClr val="tx1"/>
              </a:solidFill>
              <a:effectLst/>
              <a:latin typeface="+mn-lt"/>
              <a:ea typeface="+mn-ea"/>
              <a:cs typeface="+mn-cs"/>
            </a:rPr>
            <a:t>E-338</a:t>
          </a:r>
          <a:r>
            <a:rPr lang="es-CO" sz="1100" b="0" i="0">
              <a:solidFill>
                <a:schemeClr val="tx1"/>
              </a:solidFill>
              <a:effectLst/>
              <a:latin typeface="+mn-lt"/>
              <a:ea typeface="+mn-ea"/>
              <a:cs typeface="+mn-cs"/>
            </a:rPr>
            <a:t>. No se debe usar agua para eliminar este químico, puesto que esta produce su activación.</a:t>
          </a:r>
        </a:p>
        <a:p>
          <a:r>
            <a:rPr lang="es-CO" sz="1100" b="0" i="0">
              <a:solidFill>
                <a:schemeClr val="tx1"/>
              </a:solidFill>
              <a:effectLst/>
              <a:latin typeface="+mn-lt"/>
              <a:ea typeface="+mn-ea"/>
              <a:cs typeface="+mn-cs"/>
            </a:rPr>
            <a:t>Usos[</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editar</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a:t>
          </a:r>
          <a:r>
            <a:rPr lang="es-CO" sz="1100" b="0" i="0">
              <a:solidFill>
                <a:schemeClr val="tx1"/>
              </a:solidFill>
              <a:effectLst/>
              <a:latin typeface="+mn-lt"/>
              <a:ea typeface="+mn-ea"/>
              <a:cs typeface="+mn-cs"/>
            </a:rPr>
            <a:t> no es muy útil en el laboratorio debido a su resistencia a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oxidación</a:t>
          </a:r>
          <a:r>
            <a:rPr lang="es-CO" sz="1100" b="0" i="0">
              <a:solidFill>
                <a:schemeClr val="tx1"/>
              </a:solidFill>
              <a:effectLst/>
              <a:latin typeface="+mn-lt"/>
              <a:ea typeface="+mn-ea"/>
              <a:cs typeface="+mn-cs"/>
            </a:rPr>
            <a:t>, a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reducción</a:t>
          </a:r>
          <a:r>
            <a:rPr lang="es-CO" sz="1100" b="0" i="0">
              <a:solidFill>
                <a:schemeClr val="tx1"/>
              </a:solidFill>
              <a:effectLst/>
              <a:latin typeface="+mn-lt"/>
              <a:ea typeface="+mn-ea"/>
              <a:cs typeface="+mn-cs"/>
            </a:rPr>
            <a:t> y a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evaporación</a:t>
          </a:r>
          <a:r>
            <a:rPr lang="es-CO" sz="1100" b="0" i="0">
              <a:solidFill>
                <a:schemeClr val="tx1"/>
              </a:solidFill>
              <a:effectLst/>
              <a:latin typeface="+mn-lt"/>
              <a:ea typeface="+mn-ea"/>
              <a:cs typeface="+mn-cs"/>
            </a:rPr>
            <a:t>. Entre otras aplicaciones, el ácido fosfórico se emplea como ingrediente de bebidas no alcohólicas como por ejemplo de las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gaseosas</a:t>
          </a:r>
          <a:r>
            <a:rPr lang="es-CO" sz="1100" b="0" i="0">
              <a:solidFill>
                <a:schemeClr val="tx1"/>
              </a:solidFill>
              <a:effectLst/>
              <a:latin typeface="+mn-lt"/>
              <a:ea typeface="+mn-ea"/>
              <a:cs typeface="+mn-cs"/>
            </a:rPr>
            <a:t> (aditivo alimentario E-338), de un modo particular en las de tipo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cola</a:t>
          </a:r>
          <a:r>
            <a:rPr lang="es-CO" sz="1100" b="0" i="0">
              <a:solidFill>
                <a:schemeClr val="tx1"/>
              </a:solidFill>
              <a:effectLst/>
              <a:latin typeface="+mn-lt"/>
              <a:ea typeface="+mn-ea"/>
              <a:cs typeface="+mn-cs"/>
            </a:rPr>
            <a:t>; como elemento acondicionador de la superficie del esmalte dental, pues al desmineralizar la superficie del mismo crea microretenciones en su estructura lo cual facilita la adhesión de los materiales de restauración dental ; como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catalizador</a:t>
          </a:r>
          <a:r>
            <a:rPr lang="es-CO" sz="1100" b="0" i="0">
              <a:solidFill>
                <a:schemeClr val="tx1"/>
              </a:solidFill>
              <a:effectLst/>
              <a:latin typeface="+mn-lt"/>
              <a:ea typeface="+mn-ea"/>
              <a:cs typeface="+mn-cs"/>
            </a:rPr>
            <a:t>, en metales inoxidables</a:t>
          </a:r>
          <a:r>
            <a:rPr lang="es-CO" sz="1100" b="0" i="0" baseline="30000">
              <a:solidFill>
                <a:schemeClr val="tx1"/>
              </a:solidFill>
              <a:effectLst/>
              <a:latin typeface="+mn-lt"/>
              <a:ea typeface="+mn-ea"/>
              <a:cs typeface="+mn-cs"/>
            </a:rPr>
            <a:t>[</a:t>
          </a:r>
          <a:r>
            <a:rPr lang="es-CO" sz="1100" b="0" i="1" u="none" strike="noStrike" baseline="30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cita requerida</a:t>
          </a:r>
          <a:r>
            <a:rPr lang="es-CO" sz="1100" b="0" i="0" baseline="30000">
              <a:solidFill>
                <a:schemeClr val="tx1"/>
              </a:solidFill>
              <a:effectLst/>
              <a:latin typeface="+mn-lt"/>
              <a:ea typeface="+mn-ea"/>
              <a:cs typeface="+mn-cs"/>
            </a:rPr>
            <a:t>]</a:t>
          </a:r>
          <a:r>
            <a:rPr lang="es-CO" sz="1100" b="0" i="0">
              <a:solidFill>
                <a:schemeClr val="tx1"/>
              </a:solidFill>
              <a:effectLst/>
              <a:latin typeface="+mn-lt"/>
              <a:ea typeface="+mn-ea"/>
              <a:cs typeface="+mn-cs"/>
            </a:rPr>
            <a:t> y para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fosfatos</a:t>
          </a:r>
          <a:r>
            <a:rPr lang="es-CO" sz="1100" b="0" i="0">
              <a:solidFill>
                <a:schemeClr val="tx1"/>
              </a:solidFill>
              <a:effectLst/>
              <a:latin typeface="+mn-lt"/>
              <a:ea typeface="+mn-ea"/>
              <a:cs typeface="+mn-cs"/>
            </a:rPr>
            <a:t> que se utilizan como ablandadores de agua,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fertilizantes</a:t>
          </a:r>
          <a:r>
            <a:rPr lang="es-CO" sz="1100" b="0" i="0">
              <a:solidFill>
                <a:schemeClr val="tx1"/>
              </a:solidFill>
              <a:effectLst/>
              <a:latin typeface="+mn-lt"/>
              <a:ea typeface="+mn-ea"/>
              <a:cs typeface="+mn-cs"/>
            </a:rPr>
            <a:t> y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detergentes</a:t>
          </a:r>
          <a:r>
            <a:rPr lang="es-CO" sz="1100" b="0" i="0">
              <a:solidFill>
                <a:schemeClr val="tx1"/>
              </a:solidFill>
              <a:effectLst/>
              <a:latin typeface="+mn-lt"/>
              <a:ea typeface="+mn-ea"/>
              <a:cs typeface="+mn-cs"/>
            </a:rPr>
            <a:t>. Muy utilizado en laboratorios químicos en la preparación de disoluciones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tampón</a:t>
          </a:r>
          <a:r>
            <a:rPr lang="es-CO" sz="1100" b="0" i="0">
              <a:solidFill>
                <a:schemeClr val="tx1"/>
              </a:solidFill>
              <a:effectLst/>
              <a:latin typeface="+mn-lt"/>
              <a:ea typeface="+mn-ea"/>
              <a:cs typeface="+mn-cs"/>
            </a:rPr>
            <a:t> o reguladoras del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pH</a:t>
          </a:r>
          <a:r>
            <a:rPr lang="es-CO" sz="1100" b="0" i="0">
              <a:solidFill>
                <a:schemeClr val="tx1"/>
              </a:solidFill>
              <a:effectLst/>
              <a:latin typeface="+mn-lt"/>
              <a:ea typeface="+mn-ea"/>
              <a:cs typeface="+mn-cs"/>
            </a:rPr>
            <a:t>.</a:t>
          </a:r>
        </a:p>
        <a:p>
          <a:endParaRPr lang="es-CO" sz="1100"/>
        </a:p>
      </xdr:txBody>
    </xdr:sp>
    <xdr:clientData/>
  </xdr:twoCellAnchor>
  <xdr:twoCellAnchor>
    <xdr:from>
      <xdr:col>8</xdr:col>
      <xdr:colOff>419100</xdr:colOff>
      <xdr:row>8</xdr:row>
      <xdr:rowOff>57150</xdr:rowOff>
    </xdr:from>
    <xdr:to>
      <xdr:col>12</xdr:col>
      <xdr:colOff>800100</xdr:colOff>
      <xdr:row>36</xdr:row>
      <xdr:rowOff>0</xdr:rowOff>
    </xdr:to>
    <xdr:sp macro="" textlink="">
      <xdr:nvSpPr>
        <xdr:cNvPr id="9" name="TxtNonil10" hidden="1">
          <a:extLst>
            <a:ext uri="{FF2B5EF4-FFF2-40B4-BE49-F238E27FC236}">
              <a16:creationId xmlns:a16="http://schemas.microsoft.com/office/drawing/2014/main" id="{C03B3C19-1D42-4B17-BB77-9D97A6701E96}"/>
            </a:ext>
          </a:extLst>
        </xdr:cNvPr>
        <xdr:cNvSpPr txBox="1"/>
      </xdr:nvSpPr>
      <xdr:spPr>
        <a:xfrm>
          <a:off x="7400925" y="1733550"/>
          <a:ext cx="4752975" cy="5276850"/>
        </a:xfrm>
        <a:prstGeom prst="rect">
          <a:avLst/>
        </a:prstGeom>
        <a:ln/>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bg1"/>
              </a:solidFill>
              <a:effectLst/>
              <a:latin typeface="+mn-lt"/>
              <a:ea typeface="+mn-ea"/>
              <a:cs typeface="+mn-cs"/>
            </a:rPr>
            <a:t>Nonilfenol</a:t>
          </a:r>
          <a:r>
            <a:rPr lang="es-ES" sz="1100" b="1" i="0" u="sng" baseline="0">
              <a:solidFill>
                <a:schemeClr val="bg1"/>
              </a:solidFill>
              <a:effectLst/>
              <a:latin typeface="+mn-lt"/>
              <a:ea typeface="+mn-ea"/>
              <a:cs typeface="+mn-cs"/>
            </a:rPr>
            <a:t> Etoxilado 10 moles</a:t>
          </a:r>
          <a:endParaRPr lang="es-ES" sz="1100" b="1" i="0" u="sng">
            <a:solidFill>
              <a:schemeClr val="bg1"/>
            </a:solidFill>
            <a:effectLst/>
            <a:latin typeface="+mn-lt"/>
            <a:ea typeface="+mn-ea"/>
            <a:cs typeface="+mn-cs"/>
          </a:endParaRPr>
        </a:p>
        <a:p>
          <a:r>
            <a:rPr lang="es-CO" sz="1100" b="0" i="0">
              <a:solidFill>
                <a:schemeClr val="bg1"/>
              </a:solidFill>
              <a:effectLst/>
              <a:latin typeface="+mn-lt"/>
              <a:ea typeface="+mn-ea"/>
              <a:cs typeface="+mn-cs"/>
            </a:rPr>
            <a:t>Los </a:t>
          </a:r>
          <a:r>
            <a:rPr lang="es-CO" sz="1100" b="1" i="0">
              <a:solidFill>
                <a:schemeClr val="bg1"/>
              </a:solidFill>
              <a:effectLst/>
              <a:latin typeface="+mn-lt"/>
              <a:ea typeface="+mn-ea"/>
              <a:cs typeface="+mn-cs"/>
            </a:rPr>
            <a:t>nonilfenoles</a:t>
          </a:r>
          <a:r>
            <a:rPr lang="es-CO" sz="1100" b="0" i="0">
              <a:solidFill>
                <a:schemeClr val="bg1"/>
              </a:solidFill>
              <a:effectLst/>
              <a:latin typeface="+mn-lt"/>
              <a:ea typeface="+mn-ea"/>
              <a:cs typeface="+mn-cs"/>
            </a:rPr>
            <a:t> son una familia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compuestos orgánicos</a:t>
          </a:r>
          <a:r>
            <a:rPr lang="es-CO" sz="1100" b="0" i="0">
              <a:solidFill>
                <a:schemeClr val="bg1"/>
              </a:solidFill>
              <a:effectLst/>
              <a:latin typeface="+mn-lt"/>
              <a:ea typeface="+mn-ea"/>
              <a:cs typeface="+mn-cs"/>
            </a:rPr>
            <a:t> relacionados con la familia de los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alquilfenoles</a:t>
          </a:r>
          <a:r>
            <a:rPr lang="es-CO" sz="1100" b="0" i="0">
              <a:solidFill>
                <a:schemeClr val="bg1"/>
              </a:solidFill>
              <a:effectLst/>
              <a:latin typeface="+mn-lt"/>
              <a:ea typeface="+mn-ea"/>
              <a:cs typeface="+mn-cs"/>
            </a:rPr>
            <a:t>, preparados químicos no halogenados manufacturados casi exclusivamente para producir etoxilatos de alquilfenol, un grupo de surfactantes no iónicos. Los etoxilatos de alquilfenol más utilizados son los etoxilatos de nonilfenol (NPE) y, en menor grado, el octilfenol. Una vez emitidos al medio ambiente, los etoxilatos de alquilfenol pueden degradarse de nuevo a alquilfenol, que es persistente, bioacumulable y tóxico para la vida acuática. Estas sustancias químicas también son conocidas como disruptores endocrinos ,compuestos  exógenos que, a bajas concentraciones, promueven cambios en una o más funciones del sistema endocrino y su estructura provocando efectos adversos sobre su propio organismo o descendencia. Esta serie de sustancias son ingredientes comunes en numerosos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detergentes</a:t>
          </a:r>
          <a:r>
            <a:rPr lang="es-CO" sz="1100" b="0" i="0">
              <a:solidFill>
                <a:schemeClr val="bg1"/>
              </a:solidFill>
              <a:effectLst/>
              <a:latin typeface="+mn-lt"/>
              <a:ea typeface="+mn-ea"/>
              <a:cs typeface="+mn-cs"/>
            </a:rPr>
            <a:t>, aunque la legislación europea​ los ha prohibido recientemente debido a su impacto sobre el medio ambiente y la salud humana. La característica química de los nonilfenoles es su estructura compuesta de un fenol. Estructuralmente los nonifenoles están constituidos por un fenol, parte polar, unido a una cadena alquílica de entre 9 y 12 átomos de carbono, parte apolar. Así, la capacidad de solubilizarse en agua estará determinada por el tamaño de la  cadena carbonada siendo mayor a medida que disminuye la longitud de dicha cadena así como el número de ramificaciones. Al mismo tiempo que disminuye su solubilidad en agua , aumenta en solventes orgánicos.</a:t>
          </a:r>
        </a:p>
        <a:p>
          <a:r>
            <a:rPr lang="es-CO" sz="1100" b="0" i="0">
              <a:solidFill>
                <a:schemeClr val="bg1"/>
              </a:solidFill>
              <a:effectLst/>
              <a:latin typeface="+mn-lt"/>
              <a:ea typeface="+mn-ea"/>
              <a:cs typeface="+mn-cs"/>
            </a:rPr>
            <a:t>Los nonilfenoles son usados principalmente en la fabricación de productos de limpieza como detergentes y, en menor medida, para otras aplicaciones como, por ejemplo, pesticidas, resinas, compuestos auxiliares en minería etc. También se usa en la producción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etoxilatos de nonilfenol</a:t>
          </a:r>
          <a:r>
            <a:rPr lang="es-CO" sz="1100" b="0" i="0">
              <a:solidFill>
                <a:schemeClr val="bg1"/>
              </a:solidFill>
              <a:effectLst/>
              <a:latin typeface="+mn-lt"/>
              <a:ea typeface="+mn-ea"/>
              <a:cs typeface="+mn-cs"/>
            </a:rPr>
            <a:t> 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nonoxinoles</a:t>
          </a:r>
          <a:r>
            <a:rPr lang="es-CO" sz="1100" b="0" i="0">
              <a:solidFill>
                <a:schemeClr val="bg1"/>
              </a:solidFill>
              <a:effectLst/>
              <a:latin typeface="+mn-lt"/>
              <a:ea typeface="+mn-ea"/>
              <a:cs typeface="+mn-cs"/>
            </a:rPr>
            <a:t> que son frecuentemente utilizados como productos de limpieza de numerosos procedimientos industriales, para producción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pasta de papel</a:t>
          </a:r>
          <a:r>
            <a:rPr lang="es-CO" sz="1100" b="0" i="0">
              <a:solidFill>
                <a:schemeClr val="bg1"/>
              </a:solidFill>
              <a:effectLst/>
              <a:latin typeface="+mn-lt"/>
              <a:ea typeface="+mn-ea"/>
              <a:cs typeface="+mn-cs"/>
            </a:rPr>
            <a:t>, textiles naturales y sintéticos, cuero, aditivos de pinturas de látex y de determinados plaguicidas</a:t>
          </a:r>
          <a:endParaRPr lang="es-CO" sz="1100">
            <a:solidFill>
              <a:schemeClr val="bg1"/>
            </a:solidFill>
          </a:endParaRPr>
        </a:p>
      </xdr:txBody>
    </xdr:sp>
    <xdr:clientData/>
  </xdr:twoCellAnchor>
  <xdr:twoCellAnchor>
    <xdr:from>
      <xdr:col>8</xdr:col>
      <xdr:colOff>476250</xdr:colOff>
      <xdr:row>8</xdr:row>
      <xdr:rowOff>47624</xdr:rowOff>
    </xdr:from>
    <xdr:to>
      <xdr:col>12</xdr:col>
      <xdr:colOff>857250</xdr:colOff>
      <xdr:row>41</xdr:row>
      <xdr:rowOff>57150</xdr:rowOff>
    </xdr:to>
    <xdr:sp macro="" textlink="">
      <xdr:nvSpPr>
        <xdr:cNvPr id="11" name="TxtBicarbonato">
          <a:extLst>
            <a:ext uri="{FF2B5EF4-FFF2-40B4-BE49-F238E27FC236}">
              <a16:creationId xmlns:a16="http://schemas.microsoft.com/office/drawing/2014/main" id="{576A2D5B-F378-4AAF-8813-D1C9426BCC4E}"/>
            </a:ext>
          </a:extLst>
        </xdr:cNvPr>
        <xdr:cNvSpPr txBox="1"/>
      </xdr:nvSpPr>
      <xdr:spPr>
        <a:xfrm>
          <a:off x="7458075" y="1724024"/>
          <a:ext cx="4752975" cy="6296026"/>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dk1"/>
              </a:solidFill>
              <a:effectLst/>
              <a:latin typeface="+mn-lt"/>
              <a:ea typeface="+mn-ea"/>
              <a:cs typeface="+mn-cs"/>
            </a:rPr>
            <a:t>Bicarbonato de sodio</a:t>
          </a:r>
        </a:p>
        <a:p>
          <a:r>
            <a:rPr lang="es-CO" sz="1100" b="0" i="0">
              <a:solidFill>
                <a:schemeClr val="tx1"/>
              </a:solidFill>
              <a:effectLst/>
              <a:latin typeface="+mn-lt"/>
              <a:ea typeface="+mn-ea"/>
              <a:cs typeface="+mn-cs"/>
            </a:rPr>
            <a:t>El </a:t>
          </a:r>
          <a:r>
            <a:rPr lang="es-CO" sz="1100" b="1" i="0">
              <a:solidFill>
                <a:schemeClr val="tx1"/>
              </a:solidFill>
              <a:effectLst/>
              <a:latin typeface="+mn-lt"/>
              <a:ea typeface="+mn-ea"/>
              <a:cs typeface="+mn-cs"/>
            </a:rPr>
            <a:t>bicarbonato de sodio</a:t>
          </a:r>
          <a:r>
            <a:rPr lang="es-CO" sz="1100" b="0" i="0">
              <a:solidFill>
                <a:schemeClr val="tx1"/>
              </a:solidFill>
              <a:effectLst/>
              <a:latin typeface="+mn-lt"/>
              <a:ea typeface="+mn-ea"/>
              <a:cs typeface="+mn-cs"/>
            </a:rPr>
            <a:t> (tambiénllamado </a:t>
          </a:r>
          <a:r>
            <a:rPr lang="es-CO" sz="1100" b="1" i="0">
              <a:solidFill>
                <a:schemeClr val="tx1"/>
              </a:solidFill>
              <a:effectLst/>
              <a:latin typeface="+mn-lt"/>
              <a:ea typeface="+mn-ea"/>
              <a:cs typeface="+mn-cs"/>
            </a:rPr>
            <a:t>bicarbonatosódico</a:t>
          </a:r>
          <a:r>
            <a:rPr lang="es-CO" sz="1100" b="0" i="0">
              <a:solidFill>
                <a:schemeClr val="tx1"/>
              </a:solidFill>
              <a:effectLst/>
              <a:latin typeface="+mn-lt"/>
              <a:ea typeface="+mn-ea"/>
              <a:cs typeface="+mn-cs"/>
            </a:rPr>
            <a:t>, </a:t>
          </a:r>
          <a:r>
            <a:rPr lang="es-CO" sz="1100" b="1" i="0">
              <a:solidFill>
                <a:schemeClr val="tx1"/>
              </a:solidFill>
              <a:effectLst/>
              <a:latin typeface="+mn-lt"/>
              <a:ea typeface="+mn-ea"/>
              <a:cs typeface="+mn-cs"/>
            </a:rPr>
            <a:t>hidrogenocarbonato de sodio</a:t>
          </a:r>
          <a:r>
            <a:rPr lang="es-CO" sz="1100" b="0" i="0">
              <a:solidFill>
                <a:schemeClr val="tx1"/>
              </a:solidFill>
              <a:effectLst/>
              <a:latin typeface="+mn-lt"/>
              <a:ea typeface="+mn-ea"/>
              <a:cs typeface="+mn-cs"/>
            </a:rPr>
            <a:t>, </a:t>
          </a:r>
          <a:r>
            <a:rPr lang="es-CO" sz="1100" b="1" i="0">
              <a:solidFill>
                <a:schemeClr val="tx1"/>
              </a:solidFill>
              <a:effectLst/>
              <a:latin typeface="+mn-lt"/>
              <a:ea typeface="+mn-ea"/>
              <a:cs typeface="+mn-cs"/>
            </a:rPr>
            <a:t>carbonato ácido de sodio</a:t>
          </a:r>
          <a:r>
            <a:rPr lang="es-CO" sz="1100" b="0" i="0">
              <a:solidFill>
                <a:schemeClr val="tx1"/>
              </a:solidFill>
              <a:effectLst/>
              <a:latin typeface="+mn-lt"/>
              <a:ea typeface="+mn-ea"/>
              <a:cs typeface="+mn-cs"/>
            </a:rPr>
            <a:t> o </a:t>
          </a:r>
          <a:r>
            <a:rPr lang="es-CO" sz="1100" b="1" i="0">
              <a:solidFill>
                <a:schemeClr val="tx1"/>
              </a:solidFill>
              <a:effectLst/>
              <a:latin typeface="+mn-lt"/>
              <a:ea typeface="+mn-ea"/>
              <a:cs typeface="+mn-cs"/>
            </a:rPr>
            <a:t>bicarbonato de soda</a:t>
          </a:r>
          <a:r>
            <a:rPr lang="es-CO" sz="1100" b="0" i="0">
              <a:solidFill>
                <a:schemeClr val="tx1"/>
              </a:solidFill>
              <a:effectLst/>
              <a:latin typeface="+mn-lt"/>
              <a:ea typeface="+mn-ea"/>
              <a:cs typeface="+mn-cs"/>
            </a:rPr>
            <a:t>) es un compuesto sólido cristalino de color blanco soluble 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agua</a:t>
          </a:r>
          <a:r>
            <a:rPr lang="es-CO" sz="1100" b="0" i="0">
              <a:solidFill>
                <a:schemeClr val="tx1"/>
              </a:solidFill>
              <a:effectLst/>
              <a:latin typeface="+mn-lt"/>
              <a:ea typeface="+mn-ea"/>
              <a:cs typeface="+mn-cs"/>
            </a:rPr>
            <a:t>, con un ligero sabor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alcalino</a:t>
          </a:r>
          <a:r>
            <a:rPr lang="es-CO" sz="1100" b="0" i="0">
              <a:solidFill>
                <a:schemeClr val="tx1"/>
              </a:solidFill>
              <a:effectLst/>
              <a:latin typeface="+mn-lt"/>
              <a:ea typeface="+mn-ea"/>
              <a:cs typeface="+mn-cs"/>
            </a:rPr>
            <a:t> parecido al del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carbonato de sodio</a:t>
          </a:r>
          <a:r>
            <a:rPr lang="es-CO" sz="1100" b="0" i="0">
              <a:solidFill>
                <a:schemeClr val="tx1"/>
              </a:solidFill>
              <a:effectLst/>
              <a:latin typeface="+mn-lt"/>
              <a:ea typeface="+mn-ea"/>
              <a:cs typeface="+mn-cs"/>
            </a:rPr>
            <a:t> (aunque menos fuerte y más salado que este último), de fórmula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NaHCO</a:t>
          </a:r>
          <a:r>
            <a:rPr lang="es-CO" sz="1100" b="0" i="0" u="none" strike="noStrike" baseline="-25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3</a:t>
          </a:r>
          <a:r>
            <a:rPr lang="es-CO" sz="1100" b="0" i="0">
              <a:solidFill>
                <a:schemeClr val="tx1"/>
              </a:solidFill>
              <a:effectLst/>
              <a:latin typeface="+mn-lt"/>
              <a:ea typeface="+mn-ea"/>
              <a:cs typeface="+mn-cs"/>
            </a:rPr>
            <a:t>. Se puede encontrar como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mineral</a:t>
          </a:r>
          <a:r>
            <a:rPr lang="es-CO" sz="1100" b="0" i="0">
              <a:solidFill>
                <a:schemeClr val="tx1"/>
              </a:solidFill>
              <a:effectLst/>
              <a:latin typeface="+mn-lt"/>
              <a:ea typeface="+mn-ea"/>
              <a:cs typeface="+mn-cs"/>
            </a:rPr>
            <a:t> en la naturaleza o se puede producir artificialmente.</a:t>
          </a:r>
          <a:r>
            <a:rPr lang="es-CO" sz="1100" b="0" i="0" u="none" strike="noStrike" baseline="30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4</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Cuando se expone a un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a:t>
          </a:r>
          <a:r>
            <a:rPr lang="es-CO" sz="1100" b="0" i="0">
              <a:solidFill>
                <a:schemeClr val="tx1"/>
              </a:solidFill>
              <a:effectLst/>
              <a:latin typeface="+mn-lt"/>
              <a:ea typeface="+mn-ea"/>
              <a:cs typeface="+mn-cs"/>
            </a:rPr>
            <a:t> moderadamente fuerte se descompone 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dióxido de carbono</a:t>
          </a:r>
          <a:r>
            <a:rPr lang="es-CO" sz="1100" b="0" i="0">
              <a:solidFill>
                <a:schemeClr val="tx1"/>
              </a:solidFill>
              <a:effectLst/>
              <a:latin typeface="+mn-lt"/>
              <a:ea typeface="+mn-ea"/>
              <a:cs typeface="+mn-cs"/>
            </a:rPr>
            <a:t> y agua produciendo una característica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efervescencia</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Aplicaciones[</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editar</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El bicarbonato de sodio se usa principalmente en alimentación, 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repostería</a:t>
          </a:r>
          <a:r>
            <a:rPr lang="es-CO" sz="1100" b="0" i="0">
              <a:solidFill>
                <a:schemeClr val="tx1"/>
              </a:solidFill>
              <a:effectLst/>
              <a:latin typeface="+mn-lt"/>
              <a:ea typeface="+mn-ea"/>
              <a:cs typeface="+mn-cs"/>
            </a:rPr>
            <a:t>, donde reacciona con otros componentes para liberar CO</a:t>
          </a:r>
          <a:r>
            <a:rPr lang="es-CO" sz="1100" b="0" i="0" baseline="-25000">
              <a:solidFill>
                <a:schemeClr val="tx1"/>
              </a:solidFill>
              <a:effectLst/>
              <a:latin typeface="+mn-lt"/>
              <a:ea typeface="+mn-ea"/>
              <a:cs typeface="+mn-cs"/>
            </a:rPr>
            <a:t>2</a:t>
          </a:r>
          <a:r>
            <a:rPr lang="es-CO" sz="1100" b="0" i="0">
              <a:solidFill>
                <a:schemeClr val="tx1"/>
              </a:solidFill>
              <a:effectLst/>
              <a:latin typeface="+mn-lt"/>
              <a:ea typeface="+mn-ea"/>
              <a:cs typeface="+mn-cs"/>
            </a:rPr>
            <a:t>, que ayuda a la masa a elevarse, dándole volumen y sabor. Los compuestos ácidos que inducen esta reacción incluyen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bitartrato de potasio</a:t>
          </a:r>
          <a:r>
            <a:rPr lang="es-CO" sz="1100" b="0" i="0">
              <a:solidFill>
                <a:schemeClr val="tx1"/>
              </a:solidFill>
              <a:effectLst/>
              <a:latin typeface="+mn-lt"/>
              <a:ea typeface="+mn-ea"/>
              <a:cs typeface="+mn-cs"/>
            </a:rPr>
            <a:t> (también conocido como </a:t>
          </a:r>
          <a:r>
            <a:rPr lang="es-CO" sz="1100" b="0" i="1">
              <a:solidFill>
                <a:schemeClr val="tx1"/>
              </a:solidFill>
              <a:effectLst/>
              <a:latin typeface="+mn-lt"/>
              <a:ea typeface="+mn-ea"/>
              <a:cs typeface="+mn-cs"/>
            </a:rPr>
            <a:t>crémor tártaro</a:t>
          </a:r>
          <a:r>
            <a:rPr lang="es-CO" sz="1100" b="0" i="0">
              <a:solidFill>
                <a:schemeClr val="tx1"/>
              </a:solidFill>
              <a:effectLst/>
              <a:latin typeface="+mn-lt"/>
              <a:ea typeface="+mn-ea"/>
              <a:cs typeface="+mn-cs"/>
            </a:rPr>
            <a:t>), zumo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limón</a:t>
          </a:r>
          <a:r>
            <a:rPr lang="es-CO" sz="1100" b="0" i="0">
              <a:solidFill>
                <a:schemeClr val="tx1"/>
              </a:solidFill>
              <a:effectLst/>
              <a:latin typeface="+mn-lt"/>
              <a:ea typeface="+mn-ea"/>
              <a:cs typeface="+mn-cs"/>
            </a:rPr>
            <a:t> (ácido cítrico-citratos),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yogur</a:t>
          </a:r>
          <a:r>
            <a:rPr lang="es-CO" sz="1100" b="0" i="0">
              <a:solidFill>
                <a:schemeClr val="tx1"/>
              </a:solidFill>
              <a:effectLst/>
              <a:latin typeface="+mn-lt"/>
              <a:ea typeface="+mn-ea"/>
              <a:cs typeface="+mn-cs"/>
            </a:rPr>
            <a:t> (ácido láctico-lactatos) y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acético</a:t>
          </a:r>
          <a:r>
            <a:rPr lang="es-CO" sz="1100" b="0" i="0">
              <a:solidFill>
                <a:schemeClr val="tx1"/>
              </a:solidFill>
              <a:effectLst/>
              <a:latin typeface="+mn-lt"/>
              <a:ea typeface="+mn-ea"/>
              <a:cs typeface="+mn-cs"/>
            </a:rPr>
            <a:t> (vinagre).</a:t>
          </a:r>
        </a:p>
        <a:p>
          <a:br>
            <a:rPr lang="es-CO" sz="1100" b="0" i="0">
              <a:solidFill>
                <a:schemeClr val="tx1"/>
              </a:solidFill>
              <a:effectLst/>
              <a:latin typeface="+mn-lt"/>
              <a:ea typeface="+mn-ea"/>
              <a:cs typeface="+mn-cs"/>
            </a:rPr>
          </a:br>
          <a:r>
            <a:rPr lang="es-CO" sz="1100" b="0" i="0">
              <a:solidFill>
                <a:schemeClr val="tx1"/>
              </a:solidFill>
              <a:effectLst/>
              <a:latin typeface="+mn-lt"/>
              <a:ea typeface="+mn-ea"/>
              <a:cs typeface="+mn-cs"/>
            </a:rPr>
            <a:t>En el ámbito médico, es usado en el tratamiento de hiperacidez gástrica,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acidosis metabólica</a:t>
          </a:r>
          <a:r>
            <a:rPr lang="es-CO" sz="1100" b="0" i="0">
              <a:solidFill>
                <a:schemeClr val="tx1"/>
              </a:solidFill>
              <a:effectLst/>
              <a:latin typeface="+mn-lt"/>
              <a:ea typeface="+mn-ea"/>
              <a:cs typeface="+mn-cs"/>
            </a:rPr>
            <a:t>, y como alcalinizante urinario. También es posible usarlo en caso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quemaduras</a:t>
          </a:r>
          <a:r>
            <a:rPr lang="es-CO" sz="1100" b="0" i="0">
              <a:solidFill>
                <a:schemeClr val="tx1"/>
              </a:solidFill>
              <a:effectLst/>
              <a:latin typeface="+mn-lt"/>
              <a:ea typeface="+mn-ea"/>
              <a:cs typeface="+mn-cs"/>
            </a:rPr>
            <a:t> por ácidos, ya que los neutraliza por su carácter alcalino.</a:t>
          </a:r>
        </a:p>
        <a:p>
          <a:r>
            <a:rPr lang="es-CO" sz="1100" b="1" i="0">
              <a:solidFill>
                <a:schemeClr val="tx1"/>
              </a:solidFill>
              <a:effectLst/>
              <a:latin typeface="+mn-lt"/>
              <a:ea typeface="+mn-ea"/>
              <a:cs typeface="+mn-cs"/>
            </a:rPr>
            <a:t>Uso medicinal, doméstico y cosmético</a:t>
          </a:r>
          <a:r>
            <a:rPr lang="es-CO" sz="1100" b="0" i="0">
              <a:solidFill>
                <a:schemeClr val="tx1"/>
              </a:solidFill>
              <a:effectLst/>
              <a:latin typeface="+mn-lt"/>
              <a:ea typeface="+mn-ea"/>
              <a:cs typeface="+mn-cs"/>
            </a:rPr>
            <a:t>[</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editar</a:t>
          </a:r>
          <a:r>
            <a:rPr lang="es-CO" sz="1100" b="0" i="0">
              <a:solidFill>
                <a:schemeClr val="tx1"/>
              </a:solidFill>
              <a:effectLst/>
              <a:latin typeface="+mn-lt"/>
              <a:ea typeface="+mn-ea"/>
              <a:cs typeface="+mn-cs"/>
            </a:rPr>
            <a:t>]</a:t>
          </a:r>
          <a:endParaRPr lang="es-CO" sz="1100" b="1" i="0">
            <a:solidFill>
              <a:schemeClr val="tx1"/>
            </a:solidFill>
            <a:effectLst/>
            <a:latin typeface="+mn-lt"/>
            <a:ea typeface="+mn-ea"/>
            <a:cs typeface="+mn-cs"/>
          </a:endParaRPr>
        </a:p>
        <a:p>
          <a:r>
            <a:rPr lang="es-CO" sz="1100" b="0" i="0">
              <a:solidFill>
                <a:schemeClr val="tx1"/>
              </a:solidFill>
              <a:effectLst/>
              <a:latin typeface="+mn-lt"/>
              <a:ea typeface="+mn-ea"/>
              <a:cs typeface="+mn-cs"/>
            </a:rPr>
            <a:t>El bicarbonato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sodio</a:t>
          </a:r>
          <a:r>
            <a:rPr lang="es-CO" sz="1100" b="0" i="0">
              <a:solidFill>
                <a:schemeClr val="tx1"/>
              </a:solidFill>
              <a:effectLst/>
              <a:latin typeface="+mn-lt"/>
              <a:ea typeface="+mn-ea"/>
              <a:cs typeface="+mn-cs"/>
            </a:rPr>
            <a:t> es un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antiácido</a:t>
          </a:r>
          <a:r>
            <a:rPr lang="es-CO" sz="1100" b="0" i="0">
              <a:solidFill>
                <a:schemeClr val="tx1"/>
              </a:solidFill>
              <a:effectLst/>
              <a:latin typeface="+mn-lt"/>
              <a:ea typeface="+mn-ea"/>
              <a:cs typeface="+mn-cs"/>
            </a:rPr>
            <a:t> usado para aliviar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pirosis</a:t>
          </a:r>
          <a:r>
            <a:rPr lang="es-CO" sz="1100" b="0" i="0">
              <a:solidFill>
                <a:schemeClr val="tx1"/>
              </a:solidFill>
              <a:effectLst/>
              <a:latin typeface="+mn-lt"/>
              <a:ea typeface="+mn-ea"/>
              <a:cs typeface="+mn-cs"/>
            </a:rPr>
            <a:t> (acidez estomacal) y la indigestión ácida.</a:t>
          </a:r>
          <a:r>
            <a:rPr lang="es-CO" sz="1100" b="0" i="0" u="none" strike="noStrike" baseline="30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5</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El bicarbonato de sodio se utiliza en el </a:t>
          </a:r>
          <a:r>
            <a:rPr lang="es-CO" sz="1100" b="0" i="1"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coqueo</a:t>
          </a:r>
          <a:r>
            <a:rPr lang="es-CO" sz="1100" b="0" i="0">
              <a:solidFill>
                <a:schemeClr val="tx1"/>
              </a:solidFill>
              <a:effectLst/>
              <a:latin typeface="+mn-lt"/>
              <a:ea typeface="+mn-ea"/>
              <a:cs typeface="+mn-cs"/>
            </a:rPr>
            <a:t> como un agente alcalinizante que actúa en combinación con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saliva</a:t>
          </a:r>
          <a:r>
            <a:rPr lang="es-CO" sz="1100" b="0" i="0">
              <a:solidFill>
                <a:schemeClr val="tx1"/>
              </a:solidFill>
              <a:effectLst/>
              <a:latin typeface="+mn-lt"/>
              <a:ea typeface="+mn-ea"/>
              <a:cs typeface="+mn-cs"/>
            </a:rPr>
            <a:t>. La extracción de los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metabolitos</a:t>
          </a:r>
          <a:r>
            <a:rPr lang="es-CO" sz="1100" b="0" i="0">
              <a:solidFill>
                <a:schemeClr val="tx1"/>
              </a:solidFill>
              <a:effectLst/>
              <a:latin typeface="+mn-lt"/>
              <a:ea typeface="+mn-ea"/>
              <a:cs typeface="+mn-cs"/>
            </a:rPr>
            <a:t> de la hoja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coca</a:t>
          </a:r>
          <a:r>
            <a:rPr lang="es-CO" sz="1100" b="0" i="0">
              <a:solidFill>
                <a:schemeClr val="tx1"/>
              </a:solidFill>
              <a:effectLst/>
              <a:latin typeface="+mn-lt"/>
              <a:ea typeface="+mn-ea"/>
              <a:cs typeface="+mn-cs"/>
            </a:rPr>
            <a:t> se suaviza y de esa manera el coqueo se hace un proceso placentero y duradero en contraposición si no se usara el bicarbonato de sodio. El bicarbonato de sodio es a la coca lo que 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azúcar</a:t>
          </a:r>
          <a:r>
            <a:rPr lang="es-CO" sz="1100" b="0" i="0">
              <a:solidFill>
                <a:schemeClr val="tx1"/>
              </a:solidFill>
              <a:effectLst/>
              <a:latin typeface="+mn-lt"/>
              <a:ea typeface="+mn-ea"/>
              <a:cs typeface="+mn-cs"/>
            </a:rPr>
            <a:t> al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café</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Para la limpieza doméstica se usa por su poder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abrasivo</a:t>
          </a:r>
          <a:r>
            <a:rPr lang="es-CO" sz="1100" b="0" i="0">
              <a:solidFill>
                <a:schemeClr val="tx1"/>
              </a:solidFill>
              <a:effectLst/>
              <a:latin typeface="+mn-lt"/>
              <a:ea typeface="+mn-ea"/>
              <a:cs typeface="+mn-cs"/>
            </a:rPr>
            <a:t> y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desodorizante</a:t>
          </a:r>
          <a:r>
            <a:rPr lang="es-CO" sz="1100" b="0" i="0">
              <a:solidFill>
                <a:schemeClr val="tx1"/>
              </a:solidFill>
              <a:effectLst/>
              <a:latin typeface="+mn-lt"/>
              <a:ea typeface="+mn-ea"/>
              <a:cs typeface="+mn-cs"/>
            </a:rPr>
            <a:t> (por ejemplo, para quitar el olor "a nuevo" de las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neveras</a:t>
          </a:r>
          <a:r>
            <a:rPr lang="es-CO" sz="1100" b="0" i="0">
              <a:solidFill>
                <a:schemeClr val="tx1"/>
              </a:solidFill>
              <a:effectLst/>
              <a:latin typeface="+mn-lt"/>
              <a:ea typeface="+mn-ea"/>
              <a:cs typeface="+mn-cs"/>
            </a:rPr>
            <a:t>). Frotando con un paño y bicarbonato se limpia también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plata</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Es ampliamente usado en cosmética natural, tanto como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desodorante</a:t>
          </a:r>
          <a:r>
            <a:rPr lang="es-CO" sz="1100" b="0" i="0">
              <a:solidFill>
                <a:schemeClr val="tx1"/>
              </a:solidFill>
              <a:effectLst/>
              <a:latin typeface="+mn-lt"/>
              <a:ea typeface="+mn-ea"/>
              <a:cs typeface="+mn-cs"/>
            </a:rPr>
            <a:t> (se frota en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axila</a:t>
          </a:r>
          <a:r>
            <a:rPr lang="es-CO" sz="1100" b="0" i="0">
              <a:solidFill>
                <a:schemeClr val="tx1"/>
              </a:solidFill>
              <a:effectLst/>
              <a:latin typeface="+mn-lt"/>
              <a:ea typeface="+mn-ea"/>
              <a:cs typeface="+mn-cs"/>
            </a:rPr>
            <a:t> húmeda) como sustituto del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champú</a:t>
          </a:r>
          <a:r>
            <a:rPr lang="es-CO" sz="1100" b="0" i="0">
              <a:solidFill>
                <a:schemeClr val="tx1"/>
              </a:solidFill>
              <a:effectLst/>
              <a:latin typeface="+mn-lt"/>
              <a:ea typeface="+mn-ea"/>
              <a:cs typeface="+mn-cs"/>
            </a:rPr>
            <a:t>. Es también desodorante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pies</a:t>
          </a:r>
          <a:r>
            <a:rPr lang="es-CO" sz="1100" b="0" i="0">
              <a:solidFill>
                <a:schemeClr val="tx1"/>
              </a:solidFill>
              <a:effectLst/>
              <a:latin typeface="+mn-lt"/>
              <a:ea typeface="+mn-ea"/>
              <a:cs typeface="+mn-cs"/>
            </a:rPr>
            <a:t> —en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China</a:t>
          </a:r>
          <a:r>
            <a:rPr lang="es-CO" sz="1100" b="0" i="0">
              <a:solidFill>
                <a:schemeClr val="tx1"/>
              </a:solidFill>
              <a:effectLst/>
              <a:latin typeface="+mn-lt"/>
              <a:ea typeface="+mn-ea"/>
              <a:cs typeface="+mn-cs"/>
            </a:rPr>
            <a:t> se usa para lavarse los pies—. Se usa además como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blanqueador dental</a:t>
          </a:r>
          <a:r>
            <a:rPr lang="es-CO" sz="1100" b="0" i="0">
              <a:solidFill>
                <a:schemeClr val="tx1"/>
              </a:solidFill>
              <a:effectLst/>
              <a:latin typeface="+mn-lt"/>
              <a:ea typeface="+mn-ea"/>
              <a:cs typeface="+mn-cs"/>
            </a:rPr>
            <a:t> ya que pule la superficie del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esmalte</a:t>
          </a:r>
          <a:r>
            <a:rPr lang="es-CO" sz="1100" b="0" i="0">
              <a:solidFill>
                <a:schemeClr val="tx1"/>
              </a:solidFill>
              <a:effectLst/>
              <a:latin typeface="+mn-lt"/>
              <a:ea typeface="+mn-ea"/>
              <a:cs typeface="+mn-cs"/>
            </a:rPr>
            <a:t>. En efecto, el bicarbonato ayuda a neutralizar cualquier tipo de malos olores.</a:t>
          </a:r>
        </a:p>
        <a:p>
          <a:endParaRPr lang="es-CO" sz="1100"/>
        </a:p>
      </xdr:txBody>
    </xdr:sp>
    <xdr:clientData/>
  </xdr:twoCellAnchor>
  <xdr:twoCellAnchor>
    <xdr:from>
      <xdr:col>12</xdr:col>
      <xdr:colOff>123825</xdr:colOff>
      <xdr:row>6</xdr:row>
      <xdr:rowOff>95250</xdr:rowOff>
    </xdr:from>
    <xdr:to>
      <xdr:col>12</xdr:col>
      <xdr:colOff>800100</xdr:colOff>
      <xdr:row>7</xdr:row>
      <xdr:rowOff>238125</xdr:rowOff>
    </xdr:to>
    <xdr:sp macro="[0]!DescripMateriaPrima" textlink="">
      <xdr:nvSpPr>
        <xdr:cNvPr id="12" name="Rectángulo 11">
          <a:extLst>
            <a:ext uri="{FF2B5EF4-FFF2-40B4-BE49-F238E27FC236}">
              <a16:creationId xmlns:a16="http://schemas.microsoft.com/office/drawing/2014/main" id="{F3183468-D331-4A28-9A10-EF97D9FB0846}"/>
            </a:ext>
          </a:extLst>
        </xdr:cNvPr>
        <xdr:cNvSpPr/>
      </xdr:nvSpPr>
      <xdr:spPr>
        <a:xfrm>
          <a:off x="11830050" y="1238250"/>
          <a:ext cx="676275" cy="381000"/>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CO" sz="1100" b="1"/>
            <a:t>BUSCAR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396875</xdr:colOff>
      <xdr:row>159</xdr:row>
      <xdr:rowOff>158750</xdr:rowOff>
    </xdr:from>
    <xdr:to>
      <xdr:col>13</xdr:col>
      <xdr:colOff>56696</xdr:colOff>
      <xdr:row>182</xdr:row>
      <xdr:rowOff>147410</xdr:rowOff>
    </xdr:to>
    <xdr:sp macro="" textlink="">
      <xdr:nvSpPr>
        <xdr:cNvPr id="3" name="Rectángulo: esquinas redondeadas 2">
          <a:extLst>
            <a:ext uri="{FF2B5EF4-FFF2-40B4-BE49-F238E27FC236}">
              <a16:creationId xmlns:a16="http://schemas.microsoft.com/office/drawing/2014/main" id="{6546EB6E-A89B-4110-A918-A44F2FB935E4}"/>
            </a:ext>
          </a:extLst>
        </xdr:cNvPr>
        <xdr:cNvSpPr/>
      </xdr:nvSpPr>
      <xdr:spPr>
        <a:xfrm>
          <a:off x="2676071" y="30808839"/>
          <a:ext cx="7257143" cy="4422321"/>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8000" b="1">
              <a:solidFill>
                <a:schemeClr val="bg1"/>
              </a:solidFill>
              <a:latin typeface="Arial Black" panose="020B0A04020102020204" pitchFamily="34" charset="0"/>
            </a:rPr>
            <a:t>FORMULA OCULTA</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28574</xdr:colOff>
      <xdr:row>0</xdr:row>
      <xdr:rowOff>57151</xdr:rowOff>
    </xdr:from>
    <xdr:to>
      <xdr:col>6</xdr:col>
      <xdr:colOff>19050</xdr:colOff>
      <xdr:row>5</xdr:row>
      <xdr:rowOff>161215</xdr:rowOff>
    </xdr:to>
    <xdr:pic>
      <xdr:nvPicPr>
        <xdr:cNvPr id="2" name="Imagen 1">
          <a:extLst>
            <a:ext uri="{FF2B5EF4-FFF2-40B4-BE49-F238E27FC236}">
              <a16:creationId xmlns:a16="http://schemas.microsoft.com/office/drawing/2014/main" id="{6F1F387B-F4BD-43C4-98E8-E7C24ED571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4" y="57151"/>
          <a:ext cx="6915151" cy="105656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390525</xdr:colOff>
      <xdr:row>2</xdr:row>
      <xdr:rowOff>142875</xdr:rowOff>
    </xdr:from>
    <xdr:to>
      <xdr:col>9</xdr:col>
      <xdr:colOff>657224</xdr:colOff>
      <xdr:row>3</xdr:row>
      <xdr:rowOff>200025</xdr:rowOff>
    </xdr:to>
    <xdr:sp macro="" textlink="">
      <xdr:nvSpPr>
        <xdr:cNvPr id="6" name="Rectángulo: esquinas redondeadas 5">
          <a:extLst>
            <a:ext uri="{FF2B5EF4-FFF2-40B4-BE49-F238E27FC236}">
              <a16:creationId xmlns:a16="http://schemas.microsoft.com/office/drawing/2014/main" id="{D291E08F-A3D5-4547-964E-816CC5D19432}"/>
            </a:ext>
          </a:extLst>
        </xdr:cNvPr>
        <xdr:cNvSpPr/>
      </xdr:nvSpPr>
      <xdr:spPr>
        <a:xfrm>
          <a:off x="3495675" y="733425"/>
          <a:ext cx="4838699" cy="35242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overflow" horzOverflow="overflow" wrap="none" lIns="1080000" rtlCol="0" anchor="ctr"/>
        <a:lstStyle/>
        <a:p>
          <a:pPr algn="l"/>
          <a:r>
            <a:rPr lang="es-CO" sz="1600" b="1">
              <a:solidFill>
                <a:schemeClr val="tx1"/>
              </a:solidFill>
            </a:rPr>
            <a:t>      MENU</a:t>
          </a:r>
          <a:r>
            <a:rPr lang="es-CO" sz="1600" b="1" baseline="0">
              <a:solidFill>
                <a:schemeClr val="tx1"/>
              </a:solidFill>
            </a:rPr>
            <a:t> DE PRODUCTOS</a:t>
          </a:r>
          <a:endParaRPr lang="es-CO" sz="1600" b="1">
            <a:solidFill>
              <a:schemeClr val="tx1"/>
            </a:solidFill>
          </a:endParaRPr>
        </a:p>
      </xdr:txBody>
    </xdr:sp>
    <xdr:clientData/>
  </xdr:twoCellAnchor>
  <xdr:twoCellAnchor>
    <xdr:from>
      <xdr:col>10</xdr:col>
      <xdr:colOff>228600</xdr:colOff>
      <xdr:row>4</xdr:row>
      <xdr:rowOff>38101</xdr:rowOff>
    </xdr:from>
    <xdr:to>
      <xdr:col>14</xdr:col>
      <xdr:colOff>314325</xdr:colOff>
      <xdr:row>12</xdr:row>
      <xdr:rowOff>200025</xdr:rowOff>
    </xdr:to>
    <xdr:grpSp>
      <xdr:nvGrpSpPr>
        <xdr:cNvPr id="12" name="Grupo 11" hidden="1">
          <a:extLst>
            <a:ext uri="{FF2B5EF4-FFF2-40B4-BE49-F238E27FC236}">
              <a16:creationId xmlns:a16="http://schemas.microsoft.com/office/drawing/2014/main" id="{192F6362-3B41-431C-8704-276861167436}"/>
            </a:ext>
          </a:extLst>
        </xdr:cNvPr>
        <xdr:cNvGrpSpPr/>
      </xdr:nvGrpSpPr>
      <xdr:grpSpPr>
        <a:xfrm>
          <a:off x="7639050" y="1238251"/>
          <a:ext cx="3133725" cy="1904999"/>
          <a:chOff x="8905875" y="854735"/>
          <a:chExt cx="3133725" cy="2657474"/>
        </a:xfrm>
      </xdr:grpSpPr>
      <xdr:pic>
        <xdr:nvPicPr>
          <xdr:cNvPr id="10" name="Imagen 9" hidden="1">
            <a:extLst>
              <a:ext uri="{FF2B5EF4-FFF2-40B4-BE49-F238E27FC236}">
                <a16:creationId xmlns:a16="http://schemas.microsoft.com/office/drawing/2014/main" id="{DA2EE590-A99B-4618-8566-CCEFE6115B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05875" y="854735"/>
            <a:ext cx="3133725" cy="2657474"/>
          </a:xfrm>
          <a:prstGeom prst="rect">
            <a:avLst/>
          </a:prstGeom>
        </xdr:spPr>
      </xdr:pic>
      <xdr:sp macro="" textlink="">
        <xdr:nvSpPr>
          <xdr:cNvPr id="11" name="Rectángulo 10" hidden="1">
            <a:extLst>
              <a:ext uri="{FF2B5EF4-FFF2-40B4-BE49-F238E27FC236}">
                <a16:creationId xmlns:a16="http://schemas.microsoft.com/office/drawing/2014/main" id="{F5478ADE-91C0-4AA9-B887-3B4DEE9EC866}"/>
              </a:ext>
            </a:extLst>
          </xdr:cNvPr>
          <xdr:cNvSpPr/>
        </xdr:nvSpPr>
        <xdr:spPr>
          <a:xfrm>
            <a:off x="9426386" y="964698"/>
            <a:ext cx="1968872" cy="374141"/>
          </a:xfrm>
          <a:prstGeom prst="rect">
            <a:avLst/>
          </a:prstGeom>
          <a:noFill/>
        </xdr:spPr>
        <xdr:txBody>
          <a:bodyPr wrap="none" lIns="91440" tIns="45720" rIns="91440" bIns="45720">
            <a:sp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Lavaplatos</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Liquido</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590550</xdr:colOff>
      <xdr:row>3</xdr:row>
      <xdr:rowOff>47626</xdr:rowOff>
    </xdr:from>
    <xdr:to>
      <xdr:col>14</xdr:col>
      <xdr:colOff>676275</xdr:colOff>
      <xdr:row>11</xdr:row>
      <xdr:rowOff>209550</xdr:rowOff>
    </xdr:to>
    <xdr:grpSp>
      <xdr:nvGrpSpPr>
        <xdr:cNvPr id="19" name="Grupo 18" hidden="1">
          <a:extLst>
            <a:ext uri="{FF2B5EF4-FFF2-40B4-BE49-F238E27FC236}">
              <a16:creationId xmlns:a16="http://schemas.microsoft.com/office/drawing/2014/main" id="{4F4C355D-DD41-4DA4-9AF1-9DB195925D1A}"/>
            </a:ext>
          </a:extLst>
        </xdr:cNvPr>
        <xdr:cNvGrpSpPr/>
      </xdr:nvGrpSpPr>
      <xdr:grpSpPr>
        <a:xfrm>
          <a:off x="8001000" y="942976"/>
          <a:ext cx="3133725" cy="2009774"/>
          <a:chOff x="8515350" y="1943101"/>
          <a:chExt cx="3133725" cy="2524124"/>
        </a:xfrm>
      </xdr:grpSpPr>
      <xdr:pic>
        <xdr:nvPicPr>
          <xdr:cNvPr id="17" name="Imagen 16" hidden="1">
            <a:extLst>
              <a:ext uri="{FF2B5EF4-FFF2-40B4-BE49-F238E27FC236}">
                <a16:creationId xmlns:a16="http://schemas.microsoft.com/office/drawing/2014/main" id="{9F6D7038-0137-4E0C-B125-6437960C0B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15350" y="1943101"/>
            <a:ext cx="3133725" cy="2524124"/>
          </a:xfrm>
          <a:prstGeom prst="rect">
            <a:avLst/>
          </a:prstGeom>
        </xdr:spPr>
      </xdr:pic>
      <xdr:sp macro="" textlink="">
        <xdr:nvSpPr>
          <xdr:cNvPr id="18" name="Rectángulo 17" hidden="1">
            <a:extLst>
              <a:ext uri="{FF2B5EF4-FFF2-40B4-BE49-F238E27FC236}">
                <a16:creationId xmlns:a16="http://schemas.microsoft.com/office/drawing/2014/main" id="{DD0421B4-0007-4490-9161-585FB771049D}"/>
              </a:ext>
            </a:extLst>
          </xdr:cNvPr>
          <xdr:cNvSpPr/>
        </xdr:nvSpPr>
        <xdr:spPr>
          <a:xfrm>
            <a:off x="8874834" y="1999921"/>
            <a:ext cx="2176623"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Lavaplatos</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en Crema</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295275</xdr:colOff>
      <xdr:row>4</xdr:row>
      <xdr:rowOff>9525</xdr:rowOff>
    </xdr:from>
    <xdr:to>
      <xdr:col>14</xdr:col>
      <xdr:colOff>381000</xdr:colOff>
      <xdr:row>12</xdr:row>
      <xdr:rowOff>171449</xdr:rowOff>
    </xdr:to>
    <xdr:grpSp>
      <xdr:nvGrpSpPr>
        <xdr:cNvPr id="26" name="Grupo 25" hidden="1">
          <a:extLst>
            <a:ext uri="{FF2B5EF4-FFF2-40B4-BE49-F238E27FC236}">
              <a16:creationId xmlns:a16="http://schemas.microsoft.com/office/drawing/2014/main" id="{93CB8F6B-2331-4510-A7A0-DAFE5C08F908}"/>
            </a:ext>
          </a:extLst>
        </xdr:cNvPr>
        <xdr:cNvGrpSpPr/>
      </xdr:nvGrpSpPr>
      <xdr:grpSpPr>
        <a:xfrm>
          <a:off x="7705725" y="1209675"/>
          <a:ext cx="3133725" cy="1914524"/>
          <a:chOff x="9429750" y="1990725"/>
          <a:chExt cx="3133725" cy="2524124"/>
        </a:xfrm>
      </xdr:grpSpPr>
      <xdr:pic>
        <xdr:nvPicPr>
          <xdr:cNvPr id="24" name="Imagen 23" hidden="1">
            <a:extLst>
              <a:ext uri="{FF2B5EF4-FFF2-40B4-BE49-F238E27FC236}">
                <a16:creationId xmlns:a16="http://schemas.microsoft.com/office/drawing/2014/main" id="{F4B30E68-7598-4983-B092-8044A1C417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29750" y="1990725"/>
            <a:ext cx="3133725" cy="2524124"/>
          </a:xfrm>
          <a:prstGeom prst="rect">
            <a:avLst/>
          </a:prstGeom>
        </xdr:spPr>
      </xdr:pic>
      <xdr:sp macro="" textlink="">
        <xdr:nvSpPr>
          <xdr:cNvPr id="25" name="Rectángulo 24" hidden="1">
            <a:extLst>
              <a:ext uri="{FF2B5EF4-FFF2-40B4-BE49-F238E27FC236}">
                <a16:creationId xmlns:a16="http://schemas.microsoft.com/office/drawing/2014/main" id="{58F133F7-1E48-48AE-B3FD-0BD3E2BE4946}"/>
              </a:ext>
            </a:extLst>
          </xdr:cNvPr>
          <xdr:cNvSpPr/>
        </xdr:nvSpPr>
        <xdr:spPr>
          <a:xfrm>
            <a:off x="9824211" y="2047545"/>
            <a:ext cx="2106667"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Detergente</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de Ropa</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133350</xdr:colOff>
      <xdr:row>4</xdr:row>
      <xdr:rowOff>57150</xdr:rowOff>
    </xdr:from>
    <xdr:to>
      <xdr:col>14</xdr:col>
      <xdr:colOff>219075</xdr:colOff>
      <xdr:row>12</xdr:row>
      <xdr:rowOff>219074</xdr:rowOff>
    </xdr:to>
    <xdr:grpSp>
      <xdr:nvGrpSpPr>
        <xdr:cNvPr id="33" name="Grupo 32" hidden="1">
          <a:extLst>
            <a:ext uri="{FF2B5EF4-FFF2-40B4-BE49-F238E27FC236}">
              <a16:creationId xmlns:a16="http://schemas.microsoft.com/office/drawing/2014/main" id="{BE22CD8E-104B-4892-BDA3-43E8ADB90376}"/>
            </a:ext>
          </a:extLst>
        </xdr:cNvPr>
        <xdr:cNvGrpSpPr/>
      </xdr:nvGrpSpPr>
      <xdr:grpSpPr>
        <a:xfrm>
          <a:off x="7543800" y="1257300"/>
          <a:ext cx="3133725" cy="1885949"/>
          <a:chOff x="9344025" y="1533525"/>
          <a:chExt cx="3133725" cy="2524124"/>
        </a:xfrm>
      </xdr:grpSpPr>
      <xdr:pic>
        <xdr:nvPicPr>
          <xdr:cNvPr id="31" name="Imagen 30" hidden="1">
            <a:extLst>
              <a:ext uri="{FF2B5EF4-FFF2-40B4-BE49-F238E27FC236}">
                <a16:creationId xmlns:a16="http://schemas.microsoft.com/office/drawing/2014/main" id="{DA6E4FC2-CF03-4C28-AF9C-B0D2106E5B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44025" y="1533525"/>
            <a:ext cx="3133725" cy="2524124"/>
          </a:xfrm>
          <a:prstGeom prst="rect">
            <a:avLst/>
          </a:prstGeom>
        </xdr:spPr>
      </xdr:pic>
      <xdr:sp macro="" textlink="">
        <xdr:nvSpPr>
          <xdr:cNvPr id="32" name="Rectángulo 31" hidden="1">
            <a:extLst>
              <a:ext uri="{FF2B5EF4-FFF2-40B4-BE49-F238E27FC236}">
                <a16:creationId xmlns:a16="http://schemas.microsoft.com/office/drawing/2014/main" id="{98F31819-C4DC-429C-9B19-B841CAC6AB1D}"/>
              </a:ext>
            </a:extLst>
          </xdr:cNvPr>
          <xdr:cNvSpPr/>
        </xdr:nvSpPr>
        <xdr:spPr>
          <a:xfrm>
            <a:off x="9531186" y="1590345"/>
            <a:ext cx="2521268"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Multiuso</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Desengrasante</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9</xdr:col>
      <xdr:colOff>733425</xdr:colOff>
      <xdr:row>4</xdr:row>
      <xdr:rowOff>19050</xdr:rowOff>
    </xdr:from>
    <xdr:to>
      <xdr:col>14</xdr:col>
      <xdr:colOff>57150</xdr:colOff>
      <xdr:row>12</xdr:row>
      <xdr:rowOff>180974</xdr:rowOff>
    </xdr:to>
    <xdr:grpSp>
      <xdr:nvGrpSpPr>
        <xdr:cNvPr id="40" name="Grupo 39" hidden="1">
          <a:extLst>
            <a:ext uri="{FF2B5EF4-FFF2-40B4-BE49-F238E27FC236}">
              <a16:creationId xmlns:a16="http://schemas.microsoft.com/office/drawing/2014/main" id="{5268D593-B4D4-48B9-A51F-08C561A03C85}"/>
            </a:ext>
          </a:extLst>
        </xdr:cNvPr>
        <xdr:cNvGrpSpPr/>
      </xdr:nvGrpSpPr>
      <xdr:grpSpPr>
        <a:xfrm>
          <a:off x="7381875" y="1219200"/>
          <a:ext cx="3133725" cy="1914524"/>
          <a:chOff x="9172575" y="904875"/>
          <a:chExt cx="3133725" cy="2524124"/>
        </a:xfrm>
      </xdr:grpSpPr>
      <xdr:pic>
        <xdr:nvPicPr>
          <xdr:cNvPr id="38" name="Imagen 37" hidden="1">
            <a:extLst>
              <a:ext uri="{FF2B5EF4-FFF2-40B4-BE49-F238E27FC236}">
                <a16:creationId xmlns:a16="http://schemas.microsoft.com/office/drawing/2014/main" id="{AAF9C3ED-5E96-47A4-83F0-53CA149A141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72575" y="904875"/>
            <a:ext cx="3133725" cy="2524124"/>
          </a:xfrm>
          <a:prstGeom prst="rect">
            <a:avLst/>
          </a:prstGeom>
        </xdr:spPr>
      </xdr:pic>
      <xdr:sp macro="" textlink="">
        <xdr:nvSpPr>
          <xdr:cNvPr id="39" name="Rectángulo 38" hidden="1">
            <a:extLst>
              <a:ext uri="{FF2B5EF4-FFF2-40B4-BE49-F238E27FC236}">
                <a16:creationId xmlns:a16="http://schemas.microsoft.com/office/drawing/2014/main" id="{FEDF4B52-2C88-4399-9288-3C26E2E17DBB}"/>
              </a:ext>
            </a:extLst>
          </xdr:cNvPr>
          <xdr:cNvSpPr/>
        </xdr:nvSpPr>
        <xdr:spPr>
          <a:xfrm>
            <a:off x="9515676" y="961695"/>
            <a:ext cx="2209387"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Desinfectante</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Herbal</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447675</xdr:colOff>
      <xdr:row>3</xdr:row>
      <xdr:rowOff>28575</xdr:rowOff>
    </xdr:from>
    <xdr:to>
      <xdr:col>14</xdr:col>
      <xdr:colOff>533400</xdr:colOff>
      <xdr:row>11</xdr:row>
      <xdr:rowOff>190499</xdr:rowOff>
    </xdr:to>
    <xdr:grpSp>
      <xdr:nvGrpSpPr>
        <xdr:cNvPr id="44" name="Grupo 43" hidden="1">
          <a:extLst>
            <a:ext uri="{FF2B5EF4-FFF2-40B4-BE49-F238E27FC236}">
              <a16:creationId xmlns:a16="http://schemas.microsoft.com/office/drawing/2014/main" id="{13A975BD-467A-4B98-84E7-BA508862E0A8}"/>
            </a:ext>
          </a:extLst>
        </xdr:cNvPr>
        <xdr:cNvGrpSpPr/>
      </xdr:nvGrpSpPr>
      <xdr:grpSpPr>
        <a:xfrm>
          <a:off x="7858125" y="923925"/>
          <a:ext cx="3133725" cy="2028824"/>
          <a:chOff x="9191625" y="914400"/>
          <a:chExt cx="3133725" cy="2524124"/>
        </a:xfrm>
      </xdr:grpSpPr>
      <xdr:pic>
        <xdr:nvPicPr>
          <xdr:cNvPr id="42" name="Imagen 41" hidden="1">
            <a:extLst>
              <a:ext uri="{FF2B5EF4-FFF2-40B4-BE49-F238E27FC236}">
                <a16:creationId xmlns:a16="http://schemas.microsoft.com/office/drawing/2014/main" id="{15D4A5C1-8E7F-4613-BCB5-E20BE78B77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91625" y="914400"/>
            <a:ext cx="3133725" cy="2524124"/>
          </a:xfrm>
          <a:prstGeom prst="rect">
            <a:avLst/>
          </a:prstGeom>
        </xdr:spPr>
      </xdr:pic>
      <xdr:sp macro="" textlink="">
        <xdr:nvSpPr>
          <xdr:cNvPr id="43" name="Rectángulo 42" hidden="1">
            <a:extLst>
              <a:ext uri="{FF2B5EF4-FFF2-40B4-BE49-F238E27FC236}">
                <a16:creationId xmlns:a16="http://schemas.microsoft.com/office/drawing/2014/main" id="{75785A3B-A5E6-4D5E-B12A-3D5996F1E403}"/>
              </a:ext>
            </a:extLst>
          </xdr:cNvPr>
          <xdr:cNvSpPr/>
        </xdr:nvSpPr>
        <xdr:spPr>
          <a:xfrm>
            <a:off x="9609622" y="971220"/>
            <a:ext cx="2059603"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Suavizante</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de Ropa</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295275</xdr:colOff>
      <xdr:row>4</xdr:row>
      <xdr:rowOff>47625</xdr:rowOff>
    </xdr:from>
    <xdr:to>
      <xdr:col>14</xdr:col>
      <xdr:colOff>381000</xdr:colOff>
      <xdr:row>12</xdr:row>
      <xdr:rowOff>209549</xdr:rowOff>
    </xdr:to>
    <xdr:grpSp>
      <xdr:nvGrpSpPr>
        <xdr:cNvPr id="51" name="Grupo 50" hidden="1">
          <a:extLst>
            <a:ext uri="{FF2B5EF4-FFF2-40B4-BE49-F238E27FC236}">
              <a16:creationId xmlns:a16="http://schemas.microsoft.com/office/drawing/2014/main" id="{29EC2D0B-CF3B-4EA0-8414-EE89A7292DC3}"/>
            </a:ext>
          </a:extLst>
        </xdr:cNvPr>
        <xdr:cNvGrpSpPr/>
      </xdr:nvGrpSpPr>
      <xdr:grpSpPr>
        <a:xfrm>
          <a:off x="7705725" y="1247775"/>
          <a:ext cx="3133725" cy="1895474"/>
          <a:chOff x="9210675" y="923925"/>
          <a:chExt cx="3133725" cy="2524124"/>
        </a:xfrm>
      </xdr:grpSpPr>
      <xdr:pic>
        <xdr:nvPicPr>
          <xdr:cNvPr id="49" name="Imagen 48" hidden="1">
            <a:extLst>
              <a:ext uri="{FF2B5EF4-FFF2-40B4-BE49-F238E27FC236}">
                <a16:creationId xmlns:a16="http://schemas.microsoft.com/office/drawing/2014/main" id="{F34D1D32-A4EC-49E2-B7FD-BCD2E2D7A6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10675" y="923925"/>
            <a:ext cx="3133725" cy="2524124"/>
          </a:xfrm>
          <a:prstGeom prst="rect">
            <a:avLst/>
          </a:prstGeom>
        </xdr:spPr>
      </xdr:pic>
      <xdr:sp macro="" textlink="">
        <xdr:nvSpPr>
          <xdr:cNvPr id="50" name="Rectángulo 49" hidden="1">
            <a:extLst>
              <a:ext uri="{FF2B5EF4-FFF2-40B4-BE49-F238E27FC236}">
                <a16:creationId xmlns:a16="http://schemas.microsoft.com/office/drawing/2014/main" id="{73A294C1-A3ED-419F-BFF3-2CB30A857DB3}"/>
              </a:ext>
            </a:extLst>
          </xdr:cNvPr>
          <xdr:cNvSpPr/>
        </xdr:nvSpPr>
        <xdr:spPr>
          <a:xfrm>
            <a:off x="9834301" y="980745"/>
            <a:ext cx="1648336"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Cloro</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Jabonoso</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495300</xdr:colOff>
      <xdr:row>3</xdr:row>
      <xdr:rowOff>47625</xdr:rowOff>
    </xdr:from>
    <xdr:to>
      <xdr:col>14</xdr:col>
      <xdr:colOff>581025</xdr:colOff>
      <xdr:row>11</xdr:row>
      <xdr:rowOff>209549</xdr:rowOff>
    </xdr:to>
    <xdr:grpSp>
      <xdr:nvGrpSpPr>
        <xdr:cNvPr id="58" name="Grupo 57">
          <a:extLst>
            <a:ext uri="{FF2B5EF4-FFF2-40B4-BE49-F238E27FC236}">
              <a16:creationId xmlns:a16="http://schemas.microsoft.com/office/drawing/2014/main" id="{E4E274F3-7A28-4845-826C-67C0029F9556}"/>
            </a:ext>
          </a:extLst>
        </xdr:cNvPr>
        <xdr:cNvGrpSpPr/>
      </xdr:nvGrpSpPr>
      <xdr:grpSpPr>
        <a:xfrm>
          <a:off x="7905750" y="942975"/>
          <a:ext cx="3133725" cy="2009774"/>
          <a:chOff x="9239250" y="933450"/>
          <a:chExt cx="3133725" cy="2524124"/>
        </a:xfrm>
      </xdr:grpSpPr>
      <xdr:pic>
        <xdr:nvPicPr>
          <xdr:cNvPr id="56" name="Imagen 55">
            <a:extLst>
              <a:ext uri="{FF2B5EF4-FFF2-40B4-BE49-F238E27FC236}">
                <a16:creationId xmlns:a16="http://schemas.microsoft.com/office/drawing/2014/main" id="{9C1FAA12-D07F-48D6-B05E-2410E11DEB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39250" y="933450"/>
            <a:ext cx="3133725" cy="2524124"/>
          </a:xfrm>
          <a:prstGeom prst="rect">
            <a:avLst/>
          </a:prstGeom>
        </xdr:spPr>
      </xdr:pic>
      <xdr:sp macro="" textlink="">
        <xdr:nvSpPr>
          <xdr:cNvPr id="57" name="Rectángulo 56">
            <a:extLst>
              <a:ext uri="{FF2B5EF4-FFF2-40B4-BE49-F238E27FC236}">
                <a16:creationId xmlns:a16="http://schemas.microsoft.com/office/drawing/2014/main" id="{CF813324-BDA8-42BF-A89B-D9103E788699}"/>
              </a:ext>
            </a:extLst>
          </xdr:cNvPr>
          <xdr:cNvSpPr/>
        </xdr:nvSpPr>
        <xdr:spPr>
          <a:xfrm>
            <a:off x="9855214" y="990270"/>
            <a:ext cx="1663661"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Multi-Cerámica</a:t>
            </a:r>
          </a:p>
        </xdr:txBody>
      </xdr:sp>
    </xdr:grpSp>
    <xdr:clientData/>
  </xdr:twoCellAnchor>
  <xdr:twoCellAnchor>
    <xdr:from>
      <xdr:col>3</xdr:col>
      <xdr:colOff>276225</xdr:colOff>
      <xdr:row>4</xdr:row>
      <xdr:rowOff>28575</xdr:rowOff>
    </xdr:from>
    <xdr:to>
      <xdr:col>9</xdr:col>
      <xdr:colOff>714375</xdr:colOff>
      <xdr:row>13</xdr:row>
      <xdr:rowOff>28575</xdr:rowOff>
    </xdr:to>
    <xdr:grpSp>
      <xdr:nvGrpSpPr>
        <xdr:cNvPr id="62" name="Grupo 61">
          <a:extLst>
            <a:ext uri="{FF2B5EF4-FFF2-40B4-BE49-F238E27FC236}">
              <a16:creationId xmlns:a16="http://schemas.microsoft.com/office/drawing/2014/main" id="{F87ABEF9-4C6A-4817-BCC0-666238309458}"/>
            </a:ext>
          </a:extLst>
        </xdr:cNvPr>
        <xdr:cNvGrpSpPr/>
      </xdr:nvGrpSpPr>
      <xdr:grpSpPr>
        <a:xfrm>
          <a:off x="2352675" y="1228725"/>
          <a:ext cx="5010150" cy="1943100"/>
          <a:chOff x="3371850" y="1209675"/>
          <a:chExt cx="5010150" cy="2657475"/>
        </a:xfrm>
      </xdr:grpSpPr>
      <mc:AlternateContent xmlns:mc="http://schemas.openxmlformats.org/markup-compatibility/2006" xmlns:a14="http://schemas.microsoft.com/office/drawing/2010/main">
        <mc:Choice Requires="a14">
          <xdr:graphicFrame macro="">
            <xdr:nvGraphicFramePr>
              <xdr:cNvPr id="60" name="Selector">
                <a:extLst>
                  <a:ext uri="{FF2B5EF4-FFF2-40B4-BE49-F238E27FC236}">
                    <a16:creationId xmlns:a16="http://schemas.microsoft.com/office/drawing/2014/main" id="{145EF111-54C3-44CD-886D-FCFCC50C8595}"/>
                  </a:ext>
                </a:extLst>
              </xdr:cNvPr>
              <xdr:cNvGraphicFramePr/>
            </xdr:nvGraphicFramePr>
            <xdr:xfrm>
              <a:off x="3371850" y="1209675"/>
              <a:ext cx="5010150" cy="2657475"/>
            </xdr:xfrm>
            <a:graphic>
              <a:graphicData uri="http://schemas.microsoft.com/office/drawing/2010/slicer">
                <sle:slicer xmlns:sle="http://schemas.microsoft.com/office/drawing/2010/slicer" name="Selector"/>
              </a:graphicData>
            </a:graphic>
          </xdr:graphicFrame>
        </mc:Choice>
        <mc:Fallback xmlns="">
          <xdr:sp macro="" textlink="">
            <xdr:nvSpPr>
              <xdr:cNvPr id="0" name=""/>
              <xdr:cNvSpPr>
                <a:spLocks noTextEdit="1"/>
              </xdr:cNvSpPr>
            </xdr:nvSpPr>
            <xdr:spPr>
              <a:xfrm>
                <a:off x="3219450" y="1228725"/>
                <a:ext cx="5010150" cy="19431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sp macro="[0]!verproductos" textlink="">
        <xdr:nvSpPr>
          <xdr:cNvPr id="3" name="Rectángulo: esquinas redondeadas 2">
            <a:extLst>
              <a:ext uri="{FF2B5EF4-FFF2-40B4-BE49-F238E27FC236}">
                <a16:creationId xmlns:a16="http://schemas.microsoft.com/office/drawing/2014/main" id="{B4F12EF2-CBFA-421C-AF7C-EC1F29E69E43}"/>
              </a:ext>
            </a:extLst>
          </xdr:cNvPr>
          <xdr:cNvSpPr/>
        </xdr:nvSpPr>
        <xdr:spPr>
          <a:xfrm>
            <a:off x="3819524" y="3105150"/>
            <a:ext cx="504825" cy="2190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overflow" horzOverflow="overflow" wrap="none" lIns="900000" rtlCol="0" anchor="t"/>
          <a:lstStyle/>
          <a:p>
            <a:pPr algn="l"/>
            <a:r>
              <a:rPr lang="es-CO" sz="1100" b="1">
                <a:solidFill>
                  <a:srgbClr val="FF0000"/>
                </a:solidFill>
              </a:rPr>
              <a:t>Display</a:t>
            </a:r>
            <a:r>
              <a:rPr lang="es-CO" sz="1100" b="1" baseline="0">
                <a:solidFill>
                  <a:srgbClr val="FF0000"/>
                </a:solidFill>
              </a:rPr>
              <a:t> Productos</a:t>
            </a:r>
            <a:endParaRPr lang="es-CO" sz="1100" b="1">
              <a:solidFill>
                <a:srgbClr val="FF0000"/>
              </a:solidFill>
            </a:endParaRPr>
          </a:p>
        </xdr:txBody>
      </xdr:sp>
      <xdr:sp macro="" textlink="">
        <xdr:nvSpPr>
          <xdr:cNvPr id="5" name="Rectángulo: esquinas redondeadas 4">
            <a:hlinkClick xmlns:r="http://schemas.openxmlformats.org/officeDocument/2006/relationships" r:id="rId2"/>
            <a:extLst>
              <a:ext uri="{FF2B5EF4-FFF2-40B4-BE49-F238E27FC236}">
                <a16:creationId xmlns:a16="http://schemas.microsoft.com/office/drawing/2014/main" id="{D4D9A380-7F92-4200-8ED7-AF9C2DF5FEC9}"/>
              </a:ext>
            </a:extLst>
          </xdr:cNvPr>
          <xdr:cNvSpPr/>
        </xdr:nvSpPr>
        <xdr:spPr>
          <a:xfrm>
            <a:off x="7458075" y="3095626"/>
            <a:ext cx="514350" cy="20955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overflow" horzOverflow="overflow" wrap="none" lIns="0" rIns="1800000" rtlCol="0" anchor="t"/>
          <a:lstStyle/>
          <a:p>
            <a:pPr algn="l"/>
            <a:r>
              <a:rPr lang="es-CO" sz="1100" b="1">
                <a:solidFill>
                  <a:srgbClr val="FF0000"/>
                </a:solidFill>
              </a:rPr>
              <a:t>Cancelar</a:t>
            </a:r>
          </a:p>
        </xdr:txBody>
      </xdr:sp>
    </xdr:grpSp>
    <xdr:clientData/>
  </xdr:twoCellAnchor>
  <xdr:twoCellAnchor>
    <xdr:from>
      <xdr:col>10</xdr:col>
      <xdr:colOff>685800</xdr:colOff>
      <xdr:row>16</xdr:row>
      <xdr:rowOff>47625</xdr:rowOff>
    </xdr:from>
    <xdr:to>
      <xdr:col>13</xdr:col>
      <xdr:colOff>676275</xdr:colOff>
      <xdr:row>18</xdr:row>
      <xdr:rowOff>9525</xdr:rowOff>
    </xdr:to>
    <xdr:sp macro="" textlink="">
      <xdr:nvSpPr>
        <xdr:cNvPr id="2" name="Flecha: a la derecha 1">
          <a:extLst>
            <a:ext uri="{FF2B5EF4-FFF2-40B4-BE49-F238E27FC236}">
              <a16:creationId xmlns:a16="http://schemas.microsoft.com/office/drawing/2014/main" id="{AC5CC222-9A8E-46B7-8E95-8848E54FBE69}"/>
            </a:ext>
          </a:extLst>
        </xdr:cNvPr>
        <xdr:cNvSpPr/>
      </xdr:nvSpPr>
      <xdr:spPr>
        <a:xfrm>
          <a:off x="8486775" y="4086225"/>
          <a:ext cx="2276475" cy="55245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1600" b="1"/>
            <a:t>Ir</a:t>
          </a:r>
          <a:r>
            <a:rPr lang="es-CO" sz="1600" b="1" baseline="0"/>
            <a:t> a Inventarios</a:t>
          </a:r>
          <a:endParaRPr lang="es-CO" sz="1600" b="1"/>
        </a:p>
      </xdr:txBody>
    </xdr:sp>
    <xdr:clientData/>
  </xdr:twoCellAnchor>
  <xdr:twoCellAnchor>
    <xdr:from>
      <xdr:col>2</xdr:col>
      <xdr:colOff>847725</xdr:colOff>
      <xdr:row>7</xdr:row>
      <xdr:rowOff>28575</xdr:rowOff>
    </xdr:from>
    <xdr:to>
      <xdr:col>2</xdr:col>
      <xdr:colOff>1362075</xdr:colOff>
      <xdr:row>12</xdr:row>
      <xdr:rowOff>47625</xdr:rowOff>
    </xdr:to>
    <xdr:sp macro="" textlink="">
      <xdr:nvSpPr>
        <xdr:cNvPr id="4" name="Flecha: hacia arriba 3">
          <a:extLst>
            <a:ext uri="{FF2B5EF4-FFF2-40B4-BE49-F238E27FC236}">
              <a16:creationId xmlns:a16="http://schemas.microsoft.com/office/drawing/2014/main" id="{94AA31F6-F233-4681-9A4F-FCD5F6124890}"/>
            </a:ext>
          </a:extLst>
        </xdr:cNvPr>
        <xdr:cNvSpPr/>
      </xdr:nvSpPr>
      <xdr:spPr>
        <a:xfrm>
          <a:off x="1343025" y="2028825"/>
          <a:ext cx="514350" cy="971550"/>
        </a:xfrm>
        <a:prstGeom prst="up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89048</xdr:colOff>
      <xdr:row>5</xdr:row>
      <xdr:rowOff>99633</xdr:rowOff>
    </xdr:from>
    <xdr:to>
      <xdr:col>1</xdr:col>
      <xdr:colOff>785631</xdr:colOff>
      <xdr:row>6</xdr:row>
      <xdr:rowOff>133147</xdr:rowOff>
    </xdr:to>
    <xdr:pic macro="[0]!ImprimirPDFResumenPro">
      <xdr:nvPicPr>
        <xdr:cNvPr id="5" name="Imagen 4">
          <a:extLst>
            <a:ext uri="{FF2B5EF4-FFF2-40B4-BE49-F238E27FC236}">
              <a16:creationId xmlns:a16="http://schemas.microsoft.com/office/drawing/2014/main" id="{19CD513C-7FA8-470E-9758-47F4A8342C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0477" y="1301597"/>
          <a:ext cx="696583" cy="611818"/>
        </a:xfrm>
        <a:prstGeom prst="rect">
          <a:avLst/>
        </a:prstGeom>
      </xdr:spPr>
    </xdr:pic>
    <xdr:clientData/>
  </xdr:twoCellAnchor>
  <xdr:twoCellAnchor>
    <xdr:from>
      <xdr:col>5</xdr:col>
      <xdr:colOff>754219</xdr:colOff>
      <xdr:row>77</xdr:row>
      <xdr:rowOff>242209</xdr:rowOff>
    </xdr:from>
    <xdr:to>
      <xdr:col>12</xdr:col>
      <xdr:colOff>0</xdr:colOff>
      <xdr:row>88</xdr:row>
      <xdr:rowOff>38947</xdr:rowOff>
    </xdr:to>
    <xdr:graphicFrame macro="">
      <xdr:nvGraphicFramePr>
        <xdr:cNvPr id="10" name="Gráfico 9">
          <a:extLst>
            <a:ext uri="{FF2B5EF4-FFF2-40B4-BE49-F238E27FC236}">
              <a16:creationId xmlns:a16="http://schemas.microsoft.com/office/drawing/2014/main" id="{BA86276C-A667-4FB0-A163-D5056ED61D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20120</xdr:colOff>
      <xdr:row>6</xdr:row>
      <xdr:rowOff>233094</xdr:rowOff>
    </xdr:from>
    <xdr:to>
      <xdr:col>5</xdr:col>
      <xdr:colOff>10702</xdr:colOff>
      <xdr:row>17</xdr:row>
      <xdr:rowOff>11339</xdr:rowOff>
    </xdr:to>
    <mc:AlternateContent xmlns:mc="http://schemas.openxmlformats.org/markup-compatibility/2006" xmlns:a14="http://schemas.microsoft.com/office/drawing/2010/main">
      <mc:Choice Requires="a14">
        <xdr:graphicFrame macro="">
          <xdr:nvGraphicFramePr>
            <xdr:cNvPr id="6" name="Producto">
              <a:extLst>
                <a:ext uri="{FF2B5EF4-FFF2-40B4-BE49-F238E27FC236}">
                  <a16:creationId xmlns:a16="http://schemas.microsoft.com/office/drawing/2014/main" id="{CA921F21-D3E8-4735-ADED-6254A13CDC14}"/>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3198687" y="1998965"/>
              <a:ext cx="1874178" cy="2656512"/>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5</xdr:col>
      <xdr:colOff>1</xdr:colOff>
      <xdr:row>6</xdr:row>
      <xdr:rowOff>1</xdr:rowOff>
    </xdr:from>
    <xdr:to>
      <xdr:col>11</xdr:col>
      <xdr:colOff>791966</xdr:colOff>
      <xdr:row>21</xdr:row>
      <xdr:rowOff>0</xdr:rowOff>
    </xdr:to>
    <xdr:graphicFrame macro="">
      <xdr:nvGraphicFramePr>
        <xdr:cNvPr id="7" name="Gráfico 6">
          <a:extLst>
            <a:ext uri="{FF2B5EF4-FFF2-40B4-BE49-F238E27FC236}">
              <a16:creationId xmlns:a16="http://schemas.microsoft.com/office/drawing/2014/main" id="{8E95A622-2AF6-46B1-8D5F-5860B3E495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42809</xdr:colOff>
      <xdr:row>21</xdr:row>
      <xdr:rowOff>76815</xdr:rowOff>
    </xdr:from>
    <xdr:to>
      <xdr:col>7</xdr:col>
      <xdr:colOff>1145140</xdr:colOff>
      <xdr:row>33</xdr:row>
      <xdr:rowOff>34018</xdr:rowOff>
    </xdr:to>
    <xdr:graphicFrame macro="">
      <xdr:nvGraphicFramePr>
        <xdr:cNvPr id="12" name="Gráfico 11">
          <a:extLst>
            <a:ext uri="{FF2B5EF4-FFF2-40B4-BE49-F238E27FC236}">
              <a16:creationId xmlns:a16="http://schemas.microsoft.com/office/drawing/2014/main" id="{EB74CA6E-924B-4437-9CD7-FC31DA00F3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1148351</xdr:colOff>
      <xdr:row>21</xdr:row>
      <xdr:rowOff>53511</xdr:rowOff>
    </xdr:from>
    <xdr:to>
      <xdr:col>11</xdr:col>
      <xdr:colOff>772489</xdr:colOff>
      <xdr:row>33</xdr:row>
      <xdr:rowOff>45358</xdr:rowOff>
    </xdr:to>
    <mc:AlternateContent xmlns:mc="http://schemas.openxmlformats.org/markup-compatibility/2006" xmlns:a14="http://schemas.microsoft.com/office/drawing/2010/main">
      <mc:Choice Requires="a14">
        <xdr:graphicFrame macro="">
          <xdr:nvGraphicFramePr>
            <xdr:cNvPr id="18" name="FECHA">
              <a:extLst>
                <a:ext uri="{FF2B5EF4-FFF2-40B4-BE49-F238E27FC236}">
                  <a16:creationId xmlns:a16="http://schemas.microsoft.com/office/drawing/2014/main" id="{44CD9124-A1E6-4064-9B46-DDD54BE19AC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8859065" y="5575743"/>
              <a:ext cx="1823959" cy="230506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7</xdr:col>
      <xdr:colOff>612913</xdr:colOff>
      <xdr:row>2</xdr:row>
      <xdr:rowOff>99391</xdr:rowOff>
    </xdr:from>
    <xdr:to>
      <xdr:col>8</xdr:col>
      <xdr:colOff>1010478</xdr:colOff>
      <xdr:row>3</xdr:row>
      <xdr:rowOff>256761</xdr:rowOff>
    </xdr:to>
    <xdr:sp macro="[0]!IRMOVIMIENTO" textlink="">
      <xdr:nvSpPr>
        <xdr:cNvPr id="6" name="Rectángulo 5">
          <a:hlinkClick xmlns:r="http://schemas.openxmlformats.org/officeDocument/2006/relationships" r:id="rId1"/>
          <a:extLst>
            <a:ext uri="{FF2B5EF4-FFF2-40B4-BE49-F238E27FC236}">
              <a16:creationId xmlns:a16="http://schemas.microsoft.com/office/drawing/2014/main" id="{C9880A5C-2DD5-4FC0-84E9-F1BAC837FABD}"/>
            </a:ext>
          </a:extLst>
        </xdr:cNvPr>
        <xdr:cNvSpPr/>
      </xdr:nvSpPr>
      <xdr:spPr>
        <a:xfrm>
          <a:off x="10055087" y="480391"/>
          <a:ext cx="1325217" cy="34787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1600" b="1"/>
            <a:t>Movimiento</a:t>
          </a:r>
        </a:p>
      </xdr:txBody>
    </xdr:sp>
    <xdr:clientData/>
  </xdr:twoCellAnchor>
  <xdr:twoCellAnchor editAs="absolute">
    <xdr:from>
      <xdr:col>4</xdr:col>
      <xdr:colOff>465482</xdr:colOff>
      <xdr:row>1</xdr:row>
      <xdr:rowOff>1</xdr:rowOff>
    </xdr:from>
    <xdr:to>
      <xdr:col>6</xdr:col>
      <xdr:colOff>1225826</xdr:colOff>
      <xdr:row>3</xdr:row>
      <xdr:rowOff>298174</xdr:rowOff>
    </xdr:to>
    <mc:AlternateContent xmlns:mc="http://schemas.openxmlformats.org/markup-compatibility/2006" xmlns:sle15="http://schemas.microsoft.com/office/drawing/2012/slicer">
      <mc:Choice Requires="sle15">
        <xdr:graphicFrame macro="">
          <xdr:nvGraphicFramePr>
            <xdr:cNvPr id="7" name="EXISTENCIA DE INVENTARIO">
              <a:extLst>
                <a:ext uri="{FF2B5EF4-FFF2-40B4-BE49-F238E27FC236}">
                  <a16:creationId xmlns:a16="http://schemas.microsoft.com/office/drawing/2014/main" id="{9BF5F7AF-7981-46CF-8073-55AD65B9A82D}"/>
                </a:ext>
              </a:extLst>
            </xdr:cNvPr>
            <xdr:cNvGraphicFramePr/>
          </xdr:nvGraphicFramePr>
          <xdr:xfrm>
            <a:off x="0" y="0"/>
            <a:ext cx="0" cy="0"/>
          </xdr:xfrm>
          <a:graphic>
            <a:graphicData uri="http://schemas.microsoft.com/office/drawing/2010/slicer">
              <sle:slicer xmlns:sle="http://schemas.microsoft.com/office/drawing/2010/slicer" name="EXISTENCIA DE INVENTARIO"/>
            </a:graphicData>
          </a:graphic>
        </xdr:graphicFrame>
      </mc:Choice>
      <mc:Fallback xmlns="">
        <xdr:sp macro="" textlink="">
          <xdr:nvSpPr>
            <xdr:cNvPr id="0" name=""/>
            <xdr:cNvSpPr>
              <a:spLocks noTextEdit="1"/>
            </xdr:cNvSpPr>
          </xdr:nvSpPr>
          <xdr:spPr>
            <a:xfrm>
              <a:off x="5285960" y="190501"/>
              <a:ext cx="3841475" cy="679173"/>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absolute">
    <xdr:from>
      <xdr:col>4</xdr:col>
      <xdr:colOff>295274</xdr:colOff>
      <xdr:row>1</xdr:row>
      <xdr:rowOff>228600</xdr:rowOff>
    </xdr:from>
    <xdr:to>
      <xdr:col>8</xdr:col>
      <xdr:colOff>990599</xdr:colOff>
      <xdr:row>1</xdr:row>
      <xdr:rowOff>1200150</xdr:rowOff>
    </xdr:to>
    <mc:AlternateContent xmlns:mc="http://schemas.openxmlformats.org/markup-compatibility/2006" xmlns:sle15="http://schemas.microsoft.com/office/drawing/2012/slicer">
      <mc:Choice Requires="sle15">
        <xdr:graphicFrame macro="">
          <xdr:nvGraphicFramePr>
            <xdr:cNvPr id="45" name="Producto 1">
              <a:extLst>
                <a:ext uri="{FF2B5EF4-FFF2-40B4-BE49-F238E27FC236}">
                  <a16:creationId xmlns:a16="http://schemas.microsoft.com/office/drawing/2014/main" id="{CFD26D0D-C831-41D1-AFCD-1C90076495B9}"/>
                </a:ext>
              </a:extLst>
            </xdr:cNvPr>
            <xdr:cNvGraphicFramePr/>
          </xdr:nvGraphicFramePr>
          <xdr:xfrm>
            <a:off x="0" y="0"/>
            <a:ext cx="0" cy="0"/>
          </xdr:xfrm>
          <a:graphic>
            <a:graphicData uri="http://schemas.microsoft.com/office/drawing/2010/slicer">
              <sle:slicer xmlns:sle="http://schemas.microsoft.com/office/drawing/2010/slicer" name="Producto 1"/>
            </a:graphicData>
          </a:graphic>
        </xdr:graphicFrame>
      </mc:Choice>
      <mc:Fallback xmlns="">
        <xdr:sp macro="" textlink="">
          <xdr:nvSpPr>
            <xdr:cNvPr id="0" name=""/>
            <xdr:cNvSpPr>
              <a:spLocks noTextEdit="1"/>
            </xdr:cNvSpPr>
          </xdr:nvSpPr>
          <xdr:spPr>
            <a:xfrm>
              <a:off x="4324349" y="419100"/>
              <a:ext cx="6029325" cy="97155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xdr:from>
      <xdr:col>9</xdr:col>
      <xdr:colOff>352425</xdr:colOff>
      <xdr:row>1</xdr:row>
      <xdr:rowOff>552450</xdr:rowOff>
    </xdr:from>
    <xdr:to>
      <xdr:col>10</xdr:col>
      <xdr:colOff>28575</xdr:colOff>
      <xdr:row>1</xdr:row>
      <xdr:rowOff>1162050</xdr:rowOff>
    </xdr:to>
    <xdr:sp macro="" textlink="">
      <xdr:nvSpPr>
        <xdr:cNvPr id="54" name="Flecha: hacia abajo 53">
          <a:extLst>
            <a:ext uri="{FF2B5EF4-FFF2-40B4-BE49-F238E27FC236}">
              <a16:creationId xmlns:a16="http://schemas.microsoft.com/office/drawing/2014/main" id="{5BC08F7B-C4AD-4373-9A7F-6EA6B7094218}"/>
            </a:ext>
          </a:extLst>
        </xdr:cNvPr>
        <xdr:cNvSpPr/>
      </xdr:nvSpPr>
      <xdr:spPr>
        <a:xfrm>
          <a:off x="10715625" y="742950"/>
          <a:ext cx="438150" cy="6096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10</xdr:col>
      <xdr:colOff>95250</xdr:colOff>
      <xdr:row>1</xdr:row>
      <xdr:rowOff>571500</xdr:rowOff>
    </xdr:from>
    <xdr:to>
      <xdr:col>10</xdr:col>
      <xdr:colOff>533400</xdr:colOff>
      <xdr:row>1</xdr:row>
      <xdr:rowOff>1152525</xdr:rowOff>
    </xdr:to>
    <xdr:sp macro="" textlink="">
      <xdr:nvSpPr>
        <xdr:cNvPr id="56" name="Flecha: hacia abajo 55">
          <a:extLst>
            <a:ext uri="{FF2B5EF4-FFF2-40B4-BE49-F238E27FC236}">
              <a16:creationId xmlns:a16="http://schemas.microsoft.com/office/drawing/2014/main" id="{6A0040AC-0504-4C7F-860A-2B4E3AC39739}"/>
            </a:ext>
          </a:extLst>
        </xdr:cNvPr>
        <xdr:cNvSpPr/>
      </xdr:nvSpPr>
      <xdr:spPr>
        <a:xfrm rot="10800000">
          <a:off x="11220450" y="762000"/>
          <a:ext cx="438150" cy="5810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absolute">
    <xdr:from>
      <xdr:col>1</xdr:col>
      <xdr:colOff>523875</xdr:colOff>
      <xdr:row>1</xdr:row>
      <xdr:rowOff>190501</xdr:rowOff>
    </xdr:from>
    <xdr:to>
      <xdr:col>3</xdr:col>
      <xdr:colOff>28575</xdr:colOff>
      <xdr:row>1</xdr:row>
      <xdr:rowOff>1181101</xdr:rowOff>
    </xdr:to>
    <mc:AlternateContent xmlns:mc="http://schemas.openxmlformats.org/markup-compatibility/2006" xmlns:sle15="http://schemas.microsoft.com/office/drawing/2012/slicer">
      <mc:Choice Requires="sle15">
        <xdr:graphicFrame macro="">
          <xdr:nvGraphicFramePr>
            <xdr:cNvPr id="3" name="Ent-Sal">
              <a:extLst>
                <a:ext uri="{FF2B5EF4-FFF2-40B4-BE49-F238E27FC236}">
                  <a16:creationId xmlns:a16="http://schemas.microsoft.com/office/drawing/2014/main" id="{EEC0D3C4-B9CF-44DF-9479-50BF75DCD8ED}"/>
                </a:ext>
              </a:extLst>
            </xdr:cNvPr>
            <xdr:cNvGraphicFramePr/>
          </xdr:nvGraphicFramePr>
          <xdr:xfrm>
            <a:off x="0" y="0"/>
            <a:ext cx="0" cy="0"/>
          </xdr:xfrm>
          <a:graphic>
            <a:graphicData uri="http://schemas.microsoft.com/office/drawing/2010/slicer">
              <sle:slicer xmlns:sle="http://schemas.microsoft.com/office/drawing/2010/slicer" name="Ent-Sal"/>
            </a:graphicData>
          </a:graphic>
        </xdr:graphicFrame>
      </mc:Choice>
      <mc:Fallback xmlns="">
        <xdr:sp macro="" textlink="">
          <xdr:nvSpPr>
            <xdr:cNvPr id="0" name=""/>
            <xdr:cNvSpPr>
              <a:spLocks noTextEdit="1"/>
            </xdr:cNvSpPr>
          </xdr:nvSpPr>
          <xdr:spPr>
            <a:xfrm>
              <a:off x="1285875" y="381001"/>
              <a:ext cx="1828800" cy="9906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514350</xdr:colOff>
      <xdr:row>2</xdr:row>
      <xdr:rowOff>9525</xdr:rowOff>
    </xdr:from>
    <xdr:to>
      <xdr:col>9</xdr:col>
      <xdr:colOff>57150</xdr:colOff>
      <xdr:row>15</xdr:row>
      <xdr:rowOff>57150</xdr:rowOff>
    </xdr:to>
    <mc:AlternateContent xmlns:mc="http://schemas.openxmlformats.org/markup-compatibility/2006" xmlns:a14="http://schemas.microsoft.com/office/drawing/2010/main">
      <mc:Choice Requires="a14">
        <xdr:graphicFrame macro="">
          <xdr:nvGraphicFramePr>
            <xdr:cNvPr id="2" name="Producto 2">
              <a:extLst>
                <a:ext uri="{FF2B5EF4-FFF2-40B4-BE49-F238E27FC236}">
                  <a16:creationId xmlns:a16="http://schemas.microsoft.com/office/drawing/2014/main" id="{6C18F9C3-0465-45C3-B432-5F58EB878EB5}"/>
                </a:ext>
              </a:extLst>
            </xdr:cNvPr>
            <xdr:cNvGraphicFramePr/>
          </xdr:nvGraphicFramePr>
          <xdr:xfrm>
            <a:off x="0" y="0"/>
            <a:ext cx="0" cy="0"/>
          </xdr:xfrm>
          <a:graphic>
            <a:graphicData uri="http://schemas.microsoft.com/office/drawing/2010/slicer">
              <sle:slicer xmlns:sle="http://schemas.microsoft.com/office/drawing/2010/slicer" name="Producto 2"/>
            </a:graphicData>
          </a:graphic>
        </xdr:graphicFrame>
      </mc:Choice>
      <mc:Fallback xmlns="">
        <xdr:sp macro="" textlink="">
          <xdr:nvSpPr>
            <xdr:cNvPr id="0" name=""/>
            <xdr:cNvSpPr>
              <a:spLocks noTextEdit="1"/>
            </xdr:cNvSpPr>
          </xdr:nvSpPr>
          <xdr:spPr>
            <a:xfrm>
              <a:off x="5267325" y="847725"/>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342900</xdr:colOff>
      <xdr:row>2</xdr:row>
      <xdr:rowOff>1</xdr:rowOff>
    </xdr:from>
    <xdr:to>
      <xdr:col>11</xdr:col>
      <xdr:colOff>647700</xdr:colOff>
      <xdr:row>12</xdr:row>
      <xdr:rowOff>57150</xdr:rowOff>
    </xdr:to>
    <mc:AlternateContent xmlns:mc="http://schemas.openxmlformats.org/markup-compatibility/2006" xmlns:a14="http://schemas.microsoft.com/office/drawing/2010/main">
      <mc:Choice Requires="a14">
        <xdr:graphicFrame macro="">
          <xdr:nvGraphicFramePr>
            <xdr:cNvPr id="3" name="Existencia">
              <a:extLst>
                <a:ext uri="{FF2B5EF4-FFF2-40B4-BE49-F238E27FC236}">
                  <a16:creationId xmlns:a16="http://schemas.microsoft.com/office/drawing/2014/main" id="{6CCCA5A5-298E-41CA-8FAE-1CB05E1F2659}"/>
                </a:ext>
              </a:extLst>
            </xdr:cNvPr>
            <xdr:cNvGraphicFramePr/>
          </xdr:nvGraphicFramePr>
          <xdr:xfrm>
            <a:off x="0" y="0"/>
            <a:ext cx="0" cy="0"/>
          </xdr:xfrm>
          <a:graphic>
            <a:graphicData uri="http://schemas.microsoft.com/office/drawing/2010/slicer">
              <sle:slicer xmlns:sle="http://schemas.microsoft.com/office/drawing/2010/slicer" name="Existencia"/>
            </a:graphicData>
          </a:graphic>
        </xdr:graphicFrame>
      </mc:Choice>
      <mc:Fallback xmlns="">
        <xdr:sp macro="" textlink="">
          <xdr:nvSpPr>
            <xdr:cNvPr id="0" name=""/>
            <xdr:cNvSpPr>
              <a:spLocks noTextEdit="1"/>
            </xdr:cNvSpPr>
          </xdr:nvSpPr>
          <xdr:spPr>
            <a:xfrm>
              <a:off x="7381875" y="838201"/>
              <a:ext cx="1828800" cy="19621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11</xdr:col>
      <xdr:colOff>752475</xdr:colOff>
      <xdr:row>1</xdr:row>
      <xdr:rowOff>185737</xdr:rowOff>
    </xdr:from>
    <xdr:to>
      <xdr:col>17</xdr:col>
      <xdr:colOff>752475</xdr:colOff>
      <xdr:row>16</xdr:row>
      <xdr:rowOff>71437</xdr:rowOff>
    </xdr:to>
    <xdr:graphicFrame macro="">
      <xdr:nvGraphicFramePr>
        <xdr:cNvPr id="4" name="Gráfico 3">
          <a:extLst>
            <a:ext uri="{FF2B5EF4-FFF2-40B4-BE49-F238E27FC236}">
              <a16:creationId xmlns:a16="http://schemas.microsoft.com/office/drawing/2014/main" id="{1851FF61-F72E-4DE1-95EB-32DCBCEBDF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285750</xdr:colOff>
      <xdr:row>1</xdr:row>
      <xdr:rowOff>66675</xdr:rowOff>
    </xdr:from>
    <xdr:to>
      <xdr:col>4</xdr:col>
      <xdr:colOff>1362075</xdr:colOff>
      <xdr:row>1</xdr:row>
      <xdr:rowOff>495300</xdr:rowOff>
    </xdr:to>
    <xdr:sp macro="[2]!GuardarFactura" textlink="">
      <xdr:nvSpPr>
        <xdr:cNvPr id="2" name="Rectángulo 1">
          <a:extLst>
            <a:ext uri="{FF2B5EF4-FFF2-40B4-BE49-F238E27FC236}">
              <a16:creationId xmlns:a16="http://schemas.microsoft.com/office/drawing/2014/main" id="{2438DBD6-C2E2-483B-A9E0-C6E724772A35}"/>
            </a:ext>
          </a:extLst>
        </xdr:cNvPr>
        <xdr:cNvSpPr/>
      </xdr:nvSpPr>
      <xdr:spPr bwMode="auto">
        <a:xfrm>
          <a:off x="4924425" y="504825"/>
          <a:ext cx="1885950" cy="428625"/>
        </a:xfrm>
        <a:prstGeom prst="rect">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wrap="square" lIns="18288" tIns="0" rIns="0" bIns="0" rtlCol="0" anchor="ctr" upright="1"/>
        <a:lstStyle/>
        <a:p>
          <a:pPr algn="ctr"/>
          <a:r>
            <a:rPr lang="es-MX" sz="1600">
              <a:solidFill>
                <a:schemeClr val="bg1"/>
              </a:solidFill>
            </a:rPr>
            <a:t>Guardar</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9</xdr:col>
      <xdr:colOff>361950</xdr:colOff>
      <xdr:row>3</xdr:row>
      <xdr:rowOff>85725</xdr:rowOff>
    </xdr:from>
    <xdr:to>
      <xdr:col>11</xdr:col>
      <xdr:colOff>133350</xdr:colOff>
      <xdr:row>7</xdr:row>
      <xdr:rowOff>0</xdr:rowOff>
    </xdr:to>
    <xdr:sp macro="[0]!Abrirayuda1formulario" textlink="">
      <xdr:nvSpPr>
        <xdr:cNvPr id="2" name="Rectángulo: esquinas redondeadas 1">
          <a:extLst>
            <a:ext uri="{FF2B5EF4-FFF2-40B4-BE49-F238E27FC236}">
              <a16:creationId xmlns:a16="http://schemas.microsoft.com/office/drawing/2014/main" id="{99721F14-32A5-4372-8EB3-1789A76E4755}"/>
            </a:ext>
          </a:extLst>
        </xdr:cNvPr>
        <xdr:cNvSpPr/>
      </xdr:nvSpPr>
      <xdr:spPr>
        <a:xfrm>
          <a:off x="10601325" y="657225"/>
          <a:ext cx="1295400" cy="723900"/>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s-CO" sz="1100"/>
            <a:t>AYUDA</a:t>
          </a:r>
          <a:r>
            <a:rPr lang="es-CO" sz="1100" baseline="0"/>
            <a:t> PARA ENTRAR DATOS AUTOMATICOS</a:t>
          </a:r>
          <a:endParaRPr lang="es-CO" sz="1100"/>
        </a:p>
      </xdr:txBody>
    </xdr:sp>
    <xdr:clientData/>
  </xdr:twoCellAnchor>
  <xdr:oneCellAnchor>
    <xdr:from>
      <xdr:col>2</xdr:col>
      <xdr:colOff>320442</xdr:colOff>
      <xdr:row>0</xdr:row>
      <xdr:rowOff>31248</xdr:rowOff>
    </xdr:from>
    <xdr:ext cx="8426922" cy="718466"/>
    <xdr:sp macro="" textlink="">
      <xdr:nvSpPr>
        <xdr:cNvPr id="5" name="Rectángulo 4">
          <a:extLst>
            <a:ext uri="{FF2B5EF4-FFF2-40B4-BE49-F238E27FC236}">
              <a16:creationId xmlns:a16="http://schemas.microsoft.com/office/drawing/2014/main" id="{349EF720-87AD-49E6-801E-0A4BF327A9A4}"/>
            </a:ext>
          </a:extLst>
        </xdr:cNvPr>
        <xdr:cNvSpPr/>
      </xdr:nvSpPr>
      <xdr:spPr>
        <a:xfrm>
          <a:off x="1911117" y="31248"/>
          <a:ext cx="8426922" cy="718466"/>
        </a:xfrm>
        <a:prstGeom prst="rect">
          <a:avLst/>
        </a:prstGeom>
      </xdr:spPr>
      <xdr:style>
        <a:lnRef idx="0">
          <a:schemeClr val="accent3"/>
        </a:lnRef>
        <a:fillRef idx="3">
          <a:schemeClr val="accent3"/>
        </a:fillRef>
        <a:effectRef idx="3">
          <a:schemeClr val="accent3"/>
        </a:effectRef>
        <a:fontRef idx="minor">
          <a:schemeClr val="lt1"/>
        </a:fontRef>
      </xdr:style>
      <xdr:txBody>
        <a:bodyPr wrap="none" lIns="91440" tIns="45720" rIns="91440" bIns="45720">
          <a:spAutoFit/>
        </a:bodyPr>
        <a:lstStyle/>
        <a:p>
          <a:pPr algn="ctr"/>
          <a:r>
            <a:rPr lang="es-ES" sz="4000" b="1" cap="none" spc="0">
              <a:ln w="12700">
                <a:solidFill>
                  <a:schemeClr val="accent3">
                    <a:lumMod val="50000"/>
                  </a:schemeClr>
                </a:solidFill>
                <a:prstDash val="solid"/>
              </a:ln>
              <a:solidFill>
                <a:srgbClr val="FFFF00"/>
              </a:solidFill>
              <a:effectLst>
                <a:innerShdw blurRad="177800">
                  <a:schemeClr val="accent3">
                    <a:lumMod val="50000"/>
                  </a:schemeClr>
                </a:innerShdw>
              </a:effectLst>
            </a:rPr>
            <a:t>Formulario</a:t>
          </a:r>
          <a:r>
            <a:rPr lang="es-ES" sz="4000" b="1" cap="none" spc="0" baseline="0">
              <a:ln w="12700">
                <a:solidFill>
                  <a:schemeClr val="accent3">
                    <a:lumMod val="50000"/>
                  </a:schemeClr>
                </a:solidFill>
                <a:prstDash val="solid"/>
              </a:ln>
              <a:solidFill>
                <a:srgbClr val="FFFF00"/>
              </a:solidFill>
              <a:effectLst>
                <a:innerShdw blurRad="177800">
                  <a:schemeClr val="accent3">
                    <a:lumMod val="50000"/>
                  </a:schemeClr>
                </a:innerShdw>
              </a:effectLst>
            </a:rPr>
            <a:t> de entrada de Proveedores</a:t>
          </a:r>
          <a:endParaRPr lang="es-ES" sz="4000" b="1" cap="none" spc="0">
            <a:ln w="12700">
              <a:solidFill>
                <a:schemeClr val="accent3">
                  <a:lumMod val="50000"/>
                </a:schemeClr>
              </a:solidFill>
              <a:prstDash val="solid"/>
            </a:ln>
            <a:solidFill>
              <a:srgbClr val="FFFF00"/>
            </a:solidFill>
            <a:effectLst>
              <a:innerShdw blurRad="177800">
                <a:schemeClr val="accent3">
                  <a:lumMod val="50000"/>
                </a:schemeClr>
              </a:innerShdw>
            </a:effectLst>
          </a:endParaRPr>
        </a:p>
      </xdr:txBody>
    </xdr:sp>
    <xdr:clientData/>
  </xdr:oneCellAnchor>
  <xdr:twoCellAnchor>
    <xdr:from>
      <xdr:col>9</xdr:col>
      <xdr:colOff>371475</xdr:colOff>
      <xdr:row>7</xdr:row>
      <xdr:rowOff>66675</xdr:rowOff>
    </xdr:from>
    <xdr:to>
      <xdr:col>11</xdr:col>
      <xdr:colOff>142875</xdr:colOff>
      <xdr:row>11</xdr:row>
      <xdr:rowOff>28575</xdr:rowOff>
    </xdr:to>
    <xdr:sp macro="[0]!Abrirayuda1formulario" textlink="">
      <xdr:nvSpPr>
        <xdr:cNvPr id="7" name="Rectángulo: esquinas redondeadas 6">
          <a:hlinkClick xmlns:r="http://schemas.openxmlformats.org/officeDocument/2006/relationships" r:id="rId1"/>
          <a:extLst>
            <a:ext uri="{FF2B5EF4-FFF2-40B4-BE49-F238E27FC236}">
              <a16:creationId xmlns:a16="http://schemas.microsoft.com/office/drawing/2014/main" id="{BC4B9F46-A6F9-47BE-8446-C84C27B29693}"/>
            </a:ext>
          </a:extLst>
        </xdr:cNvPr>
        <xdr:cNvSpPr/>
      </xdr:nvSpPr>
      <xdr:spPr>
        <a:xfrm>
          <a:off x="11296650" y="1447800"/>
          <a:ext cx="1295400" cy="723900"/>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100" b="1"/>
            <a:t>MENU</a:t>
          </a:r>
        </a:p>
        <a:p>
          <a:pPr algn="ctr"/>
          <a:r>
            <a:rPr lang="es-CO" sz="1100" b="1"/>
            <a:t>INICIAL</a:t>
          </a:r>
        </a:p>
      </xdr:txBody>
    </xdr:sp>
    <xdr:clientData/>
  </xdr:twoCellAnchor>
  <xdr:twoCellAnchor>
    <xdr:from>
      <xdr:col>3</xdr:col>
      <xdr:colOff>1147010</xdr:colOff>
      <xdr:row>12</xdr:row>
      <xdr:rowOff>5014</xdr:rowOff>
    </xdr:from>
    <xdr:to>
      <xdr:col>4</xdr:col>
      <xdr:colOff>2429376</xdr:colOff>
      <xdr:row>26</xdr:row>
      <xdr:rowOff>52640</xdr:rowOff>
    </xdr:to>
    <xdr:sp macro="[0]!Cerrarayuda1formulario" textlink="">
      <xdr:nvSpPr>
        <xdr:cNvPr id="4" name="Ayuda1" hidden="1">
          <a:extLst>
            <a:ext uri="{FF2B5EF4-FFF2-40B4-BE49-F238E27FC236}">
              <a16:creationId xmlns:a16="http://schemas.microsoft.com/office/drawing/2014/main" id="{4E55ABBC-AEAE-4BB3-947C-BDFD1016F9A8}"/>
            </a:ext>
          </a:extLst>
        </xdr:cNvPr>
        <xdr:cNvSpPr/>
      </xdr:nvSpPr>
      <xdr:spPr>
        <a:xfrm>
          <a:off x="3503194" y="2341146"/>
          <a:ext cx="3187366" cy="2714626"/>
        </a:xfrm>
        <a:prstGeom prst="wedgeRoundRectCallout">
          <a:avLst>
            <a:gd name="adj1" fmla="val -119473"/>
            <a:gd name="adj2" fmla="val -129100"/>
            <a:gd name="adj3" fmla="val 16667"/>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1100"/>
            <a:t>POR FAVOR SI QUIERE INICIAR EL FORMULARIO AUTOMATICO</a:t>
          </a:r>
          <a:r>
            <a:rPr lang="es-CO" sz="1100" baseline="0"/>
            <a:t> IR A LA </a:t>
          </a:r>
          <a:r>
            <a:rPr lang="es-CO" sz="1400" b="1" baseline="0">
              <a:solidFill>
                <a:srgbClr val="FF0000"/>
              </a:solidFill>
            </a:rPr>
            <a:t>PESTAÑA  GRUPO ESPECIAL </a:t>
          </a:r>
          <a:r>
            <a:rPr lang="es-CO" sz="1100" baseline="0"/>
            <a:t>Y DALE CLIP AL </a:t>
          </a:r>
          <a:r>
            <a:rPr lang="es-CO" sz="1400" b="1" baseline="0">
              <a:solidFill>
                <a:srgbClr val="FF0000"/>
              </a:solidFill>
            </a:rPr>
            <a:t>FORMULARIO</a:t>
          </a:r>
        </a:p>
        <a:p>
          <a:pPr algn="ctr"/>
          <a:endParaRPr lang="es-CO" sz="1100" baseline="0"/>
        </a:p>
        <a:p>
          <a:pPr algn="ctr"/>
          <a:r>
            <a:rPr lang="es-CO" sz="1100" baseline="0"/>
            <a:t>NOTA:ANTES DE REALIZAR LO ANTERIOR  SITUATE DENTRO DE LA </a:t>
          </a:r>
          <a:r>
            <a:rPr lang="es-CO" sz="1100" b="1" baseline="0">
              <a:solidFill>
                <a:srgbClr val="FF0000"/>
              </a:solidFill>
            </a:rPr>
            <a:t>TABLA</a:t>
          </a:r>
          <a:r>
            <a:rPr lang="es-CO" sz="1100" baseline="0"/>
            <a:t> Y DALE CLIP A CUALQUIER CELDA PERTENECIENTE A ESTA</a:t>
          </a:r>
        </a:p>
        <a:p>
          <a:pPr algn="ctr"/>
          <a:endParaRPr lang="es-CO" sz="1100" baseline="0"/>
        </a:p>
        <a:p>
          <a:pPr algn="ctr"/>
          <a:r>
            <a:rPr lang="es-CO" sz="1100" baseline="0"/>
            <a:t>*****DELE CLIP A LA FIGURA PARA CERRARLA******** </a:t>
          </a:r>
        </a:p>
        <a:p>
          <a:pPr algn="l"/>
          <a:endParaRPr lang="es-CO" sz="1100" baseline="0"/>
        </a:p>
        <a:p>
          <a:pPr algn="l"/>
          <a:r>
            <a:rPr lang="es-CO" sz="1100" b="1" baseline="0">
              <a:solidFill>
                <a:srgbClr val="FF0000"/>
              </a:solidFill>
            </a:rPr>
            <a:t>BeEcoInformacion</a:t>
          </a:r>
          <a:endParaRPr lang="es-CO"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el/Desktop/Sistema%20Contable/Sistema%20Contabl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ngel/Downloads/Factura%20en%20Excel%20Parte%202%20&#8211;%20Guardar%20detalle%20de%20facturas%20-%20EXCELeINFO/Factura%20en%20Excel%20Parte%202%20&#8211;%20Guardar%20detalle%20de%20facturas%20-%20EXCELeINF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teriales"/>
      <sheetName val="Entradas"/>
      <sheetName val="Salidas"/>
      <sheetName val="Proveedores"/>
      <sheetName val="Desglose MP"/>
      <sheetName val="Costo Productos"/>
      <sheetName val="Clientes"/>
      <sheetName val="Factura"/>
      <sheetName val="Detalle de Facturas"/>
      <sheetName val="Precios"/>
      <sheetName val="Sistema Contable"/>
    </sheetNames>
    <definedNames>
      <definedName name="insertar_fila"/>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ura"/>
      <sheetName val="Detalle de facturas"/>
      <sheetName val="Hoja1"/>
      <sheetName val="EXCELeINFO1"/>
      <sheetName val="Clientes"/>
      <sheetName val="Producto"/>
      <sheetName val="Factura en Excel Parte 2 – Guar"/>
    </sheetNames>
    <definedNames>
      <definedName name="GuardarFactura"/>
    </definedNames>
    <sheetDataSet>
      <sheetData sheetId="0" refreshError="1"/>
      <sheetData sheetId="1" refreshError="1">
        <row r="1">
          <cell r="I1">
            <v>2</v>
          </cell>
        </row>
      </sheetData>
      <sheetData sheetId="2" refreshError="1"/>
      <sheetData sheetId="3" refreshError="1"/>
      <sheetData sheetId="4" refreshError="1"/>
      <sheetData sheetId="5" refreshError="1"/>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Joaquin Ibañez HIdalgo" refreshedDate="44195.650085185189" createdVersion="6" refreshedVersion="6" minRefreshableVersion="3" recordCount="8" xr:uid="{E1F5EE3A-E501-401B-9C58-9A4D9133C9DB}">
  <cacheSource type="worksheet">
    <worksheetSource name="Productos"/>
  </cacheSource>
  <cacheFields count="7">
    <cacheField name="Codigo" numFmtId="0">
      <sharedItems/>
    </cacheField>
    <cacheField name="Producto" numFmtId="0">
      <sharedItems count="9">
        <s v="Lavaplatos Liquido"/>
        <s v="Lavaplatos en Crema"/>
        <s v="Detergente de Ropa"/>
        <s v="Multiuso Desengrasante"/>
        <s v="Desinfectante Herbal"/>
        <s v="Suavizante de Ropa"/>
        <s v="Cloro Jabonoso"/>
        <s v="Multi-Cerámica"/>
        <s v="Multi_Baño" u="1"/>
      </sharedItems>
    </cacheField>
    <cacheField name="Orden de produccion" numFmtId="0">
      <sharedItems/>
    </cacheField>
    <cacheField name="N° Lote" numFmtId="0">
      <sharedItems/>
    </cacheField>
    <cacheField name="Cantidad" numFmtId="0">
      <sharedItems containsSemiMixedTypes="0" containsString="0" containsNumber="1" containsInteger="1" minValue="200" maxValue="400"/>
    </cacheField>
    <cacheField name="Funciones" numFmtId="0">
      <sharedItems containsSemiMixedTypes="0" containsString="0" containsNumber="1" containsInteger="1" minValue="1" maxValue="8"/>
    </cacheField>
    <cacheField name="Selector" numFmtId="0">
      <sharedItems count="8">
        <s v="Be-1 Lavaplatos Liquido"/>
        <s v="Be-2 Lavaplatos en Crema"/>
        <s v="Be-3 Detergente de Ropa"/>
        <s v="Be-4 Multiuso Desengrasante"/>
        <s v="Be-5 Desinfectante Herbal"/>
        <s v="Be-6 Suavizante de Ropa"/>
        <s v="Be-7 Cloro Jabonoso"/>
        <s v="Be-8 Multi-Cerámica"/>
      </sharedItems>
    </cacheField>
  </cacheFields>
  <extLst>
    <ext xmlns:x14="http://schemas.microsoft.com/office/spreadsheetml/2009/9/main" uri="{725AE2AE-9491-48be-B2B4-4EB974FC3084}">
      <x14:pivotCacheDefinition pivotCacheId="21266687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Joaquin Ibañez HIdalgo" refreshedDate="44198.567873726854" createdVersion="6" refreshedVersion="6" minRefreshableVersion="3" recordCount="7" xr:uid="{535F8398-F76E-4002-A185-C44E798B045E}">
  <cacheSource type="worksheet">
    <worksheetSource name="TblCalidad"/>
  </cacheSource>
  <cacheFields count="13">
    <cacheField name="Fecha" numFmtId="170">
      <sharedItems containsSemiMixedTypes="0" containsNonDate="0" containsDate="1" containsString="0" minDate="2020-11-25T00:00:00" maxDate="2020-12-26T00:00:00" count="2">
        <d v="2020-12-25T00:00:00"/>
        <d v="2020-11-25T00:00:00"/>
      </sharedItems>
    </cacheField>
    <cacheField name="Codigo" numFmtId="0">
      <sharedItems/>
    </cacheField>
    <cacheField name="Producto" numFmtId="0">
      <sharedItems count="5">
        <s v="Lavaplatos en Crema"/>
        <s v="Cloro Jabonoso"/>
        <s v="Lavaplatos Liquido"/>
        <s v="Multi-Cerámica"/>
        <s v="Suavizante de Ropa"/>
      </sharedItems>
    </cacheField>
    <cacheField name="Orden" numFmtId="165">
      <sharedItems/>
    </cacheField>
    <cacheField name="Lote" numFmtId="0">
      <sharedItems/>
    </cacheField>
    <cacheField name="Cantidad" numFmtId="1">
      <sharedItems containsSemiMixedTypes="0" containsString="0" containsNumber="1" containsInteger="1" minValue="240" maxValue="400"/>
    </cacheField>
    <cacheField name="PH" numFmtId="1">
      <sharedItems containsSemiMixedTypes="0" containsString="0" containsNumber="1" minValue="6.8" maxValue="11" count="7">
        <n v="9.4"/>
        <n v="10.3"/>
        <n v="9.5"/>
        <n v="6.8"/>
        <n v="11"/>
        <n v="7.5"/>
        <n v="10"/>
      </sharedItems>
    </cacheField>
    <cacheField name="Viscosidad" numFmtId="1">
      <sharedItems containsSemiMixedTypes="0" containsString="0" containsNumber="1" containsInteger="1" minValue="0" maxValue="98"/>
    </cacheField>
    <cacheField name="Densidad" numFmtId="1">
      <sharedItems containsMixedTypes="1" containsNumber="1" minValue="0" maxValue="1.3"/>
    </cacheField>
    <cacheField name="Concentracion" numFmtId="1">
      <sharedItems containsSemiMixedTypes="0" containsString="0" containsNumber="1" minValue="0" maxValue="28"/>
    </cacheField>
    <cacheField name="Apariencia" numFmtId="1">
      <sharedItems/>
    </cacheField>
    <cacheField name="Color" numFmtId="1">
      <sharedItems/>
    </cacheField>
    <cacheField name="Olor" numFmtId="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Joaquin Ibañez HIdalgo" refreshedDate="44211.674184490737" createdVersion="6" refreshedVersion="6" minRefreshableVersion="3" recordCount="26" xr:uid="{4DA113C4-91BD-4384-98B2-8AC7D945CE02}">
  <cacheSource type="worksheet">
    <worksheetSource name="Tabla6"/>
  </cacheSource>
  <cacheFields count="8">
    <cacheField name="Fecha" numFmtId="0">
      <sharedItems containsNonDate="0" containsDate="1" containsString="0" containsBlank="1" minDate="2021-01-05T00:00:00" maxDate="2021-01-21T00:00:00"/>
    </cacheField>
    <cacheField name="Movimiento" numFmtId="0">
      <sharedItems containsBlank="1"/>
    </cacheField>
    <cacheField name="Codigo" numFmtId="0">
      <sharedItems/>
    </cacheField>
    <cacheField name="Producto" numFmtId="0">
      <sharedItems count="8">
        <s v="Suavizante de Ropa"/>
        <s v="Lavaplatos Liquido"/>
        <s v="Lavaplatos en Crema"/>
        <s v="Detergente de Ropa"/>
        <s v="Multiuso Desengrasante"/>
        <s v="Desinfectante Herbal"/>
        <s v="Cloro Jabonoso"/>
        <s v="Multi-Cerámica"/>
      </sharedItems>
    </cacheField>
    <cacheField name="Unidad" numFmtId="0">
      <sharedItems/>
    </cacheField>
    <cacheField name="Existencia" numFmtId="0">
      <sharedItems containsSemiMixedTypes="0" containsString="0" containsNumber="1" containsInteger="1" minValue="0" maxValue="610" count="6">
        <n v="480"/>
        <n v="30"/>
        <n v="170"/>
        <n v="0"/>
        <n v="140"/>
        <n v="610"/>
      </sharedItems>
    </cacheField>
    <cacheField name="Ent-Sal" numFmtId="0">
      <sharedItems count="2">
        <s v="ENTRADA"/>
        <s v="SALIDA"/>
      </sharedItems>
    </cacheField>
    <cacheField name="Cantidad" numFmtId="0">
      <sharedItems containsSemiMixedTypes="0" containsString="0" containsNumber="1" containsInteger="1" minValue="-550" maxValue="500"/>
    </cacheField>
  </cacheFields>
  <extLst>
    <ext xmlns:x14="http://schemas.microsoft.com/office/spreadsheetml/2009/9/main" uri="{725AE2AE-9491-48be-B2B4-4EB974FC3084}">
      <x14:pivotCacheDefinition pivotCacheId="10000114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a De los Ángeles Parra" refreshedDate="44225.886885069442" createdVersion="6" refreshedVersion="6" minRefreshableVersion="3" recordCount="32" xr:uid="{5F6FEC4C-BDFA-4841-8370-B42CACF83530}">
  <cacheSource type="worksheet">
    <worksheetSource name="TablaOrdenesMensual"/>
  </cacheSource>
  <cacheFields count="8">
    <cacheField name="FECHA" numFmtId="168">
      <sharedItems containsSemiMixedTypes="0" containsNonDate="0" containsDate="1" containsString="0" minDate="2020-11-06T00:00:00" maxDate="2020-12-30T00:00:00" count="10">
        <d v="2020-12-29T00:00:00"/>
        <d v="2020-12-28T00:00:00"/>
        <d v="2020-12-04T00:00:00"/>
        <d v="2020-12-26T00:00:00"/>
        <d v="2020-11-24T00:00:00"/>
        <d v="2020-11-23T00:00:00"/>
        <d v="2020-11-19T00:00:00"/>
        <d v="2020-11-11T00:00:00"/>
        <d v="2020-11-07T00:00:00"/>
        <d v="2020-11-06T00:00:00"/>
      </sharedItems>
      <fieldGroup par="7" base="0">
        <rangePr groupBy="days" startDate="2020-11-06T00:00:00" endDate="2020-12-30T00:00:00"/>
        <groupItems count="368">
          <s v="&lt;6/11/2020"/>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30/12/2020"/>
        </groupItems>
      </fieldGroup>
    </cacheField>
    <cacheField name="Consecutivo" numFmtId="1">
      <sharedItems containsSemiMixedTypes="0" containsString="0" containsNumber="1" containsInteger="1" minValue="41" maxValue="51"/>
    </cacheField>
    <cacheField name="Codogo" numFmtId="0">
      <sharedItems/>
    </cacheField>
    <cacheField name="Producto" numFmtId="0">
      <sharedItems count="8">
        <s v="Suavizante de Ropa"/>
        <s v="Lavaplatos en Crema"/>
        <s v="Desinfectante Herbal"/>
        <s v="Multi-Cerámica"/>
        <s v="Cloro Jabonoso"/>
        <s v="Lavaplatos Liquido"/>
        <s v="Detergente de Ropa"/>
        <s v="Multiuso Desengrasante"/>
      </sharedItems>
    </cacheField>
    <cacheField name="Orden" numFmtId="0">
      <sharedItems/>
    </cacheField>
    <cacheField name="Lote" numFmtId="0">
      <sharedItems/>
    </cacheField>
    <cacheField name="Cantidad" numFmtId="0">
      <sharedItems containsSemiMixedTypes="0" containsString="0" containsNumber="1" containsInteger="1" minValue="100" maxValue="500"/>
    </cacheField>
    <cacheField name="Meses" numFmtId="0" databaseField="0">
      <fieldGroup base="0">
        <rangePr groupBy="months" startDate="2020-11-06T00:00:00" endDate="2020-12-30T00:00:00"/>
        <groupItems count="14">
          <s v="&lt;6/11/2020"/>
          <s v="ene"/>
          <s v="feb"/>
          <s v="mar"/>
          <s v="abr"/>
          <s v="may"/>
          <s v="jun"/>
          <s v="jul"/>
          <s v="ago"/>
          <s v="sep"/>
          <s v="oct"/>
          <s v="nov"/>
          <s v="dic"/>
          <s v="&gt;30/12/2020"/>
        </groupItems>
      </fieldGroup>
    </cacheField>
  </cacheFields>
  <extLst>
    <ext xmlns:x14="http://schemas.microsoft.com/office/spreadsheetml/2009/9/main" uri="{725AE2AE-9491-48be-B2B4-4EB974FC3084}">
      <x14:pivotCacheDefinition pivotCacheId="157675550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a De los Ángeles Parra" refreshedDate="44229.378295601855" createdVersion="6" refreshedVersion="6" minRefreshableVersion="3" recordCount="28" xr:uid="{F981F630-CDD5-4006-91A6-ED524F3CBDEC}">
  <cacheSource type="worksheet">
    <worksheetSource name="TablaMateriasPrimas"/>
  </cacheSource>
  <cacheFields count="4">
    <cacheField name="#Item" numFmtId="0">
      <sharedItems containsSemiMixedTypes="0" containsString="0" containsNumber="1" containsInteger="1" minValue="1" maxValue="28"/>
    </cacheField>
    <cacheField name="Materia Prima" numFmtId="0">
      <sharedItems count="27">
        <s v="Acido Sulfonico Lineal"/>
        <s v="Soda caustica escamas"/>
        <s v="Genapol 28%"/>
        <s v="Texapon 70%"/>
        <s v="Trietanolamina 85%"/>
        <s v="Cocoamida"/>
        <s v="CMC alta"/>
        <s v="Acido Acetico"/>
        <s v="Benzoato de sodio"/>
        <s v="Glicerina"/>
        <s v="Propilenglicol"/>
        <s v="Nonil 10 moles (Arkopal)"/>
        <s v="Acido Estearico"/>
        <s v="Alcohol Etilico 96%"/>
        <s v="Acido Fosforico"/>
        <s v="Carbomero 996"/>
        <s v="Polisorbato (tween)"/>
        <s v="ProBetaina"/>
        <s v="Sulfato de Sodio"/>
        <s v="Silicato de sodio"/>
        <s v="Amonio Cuaternario"/>
        <s v="Vinagre Blanco"/>
        <s v="Virutas de Jabon"/>
        <s v="Sal"/>
        <s v="Agua"/>
        <s v="Carbonato de Calcio"/>
        <s v="Bicarbonato de sodio"/>
      </sharedItems>
    </cacheField>
    <cacheField name="Costo x Kg" numFmtId="4">
      <sharedItems containsString="0" containsBlank="1" containsNumber="1" minValue="50" maxValue="25000"/>
    </cacheField>
    <cacheField name="Unidad" numFmtId="0">
      <sharedItems/>
    </cacheField>
  </cacheFields>
  <extLst>
    <ext xmlns:x14="http://schemas.microsoft.com/office/spreadsheetml/2009/9/main" uri="{725AE2AE-9491-48be-B2B4-4EB974FC3084}">
      <x14:pivotCacheDefinition pivotCacheId="1402560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s v="Be-1"/>
    <x v="0"/>
    <s v="Be_LL_224"/>
    <s v="LL-224-01"/>
    <n v="300"/>
    <n v="1"/>
    <x v="0"/>
  </r>
  <r>
    <s v="Be-2"/>
    <x v="1"/>
    <s v="Be_LL_224"/>
    <s v="LL-223-02"/>
    <n v="400"/>
    <n v="2"/>
    <x v="1"/>
  </r>
  <r>
    <s v="Be-3"/>
    <x v="2"/>
    <s v="Be_LL_225"/>
    <s v="LL-223-06"/>
    <n v="300"/>
    <n v="3"/>
    <x v="2"/>
  </r>
  <r>
    <s v="Be-4"/>
    <x v="3"/>
    <s v="Be_LL_227"/>
    <s v="LL-223-08"/>
    <n v="200"/>
    <n v="4"/>
    <x v="3"/>
  </r>
  <r>
    <s v="Be-5"/>
    <x v="4"/>
    <s v="Be_LL_228"/>
    <s v="LL-228-10"/>
    <n v="200"/>
    <n v="5"/>
    <x v="4"/>
  </r>
  <r>
    <s v="Be-6"/>
    <x v="5"/>
    <s v="Be_LL_229"/>
    <s v="LL-223-10"/>
    <n v="300"/>
    <n v="6"/>
    <x v="5"/>
  </r>
  <r>
    <s v="Be-7"/>
    <x v="6"/>
    <s v="Be_LL_230"/>
    <s v="LL-223-11"/>
    <n v="240"/>
    <n v="7"/>
    <x v="6"/>
  </r>
  <r>
    <s v="Be-8"/>
    <x v="7"/>
    <s v="Be_LL_231"/>
    <s v="LL-223-11"/>
    <n v="350"/>
    <n v="8"/>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s v="Be-2"/>
    <x v="0"/>
    <s v="Be_LL_224"/>
    <s v="LL-223-02"/>
    <n v="400"/>
    <x v="0"/>
    <n v="0"/>
    <n v="0"/>
    <n v="0"/>
    <s v="Crema"/>
    <s v="Verde claro"/>
    <s v="Melon"/>
  </r>
  <r>
    <x v="1"/>
    <s v="Be-7"/>
    <x v="1"/>
    <s v="Be_LL_230"/>
    <s v="LL-223-11"/>
    <n v="240"/>
    <x v="1"/>
    <n v="8"/>
    <n v="1.1000000000000001"/>
    <n v="4.3"/>
    <s v="Liquido semi-viscoso"/>
    <s v="Amarilloso"/>
    <s v="Limon"/>
  </r>
  <r>
    <x v="1"/>
    <s v="Be-2"/>
    <x v="0"/>
    <s v="Be_LL_224"/>
    <s v="LL-223-02"/>
    <n v="400"/>
    <x v="2"/>
    <n v="0"/>
    <n v="0"/>
    <n v="0"/>
    <s v="Crema"/>
    <s v="Verde claro"/>
    <s v="Melon"/>
  </r>
  <r>
    <x v="1"/>
    <s v="Be-1"/>
    <x v="2"/>
    <s v="Be_LL_224"/>
    <s v="LL-224-01"/>
    <n v="300"/>
    <x v="3"/>
    <n v="98"/>
    <s v="1.15"/>
    <n v="14.5"/>
    <s v="Liquido viscoso"/>
    <s v="Translucido"/>
    <s v="Herbal"/>
  </r>
  <r>
    <x v="1"/>
    <s v="Be-8"/>
    <x v="3"/>
    <s v="Be_LL_231"/>
    <s v="LL-223-11"/>
    <n v="350"/>
    <x v="4"/>
    <n v="8"/>
    <n v="1.2"/>
    <n v="28"/>
    <s v="Liquido semi-viscoso"/>
    <s v="Translucido"/>
    <s v="Herbal"/>
  </r>
  <r>
    <x v="1"/>
    <s v="Be-6"/>
    <x v="4"/>
    <s v="Be_LL_229"/>
    <s v="LL-223-10"/>
    <n v="300"/>
    <x v="5"/>
    <n v="56"/>
    <n v="1.3"/>
    <n v="5.5"/>
    <s v="Liquido viscoso"/>
    <s v="Azul"/>
    <s v="Floral"/>
  </r>
  <r>
    <x v="1"/>
    <s v="Be-6"/>
    <x v="4"/>
    <s v="Be_LL_229"/>
    <s v="LL-223-10"/>
    <n v="300"/>
    <x v="6"/>
    <n v="10"/>
    <n v="1.1200000000000001"/>
    <n v="7.5"/>
    <s v="Liquido semi viscoso"/>
    <s v="Translucido"/>
    <s v="Neutr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d v="2021-01-10T00:00:00"/>
    <s v="E-000"/>
    <s v="Be-6"/>
    <x v="0"/>
    <s v="Lts"/>
    <x v="0"/>
    <x v="0"/>
    <n v="300"/>
  </r>
  <r>
    <d v="2021-01-11T00:00:00"/>
    <s v="E-001"/>
    <s v="Be-1"/>
    <x v="1"/>
    <s v="Lts"/>
    <x v="1"/>
    <x v="0"/>
    <n v="220"/>
  </r>
  <r>
    <d v="2021-01-12T00:00:00"/>
    <s v="E-002"/>
    <s v="Be-2"/>
    <x v="2"/>
    <s v="Kgs"/>
    <x v="2"/>
    <x v="0"/>
    <n v="100"/>
  </r>
  <r>
    <d v="2021-01-13T00:00:00"/>
    <s v="E-003"/>
    <s v="Be-3"/>
    <x v="3"/>
    <s v="Lts"/>
    <x v="3"/>
    <x v="0"/>
    <n v="345"/>
  </r>
  <r>
    <d v="2021-01-14T00:00:00"/>
    <s v="E-004"/>
    <s v="Be-4"/>
    <x v="4"/>
    <s v="Lts"/>
    <x v="4"/>
    <x v="0"/>
    <n v="120"/>
  </r>
  <r>
    <d v="2021-01-15T00:00:00"/>
    <s v="E-005"/>
    <s v="Be-5"/>
    <x v="5"/>
    <s v="Lts"/>
    <x v="5"/>
    <x v="0"/>
    <n v="250"/>
  </r>
  <r>
    <d v="2021-01-16T00:00:00"/>
    <s v="E-006"/>
    <s v="Be-6"/>
    <x v="0"/>
    <s v="Lts"/>
    <x v="0"/>
    <x v="0"/>
    <n v="180"/>
  </r>
  <r>
    <d v="2021-01-17T00:00:00"/>
    <s v="E-007"/>
    <s v="Be-7"/>
    <x v="6"/>
    <s v="Lts"/>
    <x v="2"/>
    <x v="0"/>
    <n v="200"/>
  </r>
  <r>
    <d v="2021-01-18T00:00:00"/>
    <s v="E-008"/>
    <s v="Be-8"/>
    <x v="7"/>
    <s v="Lts"/>
    <x v="3"/>
    <x v="0"/>
    <n v="230"/>
  </r>
  <r>
    <d v="2021-01-11T00:00:00"/>
    <s v="S-001"/>
    <s v="Be-2"/>
    <x v="2"/>
    <s v="Kgs"/>
    <x v="2"/>
    <x v="1"/>
    <n v="-130"/>
  </r>
  <r>
    <d v="2021-01-05T00:00:00"/>
    <s v="S-002"/>
    <s v="Be-5"/>
    <x v="5"/>
    <s v="Lts"/>
    <x v="5"/>
    <x v="1"/>
    <n v="-140"/>
  </r>
  <r>
    <d v="2021-01-15T00:00:00"/>
    <s v="S-003"/>
    <s v="Be-1"/>
    <x v="1"/>
    <s v="Lts"/>
    <x v="1"/>
    <x v="1"/>
    <n v="-300"/>
  </r>
  <r>
    <d v="2021-01-20T00:00:00"/>
    <s v="S-004"/>
    <s v="Be-8"/>
    <x v="7"/>
    <s v="Lts"/>
    <x v="3"/>
    <x v="1"/>
    <n v="-80"/>
  </r>
  <r>
    <d v="2021-01-20T00:00:00"/>
    <s v="E-004"/>
    <s v="Be-3"/>
    <x v="3"/>
    <s v="Lts"/>
    <x v="3"/>
    <x v="0"/>
    <n v="300"/>
  </r>
  <r>
    <d v="2021-01-20T00:00:00"/>
    <s v="E-005"/>
    <s v="Be-1"/>
    <x v="1"/>
    <s v="Lts"/>
    <x v="1"/>
    <x v="0"/>
    <n v="500"/>
  </r>
  <r>
    <d v="2021-01-20T00:00:00"/>
    <s v="E-005"/>
    <s v="Be-2"/>
    <x v="2"/>
    <s v="Kgs"/>
    <x v="2"/>
    <x v="0"/>
    <n v="300"/>
  </r>
  <r>
    <d v="2021-01-20T00:00:00"/>
    <s v="E-005"/>
    <s v="Be-3"/>
    <x v="3"/>
    <s v="Lts"/>
    <x v="3"/>
    <x v="1"/>
    <n v="-550"/>
  </r>
  <r>
    <d v="2021-01-20T00:00:00"/>
    <s v="E-005"/>
    <s v="Be-8"/>
    <x v="7"/>
    <s v="Lts"/>
    <x v="3"/>
    <x v="1"/>
    <n v="-150"/>
  </r>
  <r>
    <d v="2021-01-20T00:00:00"/>
    <s v="E-006"/>
    <s v="Be-3"/>
    <x v="3"/>
    <s v="Lts"/>
    <x v="3"/>
    <x v="1"/>
    <n v="-95"/>
  </r>
  <r>
    <d v="2021-01-11T00:00:00"/>
    <s v="E-009"/>
    <s v="Be-1"/>
    <x v="1"/>
    <s v="Lts"/>
    <x v="1"/>
    <x v="0"/>
    <n v="110"/>
  </r>
  <r>
    <d v="2021-01-20T00:00:00"/>
    <s v="E-010"/>
    <s v="Be-7"/>
    <x v="6"/>
    <s v="Lts"/>
    <x v="2"/>
    <x v="1"/>
    <n v="-30"/>
  </r>
  <r>
    <d v="2021-01-20T00:00:00"/>
    <s v="E-011"/>
    <s v="Be-1"/>
    <x v="1"/>
    <s v="Lts"/>
    <x v="1"/>
    <x v="1"/>
    <n v="-200"/>
  </r>
  <r>
    <d v="2021-01-20T00:00:00"/>
    <s v="E-012"/>
    <s v="Be-5"/>
    <x v="5"/>
    <s v="Lts"/>
    <x v="5"/>
    <x v="0"/>
    <n v="500"/>
  </r>
  <r>
    <d v="2021-01-20T00:00:00"/>
    <s v="E-013"/>
    <s v="Be-1"/>
    <x v="1"/>
    <s v="Lts"/>
    <x v="1"/>
    <x v="1"/>
    <n v="-300"/>
  </r>
  <r>
    <d v="2021-01-16T00:00:00"/>
    <s v="E-014"/>
    <s v="Be-2"/>
    <x v="2"/>
    <s v="Kgs"/>
    <x v="2"/>
    <x v="1"/>
    <n v="-100"/>
  </r>
  <r>
    <m/>
    <m/>
    <s v="Be-4"/>
    <x v="4"/>
    <s v="Lts"/>
    <x v="4"/>
    <x v="0"/>
    <n v="2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n v="51"/>
    <s v="Be-6"/>
    <x v="0"/>
    <s v="Be_LL_229"/>
    <s v="LL-223-10"/>
    <n v="111"/>
  </r>
  <r>
    <x v="1"/>
    <n v="49"/>
    <s v="Be-2"/>
    <x v="1"/>
    <s v="Be_LL_224"/>
    <s v="LL-223-02"/>
    <n v="150"/>
  </r>
  <r>
    <x v="1"/>
    <n v="49"/>
    <s v="Be-5"/>
    <x v="2"/>
    <s v="Be_LL_228"/>
    <s v="LL-228-10"/>
    <n v="100"/>
  </r>
  <r>
    <x v="2"/>
    <n v="48"/>
    <s v="Be-5"/>
    <x v="2"/>
    <s v="Be_LL_228"/>
    <s v="LL-228-10"/>
    <n v="500"/>
  </r>
  <r>
    <x v="3"/>
    <n v="48"/>
    <s v="Be-8"/>
    <x v="3"/>
    <s v="Be_LL_231"/>
    <s v="LL-223-11"/>
    <n v="400"/>
  </r>
  <r>
    <x v="3"/>
    <n v="47"/>
    <s v="Be-7"/>
    <x v="4"/>
    <s v="Be_LL_230"/>
    <s v="LL-223-11"/>
    <n v="240"/>
  </r>
  <r>
    <x v="3"/>
    <n v="47"/>
    <s v="Be-6"/>
    <x v="0"/>
    <s v="Be_LL_229"/>
    <s v="LL-223-10"/>
    <n v="300"/>
  </r>
  <r>
    <x v="4"/>
    <n v="47"/>
    <s v="Be-6"/>
    <x v="0"/>
    <s v="Be_LL_229"/>
    <s v="LL-223-10"/>
    <n v="300"/>
  </r>
  <r>
    <x v="4"/>
    <n v="47"/>
    <s v="Be-6"/>
    <x v="0"/>
    <s v="Be_LL_229"/>
    <s v="LL-223-10"/>
    <n v="300"/>
  </r>
  <r>
    <x v="5"/>
    <n v="46"/>
    <s v="Be-7"/>
    <x v="4"/>
    <s v="Be_LL_230"/>
    <s v="LL-223-11"/>
    <n v="240"/>
  </r>
  <r>
    <x v="5"/>
    <n v="46"/>
    <s v="Be-2"/>
    <x v="1"/>
    <s v="Be_LL_224"/>
    <s v="LL-223-02"/>
    <n v="400"/>
  </r>
  <r>
    <x v="5"/>
    <n v="46"/>
    <s v="Be-1"/>
    <x v="5"/>
    <s v="Be_LL_224"/>
    <s v="LL-224-01"/>
    <n v="300"/>
  </r>
  <r>
    <x v="6"/>
    <n v="46"/>
    <s v="Be-8"/>
    <x v="3"/>
    <s v="Be_LL_231"/>
    <s v="LL-223-11"/>
    <n v="350"/>
  </r>
  <r>
    <x v="6"/>
    <n v="46"/>
    <s v="Be-6"/>
    <x v="0"/>
    <s v="Be_LL_229"/>
    <s v="LL-223-10"/>
    <n v="300"/>
  </r>
  <r>
    <x v="6"/>
    <n v="46"/>
    <s v="Be-2"/>
    <x v="1"/>
    <s v="Be_LL_224"/>
    <s v="LL-223-02"/>
    <n v="400"/>
  </r>
  <r>
    <x v="7"/>
    <n v="46"/>
    <s v="Be-7"/>
    <x v="4"/>
    <s v="Be_LL_230"/>
    <s v="LL-223-11"/>
    <n v="240"/>
  </r>
  <r>
    <x v="7"/>
    <n v="46"/>
    <s v="Be-2"/>
    <x v="1"/>
    <s v="Be_LL_224"/>
    <s v="LL-223-02"/>
    <n v="400"/>
  </r>
  <r>
    <x v="7"/>
    <n v="46"/>
    <s v="Be-1"/>
    <x v="5"/>
    <s v="Be_LL_224"/>
    <s v="LL-224-01"/>
    <n v="300"/>
  </r>
  <r>
    <x v="7"/>
    <n v="46"/>
    <s v="Be-8"/>
    <x v="3"/>
    <s v="Be_LL_231"/>
    <s v="LL-223-11"/>
    <n v="350"/>
  </r>
  <r>
    <x v="7"/>
    <n v="46"/>
    <s v="Be-6"/>
    <x v="0"/>
    <s v="Be_LL_229"/>
    <s v="LL-223-10"/>
    <n v="300"/>
  </r>
  <r>
    <x v="7"/>
    <n v="46"/>
    <s v="Be-2"/>
    <x v="1"/>
    <s v="Be_LL_224"/>
    <s v="LL-223-02"/>
    <n v="400"/>
  </r>
  <r>
    <x v="7"/>
    <n v="46"/>
    <s v="Be-8"/>
    <x v="3"/>
    <s v="Be_LL_231"/>
    <s v="LL-223-11"/>
    <n v="350"/>
  </r>
  <r>
    <x v="7"/>
    <n v="46"/>
    <s v="Be-6"/>
    <x v="0"/>
    <s v="Be_LL_229"/>
    <s v="LL-223-10"/>
    <n v="300"/>
  </r>
  <r>
    <x v="7"/>
    <n v="46"/>
    <s v="Be-2"/>
    <x v="1"/>
    <s v="Be_LL_224"/>
    <s v="LL-223-02"/>
    <n v="400"/>
  </r>
  <r>
    <x v="7"/>
    <n v="46"/>
    <s v="Be-8"/>
    <x v="3"/>
    <s v="Be_LL_231"/>
    <s v="LL-223-11"/>
    <n v="350"/>
  </r>
  <r>
    <x v="7"/>
    <n v="46"/>
    <s v="Be-5"/>
    <x v="2"/>
    <s v="Be_LL_228"/>
    <s v="LL-228-10"/>
    <n v="200"/>
  </r>
  <r>
    <x v="7"/>
    <n v="46"/>
    <s v="Be-3"/>
    <x v="6"/>
    <s v="Be_LL_225"/>
    <s v="LL-223-06"/>
    <n v="300"/>
  </r>
  <r>
    <x v="8"/>
    <n v="44"/>
    <s v="Be-1"/>
    <x v="5"/>
    <s v="Be_LL_224"/>
    <s v="LL-224-01"/>
    <n v="470"/>
  </r>
  <r>
    <x v="8"/>
    <n v="44"/>
    <s v="Be-1"/>
    <x v="5"/>
    <s v="Be_LL_224"/>
    <s v="LL-224-01"/>
    <n v="500"/>
  </r>
  <r>
    <x v="8"/>
    <n v="42"/>
    <s v="Be-1"/>
    <x v="5"/>
    <s v="Be_LL_224"/>
    <s v="LL-224-01"/>
    <n v="200"/>
  </r>
  <r>
    <x v="8"/>
    <n v="42"/>
    <s v="Be-1"/>
    <x v="5"/>
    <s v="Be_LL_224"/>
    <s v="LL-224-01"/>
    <n v="300"/>
  </r>
  <r>
    <x v="9"/>
    <n v="41"/>
    <s v="Be-4"/>
    <x v="7"/>
    <s v="Be_LL_230"/>
    <s v="LL-223-09"/>
    <n v="46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1"/>
    <x v="0"/>
    <n v="8000"/>
    <s v="Kg"/>
  </r>
  <r>
    <n v="2"/>
    <x v="1"/>
    <n v="6000"/>
    <s v="Kg"/>
  </r>
  <r>
    <n v="3"/>
    <x v="2"/>
    <n v="4250"/>
    <s v="Kg"/>
  </r>
  <r>
    <n v="4"/>
    <x v="3"/>
    <n v="8000"/>
    <s v="Kg"/>
  </r>
  <r>
    <n v="5"/>
    <x v="4"/>
    <n v="14000"/>
    <s v="Kg"/>
  </r>
  <r>
    <n v="6"/>
    <x v="5"/>
    <n v="10500"/>
    <s v="Kg"/>
  </r>
  <r>
    <n v="7"/>
    <x v="6"/>
    <n v="24000"/>
    <s v="Kg"/>
  </r>
  <r>
    <n v="8"/>
    <x v="7"/>
    <n v="5000"/>
    <s v="Kg"/>
  </r>
  <r>
    <n v="9"/>
    <x v="8"/>
    <n v="6000"/>
    <s v="Kg"/>
  </r>
  <r>
    <n v="10"/>
    <x v="9"/>
    <n v="6400"/>
    <s v="Kg"/>
  </r>
  <r>
    <n v="11"/>
    <x v="10"/>
    <n v="9000"/>
    <s v="Kg"/>
  </r>
  <r>
    <n v="12"/>
    <x v="11"/>
    <n v="9500"/>
    <s v="Kg"/>
  </r>
  <r>
    <n v="13"/>
    <x v="12"/>
    <n v="8800"/>
    <s v="Kg"/>
  </r>
  <r>
    <n v="14"/>
    <x v="13"/>
    <n v="5250"/>
    <s v="lts"/>
  </r>
  <r>
    <n v="15"/>
    <x v="14"/>
    <n v="5285.7142857142853"/>
    <s v="Kg"/>
  </r>
  <r>
    <n v="16"/>
    <x v="15"/>
    <n v="25000"/>
    <s v="Kg"/>
  </r>
  <r>
    <n v="17"/>
    <x v="16"/>
    <n v="14000"/>
    <s v="Kg"/>
  </r>
  <r>
    <n v="18"/>
    <x v="17"/>
    <n v="5500"/>
    <s v="Kg"/>
  </r>
  <r>
    <n v="19"/>
    <x v="7"/>
    <m/>
    <s v="Kg"/>
  </r>
  <r>
    <n v="20"/>
    <x v="18"/>
    <n v="3696"/>
    <s v="Kg"/>
  </r>
  <r>
    <n v="21"/>
    <x v="19"/>
    <n v="3400"/>
    <s v="Kg"/>
  </r>
  <r>
    <n v="22"/>
    <x v="20"/>
    <m/>
    <s v="Kg"/>
  </r>
  <r>
    <n v="23"/>
    <x v="21"/>
    <m/>
    <s v="Kg"/>
  </r>
  <r>
    <n v="24"/>
    <x v="22"/>
    <m/>
    <s v="Kg"/>
  </r>
  <r>
    <n v="25"/>
    <x v="23"/>
    <n v="2000"/>
    <s v="Kg"/>
  </r>
  <r>
    <n v="26"/>
    <x v="24"/>
    <n v="50"/>
    <s v="lts"/>
  </r>
  <r>
    <n v="27"/>
    <x v="25"/>
    <n v="4705"/>
    <s v="Kg"/>
  </r>
  <r>
    <n v="28"/>
    <x v="26"/>
    <n v="4200"/>
    <s v="K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2A4C82-A2FD-4B62-A6E8-FCBB69F841A2}" name="TablaDinámica1" cacheId="4" applyNumberFormats="0" applyBorderFormats="0" applyFontFormats="0" applyPatternFormats="0" applyAlignmentFormats="0" applyWidthHeightFormats="1" dataCaption="Valores" updatedVersion="7" minRefreshableVersion="3" useAutoFormatting="1" rowGrandTotals="0" itemPrintTitles="1" createdVersion="6" indent="0" outline="1" outlineData="1" multipleFieldFilters="0" rowHeaderCaption="Producto">
  <location ref="K7:L8" firstHeaderRow="1" firstDataRow="1" firstDataCol="1"/>
  <pivotFields count="4">
    <pivotField showAll="0"/>
    <pivotField axis="axisRow" showAll="0">
      <items count="28">
        <item h="1" x="7"/>
        <item h="1" x="12"/>
        <item x="14"/>
        <item h="1" x="0"/>
        <item h="1" x="24"/>
        <item h="1" x="13"/>
        <item h="1" x="20"/>
        <item h="1" x="8"/>
        <item h="1" x="26"/>
        <item h="1" x="15"/>
        <item h="1" x="25"/>
        <item h="1" x="6"/>
        <item h="1" x="5"/>
        <item h="1" x="2"/>
        <item h="1" x="9"/>
        <item h="1" x="11"/>
        <item h="1" x="16"/>
        <item h="1" x="17"/>
        <item h="1" x="10"/>
        <item h="1" x="23"/>
        <item h="1" x="19"/>
        <item h="1" x="1"/>
        <item h="1" x="18"/>
        <item h="1" x="3"/>
        <item h="1" x="4"/>
        <item h="1" x="21"/>
        <item h="1" x="22"/>
        <item t="default"/>
      </items>
    </pivotField>
    <pivotField dataField="1" showAll="0"/>
    <pivotField showAll="0"/>
  </pivotFields>
  <rowFields count="1">
    <field x="1"/>
  </rowFields>
  <rowItems count="1">
    <i>
      <x v="2"/>
    </i>
  </rowItems>
  <colItems count="1">
    <i/>
  </colItems>
  <dataFields count="1">
    <dataField name="Monto x Kg" fld="2" baseField="0" baseItem="0" numFmtId="164"/>
  </dataFields>
  <formats count="19">
    <format dxfId="147">
      <pivotArea field="1" type="button" dataOnly="0" labelOnly="1" outline="0" axis="axisRow" fieldPosition="0"/>
    </format>
    <format dxfId="146">
      <pivotArea dataOnly="0" labelOnly="1" outline="0" axis="axisValues" fieldPosition="0"/>
    </format>
    <format dxfId="145">
      <pivotArea dataOnly="0" fieldPosition="0">
        <references count="1">
          <reference field="1" count="0"/>
        </references>
      </pivotArea>
    </format>
    <format dxfId="144">
      <pivotArea dataOnly="0" fieldPosition="0">
        <references count="1">
          <reference field="1" count="0"/>
        </references>
      </pivotArea>
    </format>
    <format dxfId="143">
      <pivotArea dataOnly="0" fieldPosition="0">
        <references count="1">
          <reference field="1" count="0"/>
        </references>
      </pivotArea>
    </format>
    <format dxfId="142">
      <pivotArea outline="0" collapsedLevelsAreSubtotals="1" fieldPosition="0"/>
    </format>
    <format dxfId="141">
      <pivotArea outline="0" collapsedLevelsAreSubtotals="1" fieldPosition="0"/>
    </format>
    <format dxfId="140">
      <pivotArea dataOnly="0" labelOnly="1" fieldPosition="0">
        <references count="1">
          <reference field="1" count="0"/>
        </references>
      </pivotArea>
    </format>
    <format dxfId="139">
      <pivotArea outline="0" collapsedLevelsAreSubtotals="1" fieldPosition="0"/>
    </format>
    <format dxfId="138">
      <pivotArea dataOnly="0" labelOnly="1" fieldPosition="0">
        <references count="1">
          <reference field="1" count="0"/>
        </references>
      </pivotArea>
    </format>
    <format dxfId="137">
      <pivotArea outline="0" collapsedLevelsAreSubtotals="1" fieldPosition="0"/>
    </format>
    <format dxfId="136">
      <pivotArea dataOnly="0" labelOnly="1" fieldPosition="0">
        <references count="1">
          <reference field="1" count="0"/>
        </references>
      </pivotArea>
    </format>
    <format dxfId="135">
      <pivotArea outline="0" collapsedLevelsAreSubtotals="1" fieldPosition="0"/>
    </format>
    <format dxfId="134">
      <pivotArea dataOnly="0" labelOnly="1" fieldPosition="0">
        <references count="1">
          <reference field="1" count="0"/>
        </references>
      </pivotArea>
    </format>
    <format dxfId="133">
      <pivotArea type="all" dataOnly="0" outline="0" fieldPosition="0"/>
    </format>
    <format dxfId="132">
      <pivotArea field="1" type="button" dataOnly="0" labelOnly="1" outline="0" axis="axisRow" fieldPosition="0"/>
    </format>
    <format dxfId="131">
      <pivotArea dataOnly="0" labelOnly="1" outline="0" axis="axisValues" fieldPosition="0"/>
    </format>
    <format dxfId="130">
      <pivotArea outline="0" collapsedLevelsAreSubtotals="1" fieldPosition="0"/>
    </format>
    <format dxfId="129">
      <pivotArea dataOnly="0" labelOnly="1"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F215AB-AB86-46F4-B51B-18156E04A28D}" name="TablaDinámica1" cacheId="0" applyNumberFormats="0" applyBorderFormats="0" applyFontFormats="0" applyPatternFormats="0" applyAlignmentFormats="0" applyWidthHeightFormats="1" dataCaption="Valores" updatedVersion="7" minRefreshableVersion="3" useAutoFormatting="1" rowGrandTotals="0" itemPrintTitles="1" createdVersion="6" indent="0" outline="1" outlineData="1" multipleFieldFilters="0" rowHeaderCaption="Productos">
  <location ref="C5:C6" firstHeaderRow="1" firstDataRow="1" firstDataCol="1"/>
  <pivotFields count="7">
    <pivotField showAll="0"/>
    <pivotField axis="axisRow" showAll="0">
      <items count="10">
        <item x="6"/>
        <item x="4"/>
        <item x="2"/>
        <item x="1"/>
        <item x="0"/>
        <item h="1" m="1" x="8"/>
        <item x="3"/>
        <item x="5"/>
        <item x="7"/>
        <item t="default"/>
      </items>
    </pivotField>
    <pivotField showAll="0"/>
    <pivotField showAll="0"/>
    <pivotField showAll="0"/>
    <pivotField showAll="0"/>
    <pivotField showAll="0">
      <items count="9">
        <item h="1" x="0"/>
        <item h="1" x="1"/>
        <item h="1" x="2"/>
        <item h="1" x="3"/>
        <item h="1" x="4"/>
        <item h="1" x="5"/>
        <item h="1" x="6"/>
        <item x="7"/>
        <item t="default"/>
      </items>
    </pivotField>
  </pivotFields>
  <rowFields count="1">
    <field x="1"/>
  </rowFields>
  <rowItems count="1">
    <i>
      <x v="8"/>
    </i>
  </rowItems>
  <colItems count="1">
    <i/>
  </colItems>
  <formats count="24">
    <format dxfId="116">
      <pivotArea type="all" dataOnly="0" outline="0" fieldPosition="0"/>
    </format>
    <format dxfId="115">
      <pivotArea field="1" type="button" dataOnly="0" labelOnly="1" outline="0" axis="axisRow" fieldPosition="0"/>
    </format>
    <format dxfId="114">
      <pivotArea dataOnly="0" labelOnly="1" fieldPosition="0">
        <references count="1">
          <reference field="1" count="1">
            <x v="0"/>
          </reference>
        </references>
      </pivotArea>
    </format>
    <format dxfId="113">
      <pivotArea type="all" dataOnly="0" outline="0" fieldPosition="0"/>
    </format>
    <format dxfId="112">
      <pivotArea field="1" type="button" dataOnly="0" labelOnly="1" outline="0" axis="axisRow" fieldPosition="0"/>
    </format>
    <format dxfId="111">
      <pivotArea dataOnly="0" labelOnly="1" fieldPosition="0">
        <references count="1">
          <reference field="1" count="1">
            <x v="1"/>
          </reference>
        </references>
      </pivotArea>
    </format>
    <format dxfId="110">
      <pivotArea type="all" dataOnly="0" outline="0" fieldPosition="0"/>
    </format>
    <format dxfId="109">
      <pivotArea field="1" type="button" dataOnly="0" labelOnly="1" outline="0" axis="axisRow" fieldPosition="0"/>
    </format>
    <format dxfId="108">
      <pivotArea dataOnly="0" labelOnly="1" fieldPosition="0">
        <references count="1">
          <reference field="1" count="1">
            <x v="1"/>
          </reference>
        </references>
      </pivotArea>
    </format>
    <format dxfId="107">
      <pivotArea type="all" dataOnly="0" outline="0" fieldPosition="0"/>
    </format>
    <format dxfId="106">
      <pivotArea field="1" type="button" dataOnly="0" labelOnly="1" outline="0" axis="axisRow" fieldPosition="0"/>
    </format>
    <format dxfId="105">
      <pivotArea dataOnly="0" labelOnly="1" fieldPosition="0">
        <references count="1">
          <reference field="1" count="0"/>
        </references>
      </pivotArea>
    </format>
    <format dxfId="104">
      <pivotArea type="all" dataOnly="0" outline="0" fieldPosition="0"/>
    </format>
    <format dxfId="103">
      <pivotArea field="1" type="button" dataOnly="0" labelOnly="1" outline="0" axis="axisRow" fieldPosition="0"/>
    </format>
    <format dxfId="102">
      <pivotArea dataOnly="0" labelOnly="1" fieldPosition="0">
        <references count="1">
          <reference field="1" count="1">
            <x v="4"/>
          </reference>
        </references>
      </pivotArea>
    </format>
    <format dxfId="101">
      <pivotArea type="all" dataOnly="0" outline="0" fieldPosition="0"/>
    </format>
    <format dxfId="100">
      <pivotArea field="1" type="button" dataOnly="0" labelOnly="1" outline="0" axis="axisRow" fieldPosition="0"/>
    </format>
    <format dxfId="99">
      <pivotArea dataOnly="0" labelOnly="1" fieldPosition="0">
        <references count="1">
          <reference field="1" count="1">
            <x v="4"/>
          </reference>
        </references>
      </pivotArea>
    </format>
    <format dxfId="98">
      <pivotArea type="all" dataOnly="0" outline="0" fieldPosition="0"/>
    </format>
    <format dxfId="97">
      <pivotArea field="1" type="button" dataOnly="0" labelOnly="1" outline="0" axis="axisRow" fieldPosition="0"/>
    </format>
    <format dxfId="96">
      <pivotArea dataOnly="0" labelOnly="1" fieldPosition="0">
        <references count="1">
          <reference field="1" count="1">
            <x v="4"/>
          </reference>
        </references>
      </pivotArea>
    </format>
    <format dxfId="95">
      <pivotArea type="all" dataOnly="0" outline="0" fieldPosition="0"/>
    </format>
    <format dxfId="94">
      <pivotArea field="1" type="button" dataOnly="0" labelOnly="1" outline="0" axis="axisRow" fieldPosition="0"/>
    </format>
    <format dxfId="93">
      <pivotArea dataOnly="0" labelOnly="1" fieldPosition="0">
        <references count="1">
          <reference field="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8B7DC4-2090-4C20-B135-79F4771E7DD9}" name="TablaDinámica2" cacheId="3" applyNumberFormats="0" applyBorderFormats="0" applyFontFormats="0" applyPatternFormats="0" applyAlignmentFormats="0" applyWidthHeightFormats="1" dataCaption="Valores" updatedVersion="6" minRefreshableVersion="3" useAutoFormatting="1" rowGrandTotals="0" itemPrintTitles="1" createdVersion="6" indent="0" outline="1" outlineData="1" multipleFieldFilters="0" chartFormat="13" rowHeaderCaption=" Productos">
  <location ref="B8:C16" firstHeaderRow="1" firstDataRow="1" firstDataCol="1"/>
  <pivotFields count="8">
    <pivotField numFmtId="168"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 showAll="0"/>
    <pivotField showAll="0"/>
    <pivotField axis="axisRow" showAll="0">
      <items count="9">
        <item x="4"/>
        <item x="2"/>
        <item x="6"/>
        <item x="1"/>
        <item x="5"/>
        <item x="3"/>
        <item x="7"/>
        <item x="0"/>
        <item t="default"/>
      </items>
    </pivotField>
    <pivotField showAll="0"/>
    <pivotField showAll="0"/>
    <pivotField dataField="1" showAll="0"/>
    <pivotField showAll="0">
      <items count="15">
        <item x="0"/>
        <item x="1"/>
        <item x="2"/>
        <item x="3"/>
        <item x="4"/>
        <item x="5"/>
        <item x="6"/>
        <item x="7"/>
        <item x="8"/>
        <item x="9"/>
        <item x="10"/>
        <item x="11"/>
        <item x="12"/>
        <item x="13"/>
        <item t="default"/>
      </items>
    </pivotField>
  </pivotFields>
  <rowFields count="1">
    <field x="3"/>
  </rowFields>
  <rowItems count="8">
    <i>
      <x/>
    </i>
    <i>
      <x v="1"/>
    </i>
    <i>
      <x v="2"/>
    </i>
    <i>
      <x v="3"/>
    </i>
    <i>
      <x v="4"/>
    </i>
    <i>
      <x v="5"/>
    </i>
    <i>
      <x v="6"/>
    </i>
    <i>
      <x v="7"/>
    </i>
  </rowItems>
  <colItems count="1">
    <i/>
  </colItems>
  <dataFields count="1">
    <dataField name=" Cantidad" fld="6" baseField="0" baseItem="0" numFmtId="3"/>
  </dataFields>
  <formats count="14">
    <format dxfId="92">
      <pivotArea type="all" dataOnly="0" outline="0" fieldPosition="0"/>
    </format>
    <format dxfId="91">
      <pivotArea outline="0" collapsedLevelsAreSubtotals="1" fieldPosition="0"/>
    </format>
    <format dxfId="90">
      <pivotArea field="3" type="button" dataOnly="0" labelOnly="1" outline="0" axis="axisRow" fieldPosition="0"/>
    </format>
    <format dxfId="89">
      <pivotArea dataOnly="0" labelOnly="1" fieldPosition="0">
        <references count="1">
          <reference field="3" count="0"/>
        </references>
      </pivotArea>
    </format>
    <format dxfId="88">
      <pivotArea dataOnly="0" labelOnly="1" grandRow="1" outline="0" fieldPosition="0"/>
    </format>
    <format dxfId="87">
      <pivotArea dataOnly="0" labelOnly="1" outline="0" axis="axisValues" fieldPosition="0"/>
    </format>
    <format dxfId="86">
      <pivotArea outline="0" collapsedLevelsAreSubtotals="1" fieldPosition="0"/>
    </format>
    <format dxfId="85">
      <pivotArea type="all" dataOnly="0" outline="0" fieldPosition="0"/>
    </format>
    <format dxfId="84">
      <pivotArea outline="0" collapsedLevelsAreSubtotals="1" fieldPosition="0"/>
    </format>
    <format dxfId="83">
      <pivotArea field="3" type="button" dataOnly="0" labelOnly="1" outline="0" axis="axisRow" fieldPosition="0"/>
    </format>
    <format dxfId="82">
      <pivotArea dataOnly="0" labelOnly="1" fieldPosition="0">
        <references count="1">
          <reference field="3" count="0"/>
        </references>
      </pivotArea>
    </format>
    <format dxfId="81">
      <pivotArea dataOnly="0" labelOnly="1" grandRow="1" outline="0" fieldPosition="0"/>
    </format>
    <format dxfId="80">
      <pivotArea dataOnly="0" labelOnly="1" outline="0" axis="axisValues" fieldPosition="0"/>
    </format>
    <format dxfId="79">
      <pivotArea outline="0" collapsedLevelsAreSubtotals="1" fieldPosition="0"/>
    </format>
  </format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 chart="0" format="5">
      <pivotArea type="data" outline="0" fieldPosition="0">
        <references count="2">
          <reference field="4294967294" count="1" selected="0">
            <x v="0"/>
          </reference>
          <reference field="3" count="1" selected="0">
            <x v="4"/>
          </reference>
        </references>
      </pivotArea>
    </chartFormat>
    <chartFormat chart="0" format="6">
      <pivotArea type="data" outline="0" fieldPosition="0">
        <references count="2">
          <reference field="4294967294" count="1" selected="0">
            <x v="0"/>
          </reference>
          <reference field="3" count="1" selected="0">
            <x v="5"/>
          </reference>
        </references>
      </pivotArea>
    </chartFormat>
    <chartFormat chart="0" format="7">
      <pivotArea type="data" outline="0" fieldPosition="0">
        <references count="2">
          <reference field="4294967294" count="1" selected="0">
            <x v="0"/>
          </reference>
          <reference field="3" count="1" selected="0">
            <x v="6"/>
          </reference>
        </references>
      </pivotArea>
    </chartFormat>
    <chartFormat chart="0" format="8">
      <pivotArea type="data" outline="0" fieldPosition="0">
        <references count="2">
          <reference field="4294967294" count="1" selected="0">
            <x v="0"/>
          </reference>
          <reference field="3" count="1" selected="0">
            <x v="7"/>
          </reference>
        </references>
      </pivotArea>
    </chartFormat>
  </chartFormats>
  <pivotTableStyleInfo name="PivotStyleDark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805909-A750-412E-82C7-E86DCAB6745E}" name="TablaDinámica2" cacheId="2" applyNumberFormats="0" applyBorderFormats="0" applyFontFormats="0" applyPatternFormats="0" applyAlignmentFormats="0" applyWidthHeightFormats="1" dataCaption="Valores" grandTotalCaption="En Stock" updatedVersion="6" minRefreshableVersion="3" useAutoFormatting="1" itemPrintTitles="1" createdVersion="6" indent="0" outline="1" outlineData="1" multipleFieldFilters="0" chartFormat="1" rowHeaderCaption="Productos" colHeaderCaption="Cajas">
  <location ref="C3:E6" firstHeaderRow="1" firstDataRow="2" firstDataCol="1"/>
  <pivotFields count="8">
    <pivotField showAll="0"/>
    <pivotField showAll="0"/>
    <pivotField showAll="0"/>
    <pivotField axis="axisRow" showAll="0">
      <items count="9">
        <item x="6"/>
        <item h="1" x="5"/>
        <item h="1" x="3"/>
        <item h="1" x="2"/>
        <item h="1" x="1"/>
        <item h="1" x="7"/>
        <item h="1" x="4"/>
        <item h="1" x="0"/>
        <item t="default"/>
      </items>
    </pivotField>
    <pivotField showAll="0"/>
    <pivotField showAll="0">
      <items count="7">
        <item x="3"/>
        <item x="1"/>
        <item x="4"/>
        <item x="2"/>
        <item x="0"/>
        <item x="5"/>
        <item t="default"/>
      </items>
    </pivotField>
    <pivotField axis="axisCol" showAll="0">
      <items count="3">
        <item x="0"/>
        <item h="1" x="1"/>
        <item t="default"/>
      </items>
    </pivotField>
    <pivotField dataField="1" showAll="0"/>
  </pivotFields>
  <rowFields count="1">
    <field x="3"/>
  </rowFields>
  <rowItems count="2">
    <i>
      <x/>
    </i>
    <i t="grand">
      <x/>
    </i>
  </rowItems>
  <colFields count="1">
    <field x="6"/>
  </colFields>
  <colItems count="2">
    <i>
      <x/>
    </i>
    <i t="grand">
      <x/>
    </i>
  </colItems>
  <dataFields count="1">
    <dataField name="Descripcion" fld="7" baseField="0" baseItem="0"/>
  </dataFields>
  <formats count="17">
    <format dxfId="48">
      <pivotArea outline="0" collapsedLevelsAreSubtotals="1" fieldPosition="0">
        <references count="1">
          <reference field="6" count="1" selected="0">
            <x v="0"/>
          </reference>
        </references>
      </pivotArea>
    </format>
    <format dxfId="47">
      <pivotArea field="6" type="button" dataOnly="0" labelOnly="1" outline="0" axis="axisCol" fieldPosition="0"/>
    </format>
    <format dxfId="46">
      <pivotArea dataOnly="0" labelOnly="1" fieldPosition="0">
        <references count="1">
          <reference field="6" count="1">
            <x v="0"/>
          </reference>
        </references>
      </pivotArea>
    </format>
    <format dxfId="45">
      <pivotArea outline="0" collapsedLevelsAreSubtotals="1" fieldPosition="0">
        <references count="1">
          <reference field="6" count="1" selected="0">
            <x v="1"/>
          </reference>
        </references>
      </pivotArea>
    </format>
    <format dxfId="44">
      <pivotArea type="topRight" dataOnly="0" labelOnly="1" outline="0" fieldPosition="0"/>
    </format>
    <format dxfId="43">
      <pivotArea dataOnly="0" labelOnly="1" fieldPosition="0">
        <references count="1">
          <reference field="6" count="1">
            <x v="1"/>
          </reference>
        </references>
      </pivotArea>
    </format>
    <format dxfId="42">
      <pivotArea grandCol="1" outline="0" collapsedLevelsAreSubtotals="1" fieldPosition="0"/>
    </format>
    <format dxfId="41">
      <pivotArea type="all" dataOnly="0" outline="0" fieldPosition="0"/>
    </format>
    <format dxfId="40">
      <pivotArea outline="0" collapsedLevelsAreSubtotals="1" fieldPosition="0"/>
    </format>
    <format dxfId="39">
      <pivotArea type="origin" dataOnly="0" labelOnly="1" outline="0" fieldPosition="0"/>
    </format>
    <format dxfId="38">
      <pivotArea field="6" type="button" dataOnly="0" labelOnly="1" outline="0" axis="axisCol" fieldPosition="0"/>
    </format>
    <format dxfId="37">
      <pivotArea type="topRight" dataOnly="0" labelOnly="1" outline="0" fieldPosition="0"/>
    </format>
    <format dxfId="36">
      <pivotArea field="3" type="button" dataOnly="0" labelOnly="1" outline="0" axis="axisRow" fieldPosition="0"/>
    </format>
    <format dxfId="35">
      <pivotArea dataOnly="0" labelOnly="1" fieldPosition="0">
        <references count="1">
          <reference field="3" count="0"/>
        </references>
      </pivotArea>
    </format>
    <format dxfId="34">
      <pivotArea dataOnly="0" labelOnly="1" grandRow="1" outline="0" fieldPosition="0"/>
    </format>
    <format dxfId="33">
      <pivotArea dataOnly="0" labelOnly="1" fieldPosition="0">
        <references count="1">
          <reference field="6" count="0"/>
        </references>
      </pivotArea>
    </format>
    <format dxfId="32">
      <pivotArea dataOnly="0" labelOnly="1" grandCol="1" outline="0" fieldPosition="0"/>
    </format>
  </formats>
  <chartFormats count="18">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pivotArea type="data" outline="0" fieldPosition="0">
        <references count="3">
          <reference field="4294967294" count="1" selected="0">
            <x v="0"/>
          </reference>
          <reference field="3" count="1" selected="0">
            <x v="0"/>
          </reference>
          <reference field="6" count="1" selected="0">
            <x v="0"/>
          </reference>
        </references>
      </pivotArea>
    </chartFormat>
    <chartFormat chart="0" format="3">
      <pivotArea type="data" outline="0" fieldPosition="0">
        <references count="3">
          <reference field="4294967294" count="1" selected="0">
            <x v="0"/>
          </reference>
          <reference field="3" count="1" selected="0">
            <x v="1"/>
          </reference>
          <reference field="6" count="1" selected="0">
            <x v="0"/>
          </reference>
        </references>
      </pivotArea>
    </chartFormat>
    <chartFormat chart="0" format="4">
      <pivotArea type="data" outline="0" fieldPosition="0">
        <references count="3">
          <reference field="4294967294" count="1" selected="0">
            <x v="0"/>
          </reference>
          <reference field="3" count="1" selected="0">
            <x v="2"/>
          </reference>
          <reference field="6" count="1" selected="0">
            <x v="0"/>
          </reference>
        </references>
      </pivotArea>
    </chartFormat>
    <chartFormat chart="0" format="5">
      <pivotArea type="data" outline="0" fieldPosition="0">
        <references count="3">
          <reference field="4294967294" count="1" selected="0">
            <x v="0"/>
          </reference>
          <reference field="3" count="1" selected="0">
            <x v="3"/>
          </reference>
          <reference field="6" count="1" selected="0">
            <x v="0"/>
          </reference>
        </references>
      </pivotArea>
    </chartFormat>
    <chartFormat chart="0" format="6">
      <pivotArea type="data" outline="0" fieldPosition="0">
        <references count="3">
          <reference field="4294967294" count="1" selected="0">
            <x v="0"/>
          </reference>
          <reference field="3" count="1" selected="0">
            <x v="4"/>
          </reference>
          <reference field="6" count="1" selected="0">
            <x v="0"/>
          </reference>
        </references>
      </pivotArea>
    </chartFormat>
    <chartFormat chart="0" format="7">
      <pivotArea type="data" outline="0" fieldPosition="0">
        <references count="3">
          <reference field="4294967294" count="1" selected="0">
            <x v="0"/>
          </reference>
          <reference field="3" count="1" selected="0">
            <x v="5"/>
          </reference>
          <reference field="6" count="1" selected="0">
            <x v="0"/>
          </reference>
        </references>
      </pivotArea>
    </chartFormat>
    <chartFormat chart="0" format="8">
      <pivotArea type="data" outline="0" fieldPosition="0">
        <references count="3">
          <reference field="4294967294" count="1" selected="0">
            <x v="0"/>
          </reference>
          <reference field="3" count="1" selected="0">
            <x v="6"/>
          </reference>
          <reference field="6" count="1" selected="0">
            <x v="0"/>
          </reference>
        </references>
      </pivotArea>
    </chartFormat>
    <chartFormat chart="0" format="9">
      <pivotArea type="data" outline="0" fieldPosition="0">
        <references count="3">
          <reference field="4294967294" count="1" selected="0">
            <x v="0"/>
          </reference>
          <reference field="3" count="1" selected="0">
            <x v="7"/>
          </reference>
          <reference field="6" count="1" selected="0">
            <x v="0"/>
          </reference>
        </references>
      </pivotArea>
    </chartFormat>
    <chartFormat chart="0" format="10">
      <pivotArea type="data" outline="0" fieldPosition="0">
        <references count="3">
          <reference field="4294967294" count="1" selected="0">
            <x v="0"/>
          </reference>
          <reference field="3" count="1" selected="0">
            <x v="0"/>
          </reference>
          <reference field="6" count="1" selected="0">
            <x v="1"/>
          </reference>
        </references>
      </pivotArea>
    </chartFormat>
    <chartFormat chart="0" format="11">
      <pivotArea type="data" outline="0" fieldPosition="0">
        <references count="3">
          <reference field="4294967294" count="1" selected="0">
            <x v="0"/>
          </reference>
          <reference field="3" count="1" selected="0">
            <x v="1"/>
          </reference>
          <reference field="6" count="1" selected="0">
            <x v="1"/>
          </reference>
        </references>
      </pivotArea>
    </chartFormat>
    <chartFormat chart="0" format="12">
      <pivotArea type="data" outline="0" fieldPosition="0">
        <references count="3">
          <reference field="4294967294" count="1" selected="0">
            <x v="0"/>
          </reference>
          <reference field="3" count="1" selected="0">
            <x v="2"/>
          </reference>
          <reference field="6" count="1" selected="0">
            <x v="1"/>
          </reference>
        </references>
      </pivotArea>
    </chartFormat>
    <chartFormat chart="0" format="13">
      <pivotArea type="data" outline="0" fieldPosition="0">
        <references count="3">
          <reference field="4294967294" count="1" selected="0">
            <x v="0"/>
          </reference>
          <reference field="3" count="1" selected="0">
            <x v="3"/>
          </reference>
          <reference field="6" count="1" selected="0">
            <x v="1"/>
          </reference>
        </references>
      </pivotArea>
    </chartFormat>
    <chartFormat chart="0" format="14">
      <pivotArea type="data" outline="0" fieldPosition="0">
        <references count="3">
          <reference field="4294967294" count="1" selected="0">
            <x v="0"/>
          </reference>
          <reference field="3" count="1" selected="0">
            <x v="4"/>
          </reference>
          <reference field="6" count="1" selected="0">
            <x v="1"/>
          </reference>
        </references>
      </pivotArea>
    </chartFormat>
    <chartFormat chart="0" format="15">
      <pivotArea type="data" outline="0" fieldPosition="0">
        <references count="3">
          <reference field="4294967294" count="1" selected="0">
            <x v="0"/>
          </reference>
          <reference field="3" count="1" selected="0">
            <x v="5"/>
          </reference>
          <reference field="6" count="1" selected="0">
            <x v="1"/>
          </reference>
        </references>
      </pivotArea>
    </chartFormat>
    <chartFormat chart="0" format="16">
      <pivotArea type="data" outline="0" fieldPosition="0">
        <references count="3">
          <reference field="4294967294" count="1" selected="0">
            <x v="0"/>
          </reference>
          <reference field="3" count="1" selected="0">
            <x v="6"/>
          </reference>
          <reference field="6" count="1" selected="0">
            <x v="1"/>
          </reference>
        </references>
      </pivotArea>
    </chartFormat>
    <chartFormat chart="0" format="17">
      <pivotArea type="data" outline="0" fieldPosition="0">
        <references count="3">
          <reference field="4294967294" count="1" selected="0">
            <x v="0"/>
          </reference>
          <reference field="3" count="1" selected="0">
            <x v="7"/>
          </reference>
          <reference field="6" count="1" selected="0">
            <x v="1"/>
          </reference>
        </references>
      </pivotArea>
    </chartFormat>
  </chart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3C0D05-F12D-423F-B52F-0F6F18144056}" name="TablaDinámica3" cacheId="1" applyNumberFormats="0" applyBorderFormats="0" applyFontFormats="0" applyPatternFormats="0" applyAlignmentFormats="0" applyWidthHeightFormats="1" dataCaption="Valores" updatedVersion="6" minRefreshableVersion="3" useAutoFormatting="1" rowGrandTotals="0" colGrandTotals="0" itemPrintTitles="1" createdVersion="6" indent="0" outline="1" outlineData="1" multipleFieldFilters="0">
  <location ref="B5:C7" firstHeaderRow="1" firstDataRow="1" firstDataCol="1" rowPageCount="1" colPageCount="1"/>
  <pivotFields count="13">
    <pivotField axis="axisRow" numFmtId="170" showAll="0">
      <items count="3">
        <item x="1"/>
        <item x="0"/>
        <item t="default"/>
      </items>
    </pivotField>
    <pivotField showAll="0"/>
    <pivotField axis="axisPage" multipleItemSelectionAllowed="1" showAll="0">
      <items count="6">
        <item h="1" x="1"/>
        <item x="0"/>
        <item h="1" x="2"/>
        <item h="1" x="3"/>
        <item h="1" x="4"/>
        <item t="default"/>
      </items>
    </pivotField>
    <pivotField showAll="0"/>
    <pivotField showAll="0"/>
    <pivotField numFmtId="1" showAll="0"/>
    <pivotField dataField="1" numFmtId="1" showAll="0">
      <items count="8">
        <item x="3"/>
        <item x="5"/>
        <item x="0"/>
        <item x="2"/>
        <item x="6"/>
        <item x="1"/>
        <item x="4"/>
        <item t="default"/>
      </items>
    </pivotField>
    <pivotField numFmtId="1" showAll="0"/>
    <pivotField showAll="0"/>
    <pivotField numFmtId="1" showAll="0"/>
    <pivotField showAll="0"/>
    <pivotField showAll="0"/>
    <pivotField showAll="0"/>
  </pivotFields>
  <rowFields count="1">
    <field x="0"/>
  </rowFields>
  <rowItems count="2">
    <i>
      <x/>
    </i>
    <i>
      <x v="1"/>
    </i>
  </rowItems>
  <colItems count="1">
    <i/>
  </colItems>
  <pageFields count="1">
    <pageField fld="2" hier="-1"/>
  </pageFields>
  <dataFields count="1">
    <dataField name="Suma de PH" fld="6" baseField="0" baseItem="0" numFmtId="167"/>
  </dataFields>
  <formats count="3">
    <format dxfId="10">
      <pivotArea outline="0" collapsedLevelsAreSubtotals="1" fieldPosition="0"/>
    </format>
    <format dxfId="9">
      <pivotArea dataOnly="0" labelOnly="1" outline="0" fieldPosition="0">
        <references count="1">
          <reference field="2" count="0"/>
        </references>
      </pivotArea>
    </format>
    <format dxfId="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lector" xr10:uid="{7BCF9D36-455A-4F41-BC0C-3B27E45D23DE}" sourceName="Selector">
  <pivotTables>
    <pivotTable tabId="15" name="TablaDinámica1"/>
  </pivotTables>
  <data>
    <tabular pivotCacheId="2126668781">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ateria_Prima" xr10:uid="{76215DE5-AF55-480A-A7A2-84B6FD9AC620}" sourceName="Materia Prima">
  <pivotTables>
    <pivotTable tabId="7" name="TablaDinámica1"/>
  </pivotTables>
  <data>
    <tabular pivotCacheId="140256009">
      <items count="27">
        <i x="7"/>
        <i x="12"/>
        <i x="14" s="1"/>
        <i x="0"/>
        <i x="24"/>
        <i x="13"/>
        <i x="8"/>
        <i x="26"/>
        <i x="15"/>
        <i x="25"/>
        <i x="6"/>
        <i x="5"/>
        <i x="2"/>
        <i x="9"/>
        <i x="11"/>
        <i x="16"/>
        <i x="17"/>
        <i x="10"/>
        <i x="23"/>
        <i x="19"/>
        <i x="1"/>
        <i x="18"/>
        <i x="3"/>
        <i x="4"/>
        <i x="20" nd="1"/>
        <i x="21" nd="1"/>
        <i x="2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2" xr10:uid="{6B438BA1-EEDA-4837-9336-37CB5DC80666}" sourceName="Producto">
  <pivotTables>
    <pivotTable tabId="23" name="TablaDinámica2"/>
  </pivotTables>
  <data>
    <tabular pivotCacheId="1000011457">
      <items count="8">
        <i x="6" s="1"/>
        <i x="5"/>
        <i x="3"/>
        <i x="2"/>
        <i x="1"/>
        <i x="7"/>
        <i x="4"/>
        <i x="0"/>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xistencia" xr10:uid="{3E010B51-B2FD-41AB-887E-7F9DE27CFDB8}" sourceName="Existencia">
  <pivotTables>
    <pivotTable tabId="23" name="TablaDinámica2"/>
  </pivotTables>
  <data>
    <tabular pivotCacheId="1000011457">
      <items count="6">
        <i x="2" s="1"/>
        <i x="3" s="1" nd="1"/>
        <i x="1" s="1" nd="1"/>
        <i x="4" s="1" nd="1"/>
        <i x="0" s="1" nd="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 xr10:uid="{81A10CE1-1470-4E86-A4E1-F765338CA45A}" sourceName="Producto">
  <pivotTables>
    <pivotTable tabId="16" name="TablaDinámica2"/>
  </pivotTables>
  <data>
    <tabular pivotCacheId="1576755501">
      <items count="8">
        <i x="4" s="1"/>
        <i x="2" s="1"/>
        <i x="6" s="1"/>
        <i x="1" s="1"/>
        <i x="5" s="1"/>
        <i x="3" s="1"/>
        <i x="7"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 xr10:uid="{073A3D13-986C-4DB4-B27B-F1CDB1DAE7A8}" sourceName="FECHA">
  <pivotTables>
    <pivotTable tabId="16" name="TablaDinámica2"/>
  </pivotTables>
  <data>
    <tabular pivotCacheId="1576755501">
      <items count="368">
        <i x="316" s="1"/>
        <i x="324" s="1"/>
        <i x="328" s="1"/>
        <i x="329" s="1"/>
        <i x="361" s="1"/>
        <i x="363" s="1"/>
        <i x="364" s="1"/>
        <i x="339" s="1"/>
        <i x="311" s="1"/>
        <i x="312" s="1"/>
        <i x="0" s="1" nd="1"/>
        <i x="367" s="1" nd="1"/>
        <i x="101" s="1" nd="1"/>
        <i x="223" s="1" nd="1"/>
        <i x="345" s="1" nd="1"/>
        <i x="10" s="1" nd="1"/>
        <i x="41" s="1" nd="1"/>
        <i x="192" s="1" nd="1"/>
        <i x="162" s="1" nd="1"/>
        <i x="70" s="1" nd="1"/>
        <i x="131" s="1" nd="1"/>
        <i x="315" s="1" nd="1"/>
        <i x="284" s="1" nd="1"/>
        <i x="254" s="1" nd="1"/>
        <i x="102" s="1" nd="1"/>
        <i x="224" s="1" nd="1"/>
        <i x="346" s="1" nd="1"/>
        <i x="11" s="1" nd="1"/>
        <i x="42" s="1" nd="1"/>
        <i x="193" s="1" nd="1"/>
        <i x="163" s="1" nd="1"/>
        <i x="71" s="1" nd="1"/>
        <i x="132" s="1" nd="1"/>
        <i x="285" s="1" nd="1"/>
        <i x="255" s="1" nd="1"/>
        <i x="103" s="1" nd="1"/>
        <i x="225" s="1" nd="1"/>
        <i x="347" s="1" nd="1"/>
        <i x="12" s="1" nd="1"/>
        <i x="43" s="1" nd="1"/>
        <i x="194" s="1" nd="1"/>
        <i x="164" s="1" nd="1"/>
        <i x="72" s="1" nd="1"/>
        <i x="133" s="1" nd="1"/>
        <i x="317" s="1" nd="1"/>
        <i x="286" s="1" nd="1"/>
        <i x="256" s="1" nd="1"/>
        <i x="104" s="1" nd="1"/>
        <i x="226" s="1" nd="1"/>
        <i x="348" s="1" nd="1"/>
        <i x="13" s="1" nd="1"/>
        <i x="44" s="1" nd="1"/>
        <i x="195" s="1" nd="1"/>
        <i x="165" s="1" nd="1"/>
        <i x="73" s="1" nd="1"/>
        <i x="134" s="1" nd="1"/>
        <i x="318" s="1" nd="1"/>
        <i x="287" s="1" nd="1"/>
        <i x="257" s="1" nd="1"/>
        <i x="105" s="1" nd="1"/>
        <i x="227" s="1" nd="1"/>
        <i x="349" s="1" nd="1"/>
        <i x="14" s="1" nd="1"/>
        <i x="45" s="1" nd="1"/>
        <i x="196" s="1" nd="1"/>
        <i x="166" s="1" nd="1"/>
        <i x="74" s="1" nd="1"/>
        <i x="135" s="1" nd="1"/>
        <i x="319" s="1" nd="1"/>
        <i x="288" s="1" nd="1"/>
        <i x="258" s="1" nd="1"/>
        <i x="106" s="1" nd="1"/>
        <i x="228" s="1" nd="1"/>
        <i x="350" s="1" nd="1"/>
        <i x="15" s="1" nd="1"/>
        <i x="46" s="1" nd="1"/>
        <i x="197" s="1" nd="1"/>
        <i x="167" s="1" nd="1"/>
        <i x="75" s="1" nd="1"/>
        <i x="136" s="1" nd="1"/>
        <i x="320" s="1" nd="1"/>
        <i x="289" s="1" nd="1"/>
        <i x="259" s="1" nd="1"/>
        <i x="107" s="1" nd="1"/>
        <i x="229" s="1" nd="1"/>
        <i x="351" s="1" nd="1"/>
        <i x="16" s="1" nd="1"/>
        <i x="47" s="1" nd="1"/>
        <i x="198" s="1" nd="1"/>
        <i x="168" s="1" nd="1"/>
        <i x="76" s="1" nd="1"/>
        <i x="137" s="1" nd="1"/>
        <i x="321" s="1" nd="1"/>
        <i x="290" s="1" nd="1"/>
        <i x="260" s="1" nd="1"/>
        <i x="108" s="1" nd="1"/>
        <i x="230" s="1" nd="1"/>
        <i x="352" s="1" nd="1"/>
        <i x="17" s="1" nd="1"/>
        <i x="48" s="1" nd="1"/>
        <i x="199" s="1" nd="1"/>
        <i x="169" s="1" nd="1"/>
        <i x="77" s="1" nd="1"/>
        <i x="138" s="1" nd="1"/>
        <i x="322" s="1" nd="1"/>
        <i x="291" s="1" nd="1"/>
        <i x="261" s="1" nd="1"/>
        <i x="109" s="1" nd="1"/>
        <i x="231" s="1" nd="1"/>
        <i x="353" s="1" nd="1"/>
        <i x="18" s="1" nd="1"/>
        <i x="49" s="1" nd="1"/>
        <i x="200" s="1" nd="1"/>
        <i x="170" s="1" nd="1"/>
        <i x="78" s="1" nd="1"/>
        <i x="139" s="1" nd="1"/>
        <i x="323" s="1" nd="1"/>
        <i x="292" s="1" nd="1"/>
        <i x="262" s="1" nd="1"/>
        <i x="110" s="1" nd="1"/>
        <i x="232" s="1" nd="1"/>
        <i x="354" s="1" nd="1"/>
        <i x="19" s="1" nd="1"/>
        <i x="50" s="1" nd="1"/>
        <i x="201" s="1" nd="1"/>
        <i x="171" s="1" nd="1"/>
        <i x="79" s="1" nd="1"/>
        <i x="140" s="1" nd="1"/>
        <i x="293" s="1" nd="1"/>
        <i x="263" s="1" nd="1"/>
        <i x="92" s="1" nd="1"/>
        <i x="214" s="1" nd="1"/>
        <i x="336" s="1" nd="1"/>
        <i x="1" s="1" nd="1"/>
        <i x="32" s="1" nd="1"/>
        <i x="183" s="1" nd="1"/>
        <i x="153" s="1" nd="1"/>
        <i x="61" s="1" nd="1"/>
        <i x="122" s="1" nd="1"/>
        <i x="306" s="1" nd="1"/>
        <i x="275" s="1" nd="1"/>
        <i x="245" s="1" nd="1"/>
        <i x="111" s="1" nd="1"/>
        <i x="233" s="1" nd="1"/>
        <i x="355" s="1" nd="1"/>
        <i x="20" s="1" nd="1"/>
        <i x="51" s="1" nd="1"/>
        <i x="202" s="1" nd="1"/>
        <i x="172" s="1" nd="1"/>
        <i x="80" s="1" nd="1"/>
        <i x="141" s="1" nd="1"/>
        <i x="325" s="1" nd="1"/>
        <i x="294" s="1" nd="1"/>
        <i x="264" s="1" nd="1"/>
        <i x="112" s="1" nd="1"/>
        <i x="234" s="1" nd="1"/>
        <i x="356" s="1" nd="1"/>
        <i x="21" s="1" nd="1"/>
        <i x="52" s="1" nd="1"/>
        <i x="203" s="1" nd="1"/>
        <i x="173" s="1" nd="1"/>
        <i x="81" s="1" nd="1"/>
        <i x="142" s="1" nd="1"/>
        <i x="326" s="1" nd="1"/>
        <i x="295" s="1" nd="1"/>
        <i x="265" s="1" nd="1"/>
        <i x="113" s="1" nd="1"/>
        <i x="235" s="1" nd="1"/>
        <i x="357" s="1" nd="1"/>
        <i x="22" s="1" nd="1"/>
        <i x="53" s="1" nd="1"/>
        <i x="204" s="1" nd="1"/>
        <i x="174" s="1" nd="1"/>
        <i x="82" s="1" nd="1"/>
        <i x="143" s="1" nd="1"/>
        <i x="327" s="1" nd="1"/>
        <i x="296" s="1" nd="1"/>
        <i x="266" s="1" nd="1"/>
        <i x="114" s="1" nd="1"/>
        <i x="236" s="1" nd="1"/>
        <i x="358" s="1" nd="1"/>
        <i x="23" s="1" nd="1"/>
        <i x="54" s="1" nd="1"/>
        <i x="205" s="1" nd="1"/>
        <i x="175" s="1" nd="1"/>
        <i x="83" s="1" nd="1"/>
        <i x="144" s="1" nd="1"/>
        <i x="297" s="1" nd="1"/>
        <i x="267" s="1" nd="1"/>
        <i x="115" s="1" nd="1"/>
        <i x="237" s="1" nd="1"/>
        <i x="359" s="1" nd="1"/>
        <i x="24" s="1" nd="1"/>
        <i x="55" s="1" nd="1"/>
        <i x="206" s="1" nd="1"/>
        <i x="176" s="1" nd="1"/>
        <i x="84" s="1" nd="1"/>
        <i x="145" s="1" nd="1"/>
        <i x="298" s="1" nd="1"/>
        <i x="268" s="1" nd="1"/>
        <i x="116" s="1" nd="1"/>
        <i x="238" s="1" nd="1"/>
        <i x="360" s="1" nd="1"/>
        <i x="25" s="1" nd="1"/>
        <i x="56" s="1" nd="1"/>
        <i x="207" s="1" nd="1"/>
        <i x="177" s="1" nd="1"/>
        <i x="85" s="1" nd="1"/>
        <i x="146" s="1" nd="1"/>
        <i x="330" s="1" nd="1"/>
        <i x="299" s="1" nd="1"/>
        <i x="269" s="1" nd="1"/>
        <i x="117" s="1" nd="1"/>
        <i x="239" s="1" nd="1"/>
        <i x="26" s="1" nd="1"/>
        <i x="57" s="1" nd="1"/>
        <i x="208" s="1" nd="1"/>
        <i x="178" s="1" nd="1"/>
        <i x="86" s="1" nd="1"/>
        <i x="147" s="1" nd="1"/>
        <i x="331" s="1" nd="1"/>
        <i x="300" s="1" nd="1"/>
        <i x="270" s="1" nd="1"/>
        <i x="118" s="1" nd="1"/>
        <i x="240" s="1" nd="1"/>
        <i x="362" s="1" nd="1"/>
        <i x="27" s="1" nd="1"/>
        <i x="58" s="1" nd="1"/>
        <i x="209" s="1" nd="1"/>
        <i x="179" s="1" nd="1"/>
        <i x="87" s="1" nd="1"/>
        <i x="148" s="1" nd="1"/>
        <i x="332" s="1" nd="1"/>
        <i x="301" s="1" nd="1"/>
        <i x="271" s="1" nd="1"/>
        <i x="119" s="1" nd="1"/>
        <i x="241" s="1" nd="1"/>
        <i x="28" s="1" nd="1"/>
        <i x="59" s="1" nd="1"/>
        <i x="210" s="1" nd="1"/>
        <i x="180" s="1" nd="1"/>
        <i x="88" s="1" nd="1"/>
        <i x="149" s="1" nd="1"/>
        <i x="333" s="1" nd="1"/>
        <i x="302" s="1" nd="1"/>
        <i x="272" s="1" nd="1"/>
        <i x="120" s="1" nd="1"/>
        <i x="242" s="1" nd="1"/>
        <i x="29" s="1" nd="1"/>
        <i x="60" s="1" nd="1"/>
        <i x="211" s="1" nd="1"/>
        <i x="181" s="1" nd="1"/>
        <i x="89" s="1" nd="1"/>
        <i x="150" s="1" nd="1"/>
        <i x="334" s="1" nd="1"/>
        <i x="303" s="1" nd="1"/>
        <i x="273" s="1" nd="1"/>
        <i x="93" s="1" nd="1"/>
        <i x="215" s="1" nd="1"/>
        <i x="337" s="1" nd="1"/>
        <i x="2" s="1" nd="1"/>
        <i x="33" s="1" nd="1"/>
        <i x="184" s="1" nd="1"/>
        <i x="154" s="1" nd="1"/>
        <i x="62" s="1" nd="1"/>
        <i x="123" s="1" nd="1"/>
        <i x="307" s="1" nd="1"/>
        <i x="276" s="1" nd="1"/>
        <i x="246" s="1" nd="1"/>
        <i x="121" s="1" nd="1"/>
        <i x="243" s="1" nd="1"/>
        <i x="365" s="1" nd="1"/>
        <i x="30" s="1" nd="1"/>
        <i x="212" s="1" nd="1"/>
        <i x="182" s="1" nd="1"/>
        <i x="90" s="1" nd="1"/>
        <i x="151" s="1" nd="1"/>
        <i x="335" s="1" nd="1"/>
        <i x="304" s="1" nd="1"/>
        <i x="274" s="1" nd="1"/>
        <i x="244" s="1" nd="1"/>
        <i x="366" s="1" nd="1"/>
        <i x="31" s="1" nd="1"/>
        <i x="213" s="1" nd="1"/>
        <i x="91" s="1" nd="1"/>
        <i x="152" s="1" nd="1"/>
        <i x="305" s="1" nd="1"/>
        <i x="94" s="1" nd="1"/>
        <i x="216" s="1" nd="1"/>
        <i x="338" s="1" nd="1"/>
        <i x="3" s="1" nd="1"/>
        <i x="34" s="1" nd="1"/>
        <i x="185" s="1" nd="1"/>
        <i x="155" s="1" nd="1"/>
        <i x="63" s="1" nd="1"/>
        <i x="124" s="1" nd="1"/>
        <i x="308" s="1" nd="1"/>
        <i x="277" s="1" nd="1"/>
        <i x="247" s="1" nd="1"/>
        <i x="95" s="1" nd="1"/>
        <i x="217" s="1" nd="1"/>
        <i x="4" s="1" nd="1"/>
        <i x="35" s="1" nd="1"/>
        <i x="186" s="1" nd="1"/>
        <i x="156" s="1" nd="1"/>
        <i x="64" s="1" nd="1"/>
        <i x="125" s="1" nd="1"/>
        <i x="309" s="1" nd="1"/>
        <i x="278" s="1" nd="1"/>
        <i x="248" s="1" nd="1"/>
        <i x="96" s="1" nd="1"/>
        <i x="218" s="1" nd="1"/>
        <i x="340" s="1" nd="1"/>
        <i x="5" s="1" nd="1"/>
        <i x="36" s="1" nd="1"/>
        <i x="187" s="1" nd="1"/>
        <i x="157" s="1" nd="1"/>
        <i x="65" s="1" nd="1"/>
        <i x="126" s="1" nd="1"/>
        <i x="310" s="1" nd="1"/>
        <i x="279" s="1" nd="1"/>
        <i x="249" s="1" nd="1"/>
        <i x="97" s="1" nd="1"/>
        <i x="219" s="1" nd="1"/>
        <i x="341" s="1" nd="1"/>
        <i x="6" s="1" nd="1"/>
        <i x="37" s="1" nd="1"/>
        <i x="188" s="1" nd="1"/>
        <i x="158" s="1" nd="1"/>
        <i x="66" s="1" nd="1"/>
        <i x="127" s="1" nd="1"/>
        <i x="280" s="1" nd="1"/>
        <i x="250" s="1" nd="1"/>
        <i x="98" s="1" nd="1"/>
        <i x="220" s="1" nd="1"/>
        <i x="342" s="1" nd="1"/>
        <i x="7" s="1" nd="1"/>
        <i x="38" s="1" nd="1"/>
        <i x="189" s="1" nd="1"/>
        <i x="159" s="1" nd="1"/>
        <i x="67" s="1" nd="1"/>
        <i x="128" s="1" nd="1"/>
        <i x="281" s="1" nd="1"/>
        <i x="251" s="1" nd="1"/>
        <i x="99" s="1" nd="1"/>
        <i x="221" s="1" nd="1"/>
        <i x="343" s="1" nd="1"/>
        <i x="8" s="1" nd="1"/>
        <i x="39" s="1" nd="1"/>
        <i x="190" s="1" nd="1"/>
        <i x="160" s="1" nd="1"/>
        <i x="68" s="1" nd="1"/>
        <i x="129" s="1" nd="1"/>
        <i x="313" s="1" nd="1"/>
        <i x="282" s="1" nd="1"/>
        <i x="252" s="1" nd="1"/>
        <i x="100" s="1" nd="1"/>
        <i x="222" s="1" nd="1"/>
        <i x="344" s="1" nd="1"/>
        <i x="9" s="1" nd="1"/>
        <i x="40" s="1" nd="1"/>
        <i x="191" s="1" nd="1"/>
        <i x="161" s="1" nd="1"/>
        <i x="69" s="1" nd="1"/>
        <i x="130" s="1" nd="1"/>
        <i x="314" s="1" nd="1"/>
        <i x="283" s="1" nd="1"/>
        <i x="25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TATUS" xr10:uid="{F46CACB2-C91D-4357-A106-6043EFABBFB2}" sourceName="STATUS">
  <extLst>
    <x:ext xmlns:x15="http://schemas.microsoft.com/office/spreadsheetml/2010/11/main" uri="{2F2917AC-EB37-4324-AD4E-5DD8C200BD13}">
      <x15:tableSlicerCache tableId="8" column="1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1" xr10:uid="{47A3B638-5AB2-43E0-8F38-1C3A9257F63D}" sourceName="Producto">
  <extLst>
    <x:ext xmlns:x15="http://schemas.microsoft.com/office/spreadsheetml/2010/11/main" uri="{2F2917AC-EB37-4324-AD4E-5DD8C200BD13}">
      <x15:tableSlicerCache tableId="6"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nt_Sal" xr10:uid="{AA600FB3-B7A0-49E2-81E4-A4FBA564C76E}" sourceName="Ent-Sal">
  <extLst>
    <x:ext xmlns:x15="http://schemas.microsoft.com/office/spreadsheetml/2010/11/main" uri="{2F2917AC-EB37-4324-AD4E-5DD8C200BD13}">
      <x15:tableSlicerCache tableId="6" column="6"/>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31" xr10:uid="{40B9E6FF-C106-4E6F-A2E8-5C0EBAADB08B}" sourceName="Producto">
  <extLst>
    <x:ext xmlns:x15="http://schemas.microsoft.com/office/spreadsheetml/2010/11/main" uri="{2F2917AC-EB37-4324-AD4E-5DD8C200BD13}">
      <x15:tableSlicerCache tableId="15" column="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ateria_Prima11" xr10:uid="{F45159AC-7F16-491B-867A-0E03B060B4D1}" sourceName="Materia Prima">
  <extLst>
    <x:ext xmlns:x15="http://schemas.microsoft.com/office/spreadsheetml/2010/11/main" uri="{2F2917AC-EB37-4324-AD4E-5DD8C200BD13}">
      <x15:tableSlicerCache tableId="15"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o 4" xr10:uid="{5972B7F8-C08C-43B4-8D53-4BCC970862F6}" cache="SegmentaciónDeDatos_Producto31" caption="Producto" columnCount="2" style="SlicerStyleDark5" rowHeight="241300"/>
  <slicer name="Materia Prima 2" xr10:uid="{01A7EAED-DB8F-42B3-8EA6-2B1B6A6ECA78}" cache="SegmentaciónDeDatos_Materia_Prima11" caption="Materia Prima" startItem="20" columnCount="4" style="SlicerStyleDark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teria Prima" xr10:uid="{1B5D1EDA-4B59-4B8A-B841-76A4406B55F8}" cache="SegmentaciónDeDatos_Materia_Prima" caption="Materia Prima" columnCount="2" style="SlicerStyleDark5"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lector" xr10:uid="{C9B30D5D-F70A-4D86-9DFA-380205E178B3}" cache="SegmentaciónDeDatos_Selector" caption="Selector" columnCount="2" style="SlicerStyleDark6"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o" xr10:uid="{79911F47-29E9-4EB9-819A-A9A7DDD5F9E3}" cache="SegmentaciónDeDatos_Producto" caption="Producto" rowHeight="241300"/>
  <slicer name="FECHA" xr10:uid="{6AC71741-1E6A-4CB0-800E-CF7C987DC98D}" cache="SegmentaciónDeDatos_FECHA" caption="FECHA" startItem="3"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ISTENCIA DE INVENTARIO" xr10:uid="{444041D6-BC79-4CE1-B4E8-9B4E06DF0D4F}" cache="SegmentaciónDeDatos_STATUS" caption="EXISTENCIA DE INVENTARIO" columnCount="3" style="SlicerStyleDark6"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o 1" xr10:uid="{019AC11B-CF6B-4483-93CF-0DEDD5608C10}" cache="SegmentaciónDeDatos_Producto1" caption="Producto" columnCount="4" style="SlicerStyleDark6" rowHeight="241300"/>
  <slicer name="Ent-Sal" xr10:uid="{DA959012-C9BA-4984-8AAE-AEE1685D8730}" cache="SegmentaciónDeDatos_Ent_Sal" caption="Ent-Sal" style="SlicerStyleDark6"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o 2" xr10:uid="{D83CCEA4-1A1B-42AB-AE7A-6DF77BBFE666}" cache="SegmentaciónDeDatos_Producto2" caption="Producto" rowHeight="241300"/>
  <slicer name="Existencia" xr10:uid="{949FA4F4-C7D3-4C03-AEC9-98C5737D4AE0}" cache="SegmentaciónDeDatos_Existencia" caption="Existenci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D36FF75-A095-41FB-93C3-186B74E8074F}" name="MATERIA_PRIMA" displayName="MATERIA_PRIMA" ref="E100:E105" totalsRowShown="0" headerRowDxfId="227" dataDxfId="225" headerRowBorderDxfId="226" tableBorderDxfId="224" totalsRowBorderDxfId="223">
  <autoFilter ref="E100:E105" xr:uid="{A820AFB4-5725-4447-9750-542B5FC45F6D}"/>
  <tableColumns count="1">
    <tableColumn id="1" xr3:uid="{6664F01B-9DA2-478E-B194-016DD8B20FF0}" name="MATERIA_PRIMA" dataDxfId="2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173329D-17BC-4504-B277-DC7ECD6713C7}" name="IR_A_PRODUCTOS" displayName="IR_A_PRODUCTOS" ref="F100:F103" totalsRowShown="0" headerRowDxfId="221" dataDxfId="219" headerRowBorderDxfId="220" tableBorderDxfId="218" totalsRowBorderDxfId="217">
  <autoFilter ref="F100:F103" xr:uid="{4C7FDCFE-153E-4429-B5B1-64DB607BDE3C}"/>
  <tableColumns count="1">
    <tableColumn id="1" xr3:uid="{D2CD661E-6422-4A77-BF50-E324CAC8BE87}" name="IR_A_PRODUCTOS" dataDxfId="2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D5F225B-C9FB-4A28-B2F9-A321E7705E4E}" name="IR_A_FORMULAS" displayName="IR_A_FORMULAS" ref="G100:G102" totalsRowShown="0" headerRowDxfId="215" dataDxfId="213" headerRowBorderDxfId="214" tableBorderDxfId="212" totalsRowBorderDxfId="211">
  <autoFilter ref="G100:G102" xr:uid="{D0C5A41D-DF56-4D58-8F83-12823BA93D49}"/>
  <tableColumns count="1">
    <tableColumn id="1" xr3:uid="{5743FAE7-F819-4682-A4AE-D99B42D05124}" name="IR_A_FORMULAS" dataDxfId="2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2CB3E47-0796-4F50-92DA-5AF82A2E4D1D}" name="INVENTARIO_MP" displayName="INVENTARIO_MP" ref="E108:E110" totalsRowShown="0" headerRowDxfId="209" dataDxfId="207" headerRowBorderDxfId="208" tableBorderDxfId="206" totalsRowBorderDxfId="205">
  <autoFilter ref="E108:E110" xr:uid="{01570F2E-EE90-4F93-B098-4E07DEA469E7}"/>
  <tableColumns count="1">
    <tableColumn id="1" xr3:uid="{B1EA8FE0-4775-44CF-A572-54A5EA2CAE6D}" name="INVENTARIO_MP" dataDxfId="20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34339A7-A53F-4217-B0CC-BBE742B2F33C}" name="INVENTARIO_P" displayName="INVENTARIO_P" ref="F108:F110" totalsRowShown="0" headerRowDxfId="203" dataDxfId="201" headerRowBorderDxfId="202" tableBorderDxfId="200" totalsRowBorderDxfId="199">
  <autoFilter ref="F108:F110" xr:uid="{1146414C-A4E9-441A-8156-C68185DDF8B3}"/>
  <tableColumns count="1">
    <tableColumn id="1" xr3:uid="{119F5673-57C5-4C52-9540-EA62CCFC9175}" name="INVENTARIO_P"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3625826-9ACD-4D98-AF33-894AAF39960C}" name="DESCRIPCION_MP" displayName="DESCRIPCION_MP" ref="D108:D109" totalsRowShown="0" headerRowDxfId="197" dataDxfId="195" headerRowBorderDxfId="196" tableBorderDxfId="194" totalsRowBorderDxfId="193">
  <autoFilter ref="D108:D109" xr:uid="{934E7255-CE53-4699-A6A6-E6E3DAFA44DD}"/>
  <tableColumns count="1">
    <tableColumn id="1" xr3:uid="{61A4CD11-9FA7-4125-BFC5-25440ED19CAB}" name="DESCRIPCION_MP" dataDxfId="19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743036-40F5-4169-BE6B-20E54AF93A96}" name="TblRegistrosOrden" displayName="TblRegistrosOrden" ref="A1:M4" totalsRowShown="0" headerRowDxfId="0" headerRowBorderDxfId="2" tableBorderDxfId="3">
  <autoFilter ref="A1:M4" xr:uid="{1CDF9EB7-8998-4AAD-8862-F7AC8A2C2BA5}"/>
  <tableColumns count="13">
    <tableColumn id="1" xr3:uid="{2433F61B-F00F-4687-8EE4-8512A418B55F}" name="Fecha" dataDxfId="1"/>
    <tableColumn id="2" xr3:uid="{BB697398-D417-4B8F-8420-99FA01CE910F}" name="Codigo Producción"/>
    <tableColumn id="3" xr3:uid="{65EC469E-5BD6-4B17-BC0E-01E458DAE388}" name="Codigo Producto"/>
    <tableColumn id="4" xr3:uid="{486DD05D-E17F-4483-B1C0-24D3C75A3209}" name="Producto"/>
    <tableColumn id="5" xr3:uid="{DB0499B4-4210-41C0-A9A3-C719EDC2F227}" name="N° Orden"/>
    <tableColumn id="6" xr3:uid="{FBFE4DB1-59BC-4318-9E97-A443A15181ED}" name="N° Lote"/>
    <tableColumn id="7" xr3:uid="{48006E81-BC49-4FC6-B2AF-150A5502E1AA}" name="Cantidad a Producir"/>
    <tableColumn id="8" xr3:uid="{1953E7E0-53CD-46A4-BA75-EA08D2A0D609}" name="500 cc"/>
    <tableColumn id="9" xr3:uid="{C2B6233A-C98A-4198-96FD-E633DF7B2703}" name="1 Lt"/>
    <tableColumn id="10" xr3:uid="{C5AC0D71-6F1A-43D3-AC01-EE9F2A17897D}" name="2 Ll"/>
    <tableColumn id="11" xr3:uid="{7ECEE177-2956-4CBC-8C8B-6DFA13BBF247}" name="Galón"/>
    <tableColumn id="12" xr3:uid="{84B83BA4-7B2E-4EC7-B917-8450C7BA7E9E}" name="10 Lt"/>
    <tableColumn id="13" xr3:uid="{F0A0618D-8BF3-483C-8B23-334B6148683D}" name="Columna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270FAF-5BD0-49E6-908E-7567E80CD1C7}" name="Productos" displayName="Productos" ref="B1:H9" totalsRowShown="0" headerRowDxfId="191" tableBorderDxfId="190">
  <autoFilter ref="B1:H9" xr:uid="{169700B2-7330-441A-808F-E7EBD6180076}"/>
  <tableColumns count="7">
    <tableColumn id="1" xr3:uid="{38A25B66-B75B-42C3-8290-AAE106AD3DA9}" name="Codigo" dataDxfId="189"/>
    <tableColumn id="2" xr3:uid="{513FAF33-6353-44AC-8B81-85C830EA2E76}" name="Producto" dataDxfId="188"/>
    <tableColumn id="3" xr3:uid="{222E8DEC-94F2-45E7-9074-6060E82605C4}" name="Orden de produccion" dataDxfId="187"/>
    <tableColumn id="4" xr3:uid="{AA8FAD01-1BF5-4DF3-9D12-8D3E74FE2922}" name="N° Lote" dataDxfId="186"/>
    <tableColumn id="5" xr3:uid="{98BFB01D-3B7E-43EC-AEB6-7F6554E3CFEB}" name="Cantidad" dataDxfId="185"/>
    <tableColumn id="7" xr3:uid="{42D688DD-C46E-4F62-ADBA-F6E1C08BD3B0}" name="Funciones" dataDxfId="184">
      <calculatedColumnFormula>_xlfn.NUMBERVALUE(MID(B2,FIND("-",B2,1)+1,3))</calculatedColumnFormula>
    </tableColumn>
    <tableColumn id="8" xr3:uid="{E95596E3-DCED-4D52-89DF-AC187D8C1AE7}" name="Selector" dataDxfId="183">
      <calculatedColumnFormula>Productos[[#This Row],[Codigo]]&amp;" "&amp;Productos[[#This Row],[Producto]]</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889457-BF4F-4FD4-96AD-76CB4EFBA043}" name="TblCalidad" displayName="TblCalidad" ref="A1:M19" totalsRowShown="0" headerRowDxfId="182" dataDxfId="180" headerRowBorderDxfId="181" tableBorderDxfId="179" totalsRowBorderDxfId="178">
  <autoFilter ref="A1:M19" xr:uid="{560F8D66-CEDA-4BD2-B1B1-04F8C81F7ED4}"/>
  <tableColumns count="13">
    <tableColumn id="13" xr3:uid="{8F5F66DC-D24B-4830-8BFB-B21310425383}" name="Fecha" dataDxfId="177"/>
    <tableColumn id="1" xr3:uid="{91780C73-1B54-4FAF-B103-AA7A899F2AFE}" name="Codigo" dataDxfId="176"/>
    <tableColumn id="2" xr3:uid="{FCA4588A-8E57-45A7-A619-9E7F710EC6C3}" name="Producto" dataDxfId="175"/>
    <tableColumn id="3" xr3:uid="{85096FAA-27D4-4C07-BC16-191990A558F6}" name="Orden" dataDxfId="174"/>
    <tableColumn id="4" xr3:uid="{A7BC0F01-9C85-4725-A47B-F97E8C5D9623}" name="Lote" dataDxfId="173"/>
    <tableColumn id="5" xr3:uid="{B247E5B5-0903-499F-A171-66515F3A632C}" name="Cantidad" dataDxfId="172"/>
    <tableColumn id="6" xr3:uid="{5BE3616B-2883-40E9-A7F6-3D753C4471B9}" name="PH" dataDxfId="171"/>
    <tableColumn id="7" xr3:uid="{7289416A-DD0D-445C-93F0-C819C73F5767}" name="Viscosidad" dataDxfId="170"/>
    <tableColumn id="8" xr3:uid="{99634318-F509-45FA-AE69-2C6B473108B5}" name="Densidad" dataDxfId="169"/>
    <tableColumn id="9" xr3:uid="{E08B6EB9-B0C0-472F-A44F-1B6982F4C69C}" name="Concentracion" dataDxfId="168"/>
    <tableColumn id="10" xr3:uid="{6D5F068E-C8C0-4738-AB79-ECE376C0E7A2}" name="Apariencia" dataDxfId="167"/>
    <tableColumn id="11" xr3:uid="{BA047277-F357-4FBF-9A7D-A6905BED259B}" name="Color" dataDxfId="166"/>
    <tableColumn id="12" xr3:uid="{594CFED6-E864-4DDC-95C0-BCAB135531AE}" name="Olor" dataDxfId="16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B016096-820F-4FEC-B99A-454C2EEDE92E}" name="TblFormulas16" displayName="TblFormulas16" ref="E75:K148" totalsRowShown="0" headerRowDxfId="164" headerRowBorderDxfId="163" tableBorderDxfId="162">
  <autoFilter ref="E75:K148" xr:uid="{F0AC271A-8457-40D8-A5C4-B3BF9E1664C0}"/>
  <tableColumns count="7">
    <tableColumn id="1" xr3:uid="{22AAD180-61CB-4A84-8BA6-DB378951F159}" name="Producto" dataDxfId="161" totalsRowDxfId="160"/>
    <tableColumn id="2" xr3:uid="{D8E5A146-E2CB-4061-91FE-50B0BA6076D8}" name="Materia Prima" dataDxfId="159" totalsRowDxfId="158"/>
    <tableColumn id="3" xr3:uid="{1EB3A5A8-0B29-40F9-A33D-12F4494A5E47}" name="%" dataDxfId="157" totalsRowDxfId="156"/>
    <tableColumn id="4" xr3:uid="{78074E1C-F0BE-47F1-833F-203867F743CD}" name="PRECIO" dataDxfId="155" totalsRowDxfId="154"/>
    <tableColumn id="5" xr3:uid="{904F1784-9BF6-4E6E-9CDE-A86155656AA4}" name="$/Kg" dataDxfId="153" totalsRowDxfId="152">
      <calculatedColumnFormula>+H76*G76/100</calculatedColumnFormula>
    </tableColumn>
    <tableColumn id="6" xr3:uid="{35F9277F-00D4-40EF-AE25-DBD8C1A7EC68}" name="Cantidad (Kg)" dataDxfId="151" totalsRowDxfId="150">
      <calculatedColumnFormula>+G76*#REF!/100</calculatedColumnFormula>
    </tableColumn>
    <tableColumn id="8" xr3:uid="{9A878411-B219-49C7-9543-5ACA11CA908B}" name="$/pedido" dataDxfId="149" totalsRowDxfId="148" dataCellStyle="Moneda">
      <calculatedColumnFormula>+TblFormulas16[[#This Row],[Cantidad (Kg)]]*TblFormulas16[[#This Row],[PRECIO]]</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C12C70-D699-4CB4-B37C-98F89C59EF1C}" name="TablaMateriasPrimas" displayName="TablaMateriasPrimas" ref="C7:F35" totalsRowShown="0" headerRowDxfId="128" headerRowBorderDxfId="127" tableBorderDxfId="126" totalsRowBorderDxfId="125">
  <autoFilter ref="C7:F35" xr:uid="{D2F3B975-D138-4D0D-B2DB-BE8840D3B0C9}"/>
  <tableColumns count="4">
    <tableColumn id="1" xr3:uid="{867F99ED-09FA-4787-8ACD-A9A4720A8CC8}" name="#Item" dataDxfId="124"/>
    <tableColumn id="2" xr3:uid="{2F225753-7E8B-4739-A14F-3D17954665BC}" name="Materia Prima" dataDxfId="123"/>
    <tableColumn id="3" xr3:uid="{E337DE61-B706-4EF4-A5DC-E3B6BF717D8C}" name="Costo x Kg" dataDxfId="122"/>
    <tableColumn id="4" xr3:uid="{09E876DF-E0E5-43BD-98F8-42835C59AF51}" name="Unidad" dataDxfId="12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8993593-5830-441E-8B0A-DC6DA99DA602}" name="Precios" displayName="Precios" ref="A7:F28" totalsRowShown="0">
  <autoFilter ref="A7:F28" xr:uid="{EEE542DE-100E-4713-89A8-C62B7413CC2B}"/>
  <tableColumns count="6">
    <tableColumn id="1" xr3:uid="{856894A8-078B-4A3D-A31A-CE5E242A945B}" name="Codigo"/>
    <tableColumn id="2" xr3:uid="{DEE726DC-F612-47B6-87DE-40AA3EE0611B}" name="Producto"/>
    <tableColumn id="6" xr3:uid="{F4E422B3-5FEE-4A2E-A8F1-776FD085DCE9}" name="Unidad Medida" dataDxfId="120"/>
    <tableColumn id="3" xr3:uid="{4E33EA9E-2799-4AE5-92B0-E29F820D819D}" name="Precio Tienda" dataDxfId="119" dataCellStyle="Moneda"/>
    <tableColumn id="4" xr3:uid="{AA28027D-1884-49CD-8E7F-0C05AFB5DF99}" name="Precio P.Natural" dataDxfId="118" dataCellStyle="Moneda"/>
    <tableColumn id="5" xr3:uid="{EEA5C990-539C-4D8C-B68C-42D29FEA462F}" name="Precio Público" dataDxfId="117" dataCellStyle="Moneda"/>
  </tableColumns>
  <tableStyleInfo name="TableStyleMedium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161E897-4259-46A0-9822-A2FA0960B7D5}" name="TblInventario" displayName="TblInventario" ref="B6:I14" totalsRowShown="0" headerRowDxfId="78" dataDxfId="76" headerRowBorderDxfId="77" tableBorderDxfId="75" totalsRowBorderDxfId="74">
  <autoFilter ref="B6:I14" xr:uid="{2D7877CF-BB80-4BCE-9DA5-D93D19FF0BAE}"/>
  <tableColumns count="8">
    <tableColumn id="1" xr3:uid="{2C2EFC7C-5BCF-4156-9252-FF6451B0748C}" name="Codigo" dataDxfId="73"/>
    <tableColumn id="2" xr3:uid="{38AD1FD8-F612-4F22-91C3-CA7CD0DDCD62}" name="Producto" dataDxfId="72"/>
    <tableColumn id="9" xr3:uid="{950682E1-8580-4736-91FD-49862DE96BBE}" name="Unidad" dataDxfId="71"/>
    <tableColumn id="5" xr3:uid="{C43BC7D4-4F23-4BFC-BD58-5C78D71AABD7}" name="Stock Minimo" dataDxfId="70">
      <calculatedColumnFormula>#REF!-#REF!</calculatedColumnFormula>
    </tableColumn>
    <tableColumn id="12" xr3:uid="{4B446CFA-F60B-4F68-9DA4-82F136F0E9BD}" name="STATUS" dataDxfId="69">
      <calculatedColumnFormula>IF(G7&gt;120,"OK!",(IF(G7=0,"SIN EXISTENCIA!","STOCK MINIMO")))</calculatedColumnFormula>
    </tableColumn>
    <tableColumn id="10" xr3:uid="{E65A46CB-BA50-4D17-9C1B-50DDA4D7A42E}" name="Existencia" dataDxfId="68">
      <calculatedColumnFormula>SUMIFS(Tabla6[Cantidad],Tabla6[Codigo],TblInventario[[#This Row],[Codigo]])</calculatedColumnFormula>
    </tableColumn>
    <tableColumn id="6" xr3:uid="{282A92EC-9B72-486C-9DCB-95784522A131}" name="Precio" dataDxfId="67" dataCellStyle="Moneda"/>
    <tableColumn id="7" xr3:uid="{8F5C5887-15AF-4192-8E5B-EEA0D5298EA3}" name="Importe" dataDxfId="66" dataCellStyle="Moneda">
      <calculatedColumnFormula>+TblInventario[[#This Row],[Existencia]]*TblInventario[[#This Row],[Precio]]</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22BC8AA-19EE-4C66-AA0D-EE7BA1B303D4}" name="Tabla6" displayName="Tabla6" ref="B5:I32" headerRowDxfId="65">
  <autoFilter ref="B5:I32" xr:uid="{848571CA-2407-4286-B6EA-EE4BB326C847}"/>
  <tableColumns count="8">
    <tableColumn id="1" xr3:uid="{3FD91235-4240-465F-9465-577388031088}" name="Fecha" totalsRowLabel="Total" dataDxfId="64" totalsRowDxfId="63"/>
    <tableColumn id="2" xr3:uid="{D06ADB24-9C70-43A5-A52E-37C9E8CE8A34}" name="Movimiento" dataDxfId="62" totalsRowDxfId="61"/>
    <tableColumn id="8" xr3:uid="{E0234320-6EDD-4334-96A6-A6EF002D30BC}" name="Codigo" dataDxfId="60" totalsRowDxfId="59"/>
    <tableColumn id="4" xr3:uid="{4AE754C6-B00A-4B07-9E40-25FB63670355}" name="Producto" dataDxfId="58" totalsRowDxfId="57">
      <calculatedColumnFormula>VLOOKUP(Tabla6[[#This Row],[Codigo]],TblInventario[],2,FALSE)</calculatedColumnFormula>
    </tableColumn>
    <tableColumn id="5" xr3:uid="{BDD80976-5E6B-4937-AFFF-BC91C9A25FFF}" name="Unidad" dataDxfId="56" totalsRowDxfId="55">
      <calculatedColumnFormula>VLOOKUP(Tabla6[[#This Row],[Codigo]],TblInventario[],3,FALSE)</calculatedColumnFormula>
    </tableColumn>
    <tableColumn id="3" xr3:uid="{C7451E89-F597-4D98-B517-CE63944BF36E}" name="Existencia" dataDxfId="54" totalsRowDxfId="53">
      <calculatedColumnFormula>VLOOKUP(Tabla6[[#This Row],[Codigo]],TblInventario[],6,FALSE)</calculatedColumnFormula>
    </tableColumn>
    <tableColumn id="6" xr3:uid="{D23BBFF3-CB87-4A37-9A20-5C6A56AB026C}" name="Ent-Sal" dataDxfId="52" totalsRowDxfId="51"/>
    <tableColumn id="7" xr3:uid="{79429B13-FBA8-42C4-823A-EB00D1F6CD32}" name="Cantidad" totalsRowFunction="sum" dataDxfId="50" totalsRowDxfId="49"/>
  </tableColumns>
  <tableStyleInfo name="TableStyleMedium2"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CCF8BA-B034-493F-880A-73150FB148D0}" name="Factura" displayName="Factura" ref="B12:E24" totalsRowCount="1" headerRowDxfId="31">
  <tableColumns count="4">
    <tableColumn id="1" xr3:uid="{AA00F085-60B7-446F-A394-F887C00C1614}" name="CÓDIGO" dataDxfId="30" totalsRowDxfId="29"/>
    <tableColumn id="4" xr3:uid="{1D5E0C21-36FC-4CD6-93DD-8F79D87F6F57}" name="DESCRIPCIÓN" dataDxfId="28" totalsRowDxfId="27" dataCellStyle="Descripción">
      <calculatedColumnFormula>IFERROR(VLOOKUP(Factura[[#This Row],[CÓDIGO]],[2]!tblProductos[#All],2,0),"")</calculatedColumnFormula>
    </tableColumn>
    <tableColumn id="2" xr3:uid="{8484C07E-7347-4F68-AE9B-31FE29FF73AD}" name="CANTIDAD" totalsRowLabel="TOTAL" dataDxfId="26" totalsRowDxfId="25" totalsRowCellStyle="Total"/>
    <tableColumn id="3" xr3:uid="{1B8547E5-B886-4398-989D-B79DB3941DEF}" name="IMPORTE" totalsRowFunction="sum" dataDxfId="24" totalsRowDxfId="23" dataCellStyle="Moneda" totalsRowCellStyle="Moneda">
      <calculatedColumnFormula>IFERROR(Factura[[#This Row],[CANTIDAD]]*VLOOKUP(Factura[[#This Row],[CÓDIGO]],[2]!tblProductos[#All],3,0),"")</calculatedColumnFormula>
    </tableColumn>
  </tableColumns>
  <tableStyleInfo name="Factura que calcula el total" showFirstColumn="0" showLastColumn="1" showRowStripes="1" showColumnStripes="0"/>
  <extLst>
    <ext xmlns:x14="http://schemas.microsoft.com/office/spreadsheetml/2009/9/main" uri="{504A1905-F514-4f6f-8877-14C23A59335A}">
      <x14:table altTextSummary="Escriba las descripciones y las cantidades de factura en esta tabla. El total adeudado se calcula automáticamente al final de la tabla."/>
    </ext>
  </extLst>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3BBA3-7435-4C35-9541-8E887ADABE09}" name="Proveedores" displayName="Proveedores" ref="B5:I9" totalsRowShown="0" headerRowDxfId="22" headerRowBorderDxfId="21" tableBorderDxfId="20" totalsRowBorderDxfId="19">
  <autoFilter ref="B5:I9" xr:uid="{A2F5BA4A-4C6C-411E-8BB0-C4B65F1A55F3}"/>
  <tableColumns count="8">
    <tableColumn id="1" xr3:uid="{77F515C6-7005-4387-A6C7-F42C0139576F}" name="Numero" dataDxfId="18"/>
    <tableColumn id="2" xr3:uid="{F91E89CC-D871-4131-B657-591837F2A28F}" name="Codigo" dataDxfId="17"/>
    <tableColumn id="3" xr3:uid="{BBCE7CB0-5915-4B4C-BD69-3D92C8FBA2E3}" name="Proveedor" dataDxfId="16"/>
    <tableColumn id="4" xr3:uid="{C4302D0E-DB0D-438B-AE66-B7375F989486}" name="Dirección" dataDxfId="15"/>
    <tableColumn id="5" xr3:uid="{F8DAEC6B-2C67-48D5-BAEF-65527D7AC46B}" name="RUT" dataDxfId="14"/>
    <tableColumn id="6" xr3:uid="{96191190-1D3B-450D-80DE-B080E7092B1A}" name="Telefono" dataDxfId="13"/>
    <tableColumn id="7" xr3:uid="{FFC1CBD9-767F-4134-A019-91363D58A386}" name="E-mail" dataDxfId="12" dataCellStyle="Hipervínculo"/>
    <tableColumn id="8" xr3:uid="{7F619F50-4907-459C-A813-41793C4E4D05}" name="Puntaje" dataDxfId="11"/>
  </tableColumns>
  <tableStyleInfo name="TableStyleMedium1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0D09B4F-085B-444B-A080-71A6EF82800C}">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3.xml"/><Relationship Id="rId5" Type="http://schemas.openxmlformats.org/officeDocument/2006/relationships/table" Target="../tables/table2.xml"/><Relationship Id="rId10" Type="http://schemas.openxmlformats.org/officeDocument/2006/relationships/comments" Target="../comments1.xml"/><Relationship Id="rId4" Type="http://schemas.openxmlformats.org/officeDocument/2006/relationships/table" Target="../tables/table1.xml"/><Relationship Id="rId9" Type="http://schemas.openxmlformats.org/officeDocument/2006/relationships/table" Target="../tables/table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comments" Target="../comments2.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5" Type="http://schemas.microsoft.com/office/2007/relationships/slicer" Target="../slicers/slicer2.xml"/><Relationship Id="rId4"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7.bin"/><Relationship Id="rId1" Type="http://schemas.openxmlformats.org/officeDocument/2006/relationships/pivotTable" Target="../pivotTables/pivotTable3.xml"/><Relationship Id="rId4" Type="http://schemas.microsoft.com/office/2007/relationships/slicer" Target="../slicers/slicer4.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microsoft.com/office/2007/relationships/slicer" Target="../slicers/slicer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microsoft.com/office/2007/relationships/slicer" Target="../slicers/slicer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 Id="rId4" Type="http://schemas.microsoft.com/office/2007/relationships/slicer" Target="../slicers/slicer7.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3.vml"/><Relationship Id="rId1" Type="http://schemas.openxmlformats.org/officeDocument/2006/relationships/drawing" Target="../drawings/drawing14.xml"/><Relationship Id="rId4" Type="http://schemas.openxmlformats.org/officeDocument/2006/relationships/comments" Target="../comments3.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hyperlink" Target="mailto:Provedor3@gmail.com" TargetMode="External"/><Relationship Id="rId7" Type="http://schemas.openxmlformats.org/officeDocument/2006/relationships/vmlDrawing" Target="../drawings/vmlDrawing4.vml"/><Relationship Id="rId2" Type="http://schemas.openxmlformats.org/officeDocument/2006/relationships/hyperlink" Target="mailto:prov-2@gmail.com" TargetMode="External"/><Relationship Id="rId1" Type="http://schemas.openxmlformats.org/officeDocument/2006/relationships/hyperlink" Target="mailto:prov1@gmail.com" TargetMode="External"/><Relationship Id="rId6" Type="http://schemas.openxmlformats.org/officeDocument/2006/relationships/drawing" Target="../drawings/drawing15.xml"/><Relationship Id="rId5" Type="http://schemas.openxmlformats.org/officeDocument/2006/relationships/printerSettings" Target="../printerSettings/printerSettings11.bin"/><Relationship Id="rId4" Type="http://schemas.openxmlformats.org/officeDocument/2006/relationships/hyperlink" Target="mailto:asies@gmail.com" TargetMode="External"/><Relationship Id="rId9" Type="http://schemas.openxmlformats.org/officeDocument/2006/relationships/comments" Target="../comments4.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0000"/>
  </sheetPr>
  <dimension ref="A1:H110"/>
  <sheetViews>
    <sheetView showGridLines="0" showRowColHeaders="0" zoomScale="118" zoomScaleNormal="118" workbookViewId="0">
      <selection activeCell="A7" sqref="A7"/>
    </sheetView>
  </sheetViews>
  <sheetFormatPr baseColWidth="10" defaultColWidth="9.42578125" defaultRowHeight="15" x14ac:dyDescent="0.25"/>
  <cols>
    <col min="1" max="1" width="17.7109375" style="13" customWidth="1"/>
    <col min="2" max="2" width="16.140625" style="1" customWidth="1"/>
    <col min="3" max="3" width="22.140625" style="1" customWidth="1"/>
    <col min="4" max="4" width="24.85546875" style="1" bestFit="1" customWidth="1"/>
    <col min="5" max="5" width="27.140625" style="1" bestFit="1" customWidth="1"/>
    <col min="6" max="6" width="20.42578125" style="1" customWidth="1"/>
    <col min="7" max="11" width="16.140625" style="1" customWidth="1"/>
    <col min="12" max="16384" width="9.42578125" style="1"/>
  </cols>
  <sheetData>
    <row r="1" spans="1:8" s="5" customFormat="1" ht="28.5" customHeight="1" x14ac:dyDescent="0.25"/>
    <row r="2" spans="1:8" s="6" customFormat="1" x14ac:dyDescent="0.25">
      <c r="A2" s="48"/>
      <c r="B2" s="14"/>
    </row>
    <row r="3" spans="1:8" s="6" customFormat="1" x14ac:dyDescent="0.25">
      <c r="A3" s="15" t="s">
        <v>90</v>
      </c>
    </row>
    <row r="4" spans="1:8" s="6" customFormat="1" x14ac:dyDescent="0.25">
      <c r="A4" s="15" t="s">
        <v>2</v>
      </c>
      <c r="B4" s="195"/>
      <c r="C4" s="311" t="s">
        <v>206</v>
      </c>
      <c r="D4" s="312"/>
      <c r="E4" s="312"/>
      <c r="F4" s="308" t="s">
        <v>226</v>
      </c>
    </row>
    <row r="5" spans="1:8" s="6" customFormat="1" ht="18.75" customHeight="1" x14ac:dyDescent="0.25">
      <c r="A5" s="15" t="s">
        <v>89</v>
      </c>
      <c r="B5" s="196"/>
      <c r="C5" s="313"/>
      <c r="D5" s="313"/>
      <c r="E5" s="313"/>
      <c r="F5" s="309"/>
    </row>
    <row r="6" spans="1:8" s="6" customFormat="1" x14ac:dyDescent="0.25">
      <c r="A6" s="15" t="s">
        <v>3</v>
      </c>
      <c r="B6" s="196"/>
      <c r="C6" s="199" t="s">
        <v>207</v>
      </c>
      <c r="D6" s="199" t="s">
        <v>224</v>
      </c>
      <c r="E6" s="199" t="s">
        <v>225</v>
      </c>
      <c r="F6" s="309"/>
    </row>
    <row r="7" spans="1:8" s="6" customFormat="1" ht="69.95" customHeight="1" x14ac:dyDescent="0.25">
      <c r="A7" s="15" t="s">
        <v>0</v>
      </c>
      <c r="B7" s="196"/>
      <c r="C7" s="205" t="s">
        <v>213</v>
      </c>
      <c r="D7" s="206" t="s">
        <v>222</v>
      </c>
      <c r="E7" s="207"/>
      <c r="F7" s="309"/>
      <c r="G7" s="194"/>
      <c r="H7" s="30"/>
    </row>
    <row r="8" spans="1:8" s="6" customFormat="1" ht="111" customHeight="1" x14ac:dyDescent="0.25">
      <c r="A8" s="49"/>
      <c r="B8" s="197"/>
      <c r="C8" s="198"/>
      <c r="D8" s="198"/>
      <c r="E8" s="198"/>
      <c r="F8" s="310"/>
    </row>
    <row r="9" spans="1:8" s="6" customFormat="1" ht="69.95" customHeight="1" x14ac:dyDescent="0.25">
      <c r="A9" s="15" t="s">
        <v>0</v>
      </c>
      <c r="F9" s="193"/>
    </row>
    <row r="10" spans="1:8" s="6" customFormat="1" ht="69.95" customHeight="1" x14ac:dyDescent="0.25">
      <c r="A10" s="15"/>
      <c r="F10" s="194"/>
    </row>
    <row r="11" spans="1:8" s="4" customFormat="1" x14ac:dyDescent="0.25"/>
    <row r="12" spans="1:8" x14ac:dyDescent="0.25">
      <c r="A12" s="1"/>
    </row>
    <row r="13" spans="1:8" x14ac:dyDescent="0.25">
      <c r="A13" s="1"/>
      <c r="C13" s="2"/>
      <c r="D13" s="2"/>
    </row>
    <row r="14" spans="1:8" x14ac:dyDescent="0.25">
      <c r="A14" s="1"/>
      <c r="C14" s="2"/>
      <c r="D14" s="2"/>
    </row>
    <row r="15" spans="1:8" x14ac:dyDescent="0.25">
      <c r="A15" s="1"/>
      <c r="C15" s="2"/>
      <c r="D15" s="2"/>
    </row>
    <row r="16" spans="1:8" x14ac:dyDescent="0.25">
      <c r="A16" s="1"/>
      <c r="C16" s="2"/>
      <c r="D16" s="2"/>
    </row>
    <row r="17" spans="1:4" x14ac:dyDescent="0.25">
      <c r="A17" s="1"/>
      <c r="C17" s="2"/>
      <c r="D17" s="2"/>
    </row>
    <row r="18" spans="1:4" x14ac:dyDescent="0.25">
      <c r="A18" s="1"/>
      <c r="C18" s="2"/>
      <c r="D18" s="2"/>
    </row>
    <row r="19" spans="1:4" x14ac:dyDescent="0.25">
      <c r="A19" s="1"/>
      <c r="C19" s="2"/>
      <c r="D19" s="2"/>
    </row>
    <row r="20" spans="1:4" x14ac:dyDescent="0.25">
      <c r="A20" s="1"/>
      <c r="C20" s="2"/>
      <c r="D20" s="2"/>
    </row>
    <row r="21" spans="1:4" x14ac:dyDescent="0.25">
      <c r="A21" s="1"/>
      <c r="C21" s="2"/>
      <c r="D21" s="2"/>
    </row>
    <row r="22" spans="1:4" x14ac:dyDescent="0.25">
      <c r="A22" s="1"/>
      <c r="C22" s="2"/>
      <c r="D22" s="2"/>
    </row>
    <row r="23" spans="1:4" x14ac:dyDescent="0.25">
      <c r="A23" s="1"/>
      <c r="C23" s="2"/>
      <c r="D23" s="2"/>
    </row>
    <row r="24" spans="1:4" x14ac:dyDescent="0.25">
      <c r="A24" s="1"/>
    </row>
    <row r="25" spans="1:4" x14ac:dyDescent="0.25">
      <c r="A25" s="1"/>
    </row>
    <row r="26" spans="1:4" x14ac:dyDescent="0.25">
      <c r="A26" s="1"/>
    </row>
    <row r="27" spans="1:4" x14ac:dyDescent="0.25">
      <c r="A27" s="1"/>
    </row>
    <row r="28" spans="1:4" x14ac:dyDescent="0.25">
      <c r="A28" s="1"/>
    </row>
    <row r="29" spans="1:4" x14ac:dyDescent="0.25">
      <c r="A29" s="1"/>
    </row>
    <row r="30" spans="1:4" x14ac:dyDescent="0.25">
      <c r="A30" s="1"/>
    </row>
    <row r="31" spans="1:4" x14ac:dyDescent="0.25">
      <c r="A31" s="1"/>
    </row>
    <row r="100" spans="4:7" x14ac:dyDescent="0.25">
      <c r="E100" s="203" t="s">
        <v>213</v>
      </c>
      <c r="F100" s="203" t="s">
        <v>214</v>
      </c>
      <c r="G100" s="203" t="s">
        <v>215</v>
      </c>
    </row>
    <row r="101" spans="4:7" x14ac:dyDescent="0.25">
      <c r="E101" s="201" t="s">
        <v>222</v>
      </c>
      <c r="F101" s="201" t="s">
        <v>208</v>
      </c>
      <c r="G101" s="201" t="s">
        <v>211</v>
      </c>
    </row>
    <row r="102" spans="4:7" x14ac:dyDescent="0.25">
      <c r="E102" s="201" t="s">
        <v>233</v>
      </c>
      <c r="F102" s="201" t="s">
        <v>217</v>
      </c>
      <c r="G102" s="202" t="s">
        <v>212</v>
      </c>
    </row>
    <row r="103" spans="4:7" x14ac:dyDescent="0.25">
      <c r="E103" s="201" t="s">
        <v>209</v>
      </c>
      <c r="F103" s="202" t="s">
        <v>210</v>
      </c>
      <c r="G103" s="200"/>
    </row>
    <row r="104" spans="4:7" x14ac:dyDescent="0.25">
      <c r="E104" s="201" t="s">
        <v>216</v>
      </c>
    </row>
    <row r="105" spans="4:7" x14ac:dyDescent="0.25">
      <c r="E105" s="202" t="s">
        <v>210</v>
      </c>
    </row>
    <row r="107" spans="4:7" x14ac:dyDescent="0.25">
      <c r="G107" s="1" t="s">
        <v>219</v>
      </c>
    </row>
    <row r="108" spans="4:7" x14ac:dyDescent="0.25">
      <c r="D108" s="204" t="s">
        <v>222</v>
      </c>
      <c r="E108" s="201" t="s">
        <v>216</v>
      </c>
      <c r="F108" s="201" t="s">
        <v>217</v>
      </c>
    </row>
    <row r="109" spans="4:7" x14ac:dyDescent="0.25">
      <c r="D109" s="202" t="s">
        <v>223</v>
      </c>
      <c r="E109" s="201" t="s">
        <v>220</v>
      </c>
      <c r="F109" s="201" t="s">
        <v>221</v>
      </c>
    </row>
    <row r="110" spans="4:7" x14ac:dyDescent="0.25">
      <c r="E110" s="202" t="s">
        <v>218</v>
      </c>
      <c r="F110" s="202" t="s">
        <v>234</v>
      </c>
    </row>
  </sheetData>
  <mergeCells count="2">
    <mergeCell ref="F4:F8"/>
    <mergeCell ref="C4:E5"/>
  </mergeCells>
  <dataValidations count="3">
    <dataValidation type="list" allowBlank="1" showInputMessage="1" showErrorMessage="1" sqref="C7" xr:uid="{6C7F98E7-9FFD-4C76-8939-1F3E93D03B2C}">
      <formula1>$E$100:$G$100</formula1>
    </dataValidation>
    <dataValidation type="list" allowBlank="1" showInputMessage="1" showErrorMessage="1" sqref="D7" xr:uid="{D0DCD3B2-AD13-4F6B-B329-28611A545856}">
      <formula1>INDIRECT($C$7)</formula1>
    </dataValidation>
    <dataValidation type="list" allowBlank="1" showInputMessage="1" showErrorMessage="1" sqref="E7" xr:uid="{82A0F1FD-A78E-4C8A-8838-EC292AA363A2}">
      <formula1>INDIRECT($D$7)</formula1>
    </dataValidation>
  </dataValidations>
  <pageMargins left="0.7" right="0.7" top="0.75" bottom="0.75" header="0.3" footer="0.3"/>
  <pageSetup paperSize="124" orientation="portrait" horizontalDpi="203" verticalDpi="203" r:id="rId1"/>
  <drawing r:id="rId2"/>
  <legacyDrawing r:id="rId3"/>
  <tableParts count="6">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CA55-D711-43EB-90A3-DE663C093FBC}">
  <sheetPr codeName="Hoja16"/>
  <dimension ref="B8:H16"/>
  <sheetViews>
    <sheetView topLeftCell="A7" workbookViewId="0">
      <selection activeCell="B9" sqref="B9:H16"/>
    </sheetView>
  </sheetViews>
  <sheetFormatPr baseColWidth="10" defaultRowHeight="15" x14ac:dyDescent="0.25"/>
  <cols>
    <col min="1" max="1" width="2.42578125" customWidth="1"/>
  </cols>
  <sheetData>
    <row r="8" spans="2:8" ht="21" x14ac:dyDescent="0.35">
      <c r="C8" s="315" t="s">
        <v>237</v>
      </c>
      <c r="D8" s="315"/>
      <c r="E8" s="315"/>
      <c r="F8" s="315"/>
      <c r="G8" s="315"/>
    </row>
    <row r="9" spans="2:8" x14ac:dyDescent="0.25">
      <c r="B9" s="314" t="s">
        <v>238</v>
      </c>
      <c r="C9" s="314"/>
      <c r="D9" s="314"/>
      <c r="E9" s="314"/>
      <c r="F9" s="314"/>
      <c r="G9" s="314"/>
      <c r="H9" s="314"/>
    </row>
    <row r="10" spans="2:8" x14ac:dyDescent="0.25">
      <c r="B10" s="314"/>
      <c r="C10" s="314"/>
      <c r="D10" s="314"/>
      <c r="E10" s="314"/>
      <c r="F10" s="314"/>
      <c r="G10" s="314"/>
      <c r="H10" s="314"/>
    </row>
    <row r="11" spans="2:8" x14ac:dyDescent="0.25">
      <c r="B11" s="314"/>
      <c r="C11" s="314"/>
      <c r="D11" s="314"/>
      <c r="E11" s="314"/>
      <c r="F11" s="314"/>
      <c r="G11" s="314"/>
      <c r="H11" s="314"/>
    </row>
    <row r="12" spans="2:8" x14ac:dyDescent="0.25">
      <c r="B12" s="314"/>
      <c r="C12" s="314"/>
      <c r="D12" s="314"/>
      <c r="E12" s="314"/>
      <c r="F12" s="314"/>
      <c r="G12" s="314"/>
      <c r="H12" s="314"/>
    </row>
    <row r="13" spans="2:8" x14ac:dyDescent="0.25">
      <c r="B13" s="314"/>
      <c r="C13" s="314"/>
      <c r="D13" s="314"/>
      <c r="E13" s="314"/>
      <c r="F13" s="314"/>
      <c r="G13" s="314"/>
      <c r="H13" s="314"/>
    </row>
    <row r="14" spans="2:8" x14ac:dyDescent="0.25">
      <c r="B14" s="314"/>
      <c r="C14" s="314"/>
      <c r="D14" s="314"/>
      <c r="E14" s="314"/>
      <c r="F14" s="314"/>
      <c r="G14" s="314"/>
      <c r="H14" s="314"/>
    </row>
    <row r="15" spans="2:8" x14ac:dyDescent="0.25">
      <c r="B15" s="314"/>
      <c r="C15" s="314"/>
      <c r="D15" s="314"/>
      <c r="E15" s="314"/>
      <c r="F15" s="314"/>
      <c r="G15" s="314"/>
      <c r="H15" s="314"/>
    </row>
    <row r="16" spans="2:8" ht="219.75" customHeight="1" x14ac:dyDescent="0.25">
      <c r="B16" s="314"/>
      <c r="C16" s="314"/>
      <c r="D16" s="314"/>
      <c r="E16" s="314"/>
      <c r="F16" s="314"/>
      <c r="G16" s="314"/>
      <c r="H16" s="314"/>
    </row>
  </sheetData>
  <mergeCells count="2">
    <mergeCell ref="B9:H16"/>
    <mergeCell ref="C8:G8"/>
  </mergeCell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51E59-78CC-4E7B-B3B8-07CC014414E5}">
  <sheetPr codeName="Hoja6"/>
  <dimension ref="A1:M4"/>
  <sheetViews>
    <sheetView workbookViewId="0">
      <selection activeCell="H15" sqref="H15"/>
    </sheetView>
  </sheetViews>
  <sheetFormatPr baseColWidth="10" defaultRowHeight="15" x14ac:dyDescent="0.25"/>
  <cols>
    <col min="2" max="2" width="19.7109375" bestFit="1" customWidth="1"/>
    <col min="3" max="3" width="21.85546875" bestFit="1" customWidth="1"/>
    <col min="4" max="4" width="23.85546875" customWidth="1"/>
    <col min="6" max="6" width="12.140625" customWidth="1"/>
    <col min="7" max="7" width="21.85546875" bestFit="1" customWidth="1"/>
    <col min="13" max="13" width="12" customWidth="1"/>
  </cols>
  <sheetData>
    <row r="1" spans="1:13" x14ac:dyDescent="0.25">
      <c r="A1" s="387" t="s">
        <v>117</v>
      </c>
      <c r="B1" s="388" t="s">
        <v>422</v>
      </c>
      <c r="C1" s="389" t="s">
        <v>415</v>
      </c>
      <c r="D1" s="389" t="s">
        <v>4</v>
      </c>
      <c r="E1" s="389" t="s">
        <v>423</v>
      </c>
      <c r="F1" s="390" t="s">
        <v>12</v>
      </c>
      <c r="G1" s="389" t="s">
        <v>424</v>
      </c>
      <c r="H1" s="390" t="s">
        <v>416</v>
      </c>
      <c r="I1" s="390" t="s">
        <v>417</v>
      </c>
      <c r="J1" s="390" t="s">
        <v>418</v>
      </c>
      <c r="K1" s="390" t="s">
        <v>419</v>
      </c>
      <c r="L1" s="390" t="s">
        <v>420</v>
      </c>
      <c r="M1" s="390" t="s">
        <v>421</v>
      </c>
    </row>
    <row r="2" spans="1:13" x14ac:dyDescent="0.25">
      <c r="A2" s="386">
        <v>44292</v>
      </c>
      <c r="B2" t="s">
        <v>283</v>
      </c>
      <c r="C2" t="s">
        <v>389</v>
      </c>
      <c r="D2" t="s">
        <v>390</v>
      </c>
      <c r="E2">
        <v>1</v>
      </c>
      <c r="F2">
        <v>202104008</v>
      </c>
      <c r="G2">
        <v>1000</v>
      </c>
    </row>
    <row r="3" spans="1:13" x14ac:dyDescent="0.25">
      <c r="A3" s="386">
        <v>44292</v>
      </c>
      <c r="B3" t="s">
        <v>283</v>
      </c>
      <c r="C3" t="s">
        <v>389</v>
      </c>
      <c r="D3" t="s">
        <v>390</v>
      </c>
      <c r="E3">
        <v>1</v>
      </c>
      <c r="F3">
        <v>202104008</v>
      </c>
      <c r="G3">
        <v>1000</v>
      </c>
    </row>
    <row r="4" spans="1:13" x14ac:dyDescent="0.25">
      <c r="A4" s="386">
        <v>44292</v>
      </c>
      <c r="B4" t="s">
        <v>283</v>
      </c>
      <c r="C4" t="s">
        <v>389</v>
      </c>
      <c r="D4" t="s">
        <v>390</v>
      </c>
      <c r="E4">
        <v>1</v>
      </c>
      <c r="F4">
        <v>202104008</v>
      </c>
      <c r="G4">
        <v>1000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5" tint="0.39997558519241921"/>
  </sheetPr>
  <dimension ref="A2:H25"/>
  <sheetViews>
    <sheetView tabSelected="1" zoomScale="87" zoomScaleNormal="87" workbookViewId="0">
      <selection activeCell="H9" sqref="H9"/>
    </sheetView>
  </sheetViews>
  <sheetFormatPr baseColWidth="10" defaultRowHeight="15" x14ac:dyDescent="0.25"/>
  <cols>
    <col min="1" max="1" width="23.28515625" style="1" bestFit="1" customWidth="1"/>
    <col min="2" max="2" width="32.85546875" style="1" customWidth="1"/>
    <col min="3" max="3" width="19" style="1" bestFit="1" customWidth="1"/>
    <col min="4" max="4" width="17.85546875" style="1" customWidth="1"/>
    <col min="5" max="5" width="14.5703125" style="1" customWidth="1"/>
    <col min="6" max="6" width="16" style="1" bestFit="1" customWidth="1"/>
    <col min="7" max="7" width="22" style="1" customWidth="1"/>
    <col min="8" max="8" width="24.42578125" style="26" customWidth="1"/>
    <col min="9" max="16384" width="11.42578125" style="1"/>
  </cols>
  <sheetData>
    <row r="2" spans="1:8" ht="102" customHeight="1" x14ac:dyDescent="0.25">
      <c r="A2" s="7"/>
      <c r="B2" s="7"/>
      <c r="C2" s="325" t="s">
        <v>282</v>
      </c>
      <c r="D2" s="326"/>
      <c r="E2" s="326"/>
      <c r="F2" s="326"/>
      <c r="G2" s="327"/>
      <c r="H2" s="260" t="s">
        <v>283</v>
      </c>
    </row>
    <row r="3" spans="1:8" ht="36.75" customHeight="1" x14ac:dyDescent="0.25">
      <c r="A3" s="323">
        <f ca="1">TODAY()</f>
        <v>44311</v>
      </c>
      <c r="B3" s="324"/>
      <c r="C3" s="328"/>
      <c r="D3" s="329"/>
      <c r="E3" s="329"/>
      <c r="F3" s="329"/>
      <c r="G3" s="329"/>
      <c r="H3" s="330"/>
    </row>
    <row r="4" spans="1:8" ht="23.1" customHeight="1" x14ac:dyDescent="0.3">
      <c r="A4" s="46" t="s">
        <v>284</v>
      </c>
      <c r="B4" s="262" t="str">
        <f>VLOOKUP(H7,Precios[],2,FALSE)</f>
        <v>Detergente Ropa Galón</v>
      </c>
      <c r="C4" s="46" t="s">
        <v>288</v>
      </c>
      <c r="D4" s="331">
        <v>202104008</v>
      </c>
      <c r="E4" s="332"/>
      <c r="F4" s="319" t="s">
        <v>289</v>
      </c>
      <c r="G4" s="320"/>
      <c r="H4" s="265">
        <v>1</v>
      </c>
    </row>
    <row r="5" spans="1:8" ht="23.1" customHeight="1" x14ac:dyDescent="0.3">
      <c r="A5" s="46" t="s">
        <v>285</v>
      </c>
      <c r="B5" s="263">
        <v>1000</v>
      </c>
      <c r="C5" s="321" t="s">
        <v>290</v>
      </c>
      <c r="D5" s="46" t="s">
        <v>293</v>
      </c>
      <c r="E5" s="263">
        <v>0</v>
      </c>
      <c r="F5" s="46" t="s">
        <v>294</v>
      </c>
      <c r="G5" s="263">
        <v>100</v>
      </c>
      <c r="H5" s="264"/>
    </row>
    <row r="6" spans="1:8" ht="23.1" customHeight="1" x14ac:dyDescent="0.3">
      <c r="A6" s="46" t="s">
        <v>286</v>
      </c>
      <c r="B6" s="266">
        <v>44292</v>
      </c>
      <c r="C6" s="322"/>
      <c r="D6" s="46" t="s">
        <v>292</v>
      </c>
      <c r="E6" s="263">
        <v>0</v>
      </c>
      <c r="F6" s="46" t="s">
        <v>295</v>
      </c>
      <c r="G6" s="263">
        <v>40</v>
      </c>
      <c r="H6" s="264"/>
    </row>
    <row r="7" spans="1:8" ht="23.1" customHeight="1" x14ac:dyDescent="0.3">
      <c r="A7" s="46" t="s">
        <v>287</v>
      </c>
      <c r="B7" s="263"/>
      <c r="C7" s="9"/>
      <c r="D7" s="9" t="s">
        <v>301</v>
      </c>
      <c r="E7" s="263">
        <v>100</v>
      </c>
      <c r="F7" s="319" t="s">
        <v>291</v>
      </c>
      <c r="G7" s="320"/>
      <c r="H7" s="264" t="s">
        <v>389</v>
      </c>
    </row>
    <row r="8" spans="1:8" ht="23.1" customHeight="1" x14ac:dyDescent="0.3">
      <c r="A8" s="316"/>
      <c r="B8" s="317"/>
      <c r="C8" s="317"/>
      <c r="D8" s="317"/>
      <c r="E8" s="317"/>
      <c r="F8" s="317"/>
      <c r="G8" s="317"/>
      <c r="H8" s="318"/>
    </row>
    <row r="9" spans="1:8" ht="36.75" customHeight="1" x14ac:dyDescent="0.3">
      <c r="A9" s="46" t="s">
        <v>296</v>
      </c>
      <c r="B9" s="46" t="s">
        <v>297</v>
      </c>
      <c r="C9" s="46" t="s">
        <v>298</v>
      </c>
      <c r="D9" s="305" t="s">
        <v>407</v>
      </c>
      <c r="E9" s="305" t="s">
        <v>408</v>
      </c>
      <c r="F9" s="261" t="s">
        <v>409</v>
      </c>
      <c r="G9" s="261" t="s">
        <v>299</v>
      </c>
      <c r="H9" s="47" t="s">
        <v>300</v>
      </c>
    </row>
    <row r="10" spans="1:8" ht="21" customHeight="1" x14ac:dyDescent="0.35">
      <c r="A10" s="9" t="s">
        <v>302</v>
      </c>
      <c r="B10" s="9" t="str">
        <f>IFERROR(VLOOKUP(A10,Formulas!$D$23:$G$60,2,FALSE),"")</f>
        <v>Acido sulfonico 97%</v>
      </c>
      <c r="C10" s="9">
        <v>2</v>
      </c>
      <c r="D10" s="9"/>
      <c r="E10" s="9"/>
      <c r="F10" s="9" t="s">
        <v>411</v>
      </c>
      <c r="G10" s="306" t="s">
        <v>410</v>
      </c>
      <c r="H10" s="25"/>
    </row>
    <row r="11" spans="1:8" ht="21" customHeight="1" x14ac:dyDescent="0.35">
      <c r="A11" s="9" t="s">
        <v>309</v>
      </c>
      <c r="B11" s="9" t="str">
        <f>IFERROR(VLOOKUP(A11,Formulas!$D$23:$G$60,2,FALSE),"")</f>
        <v>Acido Acetico</v>
      </c>
      <c r="C11" s="9"/>
      <c r="D11" s="9"/>
      <c r="E11" s="9"/>
      <c r="F11" s="9" t="s">
        <v>411</v>
      </c>
      <c r="G11" s="306" t="s">
        <v>410</v>
      </c>
      <c r="H11" s="25"/>
    </row>
    <row r="12" spans="1:8" ht="21" customHeight="1" x14ac:dyDescent="0.35">
      <c r="A12" s="9" t="s">
        <v>303</v>
      </c>
      <c r="B12" s="9" t="str">
        <f>IFERROR(VLOOKUP(A12,Formulas!$D$23:$G$60,2,FALSE),"")</f>
        <v>Soda caustica liq 50%</v>
      </c>
      <c r="C12" s="9"/>
      <c r="D12" s="9"/>
      <c r="E12" s="9"/>
      <c r="F12" s="9" t="s">
        <v>411</v>
      </c>
      <c r="G12" s="306" t="s">
        <v>410</v>
      </c>
      <c r="H12" s="25"/>
    </row>
    <row r="13" spans="1:8" ht="21" customHeight="1" x14ac:dyDescent="0.35">
      <c r="A13" s="9" t="s">
        <v>327</v>
      </c>
      <c r="B13" s="9" t="str">
        <f>IFERROR(VLOOKUP(A13,Formulas!$D$23:$G$60,2,FALSE),"")</f>
        <v>Agua</v>
      </c>
      <c r="C13" s="9"/>
      <c r="D13" s="9"/>
      <c r="E13" s="9"/>
      <c r="F13" s="9" t="s">
        <v>411</v>
      </c>
      <c r="G13" s="306" t="s">
        <v>410</v>
      </c>
      <c r="H13" s="25"/>
    </row>
    <row r="14" spans="1:8" ht="21" customHeight="1" x14ac:dyDescent="0.3">
      <c r="A14" s="9"/>
      <c r="B14" s="9" t="str">
        <f>IFERROR(VLOOKUP(A14,Formulas!$D$23:$G$60,2,FALSE),"")</f>
        <v/>
      </c>
      <c r="C14" s="9"/>
      <c r="D14" s="9"/>
      <c r="E14" s="9"/>
      <c r="F14" s="9"/>
      <c r="G14" s="9"/>
      <c r="H14" s="25"/>
    </row>
    <row r="15" spans="1:8" ht="21" customHeight="1" x14ac:dyDescent="0.3">
      <c r="A15" s="9"/>
      <c r="B15" s="9" t="str">
        <f>IFERROR(VLOOKUP(A15,Formulas!$D$23:$G$60,2,FALSE),"")</f>
        <v/>
      </c>
      <c r="C15" s="9"/>
      <c r="D15" s="9"/>
      <c r="E15" s="9"/>
      <c r="F15" s="9"/>
      <c r="G15" s="9"/>
      <c r="H15" s="25"/>
    </row>
    <row r="16" spans="1:8" ht="18.75" x14ac:dyDescent="0.3">
      <c r="A16" s="9"/>
      <c r="B16" s="9" t="str">
        <f>IFERROR(VLOOKUP(A16,Formulas!$D$23:$G$60,2,FALSE),"")</f>
        <v/>
      </c>
      <c r="C16" s="9"/>
      <c r="D16" s="9"/>
      <c r="E16" s="9"/>
      <c r="F16" s="9"/>
      <c r="G16" s="9"/>
      <c r="H16" s="25"/>
    </row>
    <row r="17" spans="1:8" ht="18.75" x14ac:dyDescent="0.3">
      <c r="A17" s="9"/>
      <c r="B17" s="9" t="str">
        <f>IFERROR(VLOOKUP(A17,Formulas!$D$23:$G$60,2,FALSE),"")</f>
        <v/>
      </c>
      <c r="C17" s="9"/>
      <c r="D17" s="9"/>
      <c r="E17" s="9"/>
      <c r="F17" s="9"/>
      <c r="G17" s="9"/>
      <c r="H17" s="25"/>
    </row>
    <row r="18" spans="1:8" ht="18.75" x14ac:dyDescent="0.3">
      <c r="A18" s="9"/>
      <c r="B18" s="9"/>
      <c r="C18" s="9"/>
      <c r="D18" s="9"/>
      <c r="E18" s="9"/>
      <c r="F18" s="9"/>
      <c r="G18" s="9"/>
      <c r="H18" s="25"/>
    </row>
    <row r="19" spans="1:8" ht="18.75" x14ac:dyDescent="0.3">
      <c r="A19" s="9"/>
      <c r="B19" s="9"/>
      <c r="C19" s="9"/>
      <c r="D19" s="9"/>
      <c r="E19" s="9"/>
      <c r="F19" s="9"/>
      <c r="G19" s="9"/>
      <c r="H19" s="25"/>
    </row>
    <row r="20" spans="1:8" ht="18.75" x14ac:dyDescent="0.3">
      <c r="A20" s="9"/>
      <c r="B20" s="9"/>
      <c r="C20" s="9"/>
      <c r="D20" s="9"/>
      <c r="E20" s="9"/>
      <c r="F20" s="9"/>
      <c r="G20" s="9"/>
      <c r="H20" s="25"/>
    </row>
    <row r="21" spans="1:8" ht="18.75" x14ac:dyDescent="0.3">
      <c r="A21" s="9"/>
      <c r="B21" s="9" t="str">
        <f>IFERROR(VLOOKUP(A21,Formulas!$D$23:$G$60,2,FALSE),"")</f>
        <v/>
      </c>
      <c r="C21" s="9"/>
      <c r="D21" s="9"/>
      <c r="E21" s="9"/>
      <c r="F21" s="9"/>
      <c r="G21" s="9"/>
      <c r="H21" s="25"/>
    </row>
    <row r="22" spans="1:8" ht="19.5" x14ac:dyDescent="0.35">
      <c r="A22" s="316" t="s">
        <v>412</v>
      </c>
      <c r="B22" s="317"/>
      <c r="C22" s="318"/>
      <c r="D22" s="306" t="s">
        <v>410</v>
      </c>
      <c r="E22" s="316" t="s">
        <v>413</v>
      </c>
      <c r="F22" s="318"/>
      <c r="G22" s="9"/>
      <c r="H22" s="25"/>
    </row>
    <row r="23" spans="1:8" ht="19.5" x14ac:dyDescent="0.35">
      <c r="A23" s="43"/>
      <c r="B23" s="43"/>
      <c r="C23" s="43"/>
      <c r="D23" s="306"/>
      <c r="E23" s="9"/>
      <c r="F23" s="307"/>
      <c r="G23" s="9"/>
      <c r="H23" s="25"/>
    </row>
    <row r="24" spans="1:8" ht="19.5" customHeight="1" x14ac:dyDescent="0.3">
      <c r="A24" s="316" t="s">
        <v>414</v>
      </c>
      <c r="B24" s="318"/>
      <c r="C24" s="316"/>
      <c r="D24" s="317"/>
      <c r="E24" s="317"/>
      <c r="F24" s="317"/>
      <c r="G24" s="317"/>
      <c r="H24" s="318"/>
    </row>
    <row r="25" spans="1:8" ht="19.5" x14ac:dyDescent="0.35">
      <c r="A25" s="43"/>
      <c r="B25" s="43"/>
      <c r="C25" s="43"/>
      <c r="D25" s="306"/>
      <c r="E25" s="9"/>
      <c r="F25" s="307"/>
      <c r="G25" s="9"/>
      <c r="H25" s="25"/>
    </row>
  </sheetData>
  <mergeCells count="12">
    <mergeCell ref="C5:C6"/>
    <mergeCell ref="A8:H8"/>
    <mergeCell ref="A3:B3"/>
    <mergeCell ref="C2:G2"/>
    <mergeCell ref="C3:H3"/>
    <mergeCell ref="D4:E4"/>
    <mergeCell ref="F4:G4"/>
    <mergeCell ref="A22:C22"/>
    <mergeCell ref="E22:F22"/>
    <mergeCell ref="A24:B24"/>
    <mergeCell ref="C24:H24"/>
    <mergeCell ref="F7:G7"/>
  </mergeCells>
  <phoneticPr fontId="12" type="noConversion"/>
  <pageMargins left="0.23622047244094491" right="0.23622047244094491" top="0.74803149606299213" bottom="0.74803149606299213" header="0.31496062992125984" footer="0.31496062992125984"/>
  <pageSetup paperSize="124" scale="65" fitToWidth="0" orientation="portrait" horizontalDpi="203" verticalDpi="203"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7A51E0C-BF41-499D-8FBE-40BA74FE582F}">
          <x14:formula1>
            <xm:f>Formulas!$D$23:$D$60</xm:f>
          </x14:formula1>
          <xm:sqref>A10:A21</xm:sqref>
        </x14:dataValidation>
        <x14:dataValidation type="list" allowBlank="1" showInputMessage="1" showErrorMessage="1" xr:uid="{683F97C8-D381-400A-BFB8-097532C6E84A}">
          <x14:formula1>
            <xm:f>Precios!$A$8:$A$28</xm:f>
          </x14:formula1>
          <xm:sqref>H7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AB0F1-4D08-43F9-B2B9-01D798046597}">
  <sheetPr codeName="Hoja4">
    <tabColor theme="1" tint="0.14999847407452621"/>
  </sheetPr>
  <dimension ref="A1:J25"/>
  <sheetViews>
    <sheetView zoomScaleNormal="100" workbookViewId="0">
      <selection activeCell="D20" sqref="D20"/>
    </sheetView>
  </sheetViews>
  <sheetFormatPr baseColWidth="10" defaultRowHeight="15" customHeight="1" x14ac:dyDescent="0.25"/>
  <cols>
    <col min="1" max="1" width="15.7109375" customWidth="1"/>
    <col min="2" max="2" width="11.7109375" bestFit="1" customWidth="1"/>
    <col min="3" max="3" width="25.85546875" bestFit="1" customWidth="1"/>
    <col min="4" max="4" width="22" bestFit="1" customWidth="1"/>
    <col min="5" max="5" width="9.7109375" bestFit="1" customWidth="1"/>
    <col min="6" max="6" width="8.42578125" customWidth="1"/>
    <col min="7" max="7" width="12.28515625" bestFit="1" customWidth="1"/>
    <col min="8" max="8" width="27.28515625" bestFit="1" customWidth="1"/>
    <col min="10" max="10" width="22.42578125" bestFit="1" customWidth="1"/>
    <col min="11" max="11" width="19.85546875" bestFit="1" customWidth="1"/>
    <col min="12" max="12" width="21.28515625" bestFit="1" customWidth="1"/>
    <col min="13" max="13" width="18.85546875" bestFit="1" customWidth="1"/>
    <col min="14" max="14" width="19.28515625" bestFit="1" customWidth="1"/>
    <col min="15" max="15" width="17.42578125" bestFit="1" customWidth="1"/>
    <col min="16" max="16" width="18.42578125" bestFit="1" customWidth="1"/>
    <col min="17" max="17" width="8.140625" bestFit="1" customWidth="1"/>
    <col min="18" max="18" width="17" bestFit="1" customWidth="1"/>
    <col min="19" max="22" width="6" bestFit="1" customWidth="1"/>
    <col min="23" max="24" width="11" bestFit="1" customWidth="1"/>
    <col min="25" max="25" width="13.28515625" bestFit="1" customWidth="1"/>
    <col min="26" max="26" width="12.5703125" bestFit="1" customWidth="1"/>
  </cols>
  <sheetData>
    <row r="1" spans="1:10" ht="15" customHeight="1" x14ac:dyDescent="0.25">
      <c r="A1" s="21"/>
      <c r="B1" s="23" t="s">
        <v>10</v>
      </c>
      <c r="C1" s="16" t="s">
        <v>4</v>
      </c>
      <c r="D1" s="20" t="s">
        <v>11</v>
      </c>
      <c r="E1" s="20" t="s">
        <v>12</v>
      </c>
      <c r="F1" s="19" t="s">
        <v>5</v>
      </c>
      <c r="G1" s="40" t="s">
        <v>87</v>
      </c>
      <c r="H1" s="40" t="s">
        <v>88</v>
      </c>
      <c r="J1">
        <f>MAX(G2:G9)</f>
        <v>8</v>
      </c>
    </row>
    <row r="2" spans="1:10" ht="15" customHeight="1" x14ac:dyDescent="0.25">
      <c r="A2" s="21"/>
      <c r="B2" s="21" t="s">
        <v>80</v>
      </c>
      <c r="C2" s="17" t="s">
        <v>6</v>
      </c>
      <c r="D2" s="17" t="s">
        <v>13</v>
      </c>
      <c r="E2" s="17" t="s">
        <v>78</v>
      </c>
      <c r="F2" s="18">
        <v>300</v>
      </c>
      <c r="G2" s="41">
        <f t="shared" ref="G2:G9" si="0">_xlfn.NUMBERVALUE(MID(B2,FIND("-",B2,1)+1,3))</f>
        <v>1</v>
      </c>
      <c r="H2" s="17" t="str">
        <f>Productos[[#This Row],[Codigo]]&amp;" "&amp;Productos[[#This Row],[Producto]]</f>
        <v>Be-1 Lavaplatos Liquido</v>
      </c>
    </row>
    <row r="3" spans="1:10" ht="15" customHeight="1" x14ac:dyDescent="0.25">
      <c r="A3" s="22"/>
      <c r="B3" s="22" t="s">
        <v>81</v>
      </c>
      <c r="C3" s="17" t="s">
        <v>7</v>
      </c>
      <c r="D3" s="17" t="s">
        <v>13</v>
      </c>
      <c r="E3" s="17" t="s">
        <v>24</v>
      </c>
      <c r="F3" s="18">
        <v>150</v>
      </c>
      <c r="G3" s="42">
        <f t="shared" si="0"/>
        <v>2</v>
      </c>
      <c r="H3" s="17" t="str">
        <f>Productos[[#This Row],[Codigo]]&amp;" "&amp;Productos[[#This Row],[Producto]]</f>
        <v>Be-2 Lavaplatos en Crema</v>
      </c>
    </row>
    <row r="4" spans="1:10" ht="15" customHeight="1" x14ac:dyDescent="0.25">
      <c r="A4" s="21"/>
      <c r="B4" s="21" t="s">
        <v>82</v>
      </c>
      <c r="C4" s="17" t="s">
        <v>9</v>
      </c>
      <c r="D4" s="17" t="s">
        <v>14</v>
      </c>
      <c r="E4" s="17" t="s">
        <v>19</v>
      </c>
      <c r="F4" s="18">
        <v>300</v>
      </c>
      <c r="G4" s="41">
        <f t="shared" si="0"/>
        <v>3</v>
      </c>
      <c r="H4" s="17" t="str">
        <f>Productos[[#This Row],[Codigo]]&amp;" "&amp;Productos[[#This Row],[Producto]]</f>
        <v>Be-3 Detergente de Ropa</v>
      </c>
    </row>
    <row r="5" spans="1:10" ht="15" customHeight="1" x14ac:dyDescent="0.25">
      <c r="A5" s="21"/>
      <c r="B5" s="21" t="s">
        <v>99</v>
      </c>
      <c r="C5" s="17" t="s">
        <v>97</v>
      </c>
      <c r="D5" s="17" t="s">
        <v>17</v>
      </c>
      <c r="E5" s="17" t="s">
        <v>101</v>
      </c>
      <c r="F5" s="18">
        <v>460</v>
      </c>
      <c r="G5" s="41">
        <f t="shared" si="0"/>
        <v>4</v>
      </c>
      <c r="H5" s="17" t="str">
        <f>Productos[[#This Row],[Codigo]]&amp;" "&amp;Productos[[#This Row],[Producto]]</f>
        <v>Be-4 Multiuso Desengrasante</v>
      </c>
    </row>
    <row r="6" spans="1:10" ht="15" customHeight="1" x14ac:dyDescent="0.25">
      <c r="A6" s="22"/>
      <c r="B6" s="21" t="s">
        <v>83</v>
      </c>
      <c r="C6" s="17" t="s">
        <v>8</v>
      </c>
      <c r="D6" s="17" t="s">
        <v>15</v>
      </c>
      <c r="E6" s="17" t="s">
        <v>79</v>
      </c>
      <c r="F6" s="18">
        <v>100</v>
      </c>
      <c r="G6" s="42">
        <f t="shared" si="0"/>
        <v>5</v>
      </c>
      <c r="H6" s="17" t="str">
        <f>Productos[[#This Row],[Codigo]]&amp;" "&amp;Productos[[#This Row],[Producto]]</f>
        <v>Be-5 Desinfectante Herbal</v>
      </c>
    </row>
    <row r="7" spans="1:10" ht="15" customHeight="1" x14ac:dyDescent="0.25">
      <c r="A7" s="21"/>
      <c r="B7" s="21" t="s">
        <v>84</v>
      </c>
      <c r="C7" s="17" t="s">
        <v>98</v>
      </c>
      <c r="D7" s="17" t="s">
        <v>16</v>
      </c>
      <c r="E7" s="17" t="s">
        <v>20</v>
      </c>
      <c r="F7" s="18">
        <v>300</v>
      </c>
      <c r="G7" s="42">
        <f t="shared" si="0"/>
        <v>6</v>
      </c>
      <c r="H7" s="17" t="str">
        <f>Productos[[#This Row],[Codigo]]&amp;" "&amp;Productos[[#This Row],[Producto]]</f>
        <v>Be-6 Suavizante de Ropa</v>
      </c>
    </row>
    <row r="8" spans="1:10" ht="15" customHeight="1" x14ac:dyDescent="0.25">
      <c r="A8" s="21"/>
      <c r="B8" s="21" t="s">
        <v>85</v>
      </c>
      <c r="C8" s="17" t="s">
        <v>96</v>
      </c>
      <c r="D8" s="17" t="s">
        <v>17</v>
      </c>
      <c r="E8" s="17" t="s">
        <v>21</v>
      </c>
      <c r="F8" s="18">
        <v>240</v>
      </c>
      <c r="G8" s="42">
        <f t="shared" si="0"/>
        <v>7</v>
      </c>
      <c r="H8" s="17" t="str">
        <f>Productos[[#This Row],[Codigo]]&amp;" "&amp;Productos[[#This Row],[Producto]]</f>
        <v>Be-7 Cloro Jabonoso</v>
      </c>
    </row>
    <row r="9" spans="1:10" ht="15" customHeight="1" x14ac:dyDescent="0.25">
      <c r="A9" s="22"/>
      <c r="B9" s="21" t="s">
        <v>86</v>
      </c>
      <c r="C9" s="17" t="s">
        <v>100</v>
      </c>
      <c r="D9" s="17" t="s">
        <v>18</v>
      </c>
      <c r="E9" s="17" t="s">
        <v>21</v>
      </c>
      <c r="F9" s="18">
        <v>400</v>
      </c>
      <c r="G9" s="41">
        <f t="shared" si="0"/>
        <v>8</v>
      </c>
      <c r="H9" s="17" t="str">
        <f>Productos[[#This Row],[Codigo]]&amp;" "&amp;Productos[[#This Row],[Producto]]</f>
        <v>Be-8 Multi-Cerámica</v>
      </c>
    </row>
    <row r="10" spans="1:10" ht="15" customHeight="1" x14ac:dyDescent="0.25">
      <c r="A10" s="39"/>
      <c r="B10" s="39"/>
      <c r="C10" s="17"/>
      <c r="D10" s="17"/>
      <c r="E10" s="17"/>
      <c r="F10" s="17"/>
      <c r="G10" s="17"/>
      <c r="H10" s="17"/>
    </row>
    <row r="11" spans="1:10" ht="15" customHeight="1" x14ac:dyDescent="0.25">
      <c r="A11" s="39"/>
      <c r="B11" s="39"/>
      <c r="C11" s="17"/>
      <c r="D11" s="17"/>
      <c r="E11" s="17"/>
      <c r="F11" s="17"/>
      <c r="G11" s="17"/>
      <c r="H11" s="17"/>
    </row>
    <row r="12" spans="1:10" ht="15" customHeight="1" x14ac:dyDescent="0.25">
      <c r="A12" s="39"/>
      <c r="B12" s="39"/>
      <c r="C12" s="17"/>
      <c r="D12" s="17"/>
      <c r="E12" s="17"/>
      <c r="F12" s="17"/>
      <c r="G12" s="17"/>
      <c r="H12" s="17"/>
    </row>
    <row r="13" spans="1:10" ht="15" customHeight="1" x14ac:dyDescent="0.25">
      <c r="A13" s="39"/>
      <c r="B13" s="39"/>
      <c r="C13" s="17"/>
      <c r="D13" s="17"/>
      <c r="E13" s="17"/>
      <c r="F13" s="17"/>
      <c r="G13" s="17"/>
      <c r="H13" s="17"/>
    </row>
    <row r="14" spans="1:10" ht="15" customHeight="1" x14ac:dyDescent="0.25">
      <c r="A14" s="39"/>
      <c r="B14" s="39"/>
      <c r="C14" s="17"/>
      <c r="D14" s="17"/>
      <c r="E14" s="17"/>
      <c r="F14" s="17"/>
      <c r="G14" s="17"/>
      <c r="H14" s="17"/>
    </row>
    <row r="15" spans="1:10" ht="15" customHeight="1" x14ac:dyDescent="0.25">
      <c r="A15" s="39"/>
      <c r="B15" s="39"/>
      <c r="C15" s="17"/>
      <c r="D15" s="17"/>
      <c r="E15" s="17"/>
      <c r="F15" s="17"/>
      <c r="G15" s="17"/>
      <c r="H15" s="17"/>
    </row>
    <row r="23" spans="1:2" ht="15" customHeight="1" x14ac:dyDescent="0.25">
      <c r="A23" t="s">
        <v>236</v>
      </c>
    </row>
    <row r="25" spans="1:2" ht="15" customHeight="1" x14ac:dyDescent="0.25">
      <c r="B25">
        <f>MAX(Productos[Codigo])</f>
        <v>0</v>
      </c>
    </row>
  </sheetData>
  <phoneticPr fontId="12"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42204-65E8-44A6-B2F9-0D16D5075F52}">
  <sheetPr codeName="Hoja5">
    <tabColor theme="9" tint="-0.249977111117893"/>
  </sheetPr>
  <dimension ref="A1:L17"/>
  <sheetViews>
    <sheetView topLeftCell="B1" zoomScale="93" zoomScaleNormal="93" workbookViewId="0">
      <pane ySplit="7" topLeftCell="A8" activePane="bottomLeft" state="frozen"/>
      <selection pane="bottomLeft" activeCell="I8" sqref="I8"/>
    </sheetView>
  </sheetViews>
  <sheetFormatPr baseColWidth="10" defaultRowHeight="15" x14ac:dyDescent="0.25"/>
  <cols>
    <col min="1" max="1" width="12" customWidth="1"/>
    <col min="2" max="2" width="28.5703125" customWidth="1"/>
    <col min="3" max="3" width="13.42578125" bestFit="1" customWidth="1"/>
    <col min="4" max="4" width="12.42578125" bestFit="1" customWidth="1"/>
    <col min="5" max="5" width="14.140625" customWidth="1"/>
    <col min="6" max="6" width="11.85546875" customWidth="1"/>
    <col min="7" max="7" width="13" customWidth="1"/>
    <col min="8" max="8" width="13.28515625" customWidth="1"/>
    <col min="9" max="9" width="17" customWidth="1"/>
    <col min="10" max="10" width="25" bestFit="1" customWidth="1"/>
    <col min="11" max="11" width="14.85546875" customWidth="1"/>
    <col min="12" max="12" width="18.140625" customWidth="1"/>
  </cols>
  <sheetData>
    <row r="1" spans="1:12" s="1" customFormat="1" x14ac:dyDescent="0.25">
      <c r="C1" s="12"/>
      <c r="E1" s="26"/>
      <c r="F1" s="26"/>
      <c r="G1" s="26"/>
      <c r="H1" s="26"/>
      <c r="I1" s="26"/>
      <c r="J1" s="26"/>
      <c r="K1" s="26"/>
      <c r="L1" s="26"/>
    </row>
    <row r="2" spans="1:12" s="1" customFormat="1" ht="17.25" customHeight="1" x14ac:dyDescent="0.25">
      <c r="A2" s="7"/>
      <c r="B2" s="7"/>
      <c r="C2" s="333"/>
      <c r="D2" s="334"/>
      <c r="E2" s="334"/>
      <c r="F2" s="334"/>
      <c r="G2" s="334"/>
      <c r="H2" s="334"/>
      <c r="I2" s="334"/>
      <c r="J2" s="334"/>
      <c r="K2" s="334"/>
      <c r="L2" s="335"/>
    </row>
    <row r="3" spans="1:12" s="1" customFormat="1" ht="16.5" customHeight="1" x14ac:dyDescent="0.25">
      <c r="A3" s="7"/>
      <c r="B3" s="7"/>
      <c r="C3" s="346" t="s">
        <v>25</v>
      </c>
      <c r="D3" s="347"/>
      <c r="E3" s="340" t="s">
        <v>35</v>
      </c>
      <c r="F3" s="341"/>
      <c r="G3" s="341"/>
      <c r="H3" s="341"/>
      <c r="I3" s="341"/>
      <c r="J3" s="341"/>
      <c r="K3" s="341"/>
      <c r="L3" s="342"/>
    </row>
    <row r="4" spans="1:12" s="1" customFormat="1" ht="34.5" customHeight="1" x14ac:dyDescent="0.25">
      <c r="A4" s="7"/>
      <c r="B4" s="7"/>
      <c r="C4" s="348"/>
      <c r="D4" s="349"/>
      <c r="E4" s="340"/>
      <c r="F4" s="341"/>
      <c r="G4" s="341"/>
      <c r="H4" s="341"/>
      <c r="I4" s="341"/>
      <c r="J4" s="341"/>
      <c r="K4" s="341"/>
      <c r="L4" s="342"/>
    </row>
    <row r="5" spans="1:12" s="1" customFormat="1" ht="62.25" customHeight="1" x14ac:dyDescent="0.45">
      <c r="A5" s="7"/>
      <c r="B5" s="7"/>
      <c r="C5" s="350" t="s">
        <v>36</v>
      </c>
      <c r="D5" s="351"/>
      <c r="E5" s="343"/>
      <c r="F5" s="344"/>
      <c r="G5" s="344"/>
      <c r="H5" s="344"/>
      <c r="I5" s="344"/>
      <c r="J5" s="344"/>
      <c r="K5" s="344"/>
      <c r="L5" s="345"/>
    </row>
    <row r="6" spans="1:12" s="1" customFormat="1" ht="40.5" customHeight="1" x14ac:dyDescent="0.25">
      <c r="A6" s="323">
        <f ca="1">TODAY()</f>
        <v>44311</v>
      </c>
      <c r="B6" s="324"/>
      <c r="C6" s="10"/>
      <c r="D6" s="8"/>
      <c r="E6" s="24"/>
      <c r="F6" s="339" t="s">
        <v>34</v>
      </c>
      <c r="G6" s="337"/>
      <c r="H6" s="337"/>
      <c r="I6" s="338"/>
      <c r="J6" s="336" t="s">
        <v>33</v>
      </c>
      <c r="K6" s="337"/>
      <c r="L6" s="338"/>
    </row>
    <row r="7" spans="1:12" s="1" customFormat="1" ht="23.1" customHeight="1" x14ac:dyDescent="0.3">
      <c r="A7" s="27" t="s">
        <v>10</v>
      </c>
      <c r="B7" s="27" t="s">
        <v>4</v>
      </c>
      <c r="C7" s="28" t="s">
        <v>22</v>
      </c>
      <c r="D7" s="27" t="s">
        <v>23</v>
      </c>
      <c r="E7" s="29" t="s">
        <v>5</v>
      </c>
      <c r="F7" s="29" t="s">
        <v>26</v>
      </c>
      <c r="G7" s="29" t="s">
        <v>27</v>
      </c>
      <c r="H7" s="29" t="s">
        <v>28</v>
      </c>
      <c r="I7" s="29" t="s">
        <v>29</v>
      </c>
      <c r="J7" s="29" t="s">
        <v>30</v>
      </c>
      <c r="K7" s="29" t="s">
        <v>31</v>
      </c>
      <c r="L7" s="29" t="s">
        <v>32</v>
      </c>
    </row>
    <row r="8" spans="1:12" s="1" customFormat="1" ht="23.1" customHeight="1" x14ac:dyDescent="0.3">
      <c r="A8" s="9" t="s">
        <v>84</v>
      </c>
      <c r="B8" s="9" t="s">
        <v>98</v>
      </c>
      <c r="C8" s="11" t="s">
        <v>16</v>
      </c>
      <c r="D8" s="9" t="s">
        <v>20</v>
      </c>
      <c r="E8" s="25">
        <v>111</v>
      </c>
      <c r="F8" s="68">
        <v>10</v>
      </c>
      <c r="G8" s="25">
        <v>10</v>
      </c>
      <c r="H8" s="70">
        <v>1.1200000000000001</v>
      </c>
      <c r="I8" s="68">
        <v>7.5</v>
      </c>
      <c r="J8" s="25" t="s">
        <v>103</v>
      </c>
      <c r="K8" s="25" t="s">
        <v>104</v>
      </c>
      <c r="L8" s="25" t="s">
        <v>105</v>
      </c>
    </row>
    <row r="9" spans="1:12" s="1" customFormat="1" ht="23.1" customHeight="1" x14ac:dyDescent="0.3">
      <c r="A9" s="9" t="s">
        <v>81</v>
      </c>
      <c r="B9" s="9" t="s">
        <v>7</v>
      </c>
      <c r="C9" s="11" t="s">
        <v>13</v>
      </c>
      <c r="D9" s="9" t="s">
        <v>24</v>
      </c>
      <c r="E9" s="25">
        <v>150</v>
      </c>
      <c r="F9" s="68">
        <v>7.5</v>
      </c>
      <c r="G9" s="25">
        <v>56</v>
      </c>
      <c r="H9" s="70">
        <v>1.3</v>
      </c>
      <c r="I9" s="68">
        <v>5.5</v>
      </c>
      <c r="J9" s="25" t="s">
        <v>106</v>
      </c>
      <c r="K9" s="25" t="s">
        <v>107</v>
      </c>
      <c r="L9" s="25" t="s">
        <v>108</v>
      </c>
    </row>
    <row r="10" spans="1:12" s="1" customFormat="1" ht="23.1" customHeight="1" x14ac:dyDescent="0.3">
      <c r="A10" s="9" t="s">
        <v>86</v>
      </c>
      <c r="B10" s="9" t="s">
        <v>100</v>
      </c>
      <c r="C10" s="11" t="s">
        <v>18</v>
      </c>
      <c r="D10" s="9" t="s">
        <v>21</v>
      </c>
      <c r="E10" s="25">
        <v>350</v>
      </c>
      <c r="F10" s="68">
        <v>11</v>
      </c>
      <c r="G10" s="25">
        <v>8</v>
      </c>
      <c r="H10" s="70">
        <v>1.2</v>
      </c>
      <c r="I10" s="68">
        <v>28</v>
      </c>
      <c r="J10" s="25" t="s">
        <v>109</v>
      </c>
      <c r="K10" s="25" t="s">
        <v>110</v>
      </c>
      <c r="L10" s="25" t="s">
        <v>113</v>
      </c>
    </row>
    <row r="11" spans="1:12" s="1" customFormat="1" ht="23.1" customHeight="1" x14ac:dyDescent="0.3">
      <c r="A11" s="9" t="s">
        <v>80</v>
      </c>
      <c r="B11" s="9" t="s">
        <v>6</v>
      </c>
      <c r="C11" s="11" t="s">
        <v>13</v>
      </c>
      <c r="D11" s="9" t="s">
        <v>78</v>
      </c>
      <c r="E11" s="25">
        <v>300</v>
      </c>
      <c r="F11" s="68">
        <v>6.8</v>
      </c>
      <c r="G11" s="25">
        <v>98</v>
      </c>
      <c r="H11" s="70" t="s">
        <v>102</v>
      </c>
      <c r="I11" s="68">
        <v>14.5</v>
      </c>
      <c r="J11" s="25" t="s">
        <v>106</v>
      </c>
      <c r="K11" s="25" t="s">
        <v>110</v>
      </c>
      <c r="L11" s="25" t="s">
        <v>113</v>
      </c>
    </row>
    <row r="12" spans="1:12" s="1" customFormat="1" ht="23.1" customHeight="1" x14ac:dyDescent="0.3">
      <c r="A12" s="9" t="s">
        <v>81</v>
      </c>
      <c r="B12" s="9" t="s">
        <v>7</v>
      </c>
      <c r="C12" s="11" t="s">
        <v>13</v>
      </c>
      <c r="D12" s="9" t="s">
        <v>24</v>
      </c>
      <c r="E12" s="25">
        <v>400</v>
      </c>
      <c r="F12" s="68">
        <v>9.5</v>
      </c>
      <c r="G12" s="25">
        <v>0</v>
      </c>
      <c r="H12" s="70">
        <v>0</v>
      </c>
      <c r="I12" s="68">
        <v>0</v>
      </c>
      <c r="J12" s="25" t="s">
        <v>116</v>
      </c>
      <c r="K12" s="25" t="s">
        <v>111</v>
      </c>
      <c r="L12" s="25" t="s">
        <v>114</v>
      </c>
    </row>
    <row r="13" spans="1:12" s="1" customFormat="1" ht="23.1" customHeight="1" x14ac:dyDescent="0.3">
      <c r="A13" s="9" t="s">
        <v>85</v>
      </c>
      <c r="B13" s="9" t="s">
        <v>96</v>
      </c>
      <c r="C13" s="11" t="s">
        <v>17</v>
      </c>
      <c r="D13" s="9" t="s">
        <v>21</v>
      </c>
      <c r="E13" s="25">
        <v>240</v>
      </c>
      <c r="F13" s="68">
        <v>10.3</v>
      </c>
      <c r="G13" s="25">
        <v>8</v>
      </c>
      <c r="H13" s="70">
        <v>1.1000000000000001</v>
      </c>
      <c r="I13" s="68">
        <v>4.3</v>
      </c>
      <c r="J13" s="25" t="s">
        <v>109</v>
      </c>
      <c r="K13" s="25" t="s">
        <v>112</v>
      </c>
      <c r="L13" s="25" t="s">
        <v>115</v>
      </c>
    </row>
    <row r="14" spans="1:12" s="1" customFormat="1" ht="23.1" customHeight="1" x14ac:dyDescent="0.3">
      <c r="A14" s="9" t="s">
        <v>81</v>
      </c>
      <c r="B14" s="9" t="s">
        <v>7</v>
      </c>
      <c r="C14" s="11" t="s">
        <v>13</v>
      </c>
      <c r="D14" s="9" t="s">
        <v>24</v>
      </c>
      <c r="E14" s="25">
        <v>400</v>
      </c>
      <c r="F14" s="68">
        <v>9.4</v>
      </c>
      <c r="G14" s="25">
        <v>0</v>
      </c>
      <c r="H14" s="70">
        <v>0</v>
      </c>
      <c r="I14" s="68">
        <v>0</v>
      </c>
      <c r="J14" s="25" t="s">
        <v>116</v>
      </c>
      <c r="K14" s="25" t="s">
        <v>111</v>
      </c>
      <c r="L14" s="25" t="s">
        <v>114</v>
      </c>
    </row>
    <row r="15" spans="1:12" s="1" customFormat="1" ht="23.1" customHeight="1" x14ac:dyDescent="0.3">
      <c r="A15" s="43" t="s">
        <v>81</v>
      </c>
      <c r="B15" s="43" t="s">
        <v>7</v>
      </c>
      <c r="C15" s="44" t="s">
        <v>13</v>
      </c>
      <c r="D15" s="43" t="s">
        <v>24</v>
      </c>
      <c r="E15" s="45">
        <v>400</v>
      </c>
      <c r="F15" s="69">
        <v>9.1999999999999993</v>
      </c>
      <c r="G15" s="45">
        <v>0</v>
      </c>
      <c r="H15" s="71">
        <v>0</v>
      </c>
      <c r="I15" s="69">
        <v>0</v>
      </c>
      <c r="J15" s="45" t="s">
        <v>116</v>
      </c>
      <c r="K15" s="45" t="s">
        <v>111</v>
      </c>
      <c r="L15" s="45" t="s">
        <v>114</v>
      </c>
    </row>
    <row r="16" spans="1:12" s="1" customFormat="1" ht="23.1" customHeight="1" x14ac:dyDescent="0.3">
      <c r="A16" s="43"/>
      <c r="B16" s="43"/>
      <c r="C16" s="44"/>
      <c r="D16" s="43"/>
      <c r="E16" s="45"/>
      <c r="F16" s="69"/>
      <c r="G16" s="45"/>
      <c r="H16" s="71"/>
      <c r="I16" s="69"/>
      <c r="J16" s="45"/>
      <c r="K16" s="45"/>
      <c r="L16" s="45"/>
    </row>
    <row r="17" spans="3:12" s="1" customFormat="1" ht="17.25" customHeight="1" x14ac:dyDescent="0.25">
      <c r="C17" s="12"/>
      <c r="E17" s="26"/>
      <c r="F17" s="26"/>
      <c r="G17" s="26"/>
      <c r="H17" s="26"/>
      <c r="I17" s="26"/>
      <c r="J17" s="26"/>
      <c r="K17" s="26"/>
      <c r="L17" s="26"/>
    </row>
  </sheetData>
  <mergeCells count="7">
    <mergeCell ref="C2:L2"/>
    <mergeCell ref="A6:B6"/>
    <mergeCell ref="J6:L6"/>
    <mergeCell ref="F6:I6"/>
    <mergeCell ref="E3:L5"/>
    <mergeCell ref="C3:D4"/>
    <mergeCell ref="C5:D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6953-371E-4D09-92F6-0007003FB874}">
  <sheetPr codeName="Hoja12">
    <tabColor rgb="FFFFFF00"/>
  </sheetPr>
  <dimension ref="A1:M19"/>
  <sheetViews>
    <sheetView zoomScale="91" zoomScaleNormal="91" workbookViewId="0">
      <pane ySplit="1" topLeftCell="A2" activePane="bottomLeft" state="frozen"/>
      <selection pane="bottomLeft" activeCell="A2" sqref="A2:XFD2"/>
    </sheetView>
  </sheetViews>
  <sheetFormatPr baseColWidth="10" defaultRowHeight="15" x14ac:dyDescent="0.25"/>
  <cols>
    <col min="1" max="1" width="12.140625" style="78" bestFit="1" customWidth="1"/>
    <col min="3" max="3" width="24.85546875" bestFit="1" customWidth="1"/>
    <col min="4" max="4" width="13.42578125" bestFit="1" customWidth="1"/>
    <col min="5" max="5" width="12.42578125" bestFit="1" customWidth="1"/>
    <col min="6" max="6" width="13.140625" customWidth="1"/>
    <col min="8" max="8" width="15.140625" customWidth="1"/>
    <col min="9" max="9" width="13.7109375" customWidth="1"/>
    <col min="10" max="10" width="19.42578125" customWidth="1"/>
    <col min="11" max="11" width="25" bestFit="1" customWidth="1"/>
    <col min="12" max="12" width="14.28515625" bestFit="1" customWidth="1"/>
  </cols>
  <sheetData>
    <row r="1" spans="1:13" ht="18.75" x14ac:dyDescent="0.3">
      <c r="A1" s="171" t="s">
        <v>117</v>
      </c>
      <c r="B1" s="172" t="s">
        <v>10</v>
      </c>
      <c r="C1" s="173" t="s">
        <v>4</v>
      </c>
      <c r="D1" s="174" t="s">
        <v>22</v>
      </c>
      <c r="E1" s="173" t="s">
        <v>23</v>
      </c>
      <c r="F1" s="175" t="s">
        <v>5</v>
      </c>
      <c r="G1" s="175" t="s">
        <v>26</v>
      </c>
      <c r="H1" s="175" t="s">
        <v>27</v>
      </c>
      <c r="I1" s="175" t="s">
        <v>28</v>
      </c>
      <c r="J1" s="175" t="s">
        <v>29</v>
      </c>
      <c r="K1" s="175" t="s">
        <v>30</v>
      </c>
      <c r="L1" s="175" t="s">
        <v>31</v>
      </c>
      <c r="M1" s="176" t="s">
        <v>32</v>
      </c>
    </row>
    <row r="2" spans="1:13" ht="18.75" x14ac:dyDescent="0.3">
      <c r="A2" s="177">
        <v>44222</v>
      </c>
      <c r="B2" s="178" t="s">
        <v>81</v>
      </c>
      <c r="C2" s="179" t="s">
        <v>7</v>
      </c>
      <c r="D2" s="180" t="s">
        <v>13</v>
      </c>
      <c r="E2" s="179" t="s">
        <v>24</v>
      </c>
      <c r="F2" s="181">
        <v>400</v>
      </c>
      <c r="G2" s="181">
        <v>9.4</v>
      </c>
      <c r="H2" s="181">
        <v>0</v>
      </c>
      <c r="I2" s="181">
        <v>0</v>
      </c>
      <c r="J2" s="181">
        <v>0</v>
      </c>
      <c r="K2" s="181" t="s">
        <v>116</v>
      </c>
      <c r="L2" s="181" t="s">
        <v>111</v>
      </c>
      <c r="M2" s="182" t="s">
        <v>114</v>
      </c>
    </row>
    <row r="3" spans="1:13" ht="18.75" x14ac:dyDescent="0.3">
      <c r="A3" s="177">
        <v>44222</v>
      </c>
      <c r="B3" s="178" t="s">
        <v>85</v>
      </c>
      <c r="C3" s="179" t="s">
        <v>96</v>
      </c>
      <c r="D3" s="180" t="s">
        <v>17</v>
      </c>
      <c r="E3" s="179" t="s">
        <v>21</v>
      </c>
      <c r="F3" s="181">
        <v>240</v>
      </c>
      <c r="G3" s="181">
        <v>10.3</v>
      </c>
      <c r="H3" s="181">
        <v>8</v>
      </c>
      <c r="I3" s="181">
        <v>1.1000000000000001</v>
      </c>
      <c r="J3" s="181">
        <v>4.3</v>
      </c>
      <c r="K3" s="181" t="s">
        <v>109</v>
      </c>
      <c r="L3" s="181" t="s">
        <v>112</v>
      </c>
      <c r="M3" s="182" t="s">
        <v>115</v>
      </c>
    </row>
    <row r="4" spans="1:13" ht="18.75" x14ac:dyDescent="0.3">
      <c r="A4" s="177">
        <v>44222</v>
      </c>
      <c r="B4" s="178" t="s">
        <v>81</v>
      </c>
      <c r="C4" s="179" t="s">
        <v>7</v>
      </c>
      <c r="D4" s="180" t="s">
        <v>13</v>
      </c>
      <c r="E4" s="179" t="s">
        <v>24</v>
      </c>
      <c r="F4" s="181">
        <v>400</v>
      </c>
      <c r="G4" s="181">
        <v>9.5</v>
      </c>
      <c r="H4" s="181">
        <v>0</v>
      </c>
      <c r="I4" s="181">
        <v>0</v>
      </c>
      <c r="J4" s="181">
        <v>0</v>
      </c>
      <c r="K4" s="181" t="s">
        <v>116</v>
      </c>
      <c r="L4" s="181" t="s">
        <v>111</v>
      </c>
      <c r="M4" s="182" t="s">
        <v>114</v>
      </c>
    </row>
    <row r="5" spans="1:13" ht="18.75" x14ac:dyDescent="0.3">
      <c r="A5" s="177">
        <v>44222</v>
      </c>
      <c r="B5" s="178" t="s">
        <v>80</v>
      </c>
      <c r="C5" s="179" t="s">
        <v>6</v>
      </c>
      <c r="D5" s="180" t="s">
        <v>13</v>
      </c>
      <c r="E5" s="179" t="s">
        <v>78</v>
      </c>
      <c r="F5" s="181">
        <v>300</v>
      </c>
      <c r="G5" s="181">
        <v>6.8</v>
      </c>
      <c r="H5" s="181">
        <v>98</v>
      </c>
      <c r="I5" s="181" t="s">
        <v>102</v>
      </c>
      <c r="J5" s="181">
        <v>14.5</v>
      </c>
      <c r="K5" s="181" t="s">
        <v>106</v>
      </c>
      <c r="L5" s="181" t="s">
        <v>110</v>
      </c>
      <c r="M5" s="182" t="s">
        <v>113</v>
      </c>
    </row>
    <row r="6" spans="1:13" ht="18.75" x14ac:dyDescent="0.3">
      <c r="A6" s="177">
        <v>44222</v>
      </c>
      <c r="B6" s="178" t="s">
        <v>86</v>
      </c>
      <c r="C6" s="179" t="s">
        <v>100</v>
      </c>
      <c r="D6" s="180" t="s">
        <v>18</v>
      </c>
      <c r="E6" s="179" t="s">
        <v>21</v>
      </c>
      <c r="F6" s="181">
        <v>350</v>
      </c>
      <c r="G6" s="181">
        <v>11</v>
      </c>
      <c r="H6" s="181">
        <v>8</v>
      </c>
      <c r="I6" s="181">
        <v>1.2</v>
      </c>
      <c r="J6" s="181">
        <v>28</v>
      </c>
      <c r="K6" s="181" t="s">
        <v>109</v>
      </c>
      <c r="L6" s="181" t="s">
        <v>110</v>
      </c>
      <c r="M6" s="182" t="s">
        <v>113</v>
      </c>
    </row>
    <row r="7" spans="1:13" ht="18.75" x14ac:dyDescent="0.3">
      <c r="A7" s="177">
        <v>44222</v>
      </c>
      <c r="B7" s="178" t="s">
        <v>81</v>
      </c>
      <c r="C7" s="179" t="s">
        <v>7</v>
      </c>
      <c r="D7" s="180" t="s">
        <v>13</v>
      </c>
      <c r="E7" s="179" t="s">
        <v>24</v>
      </c>
      <c r="F7" s="181">
        <v>150</v>
      </c>
      <c r="G7" s="181">
        <v>7.5</v>
      </c>
      <c r="H7" s="181">
        <v>56</v>
      </c>
      <c r="I7" s="181">
        <v>1.3</v>
      </c>
      <c r="J7" s="181">
        <v>5.5</v>
      </c>
      <c r="K7" s="181" t="s">
        <v>106</v>
      </c>
      <c r="L7" s="181" t="s">
        <v>107</v>
      </c>
      <c r="M7" s="182" t="s">
        <v>108</v>
      </c>
    </row>
    <row r="8" spans="1:13" ht="18.75" x14ac:dyDescent="0.3">
      <c r="A8" s="177">
        <v>44222</v>
      </c>
      <c r="B8" s="178" t="s">
        <v>84</v>
      </c>
      <c r="C8" s="179" t="s">
        <v>98</v>
      </c>
      <c r="D8" s="180" t="s">
        <v>16</v>
      </c>
      <c r="E8" s="179" t="s">
        <v>20</v>
      </c>
      <c r="F8" s="181">
        <v>111</v>
      </c>
      <c r="G8" s="181">
        <v>10</v>
      </c>
      <c r="H8" s="181">
        <v>10</v>
      </c>
      <c r="I8" s="181">
        <v>1.1200000000000001</v>
      </c>
      <c r="J8" s="181">
        <v>7.5</v>
      </c>
      <c r="K8" s="181" t="s">
        <v>103</v>
      </c>
      <c r="L8" s="181" t="s">
        <v>104</v>
      </c>
      <c r="M8" s="182" t="s">
        <v>105</v>
      </c>
    </row>
    <row r="9" spans="1:13" ht="18.75" x14ac:dyDescent="0.3">
      <c r="A9" s="177">
        <v>44211</v>
      </c>
      <c r="B9" s="178" t="s">
        <v>81</v>
      </c>
      <c r="C9" s="179" t="s">
        <v>7</v>
      </c>
      <c r="D9" s="180" t="s">
        <v>13</v>
      </c>
      <c r="E9" s="179" t="s">
        <v>24</v>
      </c>
      <c r="F9" s="181">
        <v>400</v>
      </c>
      <c r="G9" s="181">
        <v>9.4</v>
      </c>
      <c r="H9" s="181">
        <v>0</v>
      </c>
      <c r="I9" s="181">
        <v>0</v>
      </c>
      <c r="J9" s="181">
        <v>0</v>
      </c>
      <c r="K9" s="181" t="s">
        <v>116</v>
      </c>
      <c r="L9" s="181" t="s">
        <v>111</v>
      </c>
      <c r="M9" s="182" t="s">
        <v>114</v>
      </c>
    </row>
    <row r="10" spans="1:13" ht="18.75" x14ac:dyDescent="0.3">
      <c r="A10" s="177">
        <v>44211</v>
      </c>
      <c r="B10" s="178" t="s">
        <v>85</v>
      </c>
      <c r="C10" s="179" t="s">
        <v>96</v>
      </c>
      <c r="D10" s="180" t="s">
        <v>17</v>
      </c>
      <c r="E10" s="179" t="s">
        <v>21</v>
      </c>
      <c r="F10" s="181">
        <v>240</v>
      </c>
      <c r="G10" s="181">
        <v>10.3</v>
      </c>
      <c r="H10" s="181">
        <v>8</v>
      </c>
      <c r="I10" s="181">
        <v>1.1000000000000001</v>
      </c>
      <c r="J10" s="181">
        <v>4.3</v>
      </c>
      <c r="K10" s="181" t="s">
        <v>109</v>
      </c>
      <c r="L10" s="181" t="s">
        <v>112</v>
      </c>
      <c r="M10" s="182" t="s">
        <v>115</v>
      </c>
    </row>
    <row r="11" spans="1:13" ht="18.75" x14ac:dyDescent="0.3">
      <c r="A11" s="177">
        <v>44211</v>
      </c>
      <c r="B11" s="178" t="s">
        <v>81</v>
      </c>
      <c r="C11" s="179" t="s">
        <v>7</v>
      </c>
      <c r="D11" s="180" t="s">
        <v>13</v>
      </c>
      <c r="E11" s="179" t="s">
        <v>24</v>
      </c>
      <c r="F11" s="181">
        <v>400</v>
      </c>
      <c r="G11" s="181">
        <v>9.5</v>
      </c>
      <c r="H11" s="181">
        <v>0</v>
      </c>
      <c r="I11" s="181">
        <v>0</v>
      </c>
      <c r="J11" s="181">
        <v>0</v>
      </c>
      <c r="K11" s="181" t="s">
        <v>116</v>
      </c>
      <c r="L11" s="181" t="s">
        <v>111</v>
      </c>
      <c r="M11" s="182" t="s">
        <v>114</v>
      </c>
    </row>
    <row r="12" spans="1:13" ht="18.75" x14ac:dyDescent="0.3">
      <c r="A12" s="177">
        <v>44211</v>
      </c>
      <c r="B12" s="178" t="s">
        <v>80</v>
      </c>
      <c r="C12" s="179" t="s">
        <v>6</v>
      </c>
      <c r="D12" s="180" t="s">
        <v>13</v>
      </c>
      <c r="E12" s="179" t="s">
        <v>78</v>
      </c>
      <c r="F12" s="181">
        <v>300</v>
      </c>
      <c r="G12" s="181">
        <v>6.8</v>
      </c>
      <c r="H12" s="181">
        <v>98</v>
      </c>
      <c r="I12" s="181" t="s">
        <v>102</v>
      </c>
      <c r="J12" s="181">
        <v>14.5</v>
      </c>
      <c r="K12" s="181" t="s">
        <v>106</v>
      </c>
      <c r="L12" s="181" t="s">
        <v>110</v>
      </c>
      <c r="M12" s="182" t="s">
        <v>113</v>
      </c>
    </row>
    <row r="13" spans="1:13" ht="18.75" x14ac:dyDescent="0.3">
      <c r="A13" s="177">
        <v>44211</v>
      </c>
      <c r="B13" s="178" t="s">
        <v>86</v>
      </c>
      <c r="C13" s="179" t="s">
        <v>100</v>
      </c>
      <c r="D13" s="180" t="s">
        <v>18</v>
      </c>
      <c r="E13" s="179" t="s">
        <v>21</v>
      </c>
      <c r="F13" s="181">
        <v>350</v>
      </c>
      <c r="G13" s="181">
        <v>11</v>
      </c>
      <c r="H13" s="181">
        <v>8</v>
      </c>
      <c r="I13" s="181">
        <v>1.2</v>
      </c>
      <c r="J13" s="181">
        <v>28</v>
      </c>
      <c r="K13" s="181" t="s">
        <v>109</v>
      </c>
      <c r="L13" s="181" t="s">
        <v>110</v>
      </c>
      <c r="M13" s="182" t="s">
        <v>113</v>
      </c>
    </row>
    <row r="14" spans="1:13" ht="18.75" x14ac:dyDescent="0.3">
      <c r="A14" s="177">
        <v>44211</v>
      </c>
      <c r="B14" s="178" t="s">
        <v>81</v>
      </c>
      <c r="C14" s="179" t="s">
        <v>7</v>
      </c>
      <c r="D14" s="180" t="s">
        <v>13</v>
      </c>
      <c r="E14" s="179" t="s">
        <v>24</v>
      </c>
      <c r="F14" s="181">
        <v>150</v>
      </c>
      <c r="G14" s="181">
        <v>7.5</v>
      </c>
      <c r="H14" s="181">
        <v>56</v>
      </c>
      <c r="I14" s="181">
        <v>1.3</v>
      </c>
      <c r="J14" s="181">
        <v>5.5</v>
      </c>
      <c r="K14" s="181" t="s">
        <v>106</v>
      </c>
      <c r="L14" s="181" t="s">
        <v>107</v>
      </c>
      <c r="M14" s="182" t="s">
        <v>108</v>
      </c>
    </row>
    <row r="15" spans="1:13" ht="18.75" x14ac:dyDescent="0.3">
      <c r="A15" s="177">
        <v>44211</v>
      </c>
      <c r="B15" s="178" t="s">
        <v>83</v>
      </c>
      <c r="C15" s="179" t="s">
        <v>8</v>
      </c>
      <c r="D15" s="180" t="s">
        <v>15</v>
      </c>
      <c r="E15" s="179" t="s">
        <v>79</v>
      </c>
      <c r="F15" s="181">
        <v>100</v>
      </c>
      <c r="G15" s="181">
        <v>10</v>
      </c>
      <c r="H15" s="181">
        <v>10</v>
      </c>
      <c r="I15" s="181">
        <v>1.1200000000000001</v>
      </c>
      <c r="J15" s="181">
        <v>7.5</v>
      </c>
      <c r="K15" s="181" t="s">
        <v>103</v>
      </c>
      <c r="L15" s="181" t="s">
        <v>104</v>
      </c>
      <c r="M15" s="182" t="s">
        <v>105</v>
      </c>
    </row>
    <row r="16" spans="1:13" s="50" customFormat="1" ht="18.75" x14ac:dyDescent="0.3">
      <c r="A16" s="77">
        <v>44160</v>
      </c>
      <c r="B16" s="73" t="s">
        <v>80</v>
      </c>
      <c r="C16" s="74" t="s">
        <v>6</v>
      </c>
      <c r="D16" s="75" t="s">
        <v>13</v>
      </c>
      <c r="E16" s="74" t="s">
        <v>78</v>
      </c>
      <c r="F16" s="72">
        <v>300</v>
      </c>
      <c r="G16" s="72">
        <v>6.8</v>
      </c>
      <c r="H16" s="72">
        <v>98</v>
      </c>
      <c r="I16" s="72" t="s">
        <v>102</v>
      </c>
      <c r="J16" s="72">
        <v>14.5</v>
      </c>
      <c r="K16" s="72" t="s">
        <v>106</v>
      </c>
      <c r="L16" s="72" t="s">
        <v>110</v>
      </c>
      <c r="M16" s="76" t="s">
        <v>113</v>
      </c>
    </row>
    <row r="17" spans="1:13" s="50" customFormat="1" ht="18.75" x14ac:dyDescent="0.3">
      <c r="A17" s="77">
        <v>44160</v>
      </c>
      <c r="B17" s="73" t="s">
        <v>86</v>
      </c>
      <c r="C17" s="74" t="s">
        <v>100</v>
      </c>
      <c r="D17" s="75" t="s">
        <v>18</v>
      </c>
      <c r="E17" s="74" t="s">
        <v>21</v>
      </c>
      <c r="F17" s="72">
        <v>350</v>
      </c>
      <c r="G17" s="72">
        <v>11</v>
      </c>
      <c r="H17" s="72">
        <v>8</v>
      </c>
      <c r="I17" s="72">
        <v>1.2</v>
      </c>
      <c r="J17" s="72">
        <v>28</v>
      </c>
      <c r="K17" s="72" t="s">
        <v>109</v>
      </c>
      <c r="L17" s="72" t="s">
        <v>110</v>
      </c>
      <c r="M17" s="76" t="s">
        <v>113</v>
      </c>
    </row>
    <row r="18" spans="1:13" s="50" customFormat="1" ht="18.75" x14ac:dyDescent="0.3">
      <c r="A18" s="77">
        <v>44160</v>
      </c>
      <c r="B18" s="73" t="s">
        <v>84</v>
      </c>
      <c r="C18" s="74" t="s">
        <v>98</v>
      </c>
      <c r="D18" s="75" t="s">
        <v>16</v>
      </c>
      <c r="E18" s="74" t="s">
        <v>20</v>
      </c>
      <c r="F18" s="72">
        <v>300</v>
      </c>
      <c r="G18" s="72">
        <v>7.5</v>
      </c>
      <c r="H18" s="72">
        <v>56</v>
      </c>
      <c r="I18" s="72">
        <v>1.3</v>
      </c>
      <c r="J18" s="72">
        <v>5.5</v>
      </c>
      <c r="K18" s="72" t="s">
        <v>106</v>
      </c>
      <c r="L18" s="72" t="s">
        <v>107</v>
      </c>
      <c r="M18" s="76" t="s">
        <v>108</v>
      </c>
    </row>
    <row r="19" spans="1:13" s="50" customFormat="1" ht="18.75" x14ac:dyDescent="0.3">
      <c r="A19" s="77">
        <v>44160</v>
      </c>
      <c r="B19" s="73" t="s">
        <v>84</v>
      </c>
      <c r="C19" s="74" t="s">
        <v>98</v>
      </c>
      <c r="D19" s="75" t="s">
        <v>16</v>
      </c>
      <c r="E19" s="74" t="s">
        <v>20</v>
      </c>
      <c r="F19" s="72">
        <v>300</v>
      </c>
      <c r="G19" s="72">
        <v>10</v>
      </c>
      <c r="H19" s="72">
        <v>10</v>
      </c>
      <c r="I19" s="72">
        <v>1.1200000000000001</v>
      </c>
      <c r="J19" s="72">
        <v>7.5</v>
      </c>
      <c r="K19" s="72" t="s">
        <v>103</v>
      </c>
      <c r="L19" s="72" t="s">
        <v>104</v>
      </c>
      <c r="M19" s="76" t="s">
        <v>105</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A3B2A-C933-47FB-B75C-B207FEF81E9C}">
  <sheetPr codeName="Hoja20">
    <tabColor rgb="FF00B050"/>
  </sheetPr>
  <dimension ref="C14:N147"/>
  <sheetViews>
    <sheetView topLeftCell="A50" workbookViewId="0">
      <selection activeCell="G60" sqref="G60"/>
    </sheetView>
  </sheetViews>
  <sheetFormatPr baseColWidth="10" defaultRowHeight="15" x14ac:dyDescent="0.25"/>
  <cols>
    <col min="5" max="5" width="23.140625" bestFit="1" customWidth="1"/>
    <col min="6" max="6" width="23.28515625" bestFit="1" customWidth="1"/>
    <col min="7" max="7" width="14.7109375" customWidth="1"/>
    <col min="8" max="8" width="13.7109375" customWidth="1"/>
    <col min="9" max="9" width="21.7109375" bestFit="1" customWidth="1"/>
    <col min="10" max="10" width="21" style="270" bestFit="1" customWidth="1"/>
    <col min="11" max="11" width="19.140625" customWidth="1"/>
    <col min="12" max="12" width="23.28515625" style="3" bestFit="1" customWidth="1"/>
    <col min="13" max="13" width="15.140625" style="3" customWidth="1"/>
    <col min="14" max="14" width="16.140625" customWidth="1"/>
  </cols>
  <sheetData>
    <row r="14" spans="3:14" x14ac:dyDescent="0.25">
      <c r="C14" s="51"/>
      <c r="D14" s="51"/>
      <c r="E14" s="51"/>
      <c r="F14" s="51"/>
      <c r="G14" s="51"/>
      <c r="H14" s="51"/>
      <c r="I14" s="51"/>
      <c r="J14" s="268"/>
      <c r="K14" s="51"/>
      <c r="L14" s="269"/>
      <c r="M14" s="269"/>
      <c r="N14" s="51"/>
    </row>
    <row r="17" spans="3:12" x14ac:dyDescent="0.25">
      <c r="D17" s="3"/>
      <c r="G17" s="3"/>
    </row>
    <row r="18" spans="3:12" x14ac:dyDescent="0.25">
      <c r="D18" s="3"/>
      <c r="G18" s="3"/>
    </row>
    <row r="19" spans="3:12" x14ac:dyDescent="0.25">
      <c r="D19" s="3"/>
      <c r="G19" s="3"/>
    </row>
    <row r="20" spans="3:12" x14ac:dyDescent="0.25">
      <c r="D20" s="3"/>
      <c r="G20" s="3"/>
    </row>
    <row r="21" spans="3:12" ht="18.75" x14ac:dyDescent="0.3">
      <c r="C21" s="32"/>
      <c r="D21" s="31"/>
      <c r="E21" s="31"/>
      <c r="F21" s="31"/>
      <c r="G21" s="31"/>
      <c r="H21" s="31" t="s">
        <v>244</v>
      </c>
      <c r="I21" s="31" t="s">
        <v>245</v>
      </c>
      <c r="J21" s="271" t="s">
        <v>246</v>
      </c>
      <c r="K21" s="31" t="s">
        <v>247</v>
      </c>
      <c r="L21" s="31" t="s">
        <v>248</v>
      </c>
    </row>
    <row r="22" spans="3:12" ht="18.75" x14ac:dyDescent="0.3">
      <c r="C22" s="32" t="s">
        <v>406</v>
      </c>
      <c r="D22" s="31" t="s">
        <v>10</v>
      </c>
      <c r="E22" s="31" t="s">
        <v>37</v>
      </c>
      <c r="F22" s="31" t="s">
        <v>53</v>
      </c>
      <c r="G22" s="31" t="s">
        <v>54</v>
      </c>
      <c r="H22" s="228"/>
      <c r="I22" s="272"/>
      <c r="J22" s="273" t="s">
        <v>249</v>
      </c>
      <c r="K22" s="229" t="s">
        <v>250</v>
      </c>
      <c r="L22" s="229"/>
    </row>
    <row r="23" spans="3:12" ht="18.75" x14ac:dyDescent="0.3">
      <c r="C23" s="230">
        <v>1</v>
      </c>
      <c r="D23" s="230" t="s">
        <v>302</v>
      </c>
      <c r="E23" s="33" t="s">
        <v>45</v>
      </c>
      <c r="F23" s="231">
        <v>10307.5</v>
      </c>
      <c r="G23" s="230" t="s">
        <v>56</v>
      </c>
      <c r="H23" s="228">
        <f>SUMIF(TblFormulas16[Materia Prima],E23,TblFormulas16[Cantidad (Kg)])</f>
        <v>72</v>
      </c>
      <c r="I23" s="272">
        <f>SUMIF(TblFormulas16[Materia Prima],E23,TblFormulas16[$/pedido])</f>
        <v>742140</v>
      </c>
      <c r="J23" s="273">
        <v>42</v>
      </c>
      <c r="K23" s="229">
        <f>IF(H23-J23&lt;0,0,H23-J23)</f>
        <v>30</v>
      </c>
      <c r="L23" s="274">
        <f t="shared" ref="L23:L60" si="0">+K23*F23</f>
        <v>309225</v>
      </c>
    </row>
    <row r="24" spans="3:12" ht="18.75" x14ac:dyDescent="0.3">
      <c r="C24" s="230">
        <v>2</v>
      </c>
      <c r="D24" s="230" t="s">
        <v>303</v>
      </c>
      <c r="E24" s="33" t="s">
        <v>251</v>
      </c>
      <c r="F24" s="231">
        <v>3420</v>
      </c>
      <c r="G24" s="230" t="s">
        <v>56</v>
      </c>
      <c r="H24" s="228">
        <f>SUMIF(TblFormulas16[Materia Prima],E24,TblFormulas16[Cantidad (Kg)])</f>
        <v>35.799999999999997</v>
      </c>
      <c r="I24" s="272">
        <f>SUMIF(TblFormulas16[Materia Prima],E24,TblFormulas16[$/pedido])</f>
        <v>122436</v>
      </c>
      <c r="J24" s="273">
        <v>20</v>
      </c>
      <c r="K24" s="229">
        <f t="shared" ref="K24:K60" si="1">IF(H24-J24&lt;0,0,H24-J24)</f>
        <v>15.799999999999997</v>
      </c>
      <c r="L24" s="274">
        <f t="shared" si="0"/>
        <v>54035.999999999993</v>
      </c>
    </row>
    <row r="25" spans="3:12" ht="18.75" x14ac:dyDescent="0.3">
      <c r="C25" s="230">
        <v>3</v>
      </c>
      <c r="D25" s="230" t="s">
        <v>304</v>
      </c>
      <c r="E25" s="33" t="s">
        <v>330</v>
      </c>
      <c r="F25" s="231">
        <f>850000/200</f>
        <v>4250</v>
      </c>
      <c r="G25" s="230" t="s">
        <v>56</v>
      </c>
      <c r="H25" s="228">
        <f>SUMIF(TblFormulas16[Materia Prima],E25,TblFormulas16[Cantidad (Kg)])</f>
        <v>0</v>
      </c>
      <c r="I25" s="272">
        <f>SUMIF(TblFormulas16[Materia Prima],E25,TblFormulas16[$/pedido])</f>
        <v>0</v>
      </c>
      <c r="J25" s="273"/>
      <c r="K25" s="229">
        <f t="shared" si="1"/>
        <v>0</v>
      </c>
      <c r="L25" s="274">
        <f t="shared" si="0"/>
        <v>0</v>
      </c>
    </row>
    <row r="26" spans="3:12" ht="18.75" x14ac:dyDescent="0.3">
      <c r="C26" s="230">
        <v>4</v>
      </c>
      <c r="D26" s="230" t="s">
        <v>305</v>
      </c>
      <c r="E26" s="33" t="s">
        <v>57</v>
      </c>
      <c r="F26" s="231">
        <v>11385</v>
      </c>
      <c r="G26" s="230" t="s">
        <v>56</v>
      </c>
      <c r="H26" s="228">
        <f>SUMIF(TblFormulas16[Materia Prima],E26,TblFormulas16[Cantidad (Kg)])</f>
        <v>94</v>
      </c>
      <c r="I26" s="272">
        <f>SUMIF(TblFormulas16[Materia Prima],E26,TblFormulas16[$/pedido])</f>
        <v>1070190</v>
      </c>
      <c r="J26" s="273">
        <v>40</v>
      </c>
      <c r="K26" s="229">
        <f t="shared" si="1"/>
        <v>54</v>
      </c>
      <c r="L26" s="274">
        <f t="shared" si="0"/>
        <v>614790</v>
      </c>
    </row>
    <row r="27" spans="3:12" ht="18.75" x14ac:dyDescent="0.3">
      <c r="C27" s="230">
        <v>5</v>
      </c>
      <c r="D27" s="230" t="s">
        <v>306</v>
      </c>
      <c r="E27" s="33" t="s">
        <v>58</v>
      </c>
      <c r="F27" s="231">
        <v>17500</v>
      </c>
      <c r="G27" s="230" t="s">
        <v>56</v>
      </c>
      <c r="H27" s="228">
        <f>SUMIF(TblFormulas16[Materia Prima],E27,TblFormulas16[Cantidad (Kg)])</f>
        <v>8.4</v>
      </c>
      <c r="I27" s="272">
        <f>SUMIF(TblFormulas16[Materia Prima],E27,TblFormulas16[$/pedido])</f>
        <v>147000</v>
      </c>
      <c r="J27" s="273">
        <v>7.5</v>
      </c>
      <c r="K27" s="229">
        <f t="shared" si="1"/>
        <v>0.90000000000000036</v>
      </c>
      <c r="L27" s="274">
        <f t="shared" si="0"/>
        <v>15750.000000000005</v>
      </c>
    </row>
    <row r="28" spans="3:12" ht="18.75" x14ac:dyDescent="0.3">
      <c r="C28" s="230">
        <v>6</v>
      </c>
      <c r="D28" s="230" t="s">
        <v>307</v>
      </c>
      <c r="E28" s="33" t="s">
        <v>59</v>
      </c>
      <c r="F28" s="231">
        <v>3400</v>
      </c>
      <c r="G28" s="230" t="s">
        <v>56</v>
      </c>
      <c r="H28" s="228">
        <f>SUMIF(TblFormulas16[Materia Prima],E28,TblFormulas16[Cantidad (Kg)])</f>
        <v>4</v>
      </c>
      <c r="I28" s="272">
        <f>SUMIF(TblFormulas16[Materia Prima],E28,TblFormulas16[$/pedido])</f>
        <v>13600</v>
      </c>
      <c r="J28" s="273">
        <v>35.5</v>
      </c>
      <c r="K28" s="229">
        <f t="shared" si="1"/>
        <v>0</v>
      </c>
      <c r="L28" s="274">
        <f t="shared" si="0"/>
        <v>0</v>
      </c>
    </row>
    <row r="29" spans="3:12" ht="18.75" x14ac:dyDescent="0.3">
      <c r="C29" s="230">
        <v>7</v>
      </c>
      <c r="D29" s="230" t="s">
        <v>308</v>
      </c>
      <c r="E29" s="33" t="s">
        <v>95</v>
      </c>
      <c r="F29" s="231">
        <v>6200</v>
      </c>
      <c r="G29" s="230" t="s">
        <v>56</v>
      </c>
      <c r="H29" s="228">
        <f>SUMIF(TblFormulas16[Materia Prima],E29,TblFormulas16[Cantidad (Kg)])</f>
        <v>25.5</v>
      </c>
      <c r="I29" s="272">
        <f>SUMIF(TblFormulas16[Materia Prima],E29,TblFormulas16[$/pedido])</f>
        <v>158100</v>
      </c>
      <c r="J29" s="273"/>
      <c r="K29" s="229">
        <f t="shared" si="1"/>
        <v>25.5</v>
      </c>
      <c r="L29" s="274">
        <f t="shared" si="0"/>
        <v>158100</v>
      </c>
    </row>
    <row r="30" spans="3:12" ht="18.75" x14ac:dyDescent="0.3">
      <c r="C30" s="230">
        <v>8</v>
      </c>
      <c r="D30" s="230" t="s">
        <v>309</v>
      </c>
      <c r="E30" s="33" t="s">
        <v>61</v>
      </c>
      <c r="F30" s="231">
        <f>150000/30</f>
        <v>5000</v>
      </c>
      <c r="G30" s="230" t="s">
        <v>56</v>
      </c>
      <c r="H30" s="228">
        <v>10</v>
      </c>
      <c r="I30" s="272">
        <f>SUMIF(TblFormulas16[Materia Prima],E30,TblFormulas16[$/pedido])</f>
        <v>0</v>
      </c>
      <c r="J30" s="273">
        <v>16</v>
      </c>
      <c r="K30" s="229">
        <f t="shared" si="1"/>
        <v>0</v>
      </c>
      <c r="L30" s="274">
        <f t="shared" si="0"/>
        <v>0</v>
      </c>
    </row>
    <row r="31" spans="3:12" ht="18.75" x14ac:dyDescent="0.3">
      <c r="C31" s="230">
        <v>9</v>
      </c>
      <c r="D31" s="230" t="s">
        <v>310</v>
      </c>
      <c r="E31" s="33" t="s">
        <v>62</v>
      </c>
      <c r="F31" s="231">
        <v>8911</v>
      </c>
      <c r="G31" s="230" t="s">
        <v>56</v>
      </c>
      <c r="H31" s="228">
        <f>SUMIF(TblFormulas16[Materia Prima],E31,TblFormulas16[Cantidad (Kg)])</f>
        <v>4.1749999999999998</v>
      </c>
      <c r="I31" s="272">
        <f>SUMIF(TblFormulas16[Materia Prima],E31,TblFormulas16[$/pedido])</f>
        <v>37203.424999999996</v>
      </c>
      <c r="J31" s="273">
        <v>1</v>
      </c>
      <c r="K31" s="229">
        <f t="shared" si="1"/>
        <v>3.1749999999999998</v>
      </c>
      <c r="L31" s="274">
        <f t="shared" si="0"/>
        <v>28292.424999999999</v>
      </c>
    </row>
    <row r="32" spans="3:12" ht="18.75" x14ac:dyDescent="0.3">
      <c r="C32" s="230">
        <v>10</v>
      </c>
      <c r="D32" s="230" t="s">
        <v>311</v>
      </c>
      <c r="E32" s="33" t="s">
        <v>42</v>
      </c>
      <c r="F32" s="231">
        <f>160000/25</f>
        <v>6400</v>
      </c>
      <c r="G32" s="230" t="s">
        <v>56</v>
      </c>
      <c r="H32" s="228">
        <f>SUMIF(TblFormulas16[Materia Prima],E32,TblFormulas16[Cantidad (Kg)])</f>
        <v>0</v>
      </c>
      <c r="I32" s="272">
        <f>SUMIF(TblFormulas16[Materia Prima],E32,TblFormulas16[$/pedido])</f>
        <v>0</v>
      </c>
      <c r="J32" s="273"/>
      <c r="K32" s="229">
        <f t="shared" si="1"/>
        <v>0</v>
      </c>
      <c r="L32" s="274">
        <f t="shared" si="0"/>
        <v>0</v>
      </c>
    </row>
    <row r="33" spans="3:12" ht="18.75" x14ac:dyDescent="0.3">
      <c r="C33" s="230">
        <v>11</v>
      </c>
      <c r="D33" s="230" t="s">
        <v>312</v>
      </c>
      <c r="E33" s="33" t="s">
        <v>63</v>
      </c>
      <c r="F33" s="231">
        <f>180000/20</f>
        <v>9000</v>
      </c>
      <c r="G33" s="230" t="s">
        <v>56</v>
      </c>
      <c r="H33" s="228">
        <f>SUMIF(TblFormulas16[Materia Prima],E33,TblFormulas16[Cantidad (Kg)])</f>
        <v>0</v>
      </c>
      <c r="I33" s="272">
        <f>SUMIF(TblFormulas16[Materia Prima],E33,TblFormulas16[$/pedido])</f>
        <v>0</v>
      </c>
      <c r="J33" s="273"/>
      <c r="K33" s="229">
        <f t="shared" si="1"/>
        <v>0</v>
      </c>
      <c r="L33" s="274">
        <f t="shared" si="0"/>
        <v>0</v>
      </c>
    </row>
    <row r="34" spans="3:12" ht="18.75" x14ac:dyDescent="0.3">
      <c r="C34" s="230">
        <v>12</v>
      </c>
      <c r="D34" s="230" t="s">
        <v>313</v>
      </c>
      <c r="E34" s="35" t="s">
        <v>92</v>
      </c>
      <c r="F34" s="231">
        <v>13100</v>
      </c>
      <c r="G34" s="230" t="s">
        <v>56</v>
      </c>
      <c r="H34" s="228">
        <f>SUMIF(TblFormulas16[Materia Prima],E34,TblFormulas16[Cantidad (Kg)])</f>
        <v>39</v>
      </c>
      <c r="I34" s="272">
        <f>SUMIF(TblFormulas16[Materia Prima],E34,TblFormulas16[$/pedido])</f>
        <v>510900</v>
      </c>
      <c r="J34" s="273">
        <v>2</v>
      </c>
      <c r="K34" s="229">
        <f t="shared" si="1"/>
        <v>37</v>
      </c>
      <c r="L34" s="274">
        <f t="shared" si="0"/>
        <v>484700</v>
      </c>
    </row>
    <row r="35" spans="3:12" ht="18.75" x14ac:dyDescent="0.3">
      <c r="C35" s="230">
        <v>13</v>
      </c>
      <c r="D35" s="230" t="s">
        <v>314</v>
      </c>
      <c r="E35" s="33" t="s">
        <v>43</v>
      </c>
      <c r="F35" s="231">
        <v>10830</v>
      </c>
      <c r="G35" s="230" t="s">
        <v>65</v>
      </c>
      <c r="H35" s="228">
        <f>SUMIF(TblFormulas16[Materia Prima],E35,TblFormulas16[Cantidad (Kg)])</f>
        <v>8</v>
      </c>
      <c r="I35" s="272">
        <f>SUMIF(TblFormulas16[Materia Prima],E35,TblFormulas16[$/pedido])</f>
        <v>86640</v>
      </c>
      <c r="J35" s="273">
        <v>3</v>
      </c>
      <c r="K35" s="229">
        <f t="shared" si="1"/>
        <v>5</v>
      </c>
      <c r="L35" s="274">
        <f t="shared" si="0"/>
        <v>54150</v>
      </c>
    </row>
    <row r="36" spans="3:12" ht="18.75" x14ac:dyDescent="0.3">
      <c r="C36" s="230">
        <v>14</v>
      </c>
      <c r="D36" s="230" t="s">
        <v>315</v>
      </c>
      <c r="E36" s="33" t="s">
        <v>93</v>
      </c>
      <c r="F36" s="231">
        <v>11685</v>
      </c>
      <c r="G36" s="230" t="s">
        <v>67</v>
      </c>
      <c r="H36" s="228">
        <f>SUMIF(TblFormulas16[Materia Prima],E36,TblFormulas16[Cantidad (Kg)])</f>
        <v>16</v>
      </c>
      <c r="I36" s="272">
        <f>SUMIF(TblFormulas16[Materia Prima],E36,TblFormulas16[$/pedido])</f>
        <v>186960</v>
      </c>
      <c r="J36" s="273"/>
      <c r="K36" s="229">
        <f t="shared" si="1"/>
        <v>16</v>
      </c>
      <c r="L36" s="274">
        <f t="shared" si="0"/>
        <v>186960</v>
      </c>
    </row>
    <row r="37" spans="3:12" ht="18.75" x14ac:dyDescent="0.3">
      <c r="C37" s="230">
        <v>15</v>
      </c>
      <c r="D37" s="230" t="s">
        <v>316</v>
      </c>
      <c r="E37" s="33" t="s">
        <v>68</v>
      </c>
      <c r="F37" s="231">
        <v>18620</v>
      </c>
      <c r="G37" s="230" t="s">
        <v>56</v>
      </c>
      <c r="H37" s="228">
        <f>SUMIF(TblFormulas16[Materia Prima],E37,TblFormulas16[Cantidad (Kg)])</f>
        <v>51</v>
      </c>
      <c r="I37" s="272">
        <f>SUMIF(TblFormulas16[Materia Prima],E37,TblFormulas16[$/pedido])</f>
        <v>949620</v>
      </c>
      <c r="J37" s="273">
        <v>64</v>
      </c>
      <c r="K37" s="229">
        <f t="shared" si="1"/>
        <v>0</v>
      </c>
      <c r="L37" s="274">
        <f t="shared" si="0"/>
        <v>0</v>
      </c>
    </row>
    <row r="38" spans="3:12" ht="18.75" x14ac:dyDescent="0.3">
      <c r="C38" s="230">
        <v>16</v>
      </c>
      <c r="D38" s="230" t="s">
        <v>317</v>
      </c>
      <c r="E38" s="33" t="s">
        <v>69</v>
      </c>
      <c r="F38" s="231">
        <v>370000</v>
      </c>
      <c r="G38" s="230" t="s">
        <v>56</v>
      </c>
      <c r="H38" s="228">
        <f>SUMIF(TblFormulas16[Materia Prima],E38,TblFormulas16[Cantidad (Kg)])</f>
        <v>0</v>
      </c>
      <c r="I38" s="272">
        <f>SUMIF(TblFormulas16[Materia Prima],E38,TblFormulas16[$/pedido])</f>
        <v>0</v>
      </c>
      <c r="J38" s="273"/>
      <c r="K38" s="229">
        <f t="shared" si="1"/>
        <v>0</v>
      </c>
      <c r="L38" s="274">
        <f t="shared" si="0"/>
        <v>0</v>
      </c>
    </row>
    <row r="39" spans="3:12" ht="18.75" x14ac:dyDescent="0.3">
      <c r="C39" s="230">
        <v>17</v>
      </c>
      <c r="D39" s="230" t="s">
        <v>318</v>
      </c>
      <c r="E39" s="33" t="s">
        <v>50</v>
      </c>
      <c r="F39" s="231">
        <v>12000</v>
      </c>
      <c r="G39" s="230" t="s">
        <v>56</v>
      </c>
      <c r="H39" s="228">
        <f>SUMIF(TblFormulas16[Materia Prima],E39,TblFormulas16[Cantidad (Kg)])</f>
        <v>0</v>
      </c>
      <c r="I39" s="272">
        <f>SUMIF(TblFormulas16[Materia Prima],E39,TblFormulas16[$/pedido])</f>
        <v>0</v>
      </c>
      <c r="J39" s="273"/>
      <c r="K39" s="229">
        <f t="shared" si="1"/>
        <v>0</v>
      </c>
      <c r="L39" s="274">
        <f t="shared" si="0"/>
        <v>0</v>
      </c>
    </row>
    <row r="40" spans="3:12" ht="18.75" x14ac:dyDescent="0.3">
      <c r="C40" s="230">
        <v>18</v>
      </c>
      <c r="D40" s="230" t="s">
        <v>319</v>
      </c>
      <c r="E40" s="33" t="s">
        <v>252</v>
      </c>
      <c r="F40" s="231">
        <v>11175</v>
      </c>
      <c r="G40" s="230" t="s">
        <v>56</v>
      </c>
      <c r="H40" s="228">
        <f>SUMIF(TblFormulas16[Materia Prima],E40,TblFormulas16[Cantidad (Kg)])</f>
        <v>4</v>
      </c>
      <c r="I40" s="272">
        <f>SUMIF(TblFormulas16[Materia Prima],E40,TblFormulas16[$/pedido])</f>
        <v>44700</v>
      </c>
      <c r="J40" s="273">
        <v>2</v>
      </c>
      <c r="K40" s="229">
        <f t="shared" si="1"/>
        <v>2</v>
      </c>
      <c r="L40" s="274">
        <f t="shared" si="0"/>
        <v>22350</v>
      </c>
    </row>
    <row r="41" spans="3:12" ht="18.75" x14ac:dyDescent="0.3">
      <c r="C41" s="230">
        <v>19</v>
      </c>
      <c r="D41" s="230" t="s">
        <v>320</v>
      </c>
      <c r="E41" s="33" t="s">
        <v>331</v>
      </c>
      <c r="F41" s="231">
        <v>12000</v>
      </c>
      <c r="G41" s="230" t="s">
        <v>56</v>
      </c>
      <c r="H41" s="228">
        <f>SUMIF(TblFormulas16[Materia Prima],E41,TblFormulas16[Cantidad (Kg)])</f>
        <v>0</v>
      </c>
      <c r="I41" s="272">
        <f>SUMIF(TblFormulas16[Materia Prima],E41,TblFormulas16[$/pedido])</f>
        <v>0</v>
      </c>
      <c r="J41" s="273"/>
      <c r="K41" s="229">
        <f t="shared" si="1"/>
        <v>0</v>
      </c>
      <c r="L41" s="274">
        <f t="shared" si="0"/>
        <v>0</v>
      </c>
    </row>
    <row r="42" spans="3:12" ht="18.75" x14ac:dyDescent="0.3">
      <c r="C42" s="230">
        <v>20</v>
      </c>
      <c r="D42" s="230" t="s">
        <v>321</v>
      </c>
      <c r="E42" s="33" t="s">
        <v>72</v>
      </c>
      <c r="F42" s="231">
        <v>3696</v>
      </c>
      <c r="G42" s="230" t="s">
        <v>56</v>
      </c>
      <c r="H42" s="228">
        <f>SUMIF(TblFormulas16[Materia Prima],E42,TblFormulas16[Cantidad (Kg)])</f>
        <v>0</v>
      </c>
      <c r="I42" s="272">
        <f>SUMIF(TblFormulas16[Materia Prima],E42,TblFormulas16[$/pedido])</f>
        <v>0</v>
      </c>
      <c r="J42" s="273"/>
      <c r="K42" s="229">
        <f t="shared" si="1"/>
        <v>0</v>
      </c>
      <c r="L42" s="274">
        <f t="shared" si="0"/>
        <v>0</v>
      </c>
    </row>
    <row r="43" spans="3:12" ht="18.75" x14ac:dyDescent="0.3">
      <c r="C43" s="230">
        <v>21</v>
      </c>
      <c r="D43" s="230" t="s">
        <v>322</v>
      </c>
      <c r="E43" s="33" t="s">
        <v>39</v>
      </c>
      <c r="F43" s="231">
        <v>3400</v>
      </c>
      <c r="G43" s="230" t="s">
        <v>56</v>
      </c>
      <c r="H43" s="228">
        <f>SUMIF(TblFormulas16[Materia Prima],E43,TblFormulas16[Cantidad (Kg)])</f>
        <v>2</v>
      </c>
      <c r="I43" s="272">
        <f>SUMIF(TblFormulas16[Materia Prima],E43,TblFormulas16[$/pedido])</f>
        <v>6800</v>
      </c>
      <c r="J43" s="275">
        <v>11.7</v>
      </c>
      <c r="K43" s="229">
        <f t="shared" si="1"/>
        <v>0</v>
      </c>
      <c r="L43" s="274">
        <f t="shared" si="0"/>
        <v>0</v>
      </c>
    </row>
    <row r="44" spans="3:12" ht="18.75" x14ac:dyDescent="0.3">
      <c r="C44" s="230">
        <v>22</v>
      </c>
      <c r="D44" s="230" t="s">
        <v>323</v>
      </c>
      <c r="E44" s="33" t="s">
        <v>73</v>
      </c>
      <c r="F44" s="231">
        <v>7875</v>
      </c>
      <c r="G44" s="230" t="s">
        <v>56</v>
      </c>
      <c r="H44" s="228">
        <f>SUMIF(TblFormulas16[Materia Prima],E44,TblFormulas16[Cantidad (Kg)])</f>
        <v>5</v>
      </c>
      <c r="I44" s="272">
        <f>SUMIF(TblFormulas16[Materia Prima],E44,TblFormulas16[$/pedido])</f>
        <v>39375</v>
      </c>
      <c r="J44" s="273">
        <v>1</v>
      </c>
      <c r="K44" s="229">
        <f t="shared" si="1"/>
        <v>4</v>
      </c>
      <c r="L44" s="274">
        <f t="shared" si="0"/>
        <v>31500</v>
      </c>
    </row>
    <row r="45" spans="3:12" ht="18.75" x14ac:dyDescent="0.3">
      <c r="C45" s="230">
        <v>23</v>
      </c>
      <c r="D45" s="230" t="s">
        <v>324</v>
      </c>
      <c r="E45" s="33" t="s">
        <v>74</v>
      </c>
      <c r="F45" s="231">
        <v>2235.3000000000002</v>
      </c>
      <c r="G45" s="230" t="s">
        <v>56</v>
      </c>
      <c r="H45" s="228">
        <f>SUMIF(TblFormulas16[Materia Prima],E45,TblFormulas16[Cantidad (Kg)])</f>
        <v>8</v>
      </c>
      <c r="I45" s="272">
        <f>SUMIF(TblFormulas16[Materia Prima],E45,TblFormulas16[$/pedido])</f>
        <v>17882.400000000001</v>
      </c>
      <c r="J45" s="273"/>
      <c r="K45" s="229">
        <f t="shared" si="1"/>
        <v>8</v>
      </c>
      <c r="L45" s="274">
        <f t="shared" si="0"/>
        <v>17882.400000000001</v>
      </c>
    </row>
    <row r="46" spans="3:12" ht="18.75" x14ac:dyDescent="0.3">
      <c r="C46" s="230">
        <v>24</v>
      </c>
      <c r="D46" s="230" t="s">
        <v>325</v>
      </c>
      <c r="E46" s="33" t="s">
        <v>75</v>
      </c>
      <c r="F46" s="231">
        <v>5000</v>
      </c>
      <c r="G46" s="230" t="s">
        <v>56</v>
      </c>
      <c r="H46" s="228">
        <f>SUMIF(TblFormulas16[Materia Prima],E46,TblFormulas16[Cantidad (Kg)])</f>
        <v>0</v>
      </c>
      <c r="I46" s="272">
        <f>SUMIF(TblFormulas16[Materia Prima],E46,TblFormulas16[$/pedido])</f>
        <v>0</v>
      </c>
      <c r="J46" s="273"/>
      <c r="K46" s="229">
        <f t="shared" si="1"/>
        <v>0</v>
      </c>
      <c r="L46" s="274">
        <f t="shared" si="0"/>
        <v>0</v>
      </c>
    </row>
    <row r="47" spans="3:12" ht="18.75" x14ac:dyDescent="0.3">
      <c r="C47" s="230">
        <v>25</v>
      </c>
      <c r="D47" s="230" t="s">
        <v>326</v>
      </c>
      <c r="E47" s="33" t="s">
        <v>49</v>
      </c>
      <c r="F47" s="231">
        <v>475</v>
      </c>
      <c r="G47" s="230" t="s">
        <v>56</v>
      </c>
      <c r="H47" s="228">
        <f>SUMIF(TblFormulas16[Materia Prima],E47,TblFormulas16[Cantidad (Kg)])</f>
        <v>26</v>
      </c>
      <c r="I47" s="272">
        <f>SUMIF(TblFormulas16[Materia Prima],E47,TblFormulas16[$/pedido])</f>
        <v>12350</v>
      </c>
      <c r="J47" s="273"/>
      <c r="K47" s="229">
        <f t="shared" si="1"/>
        <v>26</v>
      </c>
      <c r="L47" s="274">
        <f t="shared" si="0"/>
        <v>12350</v>
      </c>
    </row>
    <row r="48" spans="3:12" ht="18.75" x14ac:dyDescent="0.3">
      <c r="C48" s="230">
        <v>26</v>
      </c>
      <c r="D48" s="230" t="s">
        <v>327</v>
      </c>
      <c r="E48" s="33" t="s">
        <v>44</v>
      </c>
      <c r="F48" s="33">
        <v>10</v>
      </c>
      <c r="G48" s="230" t="s">
        <v>67</v>
      </c>
      <c r="H48" s="228">
        <f>SUMIF(TblFormulas16[Materia Prima],E48,TblFormulas16[Cantidad (Kg)])</f>
        <v>4079.7749999999996</v>
      </c>
      <c r="I48" s="272">
        <f>SUMIF(TblFormulas16[Materia Prima],E48,TblFormulas16[$/pedido])</f>
        <v>40797.75</v>
      </c>
      <c r="J48" s="273"/>
      <c r="K48" s="229">
        <f t="shared" si="1"/>
        <v>4079.7749999999996</v>
      </c>
      <c r="L48" s="274">
        <f t="shared" si="0"/>
        <v>40797.75</v>
      </c>
    </row>
    <row r="49" spans="3:14" ht="18.75" x14ac:dyDescent="0.3">
      <c r="C49" s="230">
        <v>27</v>
      </c>
      <c r="D49" s="230" t="s">
        <v>328</v>
      </c>
      <c r="E49" s="33" t="s">
        <v>76</v>
      </c>
      <c r="F49" s="38">
        <v>4705</v>
      </c>
      <c r="G49" s="232" t="s">
        <v>56</v>
      </c>
      <c r="H49" s="228">
        <f>SUMIF(TblFormulas16[Materia Prima],E49,TblFormulas16[Cantidad (Kg)])</f>
        <v>0</v>
      </c>
      <c r="I49" s="272">
        <f>SUMIF(TblFormulas16[Materia Prima],E49,TblFormulas16[$/pedido])</f>
        <v>0</v>
      </c>
      <c r="J49" s="273"/>
      <c r="K49" s="229">
        <f t="shared" si="1"/>
        <v>0</v>
      </c>
      <c r="L49" s="274">
        <f t="shared" si="0"/>
        <v>0</v>
      </c>
    </row>
    <row r="50" spans="3:14" ht="18.75" x14ac:dyDescent="0.3">
      <c r="C50" s="230">
        <v>28</v>
      </c>
      <c r="D50" s="230" t="s">
        <v>329</v>
      </c>
      <c r="E50" s="33" t="s">
        <v>41</v>
      </c>
      <c r="F50" s="231">
        <v>3420</v>
      </c>
      <c r="G50" s="232" t="s">
        <v>56</v>
      </c>
      <c r="H50" s="228">
        <f>SUMIF(TblFormulas16[Materia Prima],E50,TblFormulas16[Cantidad (Kg)])</f>
        <v>34</v>
      </c>
      <c r="I50" s="272">
        <f>SUMIF(TblFormulas16[Materia Prima],E50,TblFormulas16[$/pedido])</f>
        <v>116280</v>
      </c>
      <c r="J50" s="273">
        <v>13</v>
      </c>
      <c r="K50" s="229">
        <f t="shared" si="1"/>
        <v>21</v>
      </c>
      <c r="L50" s="274">
        <f t="shared" si="0"/>
        <v>71820</v>
      </c>
    </row>
    <row r="51" spans="3:14" ht="18.75" x14ac:dyDescent="0.3">
      <c r="C51" s="230">
        <v>29</v>
      </c>
      <c r="D51" s="230" t="s">
        <v>344</v>
      </c>
      <c r="E51" s="33" t="s">
        <v>253</v>
      </c>
      <c r="F51" s="231">
        <v>70000</v>
      </c>
      <c r="G51" s="230" t="s">
        <v>56</v>
      </c>
      <c r="H51" s="228">
        <f>SUMIF(TblFormulas16[Materia Prima],E51,TblFormulas16[Cantidad (Kg)])</f>
        <v>4.25</v>
      </c>
      <c r="I51" s="272">
        <f>SUMIF(TblFormulas16[Materia Prima],E51,TblFormulas16[$/pedido])</f>
        <v>297500</v>
      </c>
      <c r="J51" s="273">
        <v>0.9</v>
      </c>
      <c r="K51" s="229">
        <f t="shared" si="1"/>
        <v>3.35</v>
      </c>
      <c r="L51" s="274">
        <f t="shared" si="0"/>
        <v>234500</v>
      </c>
    </row>
    <row r="52" spans="3:14" ht="18.75" x14ac:dyDescent="0.3">
      <c r="C52" s="230">
        <v>30</v>
      </c>
      <c r="D52" s="230" t="s">
        <v>345</v>
      </c>
      <c r="E52" s="33" t="s">
        <v>254</v>
      </c>
      <c r="F52" s="231">
        <v>1600</v>
      </c>
      <c r="G52" s="230" t="s">
        <v>56</v>
      </c>
      <c r="H52" s="228">
        <f>SUMIF(TblFormulas16[Materia Prima],E52,TblFormulas16[Cantidad (Kg)])</f>
        <v>42.5</v>
      </c>
      <c r="I52" s="272">
        <f>SUMIF(TblFormulas16[Materia Prima],E52,TblFormulas16[$/pedido])</f>
        <v>80750</v>
      </c>
      <c r="J52" s="273"/>
      <c r="K52" s="229">
        <f t="shared" si="1"/>
        <v>42.5</v>
      </c>
      <c r="L52" s="274">
        <f t="shared" si="0"/>
        <v>68000</v>
      </c>
    </row>
    <row r="53" spans="3:14" ht="18.75" x14ac:dyDescent="0.3">
      <c r="C53" s="230">
        <v>31</v>
      </c>
      <c r="D53" s="230" t="s">
        <v>346</v>
      </c>
      <c r="E53" s="33" t="s">
        <v>255</v>
      </c>
      <c r="F53" s="231">
        <v>1658</v>
      </c>
      <c r="G53" s="230" t="s">
        <v>67</v>
      </c>
      <c r="H53" s="228">
        <f>SUMIF(TblFormulas16[Materia Prima],E53,TblFormulas16[Cantidad (Kg)])</f>
        <v>200</v>
      </c>
      <c r="I53" s="272">
        <f>SUMIF(TblFormulas16[Materia Prima],E53,TblFormulas16[$/pedido])</f>
        <v>331400</v>
      </c>
      <c r="J53" s="273"/>
      <c r="K53" s="229">
        <f t="shared" si="1"/>
        <v>200</v>
      </c>
      <c r="L53" s="274">
        <f t="shared" si="0"/>
        <v>331600</v>
      </c>
    </row>
    <row r="54" spans="3:14" ht="18.75" x14ac:dyDescent="0.3">
      <c r="C54" s="230">
        <v>32</v>
      </c>
      <c r="D54" s="230" t="s">
        <v>347</v>
      </c>
      <c r="E54" s="33" t="s">
        <v>332</v>
      </c>
      <c r="F54" s="231">
        <v>48739</v>
      </c>
      <c r="G54" s="232" t="s">
        <v>56</v>
      </c>
      <c r="H54" s="228">
        <f>SUMIF(TblFormulas16[Materia Prima],E54,TblFormulas16[Cantidad (Kg)])</f>
        <v>2.5</v>
      </c>
      <c r="I54" s="272">
        <f>SUMIF(TblFormulas16[Materia Prima],E54,TblFormulas16[$/pedido])</f>
        <v>121847.5</v>
      </c>
      <c r="J54" s="273"/>
      <c r="K54" s="229">
        <f t="shared" si="1"/>
        <v>2.5</v>
      </c>
      <c r="L54" s="274">
        <f t="shared" si="0"/>
        <v>121847.5</v>
      </c>
    </row>
    <row r="55" spans="3:14" ht="18.75" x14ac:dyDescent="0.3">
      <c r="C55" s="230">
        <v>33</v>
      </c>
      <c r="D55" s="230" t="s">
        <v>348</v>
      </c>
      <c r="E55" s="33" t="s">
        <v>333</v>
      </c>
      <c r="F55" s="231">
        <v>80672</v>
      </c>
      <c r="G55" s="232" t="s">
        <v>56</v>
      </c>
      <c r="H55" s="228">
        <f>SUMIF(TblFormulas16[Materia Prima],E55,TblFormulas16[Cantidad (Kg)])</f>
        <v>0.8</v>
      </c>
      <c r="I55" s="272">
        <f>SUMIF(TblFormulas16[Materia Prima],E55,TblFormulas16[$/pedido])</f>
        <v>64537.600000000006</v>
      </c>
      <c r="J55" s="276"/>
      <c r="K55" s="229">
        <f t="shared" si="1"/>
        <v>0.8</v>
      </c>
      <c r="L55" s="274">
        <f t="shared" si="0"/>
        <v>64537.600000000006</v>
      </c>
    </row>
    <row r="56" spans="3:14" ht="18.75" x14ac:dyDescent="0.3">
      <c r="C56" s="230">
        <v>34</v>
      </c>
      <c r="D56" s="230" t="s">
        <v>349</v>
      </c>
      <c r="E56" s="33" t="s">
        <v>334</v>
      </c>
      <c r="F56" s="231">
        <v>99560</v>
      </c>
      <c r="G56" s="232" t="s">
        <v>56</v>
      </c>
      <c r="H56" s="228">
        <f>SUMIF(TblFormulas16[Materia Prima],E56,TblFormulas16[Cantidad (Kg)])</f>
        <v>1.7</v>
      </c>
      <c r="I56" s="272">
        <f>SUMIF(TblFormulas16[Materia Prima],E56,TblFormulas16[$/pedido])</f>
        <v>169252</v>
      </c>
      <c r="J56" s="276"/>
      <c r="K56" s="229">
        <f t="shared" si="1"/>
        <v>1.7</v>
      </c>
      <c r="L56" s="274">
        <f t="shared" si="0"/>
        <v>169252</v>
      </c>
    </row>
    <row r="57" spans="3:14" ht="18.75" x14ac:dyDescent="0.3">
      <c r="C57" s="230">
        <v>35</v>
      </c>
      <c r="D57" s="230" t="s">
        <v>350</v>
      </c>
      <c r="E57" s="33" t="s">
        <v>335</v>
      </c>
      <c r="F57" s="231">
        <v>100000</v>
      </c>
      <c r="G57" s="232" t="s">
        <v>56</v>
      </c>
      <c r="H57" s="228">
        <f>SUMIF(TblFormulas16[Materia Prima],E57,TblFormulas16[Cantidad (Kg)])</f>
        <v>0</v>
      </c>
      <c r="I57" s="272">
        <f>SUMIF(TblFormulas16[Materia Prima],E57,TblFormulas16[$/pedido])</f>
        <v>0</v>
      </c>
      <c r="J57" s="276"/>
      <c r="K57" s="229">
        <f t="shared" si="1"/>
        <v>0</v>
      </c>
      <c r="L57" s="274">
        <f t="shared" si="0"/>
        <v>0</v>
      </c>
    </row>
    <row r="58" spans="3:14" ht="18.75" x14ac:dyDescent="0.3">
      <c r="C58" s="230">
        <v>36</v>
      </c>
      <c r="D58" s="230" t="s">
        <v>351</v>
      </c>
      <c r="E58" s="33" t="s">
        <v>336</v>
      </c>
      <c r="F58" s="231">
        <v>92530</v>
      </c>
      <c r="G58" s="232" t="s">
        <v>56</v>
      </c>
      <c r="H58" s="228">
        <f>SUMIF(TblFormulas16[Materia Prima],E58,TblFormulas16[Cantidad (Kg)])</f>
        <v>0.4</v>
      </c>
      <c r="I58" s="272">
        <f>SUMIF(TblFormulas16[Materia Prima],E58,TblFormulas16[$/pedido])</f>
        <v>37012</v>
      </c>
      <c r="J58" s="276"/>
      <c r="K58" s="229">
        <f t="shared" si="1"/>
        <v>0.4</v>
      </c>
      <c r="L58" s="274">
        <f t="shared" si="0"/>
        <v>37012</v>
      </c>
    </row>
    <row r="59" spans="3:14" ht="18.75" x14ac:dyDescent="0.3">
      <c r="C59" s="230">
        <v>37</v>
      </c>
      <c r="D59" s="230" t="s">
        <v>352</v>
      </c>
      <c r="E59" s="33" t="s">
        <v>337</v>
      </c>
      <c r="F59" s="231">
        <v>48070</v>
      </c>
      <c r="G59" s="232" t="s">
        <v>56</v>
      </c>
      <c r="H59" s="228">
        <f>SUMIF(TblFormulas16[Materia Prima],E59,TblFormulas16[Cantidad (Kg)])</f>
        <v>1.7</v>
      </c>
      <c r="I59" s="272">
        <f>SUMIF(TblFormulas16[Materia Prima],E59,TblFormulas16[$/pedido])</f>
        <v>81719</v>
      </c>
      <c r="J59" s="276"/>
      <c r="K59" s="229">
        <f t="shared" si="1"/>
        <v>1.7</v>
      </c>
      <c r="L59" s="274">
        <f t="shared" si="0"/>
        <v>81719</v>
      </c>
    </row>
    <row r="60" spans="3:14" ht="18.75" x14ac:dyDescent="0.3">
      <c r="C60" s="230">
        <v>38</v>
      </c>
      <c r="D60" s="230" t="s">
        <v>353</v>
      </c>
      <c r="E60" s="33" t="s">
        <v>338</v>
      </c>
      <c r="F60" s="231">
        <v>39495</v>
      </c>
      <c r="G60" s="232" t="s">
        <v>56</v>
      </c>
      <c r="H60" s="228">
        <f>SUMIF(TblFormulas16[Materia Prima],E60,TblFormulas16[Cantidad (Kg)])</f>
        <v>4</v>
      </c>
      <c r="I60" s="272">
        <f>SUMIF(TblFormulas16[Materia Prima],E60,TblFormulas16[$/pedido])</f>
        <v>157980</v>
      </c>
      <c r="J60" s="276"/>
      <c r="K60" s="229">
        <f t="shared" si="1"/>
        <v>4</v>
      </c>
      <c r="L60" s="274">
        <f t="shared" si="0"/>
        <v>157980</v>
      </c>
    </row>
    <row r="61" spans="3:14" ht="18.75" x14ac:dyDescent="0.3">
      <c r="D61" s="3"/>
      <c r="G61" s="3"/>
      <c r="H61" s="233">
        <f>SUM(H23:H54)</f>
        <v>4775.8999999999996</v>
      </c>
      <c r="I61" s="234">
        <f>SUM(I23:I60)</f>
        <v>5644972.6749999989</v>
      </c>
      <c r="K61" s="235">
        <f>SUM(K23:K54)</f>
        <v>4576.5</v>
      </c>
      <c r="L61" s="236">
        <f>SUM(L23:L54)</f>
        <v>2858651.0750000002</v>
      </c>
    </row>
    <row r="62" spans="3:14" ht="18.75" x14ac:dyDescent="0.3">
      <c r="D62" s="3"/>
      <c r="G62" s="3"/>
      <c r="H62" s="237"/>
      <c r="I62" s="238"/>
    </row>
    <row r="63" spans="3:14" ht="18.75" x14ac:dyDescent="0.3">
      <c r="C63" s="254"/>
      <c r="D63" s="255"/>
      <c r="E63" s="254"/>
      <c r="F63" s="254"/>
      <c r="G63" s="255"/>
      <c r="H63" s="256"/>
      <c r="I63" s="257"/>
      <c r="J63" s="277"/>
      <c r="K63" s="254"/>
      <c r="L63" s="255"/>
      <c r="M63" s="255"/>
      <c r="N63" s="254"/>
    </row>
    <row r="64" spans="3:14" ht="18.75" x14ac:dyDescent="0.3">
      <c r="D64" s="3"/>
      <c r="G64" s="3"/>
      <c r="H64" s="237"/>
      <c r="I64" s="238"/>
    </row>
    <row r="65" spans="4:14" ht="18.75" x14ac:dyDescent="0.3">
      <c r="D65" s="3"/>
      <c r="G65" s="3"/>
      <c r="H65" s="237"/>
      <c r="I65" s="238"/>
    </row>
    <row r="66" spans="4:14" ht="18.75" x14ac:dyDescent="0.3">
      <c r="D66" s="3"/>
      <c r="G66" s="3"/>
      <c r="H66" s="237"/>
      <c r="I66" s="238"/>
    </row>
    <row r="67" spans="4:14" ht="18.75" x14ac:dyDescent="0.3">
      <c r="D67" s="3"/>
      <c r="G67" s="3"/>
      <c r="H67" s="237"/>
      <c r="I67" s="238"/>
    </row>
    <row r="68" spans="4:14" ht="18.75" x14ac:dyDescent="0.3">
      <c r="D68" s="3"/>
      <c r="G68" s="3"/>
      <c r="H68" s="237"/>
      <c r="I68" s="238"/>
    </row>
    <row r="69" spans="4:14" ht="18.75" x14ac:dyDescent="0.3">
      <c r="D69" s="3"/>
      <c r="G69" s="3"/>
      <c r="H69" s="237"/>
      <c r="I69" s="238"/>
    </row>
    <row r="70" spans="4:14" ht="18.75" x14ac:dyDescent="0.3">
      <c r="D70" s="3"/>
      <c r="G70" s="3"/>
      <c r="H70" s="237"/>
      <c r="I70" s="238"/>
    </row>
    <row r="71" spans="4:14" ht="18.75" x14ac:dyDescent="0.3">
      <c r="D71" s="3"/>
      <c r="G71" s="3"/>
      <c r="H71" s="237"/>
      <c r="I71" s="238"/>
    </row>
    <row r="72" spans="4:14" x14ac:dyDescent="0.25">
      <c r="D72" s="3"/>
      <c r="G72" s="3"/>
    </row>
    <row r="73" spans="4:14" ht="15.75" x14ac:dyDescent="0.25">
      <c r="D73" s="3"/>
      <c r="G73" s="3"/>
      <c r="L73" s="357" t="s">
        <v>256</v>
      </c>
      <c r="M73" s="357"/>
    </row>
    <row r="74" spans="4:14" x14ac:dyDescent="0.25">
      <c r="D74" s="3"/>
      <c r="G74" s="3"/>
      <c r="K74" s="239"/>
    </row>
    <row r="75" spans="4:14" ht="18.75" x14ac:dyDescent="0.3">
      <c r="D75" s="253" t="s">
        <v>281</v>
      </c>
      <c r="E75" s="245" t="s">
        <v>4</v>
      </c>
      <c r="F75" s="245" t="s">
        <v>37</v>
      </c>
      <c r="G75" s="245" t="s">
        <v>38</v>
      </c>
      <c r="H75" s="245" t="s">
        <v>258</v>
      </c>
      <c r="I75" s="245" t="s">
        <v>259</v>
      </c>
      <c r="J75" s="278" t="s">
        <v>260</v>
      </c>
      <c r="K75" s="246" t="s">
        <v>261</v>
      </c>
    </row>
    <row r="76" spans="4:14" x14ac:dyDescent="0.25">
      <c r="D76" s="358" t="s">
        <v>262</v>
      </c>
      <c r="E76" s="34" t="s">
        <v>262</v>
      </c>
      <c r="F76" s="35" t="s">
        <v>45</v>
      </c>
      <c r="G76" s="34">
        <v>8</v>
      </c>
      <c r="H76" s="34">
        <v>10307.5</v>
      </c>
      <c r="I76" s="240">
        <f>+H76*G76/100</f>
        <v>824.6</v>
      </c>
      <c r="J76" s="279">
        <f>+G76*$L$77/100</f>
        <v>32</v>
      </c>
      <c r="K76" s="241">
        <f>+TblFormulas16[[#This Row],[Cantidad (Kg)]]*TblFormulas16[[#This Row],[PRECIO]]</f>
        <v>329840</v>
      </c>
      <c r="L76" s="280" t="s">
        <v>257</v>
      </c>
      <c r="M76" s="32" t="s">
        <v>339</v>
      </c>
      <c r="N76" s="267" t="s">
        <v>340</v>
      </c>
    </row>
    <row r="77" spans="4:14" x14ac:dyDescent="0.25">
      <c r="D77" s="358"/>
      <c r="E77" s="34" t="s">
        <v>262</v>
      </c>
      <c r="F77" s="35" t="s">
        <v>252</v>
      </c>
      <c r="G77" s="34">
        <v>1</v>
      </c>
      <c r="H77" s="34">
        <v>11175</v>
      </c>
      <c r="I77" s="240">
        <f t="shared" ref="I77:I85" si="2">+H77*G77/100</f>
        <v>111.75</v>
      </c>
      <c r="J77" s="279">
        <f t="shared" ref="J77:J85" si="3">+G77*$L$77/100</f>
        <v>4</v>
      </c>
      <c r="K77" s="241">
        <f>+TblFormulas16[[#This Row],[Cantidad (Kg)]]*TblFormulas16[[#This Row],[PRECIO]]</f>
        <v>44700</v>
      </c>
      <c r="L77" s="281">
        <v>400</v>
      </c>
      <c r="M77" s="282">
        <f>SUM(I76:I85)</f>
        <v>1910.9715000000001</v>
      </c>
      <c r="N77" s="283">
        <f>SUM(K76:K85)</f>
        <v>764388.6</v>
      </c>
    </row>
    <row r="78" spans="4:14" x14ac:dyDescent="0.25">
      <c r="D78" s="358"/>
      <c r="E78" s="34" t="s">
        <v>262</v>
      </c>
      <c r="F78" s="35" t="s">
        <v>57</v>
      </c>
      <c r="G78" s="34">
        <v>6</v>
      </c>
      <c r="H78" s="34">
        <v>11385</v>
      </c>
      <c r="I78" s="240">
        <f t="shared" si="2"/>
        <v>683.1</v>
      </c>
      <c r="J78" s="279">
        <f t="shared" si="3"/>
        <v>24</v>
      </c>
      <c r="K78" s="241">
        <f>+TblFormulas16[[#This Row],[Cantidad (Kg)]]*TblFormulas16[[#This Row],[PRECIO]]</f>
        <v>273240</v>
      </c>
    </row>
    <row r="79" spans="4:14" x14ac:dyDescent="0.25">
      <c r="D79" s="358"/>
      <c r="E79" s="34" t="s">
        <v>262</v>
      </c>
      <c r="F79" s="35" t="s">
        <v>40</v>
      </c>
      <c r="G79" s="34">
        <v>1.5</v>
      </c>
      <c r="H79" s="34">
        <v>3420</v>
      </c>
      <c r="I79" s="240">
        <f t="shared" si="2"/>
        <v>51.3</v>
      </c>
      <c r="J79" s="279">
        <f t="shared" si="3"/>
        <v>6</v>
      </c>
      <c r="K79" s="241">
        <f>+TblFormulas16[[#This Row],[Cantidad (Kg)]]*TblFormulas16[[#This Row],[PRECIO]]</f>
        <v>20520</v>
      </c>
    </row>
    <row r="80" spans="4:14" x14ac:dyDescent="0.25">
      <c r="D80" s="358"/>
      <c r="E80" s="34" t="s">
        <v>262</v>
      </c>
      <c r="F80" s="35" t="s">
        <v>58</v>
      </c>
      <c r="G80" s="34">
        <v>0.5</v>
      </c>
      <c r="H80" s="34">
        <v>17500</v>
      </c>
      <c r="I80" s="240">
        <f t="shared" si="2"/>
        <v>87.5</v>
      </c>
      <c r="J80" s="279">
        <f t="shared" si="3"/>
        <v>2</v>
      </c>
      <c r="K80" s="241">
        <f>+TblFormulas16[[#This Row],[Cantidad (Kg)]]*TblFormulas16[[#This Row],[PRECIO]]</f>
        <v>35000</v>
      </c>
    </row>
    <row r="81" spans="4:14" x14ac:dyDescent="0.25">
      <c r="D81" s="358"/>
      <c r="E81" s="34" t="s">
        <v>262</v>
      </c>
      <c r="F81" s="35" t="s">
        <v>48</v>
      </c>
      <c r="G81" s="34">
        <v>1</v>
      </c>
      <c r="H81" s="34">
        <v>3400</v>
      </c>
      <c r="I81" s="240">
        <f t="shared" si="2"/>
        <v>34</v>
      </c>
      <c r="J81" s="279">
        <f t="shared" si="3"/>
        <v>4</v>
      </c>
      <c r="K81" s="241">
        <f>+TblFormulas16[[#This Row],[Cantidad (Kg)]]*TblFormulas16[[#This Row],[PRECIO]]</f>
        <v>13600</v>
      </c>
    </row>
    <row r="82" spans="4:14" x14ac:dyDescent="0.25">
      <c r="D82" s="358"/>
      <c r="E82" s="34" t="s">
        <v>262</v>
      </c>
      <c r="F82" s="35" t="s">
        <v>49</v>
      </c>
      <c r="G82" s="34">
        <v>1</v>
      </c>
      <c r="H82" s="34">
        <v>475</v>
      </c>
      <c r="I82" s="240">
        <f t="shared" si="2"/>
        <v>4.75</v>
      </c>
      <c r="J82" s="279">
        <f t="shared" si="3"/>
        <v>4</v>
      </c>
      <c r="K82" s="241">
        <f>+TblFormulas16[[#This Row],[Cantidad (Kg)]]*TblFormulas16[[#This Row],[PRECIO]]</f>
        <v>1900</v>
      </c>
    </row>
    <row r="83" spans="4:14" x14ac:dyDescent="0.25">
      <c r="D83" s="358"/>
      <c r="E83" s="34" t="s">
        <v>262</v>
      </c>
      <c r="F83" s="35" t="s">
        <v>62</v>
      </c>
      <c r="G83" s="34">
        <v>0.15</v>
      </c>
      <c r="H83" s="34">
        <v>8911</v>
      </c>
      <c r="I83" s="240">
        <f t="shared" si="2"/>
        <v>13.366499999999998</v>
      </c>
      <c r="J83" s="279">
        <f t="shared" si="3"/>
        <v>0.6</v>
      </c>
      <c r="K83" s="241">
        <f>+TblFormulas16[[#This Row],[Cantidad (Kg)]]*TblFormulas16[[#This Row],[PRECIO]]</f>
        <v>5346.5999999999995</v>
      </c>
    </row>
    <row r="84" spans="4:14" x14ac:dyDescent="0.25">
      <c r="D84" s="358"/>
      <c r="E84" s="34" t="s">
        <v>262</v>
      </c>
      <c r="F84" s="35" t="s">
        <v>336</v>
      </c>
      <c r="G84" s="34">
        <v>0.1</v>
      </c>
      <c r="H84" s="34">
        <v>92530</v>
      </c>
      <c r="I84" s="240">
        <f t="shared" si="2"/>
        <v>92.53</v>
      </c>
      <c r="J84" s="279">
        <f t="shared" si="3"/>
        <v>0.4</v>
      </c>
      <c r="K84" s="241">
        <f>+TblFormulas16[[#This Row],[Cantidad (Kg)]]*TblFormulas16[[#This Row],[PRECIO]]</f>
        <v>37012</v>
      </c>
    </row>
    <row r="85" spans="4:14" x14ac:dyDescent="0.25">
      <c r="D85" s="358"/>
      <c r="E85" s="34" t="s">
        <v>262</v>
      </c>
      <c r="F85" s="35" t="s">
        <v>44</v>
      </c>
      <c r="G85" s="37">
        <f>100-SUM(G76:G84)</f>
        <v>80.75</v>
      </c>
      <c r="H85" s="34">
        <v>10</v>
      </c>
      <c r="I85" s="240">
        <f t="shared" si="2"/>
        <v>8.0749999999999993</v>
      </c>
      <c r="J85" s="279">
        <f t="shared" si="3"/>
        <v>323</v>
      </c>
      <c r="K85" s="241">
        <f>+TblFormulas16[[#This Row],[Cantidad (Kg)]]*TblFormulas16[[#This Row],[PRECIO]]</f>
        <v>3230</v>
      </c>
    </row>
    <row r="86" spans="4:14" x14ac:dyDescent="0.25">
      <c r="D86" s="247"/>
      <c r="E86" s="248"/>
      <c r="F86" s="248"/>
      <c r="G86" s="247"/>
      <c r="H86" s="248"/>
      <c r="I86" s="248"/>
      <c r="J86" s="284"/>
      <c r="K86" s="249"/>
    </row>
    <row r="87" spans="4:14" x14ac:dyDescent="0.25">
      <c r="D87" s="359" t="s">
        <v>263</v>
      </c>
      <c r="E87" s="34" t="s">
        <v>264</v>
      </c>
      <c r="F87" s="35" t="s">
        <v>45</v>
      </c>
      <c r="G87" s="34">
        <v>10</v>
      </c>
      <c r="H87" s="34">
        <v>10307.5</v>
      </c>
      <c r="I87" s="240">
        <f>+H87*G87/100</f>
        <v>1030.75</v>
      </c>
      <c r="J87" s="285">
        <f t="shared" ref="J87:J94" si="4">+G87*$L$88/100</f>
        <v>40</v>
      </c>
      <c r="K87" s="241">
        <f>+TblFormulas16[[#This Row],[Cantidad (Kg)]]*TblFormulas16[[#This Row],[PRECIO]]</f>
        <v>412300</v>
      </c>
      <c r="L87" s="280" t="s">
        <v>257</v>
      </c>
      <c r="M87" s="32" t="s">
        <v>339</v>
      </c>
      <c r="N87" s="267" t="s">
        <v>340</v>
      </c>
    </row>
    <row r="88" spans="4:14" x14ac:dyDescent="0.25">
      <c r="D88" s="359"/>
      <c r="E88" s="34" t="s">
        <v>264</v>
      </c>
      <c r="F88" s="35" t="s">
        <v>57</v>
      </c>
      <c r="G88" s="34">
        <v>5</v>
      </c>
      <c r="H88" s="34">
        <v>11385</v>
      </c>
      <c r="I88" s="240">
        <f t="shared" ref="I88:I103" si="5">+H88*G88/100</f>
        <v>569.25</v>
      </c>
      <c r="J88" s="285">
        <f t="shared" si="4"/>
        <v>20</v>
      </c>
      <c r="K88" s="241">
        <f>+TblFormulas16[[#This Row],[Cantidad (Kg)]]*TblFormulas16[[#This Row],[PRECIO]]</f>
        <v>227700</v>
      </c>
      <c r="L88" s="281">
        <v>400</v>
      </c>
      <c r="M88" s="282">
        <f>SUM(I87:I94)</f>
        <v>1894.5205000000001</v>
      </c>
      <c r="N88" s="283">
        <f>SUM(K87:K94)</f>
        <v>757808.2</v>
      </c>
    </row>
    <row r="89" spans="4:14" x14ac:dyDescent="0.25">
      <c r="D89" s="359"/>
      <c r="E89" s="34" t="s">
        <v>264</v>
      </c>
      <c r="F89" s="35" t="s">
        <v>40</v>
      </c>
      <c r="G89" s="34">
        <v>2.7</v>
      </c>
      <c r="H89" s="34">
        <v>3420</v>
      </c>
      <c r="I89" s="240">
        <f t="shared" si="5"/>
        <v>92.34</v>
      </c>
      <c r="J89" s="285">
        <f t="shared" si="4"/>
        <v>10.8</v>
      </c>
      <c r="K89" s="241">
        <f>+TblFormulas16[[#This Row],[Cantidad (Kg)]]*TblFormulas16[[#This Row],[PRECIO]]</f>
        <v>36936</v>
      </c>
    </row>
    <row r="90" spans="4:14" ht="16.5" customHeight="1" x14ac:dyDescent="0.25">
      <c r="D90" s="359"/>
      <c r="E90" s="34" t="s">
        <v>264</v>
      </c>
      <c r="F90" s="35" t="s">
        <v>77</v>
      </c>
      <c r="G90" s="34">
        <v>0.15</v>
      </c>
      <c r="H90" s="34">
        <v>8911</v>
      </c>
      <c r="I90" s="240">
        <f t="shared" si="5"/>
        <v>13.366499999999998</v>
      </c>
      <c r="J90" s="285">
        <f t="shared" si="4"/>
        <v>0.6</v>
      </c>
      <c r="K90" s="241">
        <f>+TblFormulas16[[#This Row],[Cantidad (Kg)]]*TblFormulas16[[#This Row],[PRECIO]]</f>
        <v>5346.5999999999995</v>
      </c>
    </row>
    <row r="91" spans="4:14" x14ac:dyDescent="0.25">
      <c r="D91" s="359"/>
      <c r="E91" s="34" t="s">
        <v>264</v>
      </c>
      <c r="F91" s="35" t="s">
        <v>39</v>
      </c>
      <c r="G91" s="34">
        <v>0.5</v>
      </c>
      <c r="H91" s="34">
        <v>3400</v>
      </c>
      <c r="I91" s="240">
        <f t="shared" si="5"/>
        <v>17</v>
      </c>
      <c r="J91" s="285">
        <f t="shared" si="4"/>
        <v>2</v>
      </c>
      <c r="K91" s="241">
        <f>+TblFormulas16[[#This Row],[Cantidad (Kg)]]*TblFormulas16[[#This Row],[PRECIO]]</f>
        <v>6800</v>
      </c>
    </row>
    <row r="92" spans="4:14" x14ac:dyDescent="0.25">
      <c r="D92" s="359"/>
      <c r="E92" s="34" t="s">
        <v>264</v>
      </c>
      <c r="F92" s="35" t="s">
        <v>49</v>
      </c>
      <c r="G92" s="34">
        <v>0.5</v>
      </c>
      <c r="H92" s="34">
        <v>475</v>
      </c>
      <c r="I92" s="240">
        <f t="shared" si="5"/>
        <v>2.375</v>
      </c>
      <c r="J92" s="285">
        <f t="shared" si="4"/>
        <v>2</v>
      </c>
      <c r="K92" s="241">
        <f>+TblFormulas16[[#This Row],[Cantidad (Kg)]]*TblFormulas16[[#This Row],[PRECIO]]</f>
        <v>950</v>
      </c>
    </row>
    <row r="93" spans="4:14" x14ac:dyDescent="0.25">
      <c r="D93" s="359"/>
      <c r="E93" s="34" t="s">
        <v>264</v>
      </c>
      <c r="F93" s="35" t="s">
        <v>333</v>
      </c>
      <c r="G93" s="34">
        <v>0.2</v>
      </c>
      <c r="H93" s="34">
        <v>80672</v>
      </c>
      <c r="I93" s="240">
        <f t="shared" si="5"/>
        <v>161.34400000000002</v>
      </c>
      <c r="J93" s="285">
        <f t="shared" si="4"/>
        <v>0.8</v>
      </c>
      <c r="K93" s="241">
        <f>+TblFormulas16[[#This Row],[Cantidad (Kg)]]*TblFormulas16[[#This Row],[PRECIO]]</f>
        <v>64537.600000000006</v>
      </c>
    </row>
    <row r="94" spans="4:14" x14ac:dyDescent="0.25">
      <c r="D94" s="359"/>
      <c r="E94" s="34" t="s">
        <v>264</v>
      </c>
      <c r="F94" s="35" t="s">
        <v>44</v>
      </c>
      <c r="G94" s="37">
        <f>100-SUM(G87:G93)</f>
        <v>80.95</v>
      </c>
      <c r="H94" s="34">
        <v>10</v>
      </c>
      <c r="I94" s="240">
        <f t="shared" si="5"/>
        <v>8.0950000000000006</v>
      </c>
      <c r="J94" s="285">
        <f t="shared" si="4"/>
        <v>323.8</v>
      </c>
      <c r="K94" s="241">
        <f>+TblFormulas16[[#This Row],[Cantidad (Kg)]]*TblFormulas16[[#This Row],[PRECIO]]</f>
        <v>3238</v>
      </c>
    </row>
    <row r="95" spans="4:14" x14ac:dyDescent="0.25">
      <c r="D95" s="247"/>
      <c r="E95" s="248"/>
      <c r="F95" s="248"/>
      <c r="G95" s="247"/>
      <c r="H95" s="248"/>
      <c r="I95" s="248"/>
      <c r="J95" s="284"/>
      <c r="K95" s="249"/>
    </row>
    <row r="96" spans="4:14" x14ac:dyDescent="0.25">
      <c r="D96" s="360" t="s">
        <v>265</v>
      </c>
      <c r="E96" s="34" t="s">
        <v>266</v>
      </c>
      <c r="F96" s="35" t="s">
        <v>254</v>
      </c>
      <c r="G96" s="34">
        <v>5</v>
      </c>
      <c r="H96" s="34">
        <v>1900</v>
      </c>
      <c r="I96" s="240">
        <f t="shared" si="5"/>
        <v>95</v>
      </c>
      <c r="J96" s="285">
        <f t="shared" ref="J96:J103" si="6">+G96*$L$97/100</f>
        <v>42.5</v>
      </c>
      <c r="K96" s="241">
        <f>+TblFormulas16[[#This Row],[Cantidad (Kg)]]*TblFormulas16[[#This Row],[PRECIO]]</f>
        <v>80750</v>
      </c>
      <c r="L96" s="280" t="s">
        <v>257</v>
      </c>
      <c r="M96" s="32" t="s">
        <v>339</v>
      </c>
      <c r="N96" s="267" t="s">
        <v>340</v>
      </c>
    </row>
    <row r="97" spans="3:14" x14ac:dyDescent="0.25">
      <c r="D97" s="360"/>
      <c r="E97" s="34" t="s">
        <v>266</v>
      </c>
      <c r="F97" s="35" t="s">
        <v>40</v>
      </c>
      <c r="G97" s="34">
        <v>2</v>
      </c>
      <c r="H97" s="34">
        <v>3420</v>
      </c>
      <c r="I97" s="240">
        <f t="shared" si="5"/>
        <v>68.400000000000006</v>
      </c>
      <c r="J97" s="285">
        <f t="shared" si="6"/>
        <v>17</v>
      </c>
      <c r="K97" s="241">
        <f>+TblFormulas16[[#This Row],[Cantidad (Kg)]]*TblFormulas16[[#This Row],[PRECIO]]</f>
        <v>58140</v>
      </c>
      <c r="L97" s="281">
        <v>850</v>
      </c>
      <c r="M97" s="282">
        <f>SUM(I96:I103)</f>
        <v>1133.3015000000003</v>
      </c>
      <c r="N97" s="283">
        <f>SUM(K96:K103)</f>
        <v>963306.27500000002</v>
      </c>
    </row>
    <row r="98" spans="3:14" x14ac:dyDescent="0.25">
      <c r="D98" s="360"/>
      <c r="E98" s="34" t="s">
        <v>266</v>
      </c>
      <c r="F98" s="35" t="s">
        <v>41</v>
      </c>
      <c r="G98" s="34">
        <v>4</v>
      </c>
      <c r="H98" s="34">
        <v>3420</v>
      </c>
      <c r="I98" s="240">
        <f t="shared" si="5"/>
        <v>136.80000000000001</v>
      </c>
      <c r="J98" s="285">
        <f t="shared" si="6"/>
        <v>34</v>
      </c>
      <c r="K98" s="241">
        <f>+TblFormulas16[[#This Row],[Cantidad (Kg)]]*TblFormulas16[[#This Row],[PRECIO]]</f>
        <v>116280</v>
      </c>
    </row>
    <row r="99" spans="3:14" x14ac:dyDescent="0.25">
      <c r="D99" s="360"/>
      <c r="E99" s="34" t="s">
        <v>266</v>
      </c>
      <c r="F99" s="35" t="s">
        <v>92</v>
      </c>
      <c r="G99" s="34">
        <v>2</v>
      </c>
      <c r="H99" s="34">
        <v>13100</v>
      </c>
      <c r="I99" s="240">
        <f t="shared" si="5"/>
        <v>262</v>
      </c>
      <c r="J99" s="285">
        <f t="shared" si="6"/>
        <v>17</v>
      </c>
      <c r="K99" s="241">
        <f>+TblFormulas16[[#This Row],[Cantidad (Kg)]]*TblFormulas16[[#This Row],[PRECIO]]</f>
        <v>222700</v>
      </c>
    </row>
    <row r="100" spans="3:14" x14ac:dyDescent="0.25">
      <c r="D100" s="360"/>
      <c r="E100" s="34" t="s">
        <v>266</v>
      </c>
      <c r="F100" s="35" t="s">
        <v>334</v>
      </c>
      <c r="G100" s="34">
        <v>0.2</v>
      </c>
      <c r="H100" s="34">
        <v>99560</v>
      </c>
      <c r="I100" s="240">
        <f t="shared" si="5"/>
        <v>199.12</v>
      </c>
      <c r="J100" s="285">
        <f t="shared" si="6"/>
        <v>1.7</v>
      </c>
      <c r="K100" s="241">
        <f>+TblFormulas16[[#This Row],[Cantidad (Kg)]]*TblFormulas16[[#This Row],[PRECIO]]</f>
        <v>169252</v>
      </c>
    </row>
    <row r="101" spans="3:14" x14ac:dyDescent="0.25">
      <c r="D101" s="360"/>
      <c r="E101" s="34" t="s">
        <v>266</v>
      </c>
      <c r="F101" s="35" t="s">
        <v>253</v>
      </c>
      <c r="G101" s="34">
        <v>0.5</v>
      </c>
      <c r="H101" s="34">
        <v>70000</v>
      </c>
      <c r="I101" s="240">
        <f t="shared" si="5"/>
        <v>350</v>
      </c>
      <c r="J101" s="285">
        <f t="shared" si="6"/>
        <v>4.25</v>
      </c>
      <c r="K101" s="241">
        <f>+TblFormulas16[[#This Row],[Cantidad (Kg)]]*TblFormulas16[[#This Row],[PRECIO]]</f>
        <v>297500</v>
      </c>
    </row>
    <row r="102" spans="3:14" x14ac:dyDescent="0.25">
      <c r="D102" s="360"/>
      <c r="E102" s="34" t="s">
        <v>266</v>
      </c>
      <c r="F102" s="35" t="s">
        <v>77</v>
      </c>
      <c r="G102" s="34">
        <v>0.15</v>
      </c>
      <c r="H102" s="34">
        <v>8911</v>
      </c>
      <c r="I102" s="240">
        <f t="shared" si="5"/>
        <v>13.366499999999998</v>
      </c>
      <c r="J102" s="285">
        <f t="shared" si="6"/>
        <v>1.2749999999999999</v>
      </c>
      <c r="K102" s="241">
        <f>+TblFormulas16[[#This Row],[Cantidad (Kg)]]*TblFormulas16[[#This Row],[PRECIO]]</f>
        <v>11361.525</v>
      </c>
    </row>
    <row r="103" spans="3:14" x14ac:dyDescent="0.25">
      <c r="D103" s="360"/>
      <c r="E103" s="34" t="s">
        <v>266</v>
      </c>
      <c r="F103" s="35" t="s">
        <v>44</v>
      </c>
      <c r="G103" s="34">
        <f>100-SUM(G96:G102)</f>
        <v>86.15</v>
      </c>
      <c r="H103" s="34">
        <v>10</v>
      </c>
      <c r="I103" s="240">
        <f t="shared" si="5"/>
        <v>8.6150000000000002</v>
      </c>
      <c r="J103" s="285">
        <f t="shared" si="6"/>
        <v>732.27499999999998</v>
      </c>
      <c r="K103" s="241">
        <f>+TblFormulas16[[#This Row],[Cantidad (Kg)]]*TblFormulas16[[#This Row],[PRECIO]]</f>
        <v>7322.75</v>
      </c>
    </row>
    <row r="104" spans="3:14" x14ac:dyDescent="0.25">
      <c r="C104" s="120"/>
      <c r="D104" s="247"/>
      <c r="E104" s="248"/>
      <c r="F104" s="248"/>
      <c r="G104" s="247"/>
      <c r="H104" s="248"/>
      <c r="I104" s="248"/>
      <c r="J104" s="284"/>
      <c r="K104" s="249">
        <f>+TblFormulas16[[#This Row],[Cantidad (Kg)]]*TblFormulas16[[#This Row],[PRECIO]]</f>
        <v>0</v>
      </c>
    </row>
    <row r="105" spans="3:14" x14ac:dyDescent="0.25">
      <c r="D105" s="361" t="s">
        <v>91</v>
      </c>
      <c r="E105" s="34" t="s">
        <v>267</v>
      </c>
      <c r="F105" s="35" t="s">
        <v>73</v>
      </c>
      <c r="G105" s="34">
        <v>1</v>
      </c>
      <c r="H105" s="34">
        <v>7875</v>
      </c>
      <c r="I105" s="240">
        <f>+H105*G105/100</f>
        <v>78.75</v>
      </c>
      <c r="J105" s="285">
        <f>+G105*$L$106/100</f>
        <v>5</v>
      </c>
      <c r="K105" s="241">
        <f>+TblFormulas16[[#This Row],[Cantidad (Kg)]]*TblFormulas16[[#This Row],[PRECIO]]</f>
        <v>39375</v>
      </c>
      <c r="L105" s="280" t="s">
        <v>257</v>
      </c>
      <c r="M105" s="32" t="s">
        <v>339</v>
      </c>
      <c r="N105" s="267" t="s">
        <v>340</v>
      </c>
    </row>
    <row r="106" spans="3:14" x14ac:dyDescent="0.25">
      <c r="D106" s="361"/>
      <c r="E106" s="34" t="s">
        <v>267</v>
      </c>
      <c r="F106" s="35" t="s">
        <v>92</v>
      </c>
      <c r="G106" s="34">
        <v>1</v>
      </c>
      <c r="H106" s="34">
        <v>13100</v>
      </c>
      <c r="I106" s="240">
        <f>+H106*G106/100</f>
        <v>131</v>
      </c>
      <c r="J106" s="285">
        <f>+G106*$L$106/100</f>
        <v>5</v>
      </c>
      <c r="K106" s="241">
        <f>+TblFormulas16[[#This Row],[Cantidad (Kg)]]*TblFormulas16[[#This Row],[PRECIO]]</f>
        <v>65500</v>
      </c>
      <c r="L106" s="286">
        <v>500</v>
      </c>
      <c r="M106" s="282">
        <f>SUM(I105:I109)</f>
        <v>472.096</v>
      </c>
      <c r="N106" s="283">
        <f>SUM(K105:K109)</f>
        <v>236048</v>
      </c>
    </row>
    <row r="107" spans="3:14" x14ac:dyDescent="0.25">
      <c r="D107" s="361"/>
      <c r="E107" s="34" t="s">
        <v>267</v>
      </c>
      <c r="F107" s="35" t="s">
        <v>77</v>
      </c>
      <c r="G107" s="34">
        <v>0.1</v>
      </c>
      <c r="H107" s="34">
        <v>8911</v>
      </c>
      <c r="I107" s="240">
        <f>+H107*G107/100</f>
        <v>8.9109999999999996</v>
      </c>
      <c r="J107" s="285">
        <f>+G107*$L$106/100</f>
        <v>0.5</v>
      </c>
      <c r="K107" s="241">
        <f>+TblFormulas16[[#This Row],[Cantidad (Kg)]]*TblFormulas16[[#This Row],[PRECIO]]</f>
        <v>4455.5</v>
      </c>
    </row>
    <row r="108" spans="3:14" x14ac:dyDescent="0.25">
      <c r="D108" s="361"/>
      <c r="E108" s="34" t="s">
        <v>267</v>
      </c>
      <c r="F108" s="35" t="s">
        <v>332</v>
      </c>
      <c r="G108" s="34">
        <v>0.5</v>
      </c>
      <c r="H108" s="34">
        <v>48739</v>
      </c>
      <c r="I108" s="240">
        <f>+H108*G108/100</f>
        <v>243.69499999999999</v>
      </c>
      <c r="J108" s="285">
        <f>+G108*$L$106/100</f>
        <v>2.5</v>
      </c>
      <c r="K108" s="241">
        <f>+TblFormulas16[[#This Row],[Cantidad (Kg)]]*TblFormulas16[[#This Row],[PRECIO]]</f>
        <v>121847.5</v>
      </c>
    </row>
    <row r="109" spans="3:14" x14ac:dyDescent="0.25">
      <c r="D109" s="361"/>
      <c r="E109" s="34" t="s">
        <v>267</v>
      </c>
      <c r="F109" s="35" t="s">
        <v>51</v>
      </c>
      <c r="G109" s="34">
        <f>100-SUM(G105:G108)</f>
        <v>97.4</v>
      </c>
      <c r="H109" s="34">
        <v>10</v>
      </c>
      <c r="I109" s="240">
        <f>+H109*G109/100</f>
        <v>9.74</v>
      </c>
      <c r="J109" s="285">
        <f>+G109*$L$106/100</f>
        <v>487</v>
      </c>
      <c r="K109" s="241">
        <f>+TblFormulas16[[#This Row],[Cantidad (Kg)]]*TblFormulas16[[#This Row],[PRECIO]]</f>
        <v>4870</v>
      </c>
    </row>
    <row r="110" spans="3:14" x14ac:dyDescent="0.25">
      <c r="C110" s="120"/>
      <c r="D110" s="247"/>
      <c r="E110" s="248"/>
      <c r="F110" s="248"/>
      <c r="G110" s="247"/>
      <c r="H110" s="248"/>
      <c r="I110" s="248"/>
      <c r="J110" s="284"/>
      <c r="K110" s="249">
        <f>+TblFormulas16[[#This Row],[Cantidad (Kg)]]*TblFormulas16[[#This Row],[PRECIO]]</f>
        <v>0</v>
      </c>
    </row>
    <row r="111" spans="3:14" x14ac:dyDescent="0.25">
      <c r="D111" s="356" t="s">
        <v>268</v>
      </c>
      <c r="E111" s="34" t="s">
        <v>269</v>
      </c>
      <c r="F111" s="35" t="s">
        <v>43</v>
      </c>
      <c r="G111" s="34">
        <v>1</v>
      </c>
      <c r="H111" s="34">
        <v>10830</v>
      </c>
      <c r="I111" s="240">
        <f t="shared" ref="I111:I119" si="7">+H111*G111/100</f>
        <v>108.3</v>
      </c>
      <c r="J111" s="285">
        <f t="shared" ref="J111:J119" si="8">+G111*$L$112/100</f>
        <v>8</v>
      </c>
      <c r="K111" s="241">
        <f>+TblFormulas16[[#This Row],[Cantidad (Kg)]]*TblFormulas16[[#This Row],[PRECIO]]</f>
        <v>86640</v>
      </c>
      <c r="L111" s="280" t="s">
        <v>257</v>
      </c>
      <c r="M111" s="32" t="s">
        <v>339</v>
      </c>
      <c r="N111" s="267" t="s">
        <v>340</v>
      </c>
    </row>
    <row r="112" spans="3:14" x14ac:dyDescent="0.25">
      <c r="D112" s="356"/>
      <c r="E112" s="34" t="s">
        <v>269</v>
      </c>
      <c r="F112" s="35" t="s">
        <v>93</v>
      </c>
      <c r="G112" s="34">
        <v>2</v>
      </c>
      <c r="H112" s="34">
        <v>11685</v>
      </c>
      <c r="I112" s="240">
        <f t="shared" si="7"/>
        <v>233.7</v>
      </c>
      <c r="J112" s="285">
        <f t="shared" si="8"/>
        <v>16</v>
      </c>
      <c r="K112" s="241">
        <f>+TblFormulas16[[#This Row],[Cantidad (Kg)]]*TblFormulas16[[#This Row],[PRECIO]]</f>
        <v>186960</v>
      </c>
      <c r="L112" s="286">
        <v>800</v>
      </c>
      <c r="M112" s="282">
        <f>SUM(I111:I119)</f>
        <v>724.64949999999999</v>
      </c>
      <c r="N112" s="283">
        <f>SUM(K111:K119)</f>
        <v>579719.6</v>
      </c>
    </row>
    <row r="113" spans="4:14" x14ac:dyDescent="0.25">
      <c r="D113" s="356"/>
      <c r="E113" s="34" t="s">
        <v>269</v>
      </c>
      <c r="F113" s="35" t="s">
        <v>58</v>
      </c>
      <c r="G113" s="34">
        <v>0.8</v>
      </c>
      <c r="H113" s="34">
        <v>17500</v>
      </c>
      <c r="I113" s="240">
        <f t="shared" si="7"/>
        <v>140</v>
      </c>
      <c r="J113" s="285">
        <f t="shared" si="8"/>
        <v>6.4</v>
      </c>
      <c r="K113" s="241">
        <f>+TblFormulas16[[#This Row],[Cantidad (Kg)]]*TblFormulas16[[#This Row],[PRECIO]]</f>
        <v>112000</v>
      </c>
    </row>
    <row r="114" spans="4:14" x14ac:dyDescent="0.25">
      <c r="D114" s="356"/>
      <c r="E114" s="34" t="s">
        <v>269</v>
      </c>
      <c r="F114" s="35" t="s">
        <v>270</v>
      </c>
      <c r="G114" s="34">
        <v>0</v>
      </c>
      <c r="H114" s="34">
        <v>8000</v>
      </c>
      <c r="I114" s="240">
        <f t="shared" si="7"/>
        <v>0</v>
      </c>
      <c r="J114" s="285">
        <f t="shared" si="8"/>
        <v>0</v>
      </c>
      <c r="K114" s="241">
        <f>+TblFormulas16[[#This Row],[Cantidad (Kg)]]*TblFormulas16[[#This Row],[PRECIO]]</f>
        <v>0</v>
      </c>
      <c r="L114" s="287"/>
    </row>
    <row r="115" spans="4:14" x14ac:dyDescent="0.25">
      <c r="D115" s="356"/>
      <c r="E115" s="34" t="s">
        <v>269</v>
      </c>
      <c r="F115" s="35" t="s">
        <v>271</v>
      </c>
      <c r="G115" s="34">
        <v>1</v>
      </c>
      <c r="H115" s="34">
        <v>2235.3000000000002</v>
      </c>
      <c r="I115" s="240">
        <f t="shared" si="7"/>
        <v>22.353000000000002</v>
      </c>
      <c r="J115" s="285">
        <f t="shared" si="8"/>
        <v>8</v>
      </c>
      <c r="K115" s="241">
        <f>+TblFormulas16[[#This Row],[Cantidad (Kg)]]*TblFormulas16[[#This Row],[PRECIO]]</f>
        <v>17882.400000000001</v>
      </c>
    </row>
    <row r="116" spans="4:14" x14ac:dyDescent="0.25">
      <c r="D116" s="356"/>
      <c r="E116" s="34" t="s">
        <v>269</v>
      </c>
      <c r="F116" s="35" t="s">
        <v>338</v>
      </c>
      <c r="G116" s="34">
        <v>0.5</v>
      </c>
      <c r="H116" s="34">
        <v>39495</v>
      </c>
      <c r="I116" s="240">
        <f t="shared" si="7"/>
        <v>197.47499999999999</v>
      </c>
      <c r="J116" s="285">
        <f t="shared" si="8"/>
        <v>4</v>
      </c>
      <c r="K116" s="241">
        <f>+TblFormulas16[[#This Row],[Cantidad (Kg)]]*TblFormulas16[[#This Row],[PRECIO]]</f>
        <v>157980</v>
      </c>
    </row>
    <row r="117" spans="4:14" x14ac:dyDescent="0.25">
      <c r="D117" s="356"/>
      <c r="E117" s="34" t="s">
        <v>269</v>
      </c>
      <c r="F117" s="35" t="s">
        <v>50</v>
      </c>
      <c r="G117" s="34">
        <v>0</v>
      </c>
      <c r="H117" s="34">
        <v>12000</v>
      </c>
      <c r="I117" s="240">
        <f t="shared" si="7"/>
        <v>0</v>
      </c>
      <c r="J117" s="285">
        <f t="shared" si="8"/>
        <v>0</v>
      </c>
      <c r="K117" s="241">
        <f>+TblFormulas16[[#This Row],[Cantidad (Kg)]]*TblFormulas16[[#This Row],[PRECIO]]</f>
        <v>0</v>
      </c>
    </row>
    <row r="118" spans="4:14" x14ac:dyDescent="0.25">
      <c r="D118" s="356"/>
      <c r="E118" s="34" t="s">
        <v>269</v>
      </c>
      <c r="F118" s="35" t="s">
        <v>77</v>
      </c>
      <c r="G118" s="34">
        <v>0.15</v>
      </c>
      <c r="H118" s="34">
        <v>8911</v>
      </c>
      <c r="I118" s="240">
        <f t="shared" si="7"/>
        <v>13.366499999999998</v>
      </c>
      <c r="J118" s="285">
        <f t="shared" si="8"/>
        <v>1.2</v>
      </c>
      <c r="K118" s="241">
        <f>+TblFormulas16[[#This Row],[Cantidad (Kg)]]*TblFormulas16[[#This Row],[PRECIO]]</f>
        <v>10693.199999999999</v>
      </c>
    </row>
    <row r="119" spans="4:14" x14ac:dyDescent="0.25">
      <c r="D119" s="356"/>
      <c r="E119" s="34" t="s">
        <v>269</v>
      </c>
      <c r="F119" s="35" t="s">
        <v>44</v>
      </c>
      <c r="G119" s="34">
        <f>100-SUM(G111:G118)</f>
        <v>94.55</v>
      </c>
      <c r="H119" s="34">
        <v>10</v>
      </c>
      <c r="I119" s="240">
        <f t="shared" si="7"/>
        <v>9.4550000000000001</v>
      </c>
      <c r="J119" s="285">
        <f t="shared" si="8"/>
        <v>756.4</v>
      </c>
      <c r="K119" s="241">
        <f>+TblFormulas16[[#This Row],[Cantidad (Kg)]]*TblFormulas16[[#This Row],[PRECIO]]</f>
        <v>7564</v>
      </c>
    </row>
    <row r="120" spans="4:14" x14ac:dyDescent="0.25">
      <c r="D120" s="247"/>
      <c r="E120" s="248"/>
      <c r="F120" s="248"/>
      <c r="G120" s="247"/>
      <c r="H120" s="248"/>
      <c r="I120" s="248"/>
      <c r="J120" s="284"/>
      <c r="K120" s="249"/>
    </row>
    <row r="121" spans="4:14" x14ac:dyDescent="0.25">
      <c r="D121" s="352" t="s">
        <v>272</v>
      </c>
      <c r="E121" s="34" t="s">
        <v>96</v>
      </c>
      <c r="F121" s="35" t="s">
        <v>273</v>
      </c>
      <c r="G121" s="34">
        <v>20</v>
      </c>
      <c r="H121" s="34">
        <v>1657</v>
      </c>
      <c r="I121" s="240">
        <f>+H121*G121/100</f>
        <v>331.4</v>
      </c>
      <c r="J121" s="285">
        <f>+G121*$L$122/100</f>
        <v>200</v>
      </c>
      <c r="K121" s="241">
        <f>+TblFormulas16[[#This Row],[Cantidad (Kg)]]*TblFormulas16[[#This Row],[PRECIO]]</f>
        <v>331400</v>
      </c>
      <c r="L121" s="280" t="s">
        <v>257</v>
      </c>
      <c r="M121" s="32" t="s">
        <v>339</v>
      </c>
      <c r="N121" s="267" t="s">
        <v>340</v>
      </c>
    </row>
    <row r="122" spans="4:14" x14ac:dyDescent="0.25">
      <c r="D122" s="352"/>
      <c r="E122" s="34" t="s">
        <v>96</v>
      </c>
      <c r="F122" s="35" t="s">
        <v>57</v>
      </c>
      <c r="G122" s="34">
        <v>5</v>
      </c>
      <c r="H122" s="34">
        <v>11385</v>
      </c>
      <c r="I122" s="240">
        <f>+H122*G122/100</f>
        <v>569.25</v>
      </c>
      <c r="J122" s="285">
        <f>+G122*$L$122/100</f>
        <v>50</v>
      </c>
      <c r="K122" s="241">
        <f>+TblFormulas16[[#This Row],[Cantidad (Kg)]]*TblFormulas16[[#This Row],[PRECIO]]</f>
        <v>569250</v>
      </c>
      <c r="L122" s="286">
        <v>1000</v>
      </c>
      <c r="M122" s="282">
        <f>SUM(I121:I125)</f>
        <v>924.27</v>
      </c>
      <c r="N122" s="283">
        <f>SUM(K121:K125)</f>
        <v>924270</v>
      </c>
    </row>
    <row r="123" spans="4:14" x14ac:dyDescent="0.25">
      <c r="D123" s="352"/>
      <c r="E123" s="34" t="s">
        <v>96</v>
      </c>
      <c r="F123" s="35" t="s">
        <v>274</v>
      </c>
      <c r="G123" s="34">
        <v>0.2</v>
      </c>
      <c r="H123" s="34">
        <v>3420</v>
      </c>
      <c r="I123" s="240">
        <f>+H123*G123/100</f>
        <v>6.84</v>
      </c>
      <c r="J123" s="285">
        <f>+G123*$L$122/100</f>
        <v>2</v>
      </c>
      <c r="K123" s="241">
        <f>+TblFormulas16[[#This Row],[Cantidad (Kg)]]*TblFormulas16[[#This Row],[PRECIO]]</f>
        <v>6840</v>
      </c>
    </row>
    <row r="124" spans="4:14" x14ac:dyDescent="0.25">
      <c r="D124" s="352"/>
      <c r="E124" s="34" t="s">
        <v>96</v>
      </c>
      <c r="F124" s="35" t="s">
        <v>94</v>
      </c>
      <c r="G124" s="34">
        <v>2</v>
      </c>
      <c r="H124" s="34">
        <v>475</v>
      </c>
      <c r="I124" s="240">
        <f>+H124*G124/100</f>
        <v>9.5</v>
      </c>
      <c r="J124" s="285">
        <f>+G124*$L$122/100</f>
        <v>20</v>
      </c>
      <c r="K124" s="241">
        <f>+TblFormulas16[[#This Row],[Cantidad (Kg)]]*TblFormulas16[[#This Row],[PRECIO]]</f>
        <v>9500</v>
      </c>
    </row>
    <row r="125" spans="4:14" x14ac:dyDescent="0.25">
      <c r="D125" s="352"/>
      <c r="E125" s="34" t="s">
        <v>96</v>
      </c>
      <c r="F125" s="35" t="s">
        <v>44</v>
      </c>
      <c r="G125" s="34">
        <f>100-SUM(G121:G124)</f>
        <v>72.8</v>
      </c>
      <c r="H125" s="34">
        <v>10</v>
      </c>
      <c r="I125" s="240">
        <f>+H125*G125/100</f>
        <v>7.28</v>
      </c>
      <c r="J125" s="285">
        <f>+G125*$L$122/100</f>
        <v>728</v>
      </c>
      <c r="K125" s="241">
        <f>+TblFormulas16[[#This Row],[Cantidad (Kg)]]*TblFormulas16[[#This Row],[PRECIO]]</f>
        <v>7280</v>
      </c>
    </row>
    <row r="126" spans="4:14" x14ac:dyDescent="0.25">
      <c r="D126" s="247"/>
      <c r="E126" s="248"/>
      <c r="F126" s="248"/>
      <c r="G126" s="247"/>
      <c r="H126" s="248"/>
      <c r="I126" s="248"/>
      <c r="J126" s="284"/>
      <c r="K126" s="249"/>
    </row>
    <row r="127" spans="4:14" ht="15" customHeight="1" x14ac:dyDescent="0.25">
      <c r="D127" s="353" t="s">
        <v>275</v>
      </c>
      <c r="E127" s="288" t="s">
        <v>276</v>
      </c>
      <c r="F127" s="35" t="s">
        <v>277</v>
      </c>
      <c r="G127" s="37">
        <v>6</v>
      </c>
      <c r="H127" s="34">
        <v>18620</v>
      </c>
      <c r="I127" s="240">
        <f t="shared" ref="I127:I132" si="9">+H127*G127/100</f>
        <v>1117.2</v>
      </c>
      <c r="J127" s="285">
        <f t="shared" ref="J127:J132" si="10">+G127*$L$128/100</f>
        <v>51</v>
      </c>
      <c r="K127" s="241">
        <f>+TblFormulas16[[#This Row],[Cantidad (Kg)]]*TblFormulas16[[#This Row],[PRECIO]]</f>
        <v>949620</v>
      </c>
      <c r="L127" s="280" t="s">
        <v>257</v>
      </c>
      <c r="M127" s="32" t="s">
        <v>339</v>
      </c>
      <c r="N127" s="267" t="s">
        <v>340</v>
      </c>
    </row>
    <row r="128" spans="4:14" x14ac:dyDescent="0.25">
      <c r="D128" s="354"/>
      <c r="E128" s="289" t="s">
        <v>276</v>
      </c>
      <c r="F128" s="35" t="s">
        <v>92</v>
      </c>
      <c r="G128" s="37">
        <v>2</v>
      </c>
      <c r="H128" s="34">
        <v>13100</v>
      </c>
      <c r="I128" s="240">
        <f t="shared" si="9"/>
        <v>262</v>
      </c>
      <c r="J128" s="285">
        <f t="shared" si="10"/>
        <v>17</v>
      </c>
      <c r="K128" s="241">
        <f>+TblFormulas16[[#This Row],[Cantidad (Kg)]]*TblFormulas16[[#This Row],[PRECIO]]</f>
        <v>222700</v>
      </c>
      <c r="L128" s="286">
        <v>850</v>
      </c>
      <c r="M128" s="282">
        <f>SUM(I127:I131)</f>
        <v>1811.3400000000001</v>
      </c>
      <c r="N128" s="283">
        <f>SUM(K127:K131)</f>
        <v>1539639</v>
      </c>
    </row>
    <row r="129" spans="4:14" x14ac:dyDescent="0.25">
      <c r="D129" s="354"/>
      <c r="E129" s="289" t="s">
        <v>276</v>
      </c>
      <c r="F129" s="35" t="s">
        <v>95</v>
      </c>
      <c r="G129" s="37">
        <v>3</v>
      </c>
      <c r="H129" s="34">
        <v>6200</v>
      </c>
      <c r="I129" s="240">
        <f t="shared" si="9"/>
        <v>186</v>
      </c>
      <c r="J129" s="285">
        <f t="shared" si="10"/>
        <v>25.5</v>
      </c>
      <c r="K129" s="241">
        <f>+TblFormulas16[[#This Row],[Cantidad (Kg)]]*TblFormulas16[[#This Row],[PRECIO]]</f>
        <v>158100</v>
      </c>
    </row>
    <row r="130" spans="4:14" x14ac:dyDescent="0.25">
      <c r="D130" s="354"/>
      <c r="E130" s="289" t="s">
        <v>276</v>
      </c>
      <c r="F130" s="35" t="s">
        <v>337</v>
      </c>
      <c r="G130" s="37">
        <v>0.2</v>
      </c>
      <c r="H130" s="34">
        <v>48070</v>
      </c>
      <c r="I130" s="240">
        <f t="shared" si="9"/>
        <v>96.14</v>
      </c>
      <c r="J130" s="285">
        <f t="shared" si="10"/>
        <v>1.7</v>
      </c>
      <c r="K130" s="241">
        <f>+TblFormulas16[[#This Row],[Cantidad (Kg)]]*TblFormulas16[[#This Row],[PRECIO]]</f>
        <v>81719</v>
      </c>
    </row>
    <row r="131" spans="4:14" x14ac:dyDescent="0.25">
      <c r="D131" s="354"/>
      <c r="E131" s="289" t="s">
        <v>276</v>
      </c>
      <c r="F131" s="35" t="s">
        <v>341</v>
      </c>
      <c r="G131" s="37">
        <v>3</v>
      </c>
      <c r="H131" s="34">
        <v>5000</v>
      </c>
      <c r="I131" s="36">
        <f t="shared" si="9"/>
        <v>150</v>
      </c>
      <c r="J131" s="285">
        <f t="shared" si="10"/>
        <v>25.5</v>
      </c>
      <c r="K131" s="241">
        <f>+TblFormulas16[[#This Row],[Cantidad (Kg)]]*TblFormulas16[[#This Row],[PRECIO]]</f>
        <v>127500</v>
      </c>
    </row>
    <row r="132" spans="4:14" x14ac:dyDescent="0.25">
      <c r="D132" s="355"/>
      <c r="E132" s="290" t="s">
        <v>276</v>
      </c>
      <c r="F132" s="242" t="s">
        <v>44</v>
      </c>
      <c r="G132" s="37">
        <f>100-SUM(G127:G131)</f>
        <v>85.8</v>
      </c>
      <c r="H132" s="243">
        <v>10</v>
      </c>
      <c r="I132" s="244">
        <f t="shared" si="9"/>
        <v>8.58</v>
      </c>
      <c r="J132" s="291">
        <f t="shared" si="10"/>
        <v>729.3</v>
      </c>
      <c r="K132" s="241">
        <f>+TblFormulas16[[#This Row],[Cantidad (Kg)]]*TblFormulas16[[#This Row],[PRECIO]]</f>
        <v>7293</v>
      </c>
    </row>
    <row r="133" spans="4:14" x14ac:dyDescent="0.25">
      <c r="D133" s="292"/>
      <c r="E133" s="293"/>
      <c r="F133" s="294"/>
      <c r="G133" s="295"/>
      <c r="H133" s="293"/>
      <c r="I133" s="296"/>
      <c r="J133" s="284"/>
      <c r="K133" s="297"/>
    </row>
    <row r="134" spans="4:14" ht="15" customHeight="1" x14ac:dyDescent="0.25">
      <c r="D134" s="356" t="s">
        <v>342</v>
      </c>
      <c r="E134" s="288" t="s">
        <v>280</v>
      </c>
      <c r="F134" s="298" t="s">
        <v>75</v>
      </c>
      <c r="G134" s="252">
        <v>8</v>
      </c>
      <c r="H134" s="252">
        <v>5000</v>
      </c>
      <c r="I134" s="299">
        <f t="shared" ref="I134:I147" si="11">+H134*G134/100</f>
        <v>400</v>
      </c>
      <c r="J134" s="300">
        <f t="shared" ref="J134:J147" si="12">+G134*$L$135/100</f>
        <v>0</v>
      </c>
      <c r="K134" s="301">
        <f>+TblFormulas16[[#This Row],[Cantidad (Kg)]]*TblFormulas16[[#This Row],[PRECIO]]</f>
        <v>0</v>
      </c>
      <c r="L134" s="280" t="s">
        <v>257</v>
      </c>
      <c r="M134" s="32" t="s">
        <v>339</v>
      </c>
      <c r="N134" s="267" t="s">
        <v>340</v>
      </c>
    </row>
    <row r="135" spans="4:14" ht="15" customHeight="1" x14ac:dyDescent="0.25">
      <c r="D135" s="356"/>
      <c r="E135" s="289" t="s">
        <v>280</v>
      </c>
      <c r="F135" s="35" t="s">
        <v>39</v>
      </c>
      <c r="G135" s="34">
        <v>2</v>
      </c>
      <c r="H135" s="34">
        <v>3400</v>
      </c>
      <c r="I135" s="240">
        <f t="shared" si="11"/>
        <v>68</v>
      </c>
      <c r="J135" s="302">
        <f t="shared" si="12"/>
        <v>0</v>
      </c>
      <c r="K135" s="241">
        <f>+TblFormulas16[[#This Row],[Cantidad (Kg)]]*TblFormulas16[[#This Row],[PRECIO]]</f>
        <v>0</v>
      </c>
      <c r="L135" s="286"/>
      <c r="M135" s="282">
        <f>SUM(I134:I147)</f>
        <v>2825.0909999999999</v>
      </c>
      <c r="N135" s="283">
        <f>SUM(K134:K147)</f>
        <v>0</v>
      </c>
    </row>
    <row r="136" spans="4:14" ht="15" customHeight="1" x14ac:dyDescent="0.25">
      <c r="D136" s="356"/>
      <c r="E136" s="289" t="s">
        <v>280</v>
      </c>
      <c r="F136" s="35" t="s">
        <v>57</v>
      </c>
      <c r="G136" s="34">
        <v>0</v>
      </c>
      <c r="H136" s="34">
        <v>0</v>
      </c>
      <c r="I136" s="240">
        <f t="shared" si="11"/>
        <v>0</v>
      </c>
      <c r="J136" s="302">
        <f t="shared" si="12"/>
        <v>0</v>
      </c>
      <c r="K136" s="241">
        <f>+TblFormulas16[[#This Row],[Cantidad (Kg)]]*TblFormulas16[[#This Row],[PRECIO]]</f>
        <v>0</v>
      </c>
    </row>
    <row r="137" spans="4:14" ht="15" customHeight="1" x14ac:dyDescent="0.25">
      <c r="D137" s="356"/>
      <c r="E137" s="289" t="s">
        <v>280</v>
      </c>
      <c r="F137" s="35" t="s">
        <v>254</v>
      </c>
      <c r="G137" s="34">
        <v>70</v>
      </c>
      <c r="H137" s="34">
        <v>2100</v>
      </c>
      <c r="I137" s="240">
        <f t="shared" si="11"/>
        <v>1470</v>
      </c>
      <c r="J137" s="302">
        <f t="shared" si="12"/>
        <v>0</v>
      </c>
      <c r="K137" s="241">
        <f>+TblFormulas16[[#This Row],[Cantidad (Kg)]]*TblFormulas16[[#This Row],[PRECIO]]</f>
        <v>0</v>
      </c>
    </row>
    <row r="138" spans="4:14" ht="15" customHeight="1" x14ac:dyDescent="0.25">
      <c r="D138" s="356"/>
      <c r="E138" s="289" t="s">
        <v>280</v>
      </c>
      <c r="F138" s="35" t="s">
        <v>40</v>
      </c>
      <c r="G138" s="34">
        <v>0</v>
      </c>
      <c r="H138" s="34">
        <v>3420</v>
      </c>
      <c r="I138" s="240">
        <f t="shared" si="11"/>
        <v>0</v>
      </c>
      <c r="J138" s="302">
        <f t="shared" si="12"/>
        <v>0</v>
      </c>
      <c r="K138" s="241">
        <f>+TblFormulas16[[#This Row],[Cantidad (Kg)]]*TblFormulas16[[#This Row],[PRECIO]]</f>
        <v>0</v>
      </c>
    </row>
    <row r="139" spans="4:14" ht="15" customHeight="1" x14ac:dyDescent="0.25">
      <c r="D139" s="356"/>
      <c r="E139" s="289" t="s">
        <v>280</v>
      </c>
      <c r="F139" s="35" t="s">
        <v>76</v>
      </c>
      <c r="G139" s="34">
        <v>12</v>
      </c>
      <c r="H139" s="34">
        <v>4705</v>
      </c>
      <c r="I139" s="240">
        <f t="shared" si="11"/>
        <v>564.6</v>
      </c>
      <c r="J139" s="302">
        <f t="shared" si="12"/>
        <v>0</v>
      </c>
      <c r="K139" s="241">
        <f>+TblFormulas16[[#This Row],[Cantidad (Kg)]]*TblFormulas16[[#This Row],[PRECIO]]</f>
        <v>0</v>
      </c>
    </row>
    <row r="140" spans="4:14" ht="15" customHeight="1" x14ac:dyDescent="0.25">
      <c r="D140" s="356"/>
      <c r="E140" s="289" t="s">
        <v>280</v>
      </c>
      <c r="F140" s="35" t="s">
        <v>279</v>
      </c>
      <c r="G140" s="34">
        <v>2</v>
      </c>
      <c r="H140" s="34">
        <v>3420</v>
      </c>
      <c r="I140" s="240">
        <f t="shared" si="11"/>
        <v>68.400000000000006</v>
      </c>
      <c r="J140" s="302">
        <f t="shared" si="12"/>
        <v>0</v>
      </c>
      <c r="K140" s="241">
        <f>+TblFormulas16[[#This Row],[Cantidad (Kg)]]*TblFormulas16[[#This Row],[PRECIO]]</f>
        <v>0</v>
      </c>
    </row>
    <row r="141" spans="4:14" ht="15" customHeight="1" x14ac:dyDescent="0.25">
      <c r="D141" s="356"/>
      <c r="E141" s="289" t="s">
        <v>280</v>
      </c>
      <c r="F141" s="35" t="s">
        <v>278</v>
      </c>
      <c r="G141" s="34">
        <v>3</v>
      </c>
      <c r="H141" s="34">
        <v>3696</v>
      </c>
      <c r="I141" s="240">
        <f t="shared" si="11"/>
        <v>110.88</v>
      </c>
      <c r="J141" s="302">
        <f t="shared" si="12"/>
        <v>0</v>
      </c>
      <c r="K141" s="241">
        <f>+TblFormulas16[[#This Row],[Cantidad (Kg)]]*TblFormulas16[[#This Row],[PRECIO]]</f>
        <v>0</v>
      </c>
    </row>
    <row r="142" spans="4:14" ht="15" customHeight="1" x14ac:dyDescent="0.25">
      <c r="D142" s="356"/>
      <c r="E142" s="289" t="s">
        <v>280</v>
      </c>
      <c r="F142" s="35" t="s">
        <v>42</v>
      </c>
      <c r="G142" s="34">
        <v>1</v>
      </c>
      <c r="H142" s="34">
        <v>6400</v>
      </c>
      <c r="I142" s="240">
        <f t="shared" si="11"/>
        <v>64</v>
      </c>
      <c r="J142" s="302">
        <f t="shared" si="12"/>
        <v>0</v>
      </c>
      <c r="K142" s="241">
        <f>+TblFormulas16[[#This Row],[Cantidad (Kg)]]*TblFormulas16[[#This Row],[PRECIO]]</f>
        <v>0</v>
      </c>
    </row>
    <row r="143" spans="4:14" ht="15" customHeight="1" x14ac:dyDescent="0.25">
      <c r="D143" s="356"/>
      <c r="E143" s="289" t="s">
        <v>280</v>
      </c>
      <c r="F143" s="35" t="s">
        <v>50</v>
      </c>
      <c r="G143" s="34">
        <v>0.01</v>
      </c>
      <c r="H143" s="34">
        <v>12000</v>
      </c>
      <c r="I143" s="240">
        <f t="shared" si="11"/>
        <v>1.2</v>
      </c>
      <c r="J143" s="302">
        <f t="shared" si="12"/>
        <v>0</v>
      </c>
      <c r="K143" s="241">
        <f>+TblFormulas16[[#This Row],[Cantidad (Kg)]]*TblFormulas16[[#This Row],[PRECIO]]</f>
        <v>0</v>
      </c>
    </row>
    <row r="144" spans="4:14" ht="15" customHeight="1" x14ac:dyDescent="0.25">
      <c r="D144" s="356"/>
      <c r="E144" s="289" t="s">
        <v>280</v>
      </c>
      <c r="F144" s="35" t="s">
        <v>43</v>
      </c>
      <c r="G144" s="34">
        <v>0</v>
      </c>
      <c r="H144" s="34">
        <v>10830</v>
      </c>
      <c r="I144" s="240">
        <f t="shared" si="11"/>
        <v>0</v>
      </c>
      <c r="J144" s="302">
        <f t="shared" si="12"/>
        <v>0</v>
      </c>
      <c r="K144" s="241">
        <f>+TblFormulas16[[#This Row],[Cantidad (Kg)]]*TblFormulas16[[#This Row],[PRECIO]]</f>
        <v>0</v>
      </c>
    </row>
    <row r="145" spans="4:14" ht="15" customHeight="1" x14ac:dyDescent="0.25">
      <c r="D145" s="356"/>
      <c r="E145" s="289" t="s">
        <v>280</v>
      </c>
      <c r="F145" s="35" t="s">
        <v>343</v>
      </c>
      <c r="G145" s="34">
        <v>0.1</v>
      </c>
      <c r="H145" s="34">
        <v>60000</v>
      </c>
      <c r="I145" s="240">
        <f t="shared" si="11"/>
        <v>60</v>
      </c>
      <c r="J145" s="302">
        <f t="shared" si="12"/>
        <v>0</v>
      </c>
      <c r="K145" s="241">
        <f>+TblFormulas16[[#This Row],[Cantidad (Kg)]]*TblFormulas16[[#This Row],[PRECIO]]</f>
        <v>0</v>
      </c>
    </row>
    <row r="146" spans="4:14" ht="15" customHeight="1" x14ac:dyDescent="0.25">
      <c r="D146" s="356"/>
      <c r="E146" s="289" t="s">
        <v>280</v>
      </c>
      <c r="F146" s="35" t="s">
        <v>77</v>
      </c>
      <c r="G146" s="34">
        <v>0.2</v>
      </c>
      <c r="H146" s="34">
        <v>8911</v>
      </c>
      <c r="I146" s="240">
        <f t="shared" si="11"/>
        <v>17.821999999999999</v>
      </c>
      <c r="J146" s="302">
        <f t="shared" si="12"/>
        <v>0</v>
      </c>
      <c r="K146" s="241">
        <f>+TblFormulas16[[#This Row],[Cantidad (Kg)]]*TblFormulas16[[#This Row],[PRECIO]]</f>
        <v>0</v>
      </c>
    </row>
    <row r="147" spans="4:14" ht="15" customHeight="1" x14ac:dyDescent="0.25">
      <c r="D147" s="356"/>
      <c r="E147" s="290" t="s">
        <v>280</v>
      </c>
      <c r="F147" s="242" t="s">
        <v>44</v>
      </c>
      <c r="G147" s="250">
        <f>100-SUM(G134:G145)</f>
        <v>1.8900000000000006</v>
      </c>
      <c r="H147" s="34">
        <v>10</v>
      </c>
      <c r="I147" s="244">
        <f t="shared" si="11"/>
        <v>0.18900000000000006</v>
      </c>
      <c r="J147" s="302">
        <f t="shared" si="12"/>
        <v>0</v>
      </c>
      <c r="K147" s="251">
        <f>+TblFormulas16[[#This Row],[Cantidad (Kg)]]*TblFormulas16[[#This Row],[PRECIO]]</f>
        <v>0</v>
      </c>
      <c r="N147" s="303">
        <f>SUM(N77:N135)</f>
        <v>5765179.6749999998</v>
      </c>
    </row>
  </sheetData>
  <mergeCells count="9">
    <mergeCell ref="D121:D125"/>
    <mergeCell ref="D127:D132"/>
    <mergeCell ref="D134:D147"/>
    <mergeCell ref="L73:M73"/>
    <mergeCell ref="D76:D85"/>
    <mergeCell ref="D87:D94"/>
    <mergeCell ref="D96:D103"/>
    <mergeCell ref="D105:D109"/>
    <mergeCell ref="D111:D119"/>
  </mergeCells>
  <phoneticPr fontId="12" type="noConversion"/>
  <pageMargins left="0.7" right="0.7" top="0.75" bottom="0.75" header="0.3" footer="0.3"/>
  <drawing r:id="rId1"/>
  <legacy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A48B7-2632-420F-B5FB-A752414B30B8}">
  <sheetPr codeName="Hoja7">
    <tabColor rgb="FF92D050"/>
  </sheetPr>
  <dimension ref="C2:AA36"/>
  <sheetViews>
    <sheetView showGridLines="0" topLeftCell="A10" workbookViewId="0">
      <selection activeCell="C7" sqref="C7:F35"/>
    </sheetView>
  </sheetViews>
  <sheetFormatPr baseColWidth="10" defaultRowHeight="15" x14ac:dyDescent="0.25"/>
  <cols>
    <col min="3" max="3" width="12.7109375" customWidth="1"/>
    <col min="4" max="4" width="23.140625" bestFit="1" customWidth="1"/>
    <col min="5" max="5" width="14.7109375" style="94" customWidth="1"/>
    <col min="10" max="10" width="4.85546875" customWidth="1"/>
    <col min="11" max="11" width="23.7109375" bestFit="1" customWidth="1"/>
    <col min="12" max="12" width="17.140625" bestFit="1" customWidth="1"/>
    <col min="13" max="13" width="14.140625" bestFit="1" customWidth="1"/>
    <col min="27" max="27" width="24.42578125" customWidth="1"/>
  </cols>
  <sheetData>
    <row r="2" spans="3:27" x14ac:dyDescent="0.25">
      <c r="H2" s="217"/>
      <c r="I2" s="217"/>
      <c r="J2" s="217"/>
      <c r="K2" s="217"/>
      <c r="L2" s="217"/>
      <c r="M2" s="217"/>
      <c r="N2" s="217"/>
      <c r="O2" s="217"/>
      <c r="P2" s="217"/>
      <c r="Q2" s="217"/>
      <c r="R2" s="217"/>
      <c r="S2" s="217"/>
      <c r="T2" s="217"/>
    </row>
    <row r="3" spans="3:27" x14ac:dyDescent="0.25">
      <c r="H3" s="217"/>
      <c r="I3" s="217"/>
      <c r="J3" s="217"/>
      <c r="K3" s="217"/>
      <c r="L3" s="217"/>
      <c r="M3" s="217"/>
      <c r="N3" s="217"/>
      <c r="O3" s="217"/>
      <c r="P3" s="217"/>
      <c r="Q3" s="217"/>
      <c r="R3" s="217"/>
      <c r="S3" s="217"/>
      <c r="T3" s="217"/>
    </row>
    <row r="4" spans="3:27" x14ac:dyDescent="0.25">
      <c r="H4" s="217"/>
      <c r="I4" s="217"/>
      <c r="J4" s="217"/>
      <c r="K4" s="217"/>
      <c r="L4" s="217"/>
      <c r="M4" s="217"/>
      <c r="N4" s="217"/>
      <c r="O4" s="217"/>
      <c r="P4" s="217"/>
      <c r="Q4" s="217"/>
      <c r="R4" s="217"/>
      <c r="S4" s="217"/>
      <c r="T4" s="217"/>
    </row>
    <row r="5" spans="3:27" x14ac:dyDescent="0.25">
      <c r="H5" s="217"/>
      <c r="I5" s="217"/>
      <c r="J5" s="217"/>
      <c r="K5" s="217"/>
      <c r="L5" s="217"/>
      <c r="M5" s="217"/>
      <c r="N5" s="217"/>
      <c r="O5" s="217"/>
      <c r="P5" s="217"/>
      <c r="Q5" s="217"/>
      <c r="R5" s="217"/>
      <c r="S5" s="217"/>
      <c r="T5" s="217"/>
    </row>
    <row r="6" spans="3:27" x14ac:dyDescent="0.25">
      <c r="H6" s="217"/>
      <c r="I6" s="217"/>
      <c r="J6" s="217"/>
      <c r="K6" s="217"/>
      <c r="L6" s="217"/>
      <c r="M6" s="217"/>
      <c r="N6" s="217"/>
      <c r="O6" s="217"/>
      <c r="P6" s="217"/>
      <c r="Q6" s="217"/>
      <c r="R6" s="217"/>
      <c r="S6" s="217"/>
      <c r="T6" s="217"/>
    </row>
    <row r="7" spans="3:27" ht="18.75" x14ac:dyDescent="0.3">
      <c r="C7" s="85" t="s">
        <v>52</v>
      </c>
      <c r="D7" s="86" t="s">
        <v>37</v>
      </c>
      <c r="E7" s="90" t="s">
        <v>53</v>
      </c>
      <c r="F7" s="87" t="s">
        <v>54</v>
      </c>
      <c r="H7" s="217"/>
      <c r="I7" s="217"/>
      <c r="J7" s="217"/>
      <c r="K7" s="218" t="s">
        <v>4</v>
      </c>
      <c r="L7" s="218" t="s">
        <v>176</v>
      </c>
      <c r="M7" s="217"/>
      <c r="N7" s="217"/>
      <c r="O7" s="217"/>
      <c r="P7" s="217"/>
      <c r="Q7" s="217"/>
      <c r="R7" s="217"/>
      <c r="S7" s="217"/>
      <c r="T7" s="217"/>
    </row>
    <row r="8" spans="3:27" ht="23.25" x14ac:dyDescent="0.35">
      <c r="C8" s="82" t="s">
        <v>302</v>
      </c>
      <c r="D8" s="33" t="s">
        <v>55</v>
      </c>
      <c r="E8" s="91">
        <v>8000</v>
      </c>
      <c r="F8" s="84" t="s">
        <v>56</v>
      </c>
      <c r="H8" s="217"/>
      <c r="I8" s="217"/>
      <c r="J8" s="217"/>
      <c r="K8" s="223" t="s">
        <v>68</v>
      </c>
      <c r="L8" s="224">
        <v>5285.7142857142853</v>
      </c>
      <c r="M8" s="217"/>
      <c r="N8" s="217"/>
      <c r="O8" s="217"/>
      <c r="P8" s="217"/>
      <c r="Q8" s="217"/>
      <c r="R8" s="217"/>
      <c r="S8" s="217"/>
      <c r="T8" s="217"/>
    </row>
    <row r="9" spans="3:27" x14ac:dyDescent="0.25">
      <c r="C9" s="82" t="s">
        <v>303</v>
      </c>
      <c r="D9" s="33" t="s">
        <v>47</v>
      </c>
      <c r="E9" s="91">
        <v>6000</v>
      </c>
      <c r="F9" s="84" t="s">
        <v>56</v>
      </c>
      <c r="H9" s="217"/>
      <c r="I9" s="217"/>
      <c r="J9" s="217"/>
      <c r="K9" s="217"/>
      <c r="L9" s="217"/>
      <c r="M9" s="217"/>
      <c r="N9" s="217"/>
      <c r="O9" s="217"/>
      <c r="P9" s="217"/>
      <c r="Q9" s="217"/>
      <c r="R9" s="217"/>
      <c r="S9" s="217"/>
      <c r="T9" s="217"/>
    </row>
    <row r="10" spans="3:27" x14ac:dyDescent="0.25">
      <c r="C10" s="82" t="s">
        <v>304</v>
      </c>
      <c r="D10" s="33" t="s">
        <v>46</v>
      </c>
      <c r="E10" s="91">
        <f>850000/200</f>
        <v>4250</v>
      </c>
      <c r="F10" s="84" t="s">
        <v>56</v>
      </c>
      <c r="H10" s="217"/>
      <c r="I10" s="217"/>
      <c r="J10" s="217"/>
      <c r="K10" s="217"/>
      <c r="L10" s="217"/>
      <c r="M10" s="217"/>
      <c r="N10" s="217"/>
      <c r="O10" s="217"/>
      <c r="P10" s="217"/>
      <c r="Q10" s="217"/>
      <c r="R10" s="217"/>
      <c r="S10" s="217"/>
      <c r="T10" s="217"/>
    </row>
    <row r="11" spans="3:27" x14ac:dyDescent="0.25">
      <c r="C11" s="82" t="s">
        <v>305</v>
      </c>
      <c r="D11" s="33" t="s">
        <v>57</v>
      </c>
      <c r="E11" s="91">
        <f>1920000/240</f>
        <v>8000</v>
      </c>
      <c r="F11" s="84" t="s">
        <v>56</v>
      </c>
      <c r="H11" s="217"/>
      <c r="I11" s="217"/>
      <c r="J11" s="217"/>
      <c r="K11" s="217"/>
      <c r="L11" s="217"/>
      <c r="M11" s="217"/>
      <c r="N11" s="217"/>
      <c r="O11" s="217"/>
      <c r="P11" s="217"/>
      <c r="Q11" s="217"/>
      <c r="R11" s="217"/>
      <c r="S11" s="217"/>
      <c r="T11" s="217"/>
    </row>
    <row r="12" spans="3:27" x14ac:dyDescent="0.25">
      <c r="C12" s="82" t="s">
        <v>306</v>
      </c>
      <c r="D12" s="33" t="s">
        <v>58</v>
      </c>
      <c r="E12" s="91">
        <f>280000/20</f>
        <v>14000</v>
      </c>
      <c r="F12" s="84" t="s">
        <v>56</v>
      </c>
      <c r="H12" s="217"/>
      <c r="I12" s="217"/>
      <c r="J12" s="217"/>
      <c r="K12" s="217"/>
      <c r="L12" s="217"/>
      <c r="M12" s="217"/>
      <c r="N12" s="217"/>
      <c r="O12" s="217"/>
      <c r="P12" s="217"/>
      <c r="Q12" s="217"/>
      <c r="R12" s="217"/>
      <c r="S12" s="217"/>
      <c r="T12" s="217"/>
    </row>
    <row r="13" spans="3:27" x14ac:dyDescent="0.25">
      <c r="C13" s="82" t="s">
        <v>307</v>
      </c>
      <c r="D13" s="33" t="s">
        <v>59</v>
      </c>
      <c r="E13" s="91">
        <f>210000/20</f>
        <v>10500</v>
      </c>
      <c r="F13" s="84" t="s">
        <v>56</v>
      </c>
      <c r="H13" s="217"/>
      <c r="I13" s="217"/>
      <c r="J13" s="217"/>
      <c r="K13" s="217"/>
      <c r="L13" s="217"/>
      <c r="M13" s="217"/>
      <c r="N13" s="217"/>
      <c r="O13" s="217"/>
      <c r="P13" s="217"/>
      <c r="Q13" s="217"/>
      <c r="R13" s="217"/>
      <c r="S13" s="217"/>
      <c r="T13" s="217"/>
    </row>
    <row r="14" spans="3:27" x14ac:dyDescent="0.25">
      <c r="C14" s="82" t="s">
        <v>308</v>
      </c>
      <c r="D14" s="33" t="s">
        <v>60</v>
      </c>
      <c r="E14" s="91">
        <v>24000</v>
      </c>
      <c r="F14" s="84" t="s">
        <v>56</v>
      </c>
      <c r="H14" s="217"/>
      <c r="I14" s="217"/>
      <c r="J14" s="217"/>
      <c r="K14" s="217"/>
      <c r="L14" s="217"/>
      <c r="M14" s="217"/>
      <c r="N14" s="217"/>
      <c r="O14" s="217"/>
      <c r="P14" s="217"/>
      <c r="Q14" s="217"/>
      <c r="R14" s="217"/>
      <c r="S14" s="217"/>
      <c r="T14" s="217"/>
    </row>
    <row r="15" spans="3:27" x14ac:dyDescent="0.25">
      <c r="C15" s="82" t="s">
        <v>309</v>
      </c>
      <c r="D15" s="33" t="s">
        <v>61</v>
      </c>
      <c r="E15" s="91">
        <f>150000/30</f>
        <v>5000</v>
      </c>
      <c r="F15" s="84" t="s">
        <v>56</v>
      </c>
      <c r="H15" s="217"/>
      <c r="I15" s="217"/>
      <c r="J15" s="217"/>
      <c r="K15" s="217"/>
      <c r="L15" s="217"/>
      <c r="M15" s="217"/>
      <c r="N15" s="217"/>
      <c r="O15" s="217"/>
      <c r="P15" s="217"/>
      <c r="Q15" s="217"/>
      <c r="R15" s="217"/>
      <c r="S15" s="217"/>
      <c r="T15" s="217"/>
    </row>
    <row r="16" spans="3:27" x14ac:dyDescent="0.25">
      <c r="C16" s="82" t="s">
        <v>310</v>
      </c>
      <c r="D16" s="33" t="s">
        <v>62</v>
      </c>
      <c r="E16" s="91">
        <f>150000/25</f>
        <v>6000</v>
      </c>
      <c r="F16" s="84" t="s">
        <v>56</v>
      </c>
      <c r="H16" s="217"/>
      <c r="I16" s="217"/>
      <c r="J16" s="217"/>
      <c r="K16" s="217"/>
      <c r="L16" s="217"/>
      <c r="M16" s="217"/>
      <c r="N16" s="217"/>
      <c r="O16" s="217"/>
      <c r="P16" s="217"/>
      <c r="Q16" s="217"/>
      <c r="R16" s="217"/>
      <c r="S16" s="217"/>
      <c r="T16" s="217"/>
      <c r="AA16" s="17" t="s">
        <v>227</v>
      </c>
    </row>
    <row r="17" spans="3:27" x14ac:dyDescent="0.25">
      <c r="C17" s="82" t="s">
        <v>311</v>
      </c>
      <c r="D17" s="33" t="s">
        <v>42</v>
      </c>
      <c r="E17" s="91">
        <f>160000/25</f>
        <v>6400</v>
      </c>
      <c r="F17" s="84" t="s">
        <v>56</v>
      </c>
      <c r="H17" s="217"/>
      <c r="I17" s="217"/>
      <c r="J17" s="217"/>
      <c r="K17" s="217"/>
      <c r="L17" s="217"/>
      <c r="M17" s="217"/>
      <c r="N17" s="217"/>
      <c r="O17" s="217"/>
      <c r="P17" s="217"/>
      <c r="Q17" s="217"/>
      <c r="R17" s="217"/>
      <c r="S17" s="217"/>
      <c r="T17" s="217"/>
      <c r="AA17" s="17" t="s">
        <v>228</v>
      </c>
    </row>
    <row r="18" spans="3:27" x14ac:dyDescent="0.25">
      <c r="C18" s="82" t="s">
        <v>312</v>
      </c>
      <c r="D18" s="33" t="s">
        <v>63</v>
      </c>
      <c r="E18" s="91">
        <f>180000/20</f>
        <v>9000</v>
      </c>
      <c r="F18" s="84" t="s">
        <v>56</v>
      </c>
      <c r="H18" s="217"/>
      <c r="I18" s="217"/>
      <c r="J18" s="217"/>
      <c r="K18" s="217"/>
      <c r="L18" s="217"/>
      <c r="M18" s="217"/>
      <c r="N18" s="217"/>
      <c r="O18" s="217"/>
      <c r="P18" s="217"/>
      <c r="Q18" s="217"/>
      <c r="R18" s="217"/>
      <c r="S18" s="217"/>
      <c r="T18" s="217"/>
      <c r="AA18" s="17" t="s">
        <v>229</v>
      </c>
    </row>
    <row r="19" spans="3:27" x14ac:dyDescent="0.25">
      <c r="C19" s="82" t="s">
        <v>313</v>
      </c>
      <c r="D19" s="33" t="s">
        <v>64</v>
      </c>
      <c r="E19" s="91">
        <f>190000/20</f>
        <v>9500</v>
      </c>
      <c r="F19" s="84" t="s">
        <v>56</v>
      </c>
      <c r="H19" s="217"/>
      <c r="I19" s="217"/>
      <c r="J19" s="217"/>
      <c r="K19" s="217"/>
      <c r="L19" s="217"/>
      <c r="M19" s="217"/>
      <c r="N19" s="217"/>
      <c r="O19" s="217"/>
      <c r="P19" s="217"/>
      <c r="Q19" s="217"/>
      <c r="R19" s="217"/>
      <c r="S19" s="217"/>
      <c r="T19" s="217"/>
      <c r="AA19" s="17" t="s">
        <v>230</v>
      </c>
    </row>
    <row r="20" spans="3:27" x14ac:dyDescent="0.25">
      <c r="C20" s="82" t="s">
        <v>314</v>
      </c>
      <c r="D20" s="33" t="s">
        <v>43</v>
      </c>
      <c r="E20" s="91">
        <f>220000/25</f>
        <v>8800</v>
      </c>
      <c r="F20" s="84" t="s">
        <v>65</v>
      </c>
      <c r="H20" s="217"/>
      <c r="I20" s="217"/>
      <c r="J20" s="217"/>
      <c r="K20" s="217"/>
      <c r="L20" s="217"/>
      <c r="M20" s="217"/>
      <c r="N20" s="217"/>
      <c r="O20" s="217"/>
      <c r="P20" s="217"/>
      <c r="Q20" s="217"/>
      <c r="R20" s="217"/>
      <c r="S20" s="217"/>
      <c r="T20" s="217"/>
      <c r="AA20" s="17" t="s">
        <v>231</v>
      </c>
    </row>
    <row r="21" spans="3:27" x14ac:dyDescent="0.25">
      <c r="C21" s="82" t="s">
        <v>315</v>
      </c>
      <c r="D21" s="33" t="s">
        <v>66</v>
      </c>
      <c r="E21" s="91">
        <f>105000/20</f>
        <v>5250</v>
      </c>
      <c r="F21" s="84" t="s">
        <v>67</v>
      </c>
      <c r="H21" s="217"/>
      <c r="I21" s="217"/>
      <c r="J21" s="217"/>
      <c r="K21" s="217"/>
      <c r="L21" s="217"/>
      <c r="M21" s="217"/>
      <c r="N21" s="217"/>
      <c r="O21" s="217"/>
      <c r="P21" s="217"/>
      <c r="Q21" s="217"/>
      <c r="R21" s="217"/>
      <c r="S21" s="217"/>
      <c r="T21" s="217"/>
      <c r="AA21" s="17" t="s">
        <v>232</v>
      </c>
    </row>
    <row r="22" spans="3:27" x14ac:dyDescent="0.25">
      <c r="C22" s="82" t="s">
        <v>316</v>
      </c>
      <c r="D22" s="33" t="s">
        <v>68</v>
      </c>
      <c r="E22" s="91">
        <f>185000/35</f>
        <v>5285.7142857142853</v>
      </c>
      <c r="F22" s="84" t="s">
        <v>56</v>
      </c>
      <c r="H22" s="217"/>
      <c r="I22" s="217"/>
      <c r="J22" s="217"/>
      <c r="K22" s="217"/>
      <c r="L22" s="217"/>
      <c r="M22" s="217"/>
      <c r="N22" s="217"/>
      <c r="O22" s="217"/>
      <c r="P22" s="217"/>
      <c r="Q22" s="217"/>
      <c r="R22" s="217"/>
      <c r="S22" s="217"/>
      <c r="T22" s="217"/>
      <c r="AA22" s="17"/>
    </row>
    <row r="23" spans="3:27" x14ac:dyDescent="0.25">
      <c r="C23" s="82" t="s">
        <v>317</v>
      </c>
      <c r="D23" s="33" t="s">
        <v>69</v>
      </c>
      <c r="E23" s="91">
        <v>25000</v>
      </c>
      <c r="F23" s="84" t="s">
        <v>56</v>
      </c>
      <c r="H23" s="217"/>
      <c r="I23" s="217"/>
      <c r="J23" s="217"/>
      <c r="K23" s="217"/>
      <c r="L23" s="217"/>
      <c r="M23" s="217"/>
      <c r="N23" s="217"/>
      <c r="O23" s="217"/>
      <c r="P23" s="217"/>
      <c r="Q23" s="217"/>
      <c r="R23" s="217"/>
      <c r="S23" s="217"/>
      <c r="T23" s="217"/>
      <c r="AA23" s="17"/>
    </row>
    <row r="24" spans="3:27" x14ac:dyDescent="0.25">
      <c r="C24" s="82" t="s">
        <v>318</v>
      </c>
      <c r="D24" s="33" t="s">
        <v>70</v>
      </c>
      <c r="E24" s="91">
        <f>280000/20</f>
        <v>14000</v>
      </c>
      <c r="F24" s="84" t="s">
        <v>56</v>
      </c>
      <c r="H24" s="217"/>
      <c r="I24" s="217"/>
      <c r="J24" s="217"/>
      <c r="K24" s="217"/>
      <c r="L24" s="217"/>
      <c r="M24" s="217"/>
      <c r="N24" s="217"/>
      <c r="O24" s="217"/>
      <c r="P24" s="217"/>
      <c r="Q24" s="217"/>
      <c r="R24" s="217"/>
      <c r="S24" s="217"/>
      <c r="T24" s="217"/>
      <c r="AA24" s="17"/>
    </row>
    <row r="25" spans="3:27" x14ac:dyDescent="0.25">
      <c r="C25" s="82" t="s">
        <v>319</v>
      </c>
      <c r="D25" s="33" t="s">
        <v>71</v>
      </c>
      <c r="E25" s="91">
        <f>110000/20</f>
        <v>5500</v>
      </c>
      <c r="F25" s="84" t="s">
        <v>56</v>
      </c>
      <c r="H25" s="217"/>
      <c r="I25" s="217"/>
      <c r="J25" s="217"/>
      <c r="K25" s="217"/>
      <c r="L25" s="217"/>
      <c r="M25" s="217"/>
      <c r="N25" s="217"/>
      <c r="O25" s="217"/>
      <c r="P25" s="217"/>
      <c r="Q25" s="217"/>
      <c r="R25" s="217"/>
      <c r="S25" s="217"/>
      <c r="T25" s="217"/>
      <c r="AA25" s="17"/>
    </row>
    <row r="26" spans="3:27" x14ac:dyDescent="0.25">
      <c r="C26" s="82" t="s">
        <v>320</v>
      </c>
      <c r="D26" s="33" t="s">
        <v>61</v>
      </c>
      <c r="E26" s="91"/>
      <c r="F26" s="84" t="s">
        <v>56</v>
      </c>
      <c r="H26" s="217"/>
      <c r="I26" s="217"/>
      <c r="J26" s="217"/>
      <c r="K26" s="217"/>
      <c r="L26" s="217"/>
      <c r="M26" s="217"/>
      <c r="N26" s="217"/>
      <c r="O26" s="217"/>
      <c r="P26" s="217"/>
      <c r="Q26" s="217"/>
      <c r="R26" s="217"/>
      <c r="S26" s="217"/>
      <c r="T26" s="217"/>
      <c r="AA26" s="17"/>
    </row>
    <row r="27" spans="3:27" x14ac:dyDescent="0.25">
      <c r="C27" s="82" t="s">
        <v>321</v>
      </c>
      <c r="D27" s="33" t="s">
        <v>72</v>
      </c>
      <c r="E27" s="91">
        <v>3696</v>
      </c>
      <c r="F27" s="84" t="s">
        <v>56</v>
      </c>
      <c r="H27" s="217"/>
      <c r="I27" s="217"/>
      <c r="J27" s="217"/>
      <c r="K27" s="217"/>
      <c r="L27" s="217"/>
      <c r="M27" s="217"/>
      <c r="N27" s="217"/>
      <c r="O27" s="217"/>
      <c r="P27" s="217"/>
      <c r="Q27" s="217"/>
      <c r="R27" s="217"/>
      <c r="S27" s="217"/>
      <c r="T27" s="217"/>
      <c r="AA27" s="17"/>
    </row>
    <row r="28" spans="3:27" x14ac:dyDescent="0.25">
      <c r="C28" s="82" t="s">
        <v>322</v>
      </c>
      <c r="D28" s="33" t="s">
        <v>39</v>
      </c>
      <c r="E28" s="91">
        <v>3400</v>
      </c>
      <c r="F28" s="84" t="s">
        <v>56</v>
      </c>
      <c r="H28" s="217"/>
      <c r="I28" s="217"/>
      <c r="J28" s="217"/>
      <c r="K28" s="217"/>
      <c r="L28" s="217"/>
      <c r="M28" s="217"/>
      <c r="N28" s="217"/>
      <c r="O28" s="217"/>
      <c r="P28" s="217"/>
      <c r="Q28" s="217"/>
      <c r="R28" s="217"/>
      <c r="S28" s="217"/>
      <c r="T28" s="217"/>
      <c r="AA28" s="17"/>
    </row>
    <row r="29" spans="3:27" x14ac:dyDescent="0.25">
      <c r="C29" s="82" t="s">
        <v>323</v>
      </c>
      <c r="D29" s="33" t="s">
        <v>73</v>
      </c>
      <c r="E29" s="91"/>
      <c r="F29" s="84" t="s">
        <v>56</v>
      </c>
      <c r="H29" s="217"/>
      <c r="I29" s="217"/>
      <c r="J29" s="217"/>
      <c r="K29" s="217"/>
      <c r="L29" s="217"/>
      <c r="M29" s="217"/>
      <c r="N29" s="217"/>
      <c r="O29" s="217"/>
      <c r="P29" s="217"/>
      <c r="Q29" s="217"/>
      <c r="R29" s="217"/>
      <c r="S29" s="217"/>
      <c r="T29" s="217"/>
      <c r="AA29" s="17"/>
    </row>
    <row r="30" spans="3:27" x14ac:dyDescent="0.25">
      <c r="C30" s="82" t="s">
        <v>324</v>
      </c>
      <c r="D30" s="33" t="s">
        <v>74</v>
      </c>
      <c r="E30" s="91"/>
      <c r="F30" s="84" t="s">
        <v>56</v>
      </c>
      <c r="H30" s="217"/>
      <c r="I30" s="217"/>
      <c r="J30" s="217"/>
      <c r="K30" s="217"/>
      <c r="L30" s="217"/>
      <c r="M30" s="217"/>
      <c r="N30" s="217"/>
      <c r="O30" s="217"/>
      <c r="P30" s="217"/>
      <c r="Q30" s="217"/>
      <c r="R30" s="217"/>
      <c r="S30" s="217"/>
      <c r="T30" s="217"/>
      <c r="AA30" s="17"/>
    </row>
    <row r="31" spans="3:27" x14ac:dyDescent="0.25">
      <c r="C31" s="82" t="s">
        <v>325</v>
      </c>
      <c r="D31" s="33" t="s">
        <v>75</v>
      </c>
      <c r="E31" s="91"/>
      <c r="F31" s="84" t="s">
        <v>56</v>
      </c>
      <c r="H31" s="217"/>
      <c r="I31" s="217"/>
      <c r="J31" s="217"/>
      <c r="K31" s="217"/>
      <c r="L31" s="217"/>
      <c r="M31" s="217"/>
      <c r="N31" s="217"/>
      <c r="O31" s="217"/>
      <c r="P31" s="217"/>
      <c r="Q31" s="217"/>
      <c r="R31" s="217"/>
      <c r="S31" s="217"/>
      <c r="T31" s="217"/>
      <c r="AA31" s="17"/>
    </row>
    <row r="32" spans="3:27" x14ac:dyDescent="0.25">
      <c r="C32" s="82" t="s">
        <v>326</v>
      </c>
      <c r="D32" s="33" t="s">
        <v>49</v>
      </c>
      <c r="E32" s="91">
        <v>2000</v>
      </c>
      <c r="F32" s="84" t="s">
        <v>56</v>
      </c>
      <c r="H32" s="217"/>
      <c r="I32" s="217"/>
      <c r="J32" s="219"/>
      <c r="K32" s="220"/>
      <c r="L32" s="220"/>
      <c r="M32" s="219"/>
      <c r="N32" s="217"/>
      <c r="O32" s="217"/>
      <c r="P32" s="217"/>
      <c r="Q32" s="217"/>
      <c r="R32" s="217"/>
      <c r="S32" s="217"/>
      <c r="T32" s="217"/>
      <c r="AA32" s="17"/>
    </row>
    <row r="33" spans="3:27" ht="15.75" customHeight="1" x14ac:dyDescent="0.35">
      <c r="C33" s="82" t="s">
        <v>327</v>
      </c>
      <c r="D33" s="33" t="s">
        <v>44</v>
      </c>
      <c r="E33" s="91">
        <v>50</v>
      </c>
      <c r="F33" s="84" t="s">
        <v>67</v>
      </c>
      <c r="H33" s="217"/>
      <c r="I33" s="217"/>
      <c r="J33" s="219"/>
      <c r="K33" s="221"/>
      <c r="L33" s="222"/>
      <c r="M33" s="219"/>
      <c r="N33" s="217"/>
      <c r="O33" s="217"/>
      <c r="P33" s="217"/>
      <c r="Q33" s="217"/>
      <c r="R33" s="217"/>
      <c r="S33" s="217"/>
      <c r="T33" s="217"/>
      <c r="AA33" s="17"/>
    </row>
    <row r="34" spans="3:27" x14ac:dyDescent="0.25">
      <c r="C34" s="82" t="s">
        <v>328</v>
      </c>
      <c r="D34" s="33" t="s">
        <v>76</v>
      </c>
      <c r="E34" s="92">
        <v>4705</v>
      </c>
      <c r="F34" s="83" t="s">
        <v>56</v>
      </c>
      <c r="H34" s="217"/>
      <c r="I34" s="217"/>
      <c r="J34" s="219"/>
      <c r="K34" s="219"/>
      <c r="L34" s="219"/>
      <c r="M34" s="219"/>
      <c r="N34" s="217"/>
      <c r="O34" s="217"/>
      <c r="P34" s="217"/>
      <c r="Q34" s="217"/>
      <c r="R34" s="217"/>
      <c r="S34" s="217"/>
      <c r="T34" s="217"/>
      <c r="AA34" s="17"/>
    </row>
    <row r="35" spans="3:27" ht="13.5" customHeight="1" x14ac:dyDescent="0.25">
      <c r="C35" s="82" t="s">
        <v>329</v>
      </c>
      <c r="D35" s="88" t="s">
        <v>41</v>
      </c>
      <c r="E35" s="93">
        <v>4200</v>
      </c>
      <c r="F35" s="89" t="s">
        <v>56</v>
      </c>
      <c r="H35" s="362"/>
      <c r="I35" s="362"/>
      <c r="J35" s="362"/>
      <c r="K35" s="362"/>
      <c r="L35" s="362"/>
      <c r="M35" s="362"/>
      <c r="N35" s="362"/>
      <c r="O35" s="362"/>
      <c r="P35" s="362"/>
      <c r="Q35" s="362"/>
      <c r="R35" s="362"/>
      <c r="S35" s="362"/>
      <c r="T35" s="362"/>
    </row>
    <row r="36" spans="3:27" x14ac:dyDescent="0.25">
      <c r="H36" s="362"/>
      <c r="I36" s="362"/>
      <c r="J36" s="362"/>
      <c r="K36" s="362"/>
      <c r="L36" s="362"/>
      <c r="M36" s="362"/>
      <c r="N36" s="362"/>
      <c r="O36" s="362"/>
      <c r="P36" s="362"/>
      <c r="Q36" s="362"/>
      <c r="R36" s="362"/>
      <c r="S36" s="362"/>
      <c r="T36" s="362"/>
    </row>
  </sheetData>
  <mergeCells count="1">
    <mergeCell ref="H35:T36"/>
  </mergeCells>
  <phoneticPr fontId="12" type="noConversion"/>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FF563-339C-476B-84F8-B2C6E92EBFBB}">
  <sheetPr codeName="Hoja8">
    <tabColor theme="3" tint="-0.249977111117893"/>
  </sheetPr>
  <dimension ref="A1"/>
  <sheetViews>
    <sheetView showGridLines="0" showRowColHeaders="0" zoomScale="84" zoomScaleNormal="84" workbookViewId="0">
      <selection activeCell="O26" sqref="O26"/>
    </sheetView>
  </sheetViews>
  <sheetFormatPr baseColWidth="10" defaultRowHeight="15"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A5FED-B360-4954-B8B6-91A4BED60610}">
  <sheetPr codeName="Hoja21"/>
  <dimension ref="A7:F28"/>
  <sheetViews>
    <sheetView topLeftCell="A3" workbookViewId="0">
      <selection activeCell="A8" sqref="A8"/>
    </sheetView>
  </sheetViews>
  <sheetFormatPr baseColWidth="10" defaultRowHeight="15" x14ac:dyDescent="0.25"/>
  <cols>
    <col min="1" max="1" width="10.7109375" bestFit="1" customWidth="1"/>
    <col min="2" max="2" width="29.28515625" bestFit="1" customWidth="1"/>
    <col min="3" max="3" width="15" customWidth="1"/>
    <col min="4" max="4" width="16.7109375" customWidth="1"/>
    <col min="5" max="5" width="17.28515625" customWidth="1"/>
    <col min="6" max="6" width="14.85546875" customWidth="1"/>
  </cols>
  <sheetData>
    <row r="7" spans="1:6" x14ac:dyDescent="0.25">
      <c r="A7" t="s">
        <v>10</v>
      </c>
      <c r="B7" t="s">
        <v>4</v>
      </c>
      <c r="C7" s="3" t="s">
        <v>354</v>
      </c>
      <c r="D7" s="304" t="s">
        <v>355</v>
      </c>
      <c r="E7" s="304" t="s">
        <v>356</v>
      </c>
      <c r="F7" s="304" t="s">
        <v>357</v>
      </c>
    </row>
    <row r="8" spans="1:6" x14ac:dyDescent="0.25">
      <c r="A8" t="s">
        <v>358</v>
      </c>
      <c r="B8" t="s">
        <v>359</v>
      </c>
      <c r="C8" s="3" t="s">
        <v>360</v>
      </c>
      <c r="D8" s="304">
        <v>7542</v>
      </c>
      <c r="E8" s="304">
        <v>8600</v>
      </c>
      <c r="F8" s="304">
        <v>10800</v>
      </c>
    </row>
    <row r="9" spans="1:6" x14ac:dyDescent="0.25">
      <c r="A9" t="s">
        <v>361</v>
      </c>
      <c r="B9" t="s">
        <v>362</v>
      </c>
      <c r="C9" s="3" t="s">
        <v>363</v>
      </c>
      <c r="D9" s="304">
        <v>13403</v>
      </c>
      <c r="E9" s="304">
        <v>13403</v>
      </c>
      <c r="F9" s="304">
        <v>16800</v>
      </c>
    </row>
    <row r="10" spans="1:6" x14ac:dyDescent="0.25">
      <c r="A10" t="s">
        <v>364</v>
      </c>
      <c r="B10" t="s">
        <v>365</v>
      </c>
      <c r="C10" s="3" t="s">
        <v>366</v>
      </c>
      <c r="D10" s="304">
        <v>31455</v>
      </c>
      <c r="E10" s="304">
        <v>31455</v>
      </c>
      <c r="F10" s="304">
        <v>39300</v>
      </c>
    </row>
    <row r="11" spans="1:6" x14ac:dyDescent="0.25">
      <c r="A11" t="s">
        <v>367</v>
      </c>
      <c r="B11" t="s">
        <v>368</v>
      </c>
      <c r="C11" s="3" t="s">
        <v>369</v>
      </c>
      <c r="D11" s="304">
        <v>4772</v>
      </c>
      <c r="E11" s="304">
        <v>5500</v>
      </c>
      <c r="F11" s="304">
        <v>6800</v>
      </c>
    </row>
    <row r="12" spans="1:6" x14ac:dyDescent="0.25">
      <c r="A12" t="s">
        <v>370</v>
      </c>
      <c r="B12" t="s">
        <v>371</v>
      </c>
      <c r="C12" s="3" t="s">
        <v>363</v>
      </c>
      <c r="D12" s="304">
        <v>12387</v>
      </c>
      <c r="E12" s="304">
        <v>12387</v>
      </c>
      <c r="F12" s="304">
        <v>15500</v>
      </c>
    </row>
    <row r="13" spans="1:6" x14ac:dyDescent="0.25">
      <c r="A13" t="s">
        <v>372</v>
      </c>
      <c r="B13" t="s">
        <v>373</v>
      </c>
      <c r="C13" s="3" t="s">
        <v>366</v>
      </c>
      <c r="D13" s="304">
        <v>26801</v>
      </c>
      <c r="E13" s="304">
        <v>26801</v>
      </c>
      <c r="F13" s="304">
        <v>33500</v>
      </c>
    </row>
    <row r="14" spans="1:6" x14ac:dyDescent="0.25">
      <c r="A14" t="s">
        <v>374</v>
      </c>
      <c r="B14" t="s">
        <v>375</v>
      </c>
      <c r="C14" s="3" t="s">
        <v>360</v>
      </c>
      <c r="D14" s="304">
        <v>5209</v>
      </c>
      <c r="E14" s="304">
        <v>6000</v>
      </c>
      <c r="F14" s="304">
        <v>7400</v>
      </c>
    </row>
    <row r="15" spans="1:6" x14ac:dyDescent="0.25">
      <c r="A15" t="s">
        <v>376</v>
      </c>
      <c r="B15" t="s">
        <v>377</v>
      </c>
      <c r="C15" s="3" t="s">
        <v>363</v>
      </c>
      <c r="D15" s="304">
        <v>14106</v>
      </c>
      <c r="E15" s="304">
        <v>14106</v>
      </c>
      <c r="F15" s="304">
        <v>17600</v>
      </c>
    </row>
    <row r="16" spans="1:6" x14ac:dyDescent="0.25">
      <c r="A16" t="s">
        <v>378</v>
      </c>
      <c r="B16" t="s">
        <v>379</v>
      </c>
      <c r="C16" s="3" t="s">
        <v>366</v>
      </c>
      <c r="D16" s="304">
        <v>35429</v>
      </c>
      <c r="E16" s="304">
        <v>35429</v>
      </c>
      <c r="F16" s="304">
        <v>44300</v>
      </c>
    </row>
    <row r="17" spans="1:6" x14ac:dyDescent="0.25">
      <c r="A17" t="s">
        <v>380</v>
      </c>
      <c r="B17" t="s">
        <v>381</v>
      </c>
      <c r="C17" s="3" t="s">
        <v>382</v>
      </c>
      <c r="D17" s="304">
        <v>7213</v>
      </c>
      <c r="E17" s="304">
        <v>10300</v>
      </c>
      <c r="F17" s="304">
        <v>10300</v>
      </c>
    </row>
    <row r="18" spans="1:6" x14ac:dyDescent="0.25">
      <c r="A18" t="s">
        <v>383</v>
      </c>
      <c r="B18" t="s">
        <v>384</v>
      </c>
      <c r="C18" s="3" t="s">
        <v>363</v>
      </c>
      <c r="D18" s="304">
        <v>21973</v>
      </c>
      <c r="E18" s="304">
        <v>21973</v>
      </c>
      <c r="F18" s="304">
        <v>27500</v>
      </c>
    </row>
    <row r="19" spans="1:6" x14ac:dyDescent="0.25">
      <c r="A19" t="s">
        <v>385</v>
      </c>
      <c r="B19" t="s">
        <v>386</v>
      </c>
      <c r="C19" s="3" t="s">
        <v>366</v>
      </c>
      <c r="D19" s="304">
        <v>51694</v>
      </c>
      <c r="E19" s="304">
        <v>51694</v>
      </c>
      <c r="F19" s="304">
        <v>64600</v>
      </c>
    </row>
    <row r="20" spans="1:6" x14ac:dyDescent="0.25">
      <c r="A20" t="s">
        <v>387</v>
      </c>
      <c r="B20" t="s">
        <v>388</v>
      </c>
      <c r="C20" s="3" t="s">
        <v>360</v>
      </c>
      <c r="D20" s="304">
        <v>12130</v>
      </c>
      <c r="E20" s="304">
        <v>13900</v>
      </c>
      <c r="F20" s="304">
        <v>17300</v>
      </c>
    </row>
    <row r="21" spans="1:6" x14ac:dyDescent="0.25">
      <c r="A21" t="s">
        <v>389</v>
      </c>
      <c r="B21" t="s">
        <v>390</v>
      </c>
      <c r="C21" s="3" t="s">
        <v>363</v>
      </c>
      <c r="D21" s="304">
        <v>21708</v>
      </c>
      <c r="E21" s="304">
        <v>21708</v>
      </c>
      <c r="F21" s="304">
        <v>27100</v>
      </c>
    </row>
    <row r="22" spans="1:6" x14ac:dyDescent="0.25">
      <c r="A22" t="s">
        <v>391</v>
      </c>
      <c r="B22" t="s">
        <v>392</v>
      </c>
      <c r="C22" s="3" t="s">
        <v>366</v>
      </c>
      <c r="D22" s="304">
        <v>51145</v>
      </c>
      <c r="E22" s="304">
        <v>51145</v>
      </c>
      <c r="F22" s="304">
        <v>63900</v>
      </c>
    </row>
    <row r="23" spans="1:6" x14ac:dyDescent="0.25">
      <c r="A23" t="s">
        <v>393</v>
      </c>
      <c r="B23" t="s">
        <v>394</v>
      </c>
      <c r="C23" s="3" t="s">
        <v>363</v>
      </c>
      <c r="D23" s="304">
        <v>8535</v>
      </c>
      <c r="E23" s="304">
        <v>9800</v>
      </c>
      <c r="F23" s="304">
        <v>12200</v>
      </c>
    </row>
    <row r="24" spans="1:6" x14ac:dyDescent="0.25">
      <c r="A24" t="s">
        <v>395</v>
      </c>
      <c r="B24" t="s">
        <v>396</v>
      </c>
      <c r="C24" s="3" t="s">
        <v>363</v>
      </c>
      <c r="D24" s="304">
        <v>16512</v>
      </c>
      <c r="E24" s="304">
        <v>16512</v>
      </c>
      <c r="F24" s="304">
        <v>20600</v>
      </c>
    </row>
    <row r="25" spans="1:6" x14ac:dyDescent="0.25">
      <c r="A25" t="s">
        <v>397</v>
      </c>
      <c r="B25" t="s">
        <v>398</v>
      </c>
      <c r="C25" s="3" t="s">
        <v>366</v>
      </c>
      <c r="D25" s="304">
        <v>33880</v>
      </c>
      <c r="E25" s="304">
        <v>33880</v>
      </c>
      <c r="F25" s="304">
        <v>42400</v>
      </c>
    </row>
    <row r="26" spans="1:6" x14ac:dyDescent="0.25">
      <c r="A26" t="s">
        <v>399</v>
      </c>
      <c r="B26" t="s">
        <v>400</v>
      </c>
      <c r="C26" s="3" t="s">
        <v>401</v>
      </c>
      <c r="D26" s="304">
        <v>6390</v>
      </c>
      <c r="E26" s="304">
        <v>7200</v>
      </c>
      <c r="F26" s="304">
        <v>9000</v>
      </c>
    </row>
    <row r="27" spans="1:6" x14ac:dyDescent="0.25">
      <c r="A27" t="s">
        <v>402</v>
      </c>
      <c r="B27" t="s">
        <v>403</v>
      </c>
      <c r="C27" s="3" t="s">
        <v>363</v>
      </c>
      <c r="D27" s="304">
        <v>18820</v>
      </c>
      <c r="E27" s="304">
        <v>18820</v>
      </c>
      <c r="F27" s="304">
        <v>23500</v>
      </c>
    </row>
    <row r="28" spans="1:6" x14ac:dyDescent="0.25">
      <c r="A28" t="s">
        <v>404</v>
      </c>
      <c r="B28" t="s">
        <v>405</v>
      </c>
      <c r="C28" s="3" t="s">
        <v>366</v>
      </c>
      <c r="D28" s="304">
        <v>47682</v>
      </c>
      <c r="E28" s="304">
        <v>47682</v>
      </c>
      <c r="F28" s="304">
        <v>59600</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DA2CC-E060-4A18-8BF7-255EA358B2CE}">
  <sheetPr codeName="Hoja9">
    <tabColor theme="5" tint="-0.249977111117893"/>
  </sheetPr>
  <dimension ref="A1:P16"/>
  <sheetViews>
    <sheetView showGridLines="0" showRowColHeaders="0" topLeftCell="A4" workbookViewId="0">
      <selection activeCell="I20" sqref="I20"/>
    </sheetView>
  </sheetViews>
  <sheetFormatPr baseColWidth="10" defaultRowHeight="23.25" x14ac:dyDescent="0.35"/>
  <cols>
    <col min="1" max="1" width="3" customWidth="1"/>
    <col min="2" max="2" width="4.42578125" customWidth="1"/>
    <col min="3" max="3" width="23.7109375" style="52" bestFit="1" customWidth="1"/>
  </cols>
  <sheetData>
    <row r="1" spans="1:16" ht="24" thickBot="1" x14ac:dyDescent="0.4"/>
    <row r="2" spans="1:16" x14ac:dyDescent="0.35">
      <c r="A2" s="53"/>
      <c r="B2" s="54"/>
      <c r="C2" s="55"/>
      <c r="D2" s="54"/>
      <c r="E2" s="54"/>
      <c r="F2" s="54"/>
      <c r="G2" s="54"/>
      <c r="H2" s="54"/>
      <c r="I2" s="54"/>
      <c r="J2" s="54"/>
      <c r="K2" s="54"/>
      <c r="L2" s="54"/>
      <c r="M2" s="54"/>
      <c r="N2" s="54"/>
      <c r="O2" s="54"/>
      <c r="P2" s="56"/>
    </row>
    <row r="3" spans="1:16" x14ac:dyDescent="0.35">
      <c r="A3" s="57"/>
      <c r="B3" s="58"/>
      <c r="C3" s="59"/>
      <c r="D3" s="58"/>
      <c r="E3" s="58"/>
      <c r="F3" s="58"/>
      <c r="G3" s="58"/>
      <c r="H3" s="58"/>
      <c r="I3" s="58"/>
      <c r="J3" s="58"/>
      <c r="K3" s="58"/>
      <c r="L3" s="58"/>
      <c r="M3" s="58"/>
      <c r="N3" s="58"/>
      <c r="O3" s="58"/>
      <c r="P3" s="60"/>
    </row>
    <row r="4" spans="1:16" ht="24" thickBot="1" x14ac:dyDescent="0.4">
      <c r="A4" s="57"/>
      <c r="B4" s="58"/>
      <c r="C4" s="59"/>
      <c r="D4" s="58"/>
      <c r="E4" s="58"/>
      <c r="F4" s="58"/>
      <c r="G4" s="58"/>
      <c r="H4" s="58"/>
      <c r="I4" s="58"/>
      <c r="J4" s="58"/>
      <c r="K4" s="58"/>
      <c r="L4" s="58"/>
      <c r="M4" s="58"/>
      <c r="N4" s="58"/>
      <c r="O4" s="58"/>
      <c r="P4" s="60"/>
    </row>
    <row r="5" spans="1:16" ht="24" thickBot="1" x14ac:dyDescent="0.4">
      <c r="A5" s="57"/>
      <c r="B5" s="58"/>
      <c r="C5" s="225" t="s">
        <v>90</v>
      </c>
      <c r="D5" s="58"/>
      <c r="E5" s="58"/>
      <c r="F5" s="58"/>
      <c r="G5" s="58"/>
      <c r="H5" s="58"/>
      <c r="I5" s="58"/>
      <c r="J5" s="58"/>
      <c r="K5" s="58"/>
      <c r="L5" s="58"/>
      <c r="M5" s="58"/>
      <c r="N5" s="58"/>
      <c r="O5" s="58"/>
      <c r="P5" s="60"/>
    </row>
    <row r="6" spans="1:16" ht="24" thickBot="1" x14ac:dyDescent="0.4">
      <c r="A6" s="57"/>
      <c r="B6" s="58"/>
      <c r="C6" s="226" t="s">
        <v>100</v>
      </c>
      <c r="D6" s="58"/>
      <c r="E6" s="58"/>
      <c r="F6" s="58"/>
      <c r="G6" s="58"/>
      <c r="H6" s="58"/>
      <c r="I6" s="58"/>
      <c r="J6" s="58"/>
      <c r="K6" s="58"/>
      <c r="L6" s="58"/>
      <c r="M6" s="58"/>
      <c r="N6" s="58"/>
      <c r="O6" s="58"/>
      <c r="P6" s="60"/>
    </row>
    <row r="7" spans="1:16" ht="15" x14ac:dyDescent="0.25">
      <c r="A7" s="57"/>
      <c r="B7" s="58"/>
      <c r="C7" s="61"/>
      <c r="D7" s="58"/>
      <c r="E7" s="58"/>
      <c r="F7" s="58"/>
      <c r="G7" s="58"/>
      <c r="H7" s="58"/>
      <c r="I7" s="58"/>
      <c r="J7" s="58"/>
      <c r="K7" s="58"/>
      <c r="L7" s="58"/>
      <c r="M7" s="58"/>
      <c r="N7" s="58"/>
      <c r="O7" s="58"/>
      <c r="P7" s="60"/>
    </row>
    <row r="8" spans="1:16" ht="15" x14ac:dyDescent="0.25">
      <c r="A8" s="57"/>
      <c r="B8" s="58"/>
      <c r="C8" s="61"/>
      <c r="D8" s="58"/>
      <c r="E8" s="58"/>
      <c r="F8" s="58"/>
      <c r="G8" s="58"/>
      <c r="H8" s="58"/>
      <c r="I8" s="58"/>
      <c r="J8" s="58"/>
      <c r="K8" s="58"/>
      <c r="L8" s="62"/>
      <c r="M8" s="58"/>
      <c r="N8" s="58"/>
      <c r="O8" s="58"/>
      <c r="P8" s="60"/>
    </row>
    <row r="9" spans="1:16" ht="15" x14ac:dyDescent="0.25">
      <c r="A9" s="57"/>
      <c r="B9" s="58"/>
      <c r="C9" s="61"/>
      <c r="D9" s="58"/>
      <c r="E9" s="58"/>
      <c r="F9" s="58"/>
      <c r="G9" s="58"/>
      <c r="H9" s="58"/>
      <c r="I9" s="58"/>
      <c r="J9" s="58"/>
      <c r="K9" s="58"/>
      <c r="L9" s="58"/>
      <c r="M9" s="58"/>
      <c r="N9" s="58"/>
      <c r="O9" s="58"/>
      <c r="P9" s="60"/>
    </row>
    <row r="10" spans="1:16" ht="15" x14ac:dyDescent="0.25">
      <c r="A10" s="57"/>
      <c r="B10" s="58"/>
      <c r="C10" s="61"/>
      <c r="D10" s="58"/>
      <c r="E10" s="58"/>
      <c r="F10" s="58"/>
      <c r="G10" s="58"/>
      <c r="H10" s="58"/>
      <c r="I10" s="58"/>
      <c r="J10" s="58"/>
      <c r="K10" s="58"/>
      <c r="L10" s="58"/>
      <c r="M10" s="58"/>
      <c r="N10" s="58"/>
      <c r="O10" s="58"/>
      <c r="P10" s="60"/>
    </row>
    <row r="11" spans="1:16" ht="15" x14ac:dyDescent="0.25">
      <c r="A11" s="57"/>
      <c r="B11" s="58"/>
      <c r="C11" s="61"/>
      <c r="D11" s="58"/>
      <c r="E11" s="58"/>
      <c r="F11" s="58"/>
      <c r="G11" s="58"/>
      <c r="H11" s="58"/>
      <c r="I11" s="58"/>
      <c r="J11" s="58"/>
      <c r="K11" s="58"/>
      <c r="L11" s="58"/>
      <c r="M11" s="58"/>
      <c r="N11" s="58"/>
      <c r="O11" s="58"/>
      <c r="P11" s="60"/>
    </row>
    <row r="12" spans="1:16" ht="15" x14ac:dyDescent="0.25">
      <c r="A12" s="57"/>
      <c r="B12" s="58"/>
      <c r="C12" s="61"/>
      <c r="D12" s="58"/>
      <c r="E12" s="58"/>
      <c r="F12" s="58"/>
      <c r="G12" s="58"/>
      <c r="H12" s="58"/>
      <c r="I12" s="58"/>
      <c r="J12" s="58"/>
      <c r="K12" s="58"/>
      <c r="L12" s="58"/>
      <c r="M12" s="58"/>
      <c r="N12" s="58"/>
      <c r="O12" s="58"/>
      <c r="P12" s="60"/>
    </row>
    <row r="13" spans="1:16" ht="15" x14ac:dyDescent="0.25">
      <c r="A13" s="57"/>
      <c r="B13" s="58"/>
      <c r="C13" s="61"/>
      <c r="D13" s="58"/>
      <c r="E13" s="58"/>
      <c r="F13" s="58"/>
      <c r="G13" s="58"/>
      <c r="H13" s="58"/>
      <c r="I13" s="58"/>
      <c r="J13" s="58"/>
      <c r="K13" s="58"/>
      <c r="L13" s="58"/>
      <c r="M13" s="58"/>
      <c r="N13" s="58"/>
      <c r="O13" s="58"/>
      <c r="P13" s="60"/>
    </row>
    <row r="14" spans="1:16" x14ac:dyDescent="0.35">
      <c r="A14" s="57"/>
      <c r="B14" s="58"/>
      <c r="C14" s="59"/>
      <c r="D14" s="58"/>
      <c r="E14" s="58"/>
      <c r="F14" s="58"/>
      <c r="G14" s="58"/>
      <c r="H14" s="58"/>
      <c r="I14" s="58"/>
      <c r="J14" s="58"/>
      <c r="K14" s="58"/>
      <c r="L14" s="58"/>
      <c r="M14" s="58"/>
      <c r="N14" s="58"/>
      <c r="O14" s="58"/>
      <c r="P14" s="60"/>
    </row>
    <row r="15" spans="1:16" x14ac:dyDescent="0.35">
      <c r="A15" s="57"/>
      <c r="B15" s="58"/>
      <c r="C15" s="59"/>
      <c r="D15" s="58"/>
      <c r="E15" s="58"/>
      <c r="F15" s="58"/>
      <c r="G15" s="58"/>
      <c r="H15" s="58"/>
      <c r="I15" s="58"/>
      <c r="J15" s="58"/>
      <c r="K15" s="58"/>
      <c r="L15" s="58"/>
      <c r="M15" s="58"/>
      <c r="N15" s="58"/>
      <c r="O15" s="58"/>
      <c r="P15" s="60"/>
    </row>
    <row r="16" spans="1:16" ht="24" thickBot="1" x14ac:dyDescent="0.4">
      <c r="A16" s="63"/>
      <c r="B16" s="64"/>
      <c r="C16" s="65"/>
      <c r="D16" s="64"/>
      <c r="E16" s="64"/>
      <c r="F16" s="64"/>
      <c r="G16" s="64"/>
      <c r="H16" s="64"/>
      <c r="I16" s="64"/>
      <c r="J16" s="64"/>
      <c r="K16" s="64"/>
      <c r="L16" s="64"/>
      <c r="M16" s="64"/>
      <c r="N16" s="64"/>
      <c r="O16" s="64"/>
      <c r="P16" s="6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B50FA-80F7-493A-B5E6-2DB20D89D404}">
  <sheetPr codeName="Hoja10">
    <tabColor theme="1" tint="4.9989318521683403E-2"/>
  </sheetPr>
  <dimension ref="B4:P36"/>
  <sheetViews>
    <sheetView topLeftCell="A4" zoomScale="84" zoomScaleNormal="84" workbookViewId="0">
      <selection activeCell="O23" sqref="O23"/>
    </sheetView>
  </sheetViews>
  <sheetFormatPr baseColWidth="10" defaultRowHeight="21" x14ac:dyDescent="0.35"/>
  <cols>
    <col min="1" max="1" width="2.7109375" customWidth="1"/>
    <col min="2" max="2" width="28.7109375" bestFit="1" customWidth="1"/>
    <col min="3" max="3" width="12.28515625" bestFit="1" customWidth="1"/>
    <col min="4" max="4" width="17" style="67" bestFit="1" customWidth="1"/>
    <col min="5" max="5" width="11.28515625" style="67" customWidth="1"/>
    <col min="6" max="6" width="22.7109375" bestFit="1" customWidth="1"/>
    <col min="7" max="7" width="18.7109375" bestFit="1" customWidth="1"/>
    <col min="8" max="8" width="18.140625" bestFit="1" customWidth="1"/>
    <col min="9" max="11" width="5" bestFit="1" customWidth="1"/>
    <col min="12" max="12" width="12.5703125" bestFit="1" customWidth="1"/>
    <col min="16" max="16" width="17.5703125" bestFit="1" customWidth="1"/>
    <col min="17" max="17" width="17" bestFit="1" customWidth="1"/>
    <col min="19" max="19" width="17.5703125" bestFit="1" customWidth="1"/>
    <col min="20" max="20" width="17" bestFit="1" customWidth="1"/>
  </cols>
  <sheetData>
    <row r="4" spans="2:16" ht="15" x14ac:dyDescent="0.25">
      <c r="D4"/>
      <c r="E4"/>
    </row>
    <row r="5" spans="2:16" ht="15" x14ac:dyDescent="0.25">
      <c r="D5"/>
      <c r="E5"/>
    </row>
    <row r="6" spans="2:16" ht="45.75" customHeight="1" x14ac:dyDescent="0.7">
      <c r="B6" s="363" t="s">
        <v>239</v>
      </c>
      <c r="C6" s="363"/>
      <c r="D6" s="363"/>
      <c r="E6" s="363"/>
      <c r="F6" s="363"/>
      <c r="G6" s="363"/>
      <c r="H6" s="363"/>
      <c r="I6" s="363"/>
      <c r="J6" s="363"/>
      <c r="K6" s="363"/>
      <c r="L6" s="363"/>
    </row>
    <row r="7" spans="2:16" ht="20.100000000000001" customHeight="1" x14ac:dyDescent="0.25">
      <c r="B7" s="212"/>
      <c r="C7" s="212"/>
      <c r="D7" s="122"/>
      <c r="E7" s="122"/>
      <c r="F7" s="212"/>
      <c r="G7" s="212"/>
      <c r="H7" s="212"/>
      <c r="I7" s="212"/>
      <c r="J7" s="212"/>
      <c r="K7" s="212"/>
      <c r="L7" s="212"/>
    </row>
    <row r="8" spans="2:16" x14ac:dyDescent="0.35">
      <c r="B8" s="215" t="s">
        <v>240</v>
      </c>
      <c r="C8" s="216" t="s">
        <v>241</v>
      </c>
      <c r="D8" s="214"/>
      <c r="E8" s="122"/>
      <c r="F8" s="212"/>
      <c r="G8" s="212"/>
      <c r="H8" s="212"/>
      <c r="I8" s="212"/>
      <c r="J8" s="212"/>
      <c r="K8" s="212"/>
      <c r="L8" s="212"/>
    </row>
    <row r="9" spans="2:16" x14ac:dyDescent="0.35">
      <c r="B9" s="216" t="s">
        <v>96</v>
      </c>
      <c r="C9" s="258">
        <v>720</v>
      </c>
      <c r="D9" s="214"/>
      <c r="E9" s="122"/>
      <c r="F9" s="212"/>
      <c r="G9" s="212"/>
      <c r="H9" s="212"/>
      <c r="I9" s="212"/>
      <c r="J9" s="212"/>
      <c r="K9" s="212"/>
      <c r="L9" s="212"/>
    </row>
    <row r="10" spans="2:16" x14ac:dyDescent="0.35">
      <c r="B10" s="216" t="s">
        <v>8</v>
      </c>
      <c r="C10" s="258">
        <v>800</v>
      </c>
      <c r="D10" s="214"/>
      <c r="E10" s="122"/>
      <c r="F10" s="212"/>
      <c r="G10" s="212"/>
      <c r="H10" s="212"/>
      <c r="I10" s="212"/>
      <c r="J10" s="212"/>
      <c r="K10" s="212"/>
      <c r="L10" s="212"/>
    </row>
    <row r="11" spans="2:16" x14ac:dyDescent="0.35">
      <c r="B11" s="216" t="s">
        <v>9</v>
      </c>
      <c r="C11" s="258">
        <v>300</v>
      </c>
      <c r="D11" s="214"/>
      <c r="E11" s="122"/>
      <c r="F11" s="212"/>
      <c r="G11" s="212"/>
      <c r="H11" s="212"/>
      <c r="I11" s="212"/>
      <c r="J11" s="212"/>
      <c r="K11" s="212"/>
      <c r="L11" s="212"/>
    </row>
    <row r="12" spans="2:16" x14ac:dyDescent="0.35">
      <c r="B12" s="216" t="s">
        <v>7</v>
      </c>
      <c r="C12" s="258">
        <v>2150</v>
      </c>
      <c r="D12" s="214"/>
      <c r="E12" s="122"/>
      <c r="F12" s="212"/>
      <c r="G12" s="212"/>
      <c r="H12" s="212"/>
      <c r="I12" s="212"/>
      <c r="J12" s="212"/>
      <c r="K12" s="212"/>
      <c r="L12" s="212"/>
    </row>
    <row r="13" spans="2:16" x14ac:dyDescent="0.35">
      <c r="B13" s="216" t="s">
        <v>6</v>
      </c>
      <c r="C13" s="258">
        <v>2070</v>
      </c>
      <c r="D13" s="214"/>
      <c r="E13" s="122"/>
      <c r="F13" s="212"/>
      <c r="G13" s="212"/>
      <c r="H13" s="212"/>
      <c r="I13" s="212"/>
      <c r="J13" s="212"/>
      <c r="K13" s="212"/>
      <c r="L13" s="212"/>
      <c r="P13" s="213"/>
    </row>
    <row r="14" spans="2:16" x14ac:dyDescent="0.35">
      <c r="B14" s="216" t="s">
        <v>100</v>
      </c>
      <c r="C14" s="258">
        <v>1800</v>
      </c>
      <c r="D14" s="214"/>
      <c r="E14" s="122"/>
      <c r="F14" s="212"/>
      <c r="G14" s="212"/>
      <c r="H14" s="212"/>
      <c r="I14" s="212"/>
      <c r="J14" s="212"/>
      <c r="K14" s="212"/>
      <c r="L14" s="212"/>
    </row>
    <row r="15" spans="2:16" x14ac:dyDescent="0.35">
      <c r="B15" s="216" t="s">
        <v>97</v>
      </c>
      <c r="C15" s="258">
        <v>460</v>
      </c>
      <c r="D15" s="214"/>
      <c r="E15" s="122"/>
      <c r="F15" s="212"/>
      <c r="G15" s="212"/>
      <c r="H15" s="212"/>
      <c r="I15" s="212"/>
      <c r="J15" s="212"/>
      <c r="K15" s="212"/>
      <c r="L15" s="212"/>
    </row>
    <row r="16" spans="2:16" x14ac:dyDescent="0.35">
      <c r="B16" s="216" t="s">
        <v>98</v>
      </c>
      <c r="C16" s="258">
        <v>1911</v>
      </c>
      <c r="D16" s="214"/>
      <c r="E16" s="122"/>
      <c r="F16" s="212"/>
      <c r="G16" s="212"/>
      <c r="H16" s="212"/>
      <c r="I16" s="212"/>
      <c r="J16" s="212"/>
      <c r="K16" s="212"/>
      <c r="L16" s="212"/>
    </row>
    <row r="17" spans="2:12" x14ac:dyDescent="0.35">
      <c r="B17" s="216" t="s">
        <v>243</v>
      </c>
      <c r="C17" s="259">
        <f>SUM(C9:C16)</f>
        <v>10211</v>
      </c>
      <c r="D17" s="214"/>
      <c r="E17" s="122"/>
      <c r="F17" s="212"/>
      <c r="G17" s="212"/>
      <c r="H17" s="212"/>
      <c r="I17" s="212"/>
      <c r="J17" s="212"/>
      <c r="K17" s="212"/>
      <c r="L17" s="212"/>
    </row>
    <row r="18" spans="2:12" ht="15" customHeight="1" x14ac:dyDescent="0.25">
      <c r="B18" s="364" t="s">
        <v>242</v>
      </c>
      <c r="C18" s="367" t="str">
        <f>INDEX(B9:B16,(MATCH(MAX(C9:C16),C9:C16,0)))</f>
        <v>Lavaplatos en Crema</v>
      </c>
      <c r="D18" s="368"/>
      <c r="E18" s="369"/>
      <c r="F18" s="212"/>
      <c r="G18" s="212"/>
      <c r="H18" s="212"/>
      <c r="I18" s="212"/>
      <c r="J18" s="212"/>
      <c r="K18" s="212"/>
      <c r="L18" s="212"/>
    </row>
    <row r="19" spans="2:12" ht="15" customHeight="1" x14ac:dyDescent="0.25">
      <c r="B19" s="365"/>
      <c r="C19" s="370"/>
      <c r="D19" s="371"/>
      <c r="E19" s="372"/>
      <c r="F19" s="212"/>
      <c r="G19" s="212"/>
      <c r="H19" s="212"/>
      <c r="I19" s="212"/>
      <c r="J19" s="212"/>
      <c r="K19" s="212"/>
      <c r="L19" s="212"/>
    </row>
    <row r="20" spans="2:12" ht="15" customHeight="1" x14ac:dyDescent="0.25">
      <c r="B20" s="365"/>
      <c r="C20" s="370"/>
      <c r="D20" s="371"/>
      <c r="E20" s="372"/>
      <c r="F20" s="212"/>
      <c r="G20" s="212"/>
      <c r="H20" s="212"/>
      <c r="I20" s="212"/>
      <c r="J20" s="212"/>
      <c r="K20" s="212"/>
      <c r="L20" s="212"/>
    </row>
    <row r="21" spans="2:12" ht="15" customHeight="1" x14ac:dyDescent="0.25">
      <c r="B21" s="366"/>
      <c r="C21" s="373"/>
      <c r="D21" s="374"/>
      <c r="E21" s="375"/>
      <c r="F21" s="212"/>
      <c r="G21" s="212"/>
      <c r="H21" s="212"/>
      <c r="I21" s="212"/>
      <c r="J21" s="212"/>
      <c r="K21" s="212"/>
      <c r="L21" s="212"/>
    </row>
    <row r="22" spans="2:12" ht="15" x14ac:dyDescent="0.25">
      <c r="B22" s="122"/>
      <c r="C22" s="122"/>
      <c r="D22" s="122"/>
      <c r="E22" s="122"/>
      <c r="F22" s="212"/>
      <c r="G22" s="212"/>
      <c r="H22" s="212"/>
      <c r="I22" s="212"/>
      <c r="J22" s="212"/>
      <c r="K22" s="212"/>
      <c r="L22" s="212"/>
    </row>
    <row r="23" spans="2:12" ht="15" x14ac:dyDescent="0.25">
      <c r="B23" s="122"/>
      <c r="C23" s="122"/>
      <c r="D23" s="122"/>
      <c r="E23" s="122"/>
      <c r="F23" s="212"/>
      <c r="G23" s="212"/>
      <c r="H23" s="212"/>
      <c r="I23" s="212"/>
      <c r="J23" s="212"/>
      <c r="K23" s="212"/>
      <c r="L23" s="212"/>
    </row>
    <row r="24" spans="2:12" ht="15" x14ac:dyDescent="0.25">
      <c r="B24" s="122"/>
      <c r="C24" s="122"/>
      <c r="D24" s="122"/>
      <c r="E24" s="122"/>
      <c r="F24" s="212"/>
      <c r="G24" s="212"/>
      <c r="H24" s="212"/>
      <c r="I24" s="212"/>
      <c r="J24" s="212"/>
      <c r="K24" s="212"/>
      <c r="L24" s="212"/>
    </row>
    <row r="25" spans="2:12" ht="15" x14ac:dyDescent="0.25">
      <c r="B25" s="122"/>
      <c r="C25" s="122"/>
      <c r="D25" s="122"/>
      <c r="E25" s="122"/>
      <c r="F25" s="212"/>
      <c r="G25" s="212"/>
      <c r="H25" s="212"/>
      <c r="I25" s="212"/>
      <c r="J25" s="212"/>
      <c r="K25" s="212"/>
      <c r="L25" s="212"/>
    </row>
    <row r="26" spans="2:12" ht="15" x14ac:dyDescent="0.25">
      <c r="B26" s="122"/>
      <c r="C26" s="122"/>
      <c r="D26" s="122"/>
      <c r="E26" s="122"/>
      <c r="F26" s="212"/>
      <c r="G26" s="212"/>
      <c r="H26" s="212"/>
      <c r="I26" s="212"/>
      <c r="J26" s="212"/>
      <c r="K26" s="212"/>
      <c r="L26" s="212"/>
    </row>
    <row r="27" spans="2:12" ht="15" x14ac:dyDescent="0.25">
      <c r="B27" s="122"/>
      <c r="C27" s="122"/>
      <c r="D27" s="122"/>
      <c r="E27" s="122"/>
      <c r="F27" s="212"/>
      <c r="G27" s="212"/>
      <c r="H27" s="212"/>
      <c r="I27" s="212"/>
      <c r="J27" s="212"/>
      <c r="K27" s="212"/>
      <c r="L27" s="212"/>
    </row>
    <row r="28" spans="2:12" ht="15" x14ac:dyDescent="0.25">
      <c r="B28" s="122"/>
      <c r="C28" s="122"/>
      <c r="D28" s="122"/>
      <c r="E28" s="122"/>
      <c r="F28" s="212"/>
      <c r="G28" s="212"/>
      <c r="H28" s="212"/>
      <c r="I28" s="212"/>
      <c r="J28" s="212"/>
      <c r="K28" s="212"/>
      <c r="L28" s="212"/>
    </row>
    <row r="29" spans="2:12" ht="15" x14ac:dyDescent="0.25">
      <c r="B29" s="122"/>
      <c r="C29" s="122"/>
      <c r="D29" s="122"/>
      <c r="E29" s="122"/>
      <c r="F29" s="212"/>
      <c r="G29" s="212"/>
      <c r="H29" s="212"/>
      <c r="I29" s="212"/>
      <c r="J29" s="212"/>
      <c r="K29" s="212"/>
      <c r="L29" s="212"/>
    </row>
    <row r="30" spans="2:12" ht="15" x14ac:dyDescent="0.25">
      <c r="B30" s="122"/>
      <c r="C30" s="122"/>
      <c r="D30" s="122"/>
      <c r="E30" s="122"/>
      <c r="F30" s="212"/>
      <c r="G30" s="212"/>
      <c r="H30" s="212"/>
      <c r="I30" s="212"/>
      <c r="J30" s="212"/>
      <c r="K30" s="212"/>
      <c r="L30" s="212"/>
    </row>
    <row r="31" spans="2:12" ht="15" x14ac:dyDescent="0.25">
      <c r="B31" s="122"/>
      <c r="C31" s="122"/>
      <c r="D31" s="122"/>
      <c r="E31" s="122"/>
      <c r="F31" s="212"/>
      <c r="G31" s="212"/>
      <c r="H31" s="212"/>
      <c r="I31" s="212"/>
      <c r="J31" s="212"/>
      <c r="K31" s="212"/>
      <c r="L31" s="212"/>
    </row>
    <row r="32" spans="2:12" ht="15" x14ac:dyDescent="0.25">
      <c r="B32" s="122"/>
      <c r="C32" s="122"/>
      <c r="D32" s="122"/>
      <c r="E32" s="122"/>
      <c r="F32" s="212"/>
      <c r="G32" s="212"/>
      <c r="H32" s="212"/>
      <c r="I32" s="212"/>
      <c r="J32" s="212"/>
      <c r="K32" s="212"/>
      <c r="L32" s="212"/>
    </row>
    <row r="33" spans="2:12" ht="15" x14ac:dyDescent="0.25">
      <c r="B33" s="212"/>
      <c r="C33" s="212"/>
      <c r="D33" s="212"/>
      <c r="E33" s="212"/>
      <c r="F33" s="212"/>
      <c r="G33" s="212"/>
      <c r="H33" s="212"/>
      <c r="I33" s="212"/>
      <c r="J33" s="212"/>
      <c r="K33" s="212"/>
      <c r="L33" s="212"/>
    </row>
    <row r="34" spans="2:12" ht="15" x14ac:dyDescent="0.25">
      <c r="B34" s="212"/>
      <c r="C34" s="212"/>
      <c r="D34" s="212"/>
      <c r="E34" s="212"/>
      <c r="F34" s="212"/>
      <c r="G34" s="212"/>
      <c r="H34" s="212"/>
      <c r="I34" s="212"/>
      <c r="J34" s="212"/>
      <c r="K34" s="212"/>
      <c r="L34" s="212"/>
    </row>
    <row r="35" spans="2:12" ht="15" x14ac:dyDescent="0.25">
      <c r="B35" s="212"/>
      <c r="C35" s="212"/>
      <c r="D35" s="212"/>
      <c r="E35" s="212"/>
      <c r="F35" s="212"/>
      <c r="G35" s="212"/>
      <c r="H35" s="212"/>
      <c r="I35" s="212"/>
      <c r="J35" s="212"/>
      <c r="K35" s="212"/>
      <c r="L35" s="212"/>
    </row>
    <row r="36" spans="2:12" ht="39.75" customHeight="1" x14ac:dyDescent="0.35">
      <c r="B36" s="210"/>
      <c r="C36" s="210"/>
      <c r="D36" s="211"/>
      <c r="E36" s="211"/>
      <c r="F36" s="210"/>
      <c r="G36" s="210"/>
      <c r="H36" s="210"/>
      <c r="I36" s="210"/>
      <c r="J36" s="210"/>
      <c r="K36" s="210"/>
      <c r="L36" s="210"/>
    </row>
  </sheetData>
  <mergeCells count="3">
    <mergeCell ref="B6:L6"/>
    <mergeCell ref="B18:B21"/>
    <mergeCell ref="C18:E21"/>
  </mergeCells>
  <pageMargins left="0.23622047244094491" right="0.23622047244094491" top="0.74803149606299213" bottom="0.74803149606299213" header="0.31496062992125984" footer="0.31496062992125984"/>
  <pageSetup scale="75" orientation="landscape" r:id="rId2"/>
  <drawing r:id="rId3"/>
  <extLst>
    <ext xmlns:x14="http://schemas.microsoft.com/office/spreadsheetml/2009/9/main" uri="{A8765BA9-456A-4dab-B4F3-ACF838C121DE}">
      <x14:slicerList>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1A076-84C8-402A-96A7-3B81FB783B08}">
  <sheetPr codeName="Hoja14">
    <tabColor theme="8" tint="0.39997558519241921"/>
  </sheetPr>
  <dimension ref="A2:ET16"/>
  <sheetViews>
    <sheetView topLeftCell="B1" zoomScaleNormal="100" workbookViewId="0">
      <pane ySplit="6" topLeftCell="A7" activePane="bottomLeft" state="frozen"/>
      <selection pane="bottomLeft" activeCell="C18" sqref="C18"/>
    </sheetView>
  </sheetViews>
  <sheetFormatPr baseColWidth="10" defaultRowHeight="15" x14ac:dyDescent="0.25"/>
  <cols>
    <col min="2" max="2" width="19" customWidth="1"/>
    <col min="3" max="3" width="27.85546875" customWidth="1"/>
    <col min="4" max="4" width="14" style="3" customWidth="1"/>
    <col min="5" max="5" width="23.140625" bestFit="1" customWidth="1"/>
    <col min="6" max="7" width="23.140625" customWidth="1"/>
    <col min="8" max="8" width="13.85546875" customWidth="1"/>
    <col min="9" max="9" width="15.28515625" customWidth="1"/>
    <col min="10" max="10" width="1.42578125" customWidth="1"/>
    <col min="11" max="11" width="20" customWidth="1"/>
    <col min="23" max="23" width="17.5703125" customWidth="1"/>
    <col min="24" max="24" width="19.140625" customWidth="1"/>
    <col min="25" max="25" width="14.28515625" customWidth="1"/>
    <col min="26" max="27" width="32.140625" customWidth="1"/>
    <col min="28" max="28" width="16.42578125" customWidth="1"/>
    <col min="43" max="43" width="12.5703125" bestFit="1" customWidth="1"/>
    <col min="44" max="44" width="14.7109375" customWidth="1"/>
    <col min="45" max="45" width="14.85546875" customWidth="1"/>
    <col min="46" max="46" width="32.7109375" customWidth="1"/>
    <col min="47" max="47" width="14.85546875" customWidth="1"/>
    <col min="49" max="49" width="15.42578125" bestFit="1" customWidth="1"/>
    <col min="50" max="50" width="16.28515625" customWidth="1"/>
    <col min="51" max="51" width="13.5703125" style="3" customWidth="1"/>
    <col min="52" max="53" width="29" customWidth="1"/>
    <col min="54" max="54" width="20.140625" customWidth="1"/>
  </cols>
  <sheetData>
    <row r="2" spans="1:150" x14ac:dyDescent="0.25">
      <c r="A2" s="122"/>
      <c r="B2" s="122"/>
      <c r="C2" s="122"/>
      <c r="D2" s="153"/>
      <c r="E2" s="122"/>
      <c r="F2" s="122"/>
      <c r="G2" s="122"/>
      <c r="H2" s="122"/>
      <c r="I2" s="122"/>
      <c r="J2" s="122"/>
      <c r="K2" s="122"/>
      <c r="V2" s="131"/>
      <c r="W2" s="131"/>
      <c r="X2" s="131"/>
      <c r="Y2" s="131"/>
      <c r="Z2" s="131"/>
      <c r="AA2" s="131"/>
      <c r="AB2" s="131"/>
      <c r="AC2" s="131"/>
      <c r="AV2" s="143"/>
      <c r="AW2" s="143"/>
      <c r="AX2" s="143"/>
      <c r="AY2" s="145"/>
      <c r="AZ2" s="143"/>
      <c r="BA2" s="143"/>
      <c r="BB2" s="143"/>
      <c r="BC2" s="143"/>
    </row>
    <row r="3" spans="1:150" x14ac:dyDescent="0.25">
      <c r="A3" s="122"/>
      <c r="B3" s="122"/>
      <c r="C3" s="122"/>
      <c r="D3" s="153"/>
      <c r="E3" s="122"/>
      <c r="F3" s="122"/>
      <c r="G3" s="122"/>
      <c r="H3" s="122"/>
      <c r="I3" s="122"/>
      <c r="J3" s="122"/>
      <c r="K3" s="122"/>
      <c r="V3" s="131"/>
      <c r="W3" s="131"/>
      <c r="X3" s="131"/>
      <c r="Y3" s="131"/>
      <c r="Z3" s="131"/>
      <c r="AA3" s="131"/>
      <c r="AB3" s="131"/>
      <c r="AC3" s="131"/>
      <c r="AV3" s="143"/>
      <c r="AW3" s="143"/>
      <c r="AX3" s="143"/>
      <c r="AY3" s="145"/>
      <c r="AZ3" s="143"/>
      <c r="BA3" s="143"/>
      <c r="BB3" s="143"/>
      <c r="BC3" s="143"/>
    </row>
    <row r="4" spans="1:150" ht="24" thickBot="1" x14ac:dyDescent="0.4">
      <c r="A4" s="122"/>
      <c r="B4" s="123" t="s">
        <v>172</v>
      </c>
      <c r="C4" s="124"/>
      <c r="D4" s="154"/>
      <c r="E4" s="125"/>
      <c r="F4" s="125"/>
      <c r="G4" s="125"/>
      <c r="H4" s="125"/>
      <c r="I4" s="125"/>
      <c r="J4" s="122"/>
      <c r="K4" s="122"/>
      <c r="V4" s="131"/>
      <c r="W4" s="376"/>
      <c r="X4" s="377"/>
      <c r="Y4" s="377"/>
      <c r="Z4" s="132"/>
      <c r="AA4" s="132"/>
      <c r="AB4" s="132"/>
      <c r="AC4" s="131"/>
      <c r="AV4" s="143"/>
      <c r="AW4" s="378"/>
      <c r="AX4" s="378"/>
      <c r="AY4" s="378"/>
      <c r="AZ4" s="144"/>
      <c r="BA4" s="144"/>
      <c r="BB4" s="144"/>
      <c r="BC4" s="143"/>
    </row>
    <row r="5" spans="1:150" ht="15.75" x14ac:dyDescent="0.25">
      <c r="A5" s="122"/>
      <c r="B5" s="122"/>
      <c r="C5" s="122"/>
      <c r="D5" s="153"/>
      <c r="E5" s="122"/>
      <c r="F5" s="122"/>
      <c r="G5" s="122"/>
      <c r="H5" s="122"/>
      <c r="I5" s="122"/>
      <c r="J5" s="122"/>
      <c r="K5" s="209" t="s">
        <v>235</v>
      </c>
      <c r="V5" s="131"/>
      <c r="W5" s="131"/>
      <c r="X5" s="131"/>
      <c r="Y5" s="131"/>
      <c r="Z5" s="131"/>
      <c r="AA5" s="131"/>
      <c r="AB5" s="131"/>
      <c r="AC5" s="131"/>
      <c r="AV5" s="143"/>
      <c r="AW5" s="143"/>
      <c r="AX5" s="143"/>
      <c r="AY5" s="145"/>
      <c r="AZ5" s="143"/>
      <c r="BA5" s="143"/>
      <c r="BB5" s="143"/>
      <c r="BC5" s="143"/>
    </row>
    <row r="6" spans="1:150" ht="21" x14ac:dyDescent="0.3">
      <c r="A6" s="122"/>
      <c r="B6" s="140" t="s">
        <v>10</v>
      </c>
      <c r="C6" s="141" t="s">
        <v>4</v>
      </c>
      <c r="D6" s="141" t="s">
        <v>54</v>
      </c>
      <c r="E6" s="141" t="s">
        <v>180</v>
      </c>
      <c r="F6" s="141" t="s">
        <v>183</v>
      </c>
      <c r="G6" s="141" t="s">
        <v>181</v>
      </c>
      <c r="H6" s="141" t="s">
        <v>162</v>
      </c>
      <c r="I6" s="142" t="s">
        <v>161</v>
      </c>
      <c r="J6" s="122"/>
      <c r="K6" s="379">
        <f>SUM(TblInventario[Importe])</f>
        <v>2716000</v>
      </c>
      <c r="U6" s="131"/>
      <c r="V6" s="139"/>
      <c r="W6" s="139"/>
      <c r="X6" s="139"/>
      <c r="Y6" s="139"/>
      <c r="Z6" s="139"/>
      <c r="AA6" s="139"/>
      <c r="AB6" s="131"/>
      <c r="AU6" s="143"/>
      <c r="AV6" s="147"/>
      <c r="AW6" s="147"/>
      <c r="AX6" s="149"/>
      <c r="AY6" s="147"/>
      <c r="AZ6" s="147"/>
      <c r="BA6" s="147"/>
      <c r="BB6" s="143"/>
    </row>
    <row r="7" spans="1:150" ht="18.75" x14ac:dyDescent="0.3">
      <c r="A7" s="122"/>
      <c r="B7" s="159" t="s">
        <v>80</v>
      </c>
      <c r="C7" s="161" t="s">
        <v>6</v>
      </c>
      <c r="D7" s="155" t="s">
        <v>178</v>
      </c>
      <c r="E7" s="151">
        <v>120</v>
      </c>
      <c r="F7" s="151" t="str">
        <f t="shared" ref="F7:F14" si="0">IF(G7&gt;120,"OK!",(IF(G7=0,"SIN EXISTENCIA!","STOCK MINIMO")))</f>
        <v>STOCK MINIMO</v>
      </c>
      <c r="G7" s="151">
        <f>SUMIFS(Tabla6[Cantidad],Tabla6[Codigo],TblInventario[[#This Row],[Codigo]])</f>
        <v>10</v>
      </c>
      <c r="H7" s="126">
        <v>2500</v>
      </c>
      <c r="I7" s="127">
        <f>+TblInventario[[#This Row],[Existencia]]*TblInventario[[#This Row],[Precio]]</f>
        <v>25000</v>
      </c>
      <c r="J7" s="122"/>
      <c r="K7" s="379"/>
      <c r="U7" s="131"/>
      <c r="V7" s="133"/>
      <c r="W7" s="134"/>
      <c r="X7" s="133"/>
      <c r="Y7" s="135"/>
      <c r="Z7" s="135"/>
      <c r="AA7" s="133"/>
      <c r="AB7" s="131"/>
      <c r="AU7" s="143"/>
      <c r="AV7" s="143"/>
      <c r="AW7" s="148"/>
      <c r="AX7" s="145"/>
      <c r="AY7" s="135"/>
      <c r="AZ7" s="135"/>
      <c r="BA7" s="143"/>
      <c r="BB7" s="143"/>
    </row>
    <row r="8" spans="1:150" ht="18.75" x14ac:dyDescent="0.3">
      <c r="A8" s="122"/>
      <c r="B8" s="160" t="s">
        <v>81</v>
      </c>
      <c r="C8" s="161" t="s">
        <v>7</v>
      </c>
      <c r="D8" s="155" t="s">
        <v>179</v>
      </c>
      <c r="E8" s="151">
        <v>240</v>
      </c>
      <c r="F8" s="151" t="str">
        <f t="shared" si="0"/>
        <v>OK!</v>
      </c>
      <c r="G8" s="151">
        <f>SUMIFS(Tabla6[Cantidad],Tabla6[Codigo],TblInventario[[#This Row],[Codigo]])</f>
        <v>170</v>
      </c>
      <c r="H8" s="126">
        <v>2200</v>
      </c>
      <c r="I8" s="127">
        <f>+TblInventario[[#This Row],[Existencia]]*TblInventario[[#This Row],[Precio]]</f>
        <v>374000</v>
      </c>
      <c r="J8" s="122"/>
      <c r="K8" s="379"/>
      <c r="U8" s="131"/>
      <c r="V8" s="135"/>
      <c r="W8" s="136"/>
      <c r="X8" s="135"/>
      <c r="Y8" s="135"/>
      <c r="Z8" s="135"/>
      <c r="AA8" s="135"/>
      <c r="AB8" s="131"/>
      <c r="AU8" s="143"/>
      <c r="AV8" s="143"/>
      <c r="AW8" s="148"/>
      <c r="AX8" s="145"/>
      <c r="AY8" s="133"/>
      <c r="AZ8" s="135"/>
      <c r="BA8" s="143"/>
      <c r="BB8" s="143"/>
    </row>
    <row r="9" spans="1:150" ht="18.75" x14ac:dyDescent="0.3">
      <c r="A9" s="122"/>
      <c r="B9" s="159" t="s">
        <v>82</v>
      </c>
      <c r="C9" s="161" t="s">
        <v>9</v>
      </c>
      <c r="D9" s="155" t="s">
        <v>178</v>
      </c>
      <c r="E9" s="151">
        <v>240</v>
      </c>
      <c r="F9" s="151" t="str">
        <f t="shared" si="0"/>
        <v>SIN EXISTENCIA!</v>
      </c>
      <c r="G9" s="151">
        <f>SUMIFS(Tabla6[Cantidad],Tabla6[Codigo],TblInventario[[#This Row],[Codigo]])</f>
        <v>0</v>
      </c>
      <c r="H9" s="126">
        <v>4000</v>
      </c>
      <c r="I9" s="127">
        <f>+TblInventario[[#This Row],[Existencia]]*TblInventario[[#This Row],[Precio]]</f>
        <v>0</v>
      </c>
      <c r="J9" s="122"/>
      <c r="K9" s="379"/>
      <c r="U9" s="131"/>
      <c r="V9" s="135"/>
      <c r="W9" s="136"/>
      <c r="X9" s="135"/>
      <c r="Y9" s="135"/>
      <c r="Z9" s="135"/>
      <c r="AA9" s="135"/>
      <c r="AB9" s="131"/>
      <c r="AU9" s="143"/>
      <c r="AV9" s="143"/>
      <c r="AW9" s="148"/>
      <c r="AX9" s="145"/>
      <c r="AY9" s="133"/>
      <c r="AZ9" s="135"/>
      <c r="BA9" s="143"/>
      <c r="BB9" s="143"/>
    </row>
    <row r="10" spans="1:150" ht="18.75" x14ac:dyDescent="0.3">
      <c r="A10" s="122"/>
      <c r="B10" s="159" t="s">
        <v>99</v>
      </c>
      <c r="C10" s="161" t="s">
        <v>97</v>
      </c>
      <c r="D10" s="155" t="s">
        <v>178</v>
      </c>
      <c r="E10" s="151">
        <v>120</v>
      </c>
      <c r="F10" s="151" t="str">
        <f t="shared" si="0"/>
        <v>OK!</v>
      </c>
      <c r="G10" s="151">
        <f>SUMIFS(Tabla6[Cantidad],Tabla6[Codigo],TblInventario[[#This Row],[Codigo]])</f>
        <v>140</v>
      </c>
      <c r="H10" s="126">
        <v>1800</v>
      </c>
      <c r="I10" s="127">
        <f>+TblInventario[[#This Row],[Existencia]]*TblInventario[[#This Row],[Precio]]</f>
        <v>252000</v>
      </c>
      <c r="J10" s="122"/>
      <c r="K10" s="379"/>
      <c r="U10" s="131"/>
      <c r="V10" s="133"/>
      <c r="W10" s="137"/>
      <c r="X10" s="133"/>
      <c r="Y10" s="133"/>
      <c r="Z10" s="135"/>
      <c r="AA10" s="133"/>
      <c r="AB10" s="131"/>
      <c r="AU10" s="143"/>
      <c r="AV10" s="143"/>
      <c r="AW10" s="148"/>
      <c r="AX10" s="145"/>
      <c r="AY10" s="133"/>
      <c r="AZ10" s="135"/>
      <c r="BA10" s="143"/>
      <c r="BB10" s="143"/>
    </row>
    <row r="11" spans="1:150" ht="18.75" x14ac:dyDescent="0.3">
      <c r="A11" s="122"/>
      <c r="B11" s="159" t="s">
        <v>83</v>
      </c>
      <c r="C11" s="161" t="s">
        <v>8</v>
      </c>
      <c r="D11" s="155" t="s">
        <v>178</v>
      </c>
      <c r="E11" s="151">
        <v>120</v>
      </c>
      <c r="F11" s="151" t="str">
        <f t="shared" si="0"/>
        <v>OK!</v>
      </c>
      <c r="G11" s="151">
        <f>SUMIFS(Tabla6[Cantidad],Tabla6[Codigo],TblInventario[[#This Row],[Codigo]])</f>
        <v>610</v>
      </c>
      <c r="H11" s="126">
        <v>1500</v>
      </c>
      <c r="I11" s="127">
        <f>+TblInventario[[#This Row],[Existencia]]*TblInventario[[#This Row],[Precio]]</f>
        <v>915000</v>
      </c>
      <c r="J11" s="122"/>
      <c r="K11" s="379"/>
      <c r="U11" s="131"/>
      <c r="V11" s="133"/>
      <c r="W11" s="137"/>
      <c r="X11" s="133"/>
      <c r="Y11" s="133"/>
      <c r="Z11" s="135"/>
      <c r="AA11" s="133"/>
      <c r="AB11" s="131"/>
      <c r="AU11" s="143"/>
      <c r="AV11" s="143"/>
      <c r="AW11" s="143"/>
      <c r="AX11" s="145"/>
      <c r="AY11" s="143"/>
      <c r="AZ11" s="143"/>
      <c r="BA11" s="143"/>
      <c r="BB11" s="143"/>
    </row>
    <row r="12" spans="1:150" ht="18.75" x14ac:dyDescent="0.3">
      <c r="A12" s="122"/>
      <c r="B12" s="159" t="s">
        <v>84</v>
      </c>
      <c r="C12" s="161" t="s">
        <v>98</v>
      </c>
      <c r="D12" s="155" t="s">
        <v>178</v>
      </c>
      <c r="E12" s="151">
        <v>120</v>
      </c>
      <c r="F12" s="151" t="str">
        <f t="shared" si="0"/>
        <v>OK!</v>
      </c>
      <c r="G12" s="151">
        <f>SUMIFS(Tabla6[Cantidad],Tabla6[Codigo],TblInventario[[#This Row],[Codigo]])</f>
        <v>480</v>
      </c>
      <c r="H12" s="126">
        <v>1900</v>
      </c>
      <c r="I12" s="127">
        <f>+TblInventario[[#This Row],[Existencia]]*TblInventario[[#This Row],[Precio]]</f>
        <v>912000</v>
      </c>
      <c r="J12" s="122"/>
      <c r="K12" s="379"/>
      <c r="U12" s="131"/>
      <c r="V12" s="133"/>
      <c r="W12" s="137"/>
      <c r="X12" s="133"/>
      <c r="Y12" s="133"/>
      <c r="Z12" s="135"/>
      <c r="AA12" s="133"/>
      <c r="AB12" s="131"/>
      <c r="AO12" s="121"/>
      <c r="AU12" s="143"/>
      <c r="AV12" s="143"/>
      <c r="AW12" s="143"/>
      <c r="AX12" s="145"/>
      <c r="AY12" s="143"/>
      <c r="AZ12" s="143"/>
      <c r="BA12" s="143"/>
      <c r="BB12" s="143"/>
    </row>
    <row r="13" spans="1:150" ht="18.75" x14ac:dyDescent="0.3">
      <c r="A13" s="122"/>
      <c r="B13" s="159" t="s">
        <v>85</v>
      </c>
      <c r="C13" s="161" t="s">
        <v>96</v>
      </c>
      <c r="D13" s="155" t="s">
        <v>178</v>
      </c>
      <c r="E13" s="151">
        <v>240</v>
      </c>
      <c r="F13" s="151" t="str">
        <f t="shared" si="0"/>
        <v>OK!</v>
      </c>
      <c r="G13" s="152">
        <f>SUMIFS(Tabla6[Cantidad],Tabla6[Codigo],TblInventario[[#This Row],[Codigo]])</f>
        <v>170</v>
      </c>
      <c r="H13" s="128">
        <v>1400</v>
      </c>
      <c r="I13" s="129">
        <f>+TblInventario[[#This Row],[Existencia]]*TblInventario[[#This Row],[Precio]]</f>
        <v>238000</v>
      </c>
      <c r="J13" s="122"/>
      <c r="K13" s="379"/>
      <c r="U13" s="131"/>
      <c r="V13" s="133"/>
      <c r="W13" s="137"/>
      <c r="X13" s="133"/>
      <c r="Y13" s="133"/>
      <c r="Z13" s="135"/>
      <c r="AA13" s="133"/>
      <c r="AB13" s="131"/>
      <c r="AO13" s="121"/>
      <c r="AU13" s="143"/>
      <c r="AV13" s="143"/>
      <c r="AW13" s="143"/>
      <c r="AX13" s="145"/>
      <c r="AY13" s="143"/>
      <c r="AZ13" s="143"/>
      <c r="BA13" s="143"/>
      <c r="BB13" s="143"/>
    </row>
    <row r="14" spans="1:150" ht="18.75" x14ac:dyDescent="0.3">
      <c r="A14" s="122"/>
      <c r="B14" s="159" t="s">
        <v>86</v>
      </c>
      <c r="C14" s="161" t="s">
        <v>100</v>
      </c>
      <c r="D14" s="155" t="s">
        <v>178</v>
      </c>
      <c r="E14" s="151">
        <v>120</v>
      </c>
      <c r="F14" s="151" t="str">
        <f t="shared" si="0"/>
        <v>SIN EXISTENCIA!</v>
      </c>
      <c r="G14" s="151">
        <f>SUMIFS(Tabla6[Cantidad],Tabla6[Codigo],TblInventario[[#This Row],[Codigo]])</f>
        <v>0</v>
      </c>
      <c r="H14" s="126">
        <v>1800</v>
      </c>
      <c r="I14" s="126">
        <f>+TblInventario[[#This Row],[Existencia]]*TblInventario[[#This Row],[Precio]]</f>
        <v>0</v>
      </c>
      <c r="J14" s="208">
        <f>SUM(TblInventario[Importe])</f>
        <v>2716000</v>
      </c>
      <c r="K14" s="379"/>
      <c r="U14" s="131"/>
      <c r="V14" s="133"/>
      <c r="W14" s="137"/>
      <c r="X14" s="133"/>
      <c r="Y14" s="133"/>
      <c r="Z14" s="135"/>
      <c r="AA14" s="133"/>
      <c r="AB14" s="131"/>
      <c r="AO14" s="121"/>
      <c r="AU14" s="143"/>
      <c r="AV14" s="143"/>
      <c r="AW14" s="143"/>
      <c r="AX14" s="145"/>
      <c r="AY14" s="143"/>
      <c r="AZ14" s="143"/>
      <c r="BA14" s="143"/>
      <c r="BB14" s="143"/>
    </row>
    <row r="15" spans="1:150" x14ac:dyDescent="0.25">
      <c r="A15" s="122"/>
      <c r="B15" s="122"/>
      <c r="C15" s="122"/>
      <c r="D15" s="153"/>
      <c r="E15" s="122"/>
      <c r="F15" s="122"/>
      <c r="G15" s="122"/>
      <c r="H15" s="122"/>
      <c r="I15" s="122"/>
      <c r="J15" s="122"/>
      <c r="K15" s="122"/>
      <c r="L15" s="120"/>
      <c r="M15" s="120"/>
      <c r="N15" s="120"/>
      <c r="O15" s="120"/>
      <c r="P15" s="120"/>
      <c r="Q15" s="120"/>
      <c r="R15" s="120"/>
      <c r="S15" s="120"/>
      <c r="T15" s="120"/>
      <c r="U15" s="120"/>
      <c r="V15" s="131"/>
      <c r="W15" s="131"/>
      <c r="X15" s="131"/>
      <c r="Y15" s="131"/>
      <c r="Z15" s="131"/>
      <c r="AA15" s="131"/>
      <c r="AB15" s="131"/>
      <c r="AC15" s="131"/>
      <c r="AD15" s="120"/>
      <c r="AE15" s="120"/>
      <c r="AF15" s="120"/>
      <c r="AG15" s="120"/>
      <c r="AH15" s="120"/>
      <c r="AI15" s="120"/>
      <c r="AJ15" s="120"/>
      <c r="AK15" s="120"/>
      <c r="AL15" s="120"/>
      <c r="AM15" s="120"/>
      <c r="AN15" s="120"/>
      <c r="AO15" s="120"/>
      <c r="AP15" s="120"/>
      <c r="AQ15" s="120"/>
      <c r="AR15" s="120"/>
      <c r="AS15" s="120"/>
      <c r="AT15" s="120"/>
      <c r="AU15" s="120"/>
      <c r="AV15" s="143"/>
      <c r="AW15" s="143"/>
      <c r="AX15" s="143"/>
      <c r="AY15" s="145"/>
      <c r="AZ15" s="143"/>
      <c r="BA15" s="143"/>
      <c r="BB15" s="143"/>
      <c r="BC15" s="143"/>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row>
    <row r="16" spans="1:150" s="130" customFormat="1" ht="84.75" customHeight="1" x14ac:dyDescent="0.25">
      <c r="D16" s="156"/>
      <c r="L16" s="120"/>
      <c r="M16" s="120"/>
      <c r="N16" s="120"/>
      <c r="O16" s="120"/>
      <c r="P16" s="120"/>
      <c r="Q16" s="120"/>
      <c r="R16" s="120"/>
      <c r="S16" s="120"/>
      <c r="T16" s="120"/>
      <c r="U16" s="120"/>
      <c r="V16" s="138"/>
      <c r="W16" s="138"/>
      <c r="X16" s="138"/>
      <c r="Y16" s="138"/>
      <c r="Z16" s="138"/>
      <c r="AA16" s="138"/>
      <c r="AB16" s="138"/>
      <c r="AC16" s="138"/>
      <c r="AD16" s="120"/>
      <c r="AE16" s="120"/>
      <c r="AF16" s="120"/>
      <c r="AG16" s="120"/>
      <c r="AH16" s="120"/>
      <c r="AI16" s="120"/>
      <c r="AJ16" s="120"/>
      <c r="AK16" s="120"/>
      <c r="AL16" s="120"/>
      <c r="AM16" s="120"/>
      <c r="AN16" s="120"/>
      <c r="AO16" s="120"/>
      <c r="AP16" s="120"/>
      <c r="AQ16" s="120"/>
      <c r="AR16" s="120"/>
      <c r="AS16" s="120"/>
      <c r="AT16" s="120"/>
      <c r="AU16" s="120"/>
      <c r="AV16" s="146"/>
      <c r="AW16" s="146"/>
      <c r="AX16" s="146"/>
      <c r="AY16" s="150"/>
      <c r="AZ16" s="146"/>
      <c r="BA16" s="146"/>
      <c r="BB16" s="146"/>
      <c r="BC16" s="146"/>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row>
  </sheetData>
  <mergeCells count="3">
    <mergeCell ref="W4:Y4"/>
    <mergeCell ref="AW4:AY4"/>
    <mergeCell ref="K6:K14"/>
  </mergeCells>
  <phoneticPr fontId="12" type="noConversion"/>
  <conditionalFormatting sqref="E4:F4">
    <cfRule type="iconSet" priority="14">
      <iconSet iconSet="3Symbols2">
        <cfvo type="percent" val="0"/>
        <cfvo type="percent" val="33"/>
        <cfvo type="percent" val="67"/>
      </iconSet>
    </cfRule>
  </conditionalFormatting>
  <conditionalFormatting sqref="B7:I14">
    <cfRule type="expression" dxfId="7" priority="17">
      <formula>$E7=0</formula>
    </cfRule>
  </conditionalFormatting>
  <conditionalFormatting sqref="F7:F14">
    <cfRule type="cellIs" dxfId="6" priority="9" operator="between">
      <formula>"E6&gt;0"</formula>
      <formula>"E6&lt;=120"</formula>
    </cfRule>
  </conditionalFormatting>
  <dataValidations count="1">
    <dataValidation type="list" allowBlank="1" showInputMessage="1" showErrorMessage="1" sqref="X7:X14 AX7:AX10" xr:uid="{115FA94D-6ED8-46E6-B566-7DE0D21B8D72}">
      <formula1>$B$7:$B$14</formula1>
    </dataValidation>
  </dataValidations>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2" id="{B792EC8F-5E93-41FB-85CB-769CFB77F5EA}">
            <x14:iconSet iconSet="3Symbols2" custom="1">
              <x14:cfvo type="percent">
                <xm:f>0</xm:f>
              </x14:cfvo>
              <x14:cfvo type="num" gte="0">
                <xm:f>0</xm:f>
              </x14:cfvo>
              <x14:cfvo type="num">
                <xm:f>120</xm:f>
              </x14:cfvo>
              <x14:cfIcon iconSet="3Symbols2" iconId="0"/>
              <x14:cfIcon iconSet="3Symbols" iconId="1"/>
              <x14:cfIcon iconSet="3Symbols2" iconId="2"/>
            </x14:iconSet>
          </x14:cfRule>
          <xm:sqref>G7:G14</xm:sqref>
        </x14:conditionalFormatting>
        <x14:conditionalFormatting xmlns:xm="http://schemas.microsoft.com/office/excel/2006/main">
          <x14:cfRule type="iconSet" priority="8" id="{8EA2579D-BCEA-46DB-90B9-8D3B1D27CD53}">
            <x14:iconSet iconSet="3Symbols2" custom="1">
              <x14:cfvo type="percent">
                <xm:f>0</xm:f>
              </x14:cfvo>
              <x14:cfvo type="num" gte="0">
                <xm:f>0</xm:f>
              </x14:cfvo>
              <x14:cfvo type="num">
                <xm:f>120</xm:f>
              </x14:cfvo>
              <x14:cfIcon iconSet="3Symbols2" iconId="0"/>
              <x14:cfIcon iconSet="3Symbols" iconId="1"/>
              <x14:cfIcon iconSet="3Symbols2" iconId="2"/>
            </x14:iconSet>
          </x14:cfRule>
          <xm:sqref>F7:F14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1AC57-2B18-4419-97B4-0685E1C4ECF0}">
  <sheetPr codeName="Hoja17">
    <tabColor theme="3" tint="-0.249977111117893"/>
  </sheetPr>
  <dimension ref="B1:AC90"/>
  <sheetViews>
    <sheetView workbookViewId="0">
      <pane ySplit="5" topLeftCell="A6" activePane="bottomLeft" state="frozen"/>
      <selection pane="bottomLeft" activeCell="J9" sqref="J9"/>
    </sheetView>
  </sheetViews>
  <sheetFormatPr baseColWidth="10" defaultRowHeight="15" x14ac:dyDescent="0.25"/>
  <cols>
    <col min="2" max="2" width="14.28515625" customWidth="1"/>
    <col min="3" max="3" width="20.5703125" customWidth="1"/>
    <col min="4" max="4" width="14.140625" customWidth="1"/>
    <col min="5" max="5" width="27.85546875" customWidth="1"/>
    <col min="6" max="6" width="13.42578125" customWidth="1"/>
    <col min="7" max="7" width="17.28515625" bestFit="1" customWidth="1"/>
    <col min="8" max="8" width="21.42578125" bestFit="1" customWidth="1"/>
    <col min="9" max="9" width="15" style="133" customWidth="1"/>
  </cols>
  <sheetData>
    <row r="1" spans="2:29" x14ac:dyDescent="0.25">
      <c r="I1" s="3"/>
    </row>
    <row r="2" spans="2:29" ht="95.25" customHeight="1" x14ac:dyDescent="0.25">
      <c r="I2" s="3"/>
    </row>
    <row r="3" spans="2:29" ht="43.5" customHeight="1" thickBot="1" x14ac:dyDescent="0.3">
      <c r="B3" s="380" t="s">
        <v>203</v>
      </c>
      <c r="C3" s="380"/>
      <c r="D3" s="380"/>
      <c r="E3" s="380"/>
      <c r="F3" s="380"/>
      <c r="G3" s="380"/>
      <c r="H3" s="380"/>
      <c r="I3" s="380"/>
    </row>
    <row r="4" spans="2:29" ht="18.75" x14ac:dyDescent="0.3">
      <c r="H4" s="183" t="s">
        <v>200</v>
      </c>
      <c r="I4" s="183">
        <f>SUM(Tabla6[Cantidad])</f>
        <v>1580</v>
      </c>
    </row>
    <row r="5" spans="2:29" ht="18.75" x14ac:dyDescent="0.3">
      <c r="B5" s="227" t="s">
        <v>117</v>
      </c>
      <c r="C5" s="227" t="s">
        <v>177</v>
      </c>
      <c r="D5" s="227" t="s">
        <v>10</v>
      </c>
      <c r="E5" s="227" t="s">
        <v>4</v>
      </c>
      <c r="F5" s="227" t="s">
        <v>54</v>
      </c>
      <c r="G5" s="227" t="s">
        <v>181</v>
      </c>
      <c r="H5" s="227" t="s">
        <v>182</v>
      </c>
      <c r="I5" s="227" t="s">
        <v>5</v>
      </c>
    </row>
    <row r="6" spans="2:29" x14ac:dyDescent="0.25">
      <c r="B6" s="163">
        <v>44206</v>
      </c>
      <c r="C6" s="162" t="s">
        <v>185</v>
      </c>
      <c r="D6" s="166" t="s">
        <v>84</v>
      </c>
      <c r="E6" s="168" t="str">
        <f>VLOOKUP(Tabla6[[#This Row],[Codigo]],TblInventario[],2,FALSE)</f>
        <v>Suavizante de Ropa</v>
      </c>
      <c r="F6" s="168" t="str">
        <f>VLOOKUP(Tabla6[[#This Row],[Codigo]],TblInventario[],3,FALSE)</f>
        <v>Lts</v>
      </c>
      <c r="G6" s="168">
        <f>VLOOKUP(Tabla6[[#This Row],[Codigo]],TblInventario[],6,FALSE)</f>
        <v>480</v>
      </c>
      <c r="H6" s="158" t="s">
        <v>197</v>
      </c>
      <c r="I6" s="166">
        <v>300</v>
      </c>
    </row>
    <row r="7" spans="2:29" x14ac:dyDescent="0.25">
      <c r="B7" s="163">
        <v>44207</v>
      </c>
      <c r="C7" s="162" t="s">
        <v>163</v>
      </c>
      <c r="D7" s="157" t="s">
        <v>80</v>
      </c>
      <c r="E7" s="158" t="str">
        <f>VLOOKUP(Tabla6[[#This Row],[Codigo]],TblInventario[],2,FALSE)</f>
        <v>Lavaplatos Liquido</v>
      </c>
      <c r="F7" s="158" t="str">
        <f>VLOOKUP(Tabla6[[#This Row],[Codigo]],TblInventario[],3,FALSE)</f>
        <v>Lts</v>
      </c>
      <c r="G7" s="158">
        <f>VLOOKUP(Tabla6[[#This Row],[Codigo]],TblInventario[],6,FALSE)</f>
        <v>10</v>
      </c>
      <c r="H7" s="158" t="s">
        <v>197</v>
      </c>
      <c r="I7" s="157">
        <v>220</v>
      </c>
    </row>
    <row r="8" spans="2:29" x14ac:dyDescent="0.25">
      <c r="B8" s="163">
        <v>44208</v>
      </c>
      <c r="C8" s="164" t="s">
        <v>164</v>
      </c>
      <c r="D8" s="157" t="s">
        <v>81</v>
      </c>
      <c r="E8" s="158" t="str">
        <f>VLOOKUP(Tabla6[[#This Row],[Codigo]],TblInventario[],2,FALSE)</f>
        <v>Lavaplatos en Crema</v>
      </c>
      <c r="F8" s="158" t="str">
        <f>VLOOKUP(Tabla6[[#This Row],[Codigo]],TblInventario[],3,FALSE)</f>
        <v>Kgs</v>
      </c>
      <c r="G8" s="158">
        <f>VLOOKUP(Tabla6[[#This Row],[Codigo]],TblInventario[],6,FALSE)</f>
        <v>170</v>
      </c>
      <c r="H8" s="158" t="s">
        <v>197</v>
      </c>
      <c r="I8" s="157">
        <v>100</v>
      </c>
    </row>
    <row r="9" spans="2:29" ht="15.75" x14ac:dyDescent="0.25">
      <c r="B9" s="163">
        <v>44209</v>
      </c>
      <c r="C9" s="164" t="s">
        <v>165</v>
      </c>
      <c r="D9" s="157" t="s">
        <v>82</v>
      </c>
      <c r="E9" s="158" t="str">
        <f>VLOOKUP(Tabla6[[#This Row],[Codigo]],TblInventario[],2,FALSE)</f>
        <v>Detergente de Ropa</v>
      </c>
      <c r="F9" s="158" t="str">
        <f>VLOOKUP(Tabla6[[#This Row],[Codigo]],TblInventario[],3,FALSE)</f>
        <v>Lts</v>
      </c>
      <c r="G9" s="158">
        <f>VLOOKUP(Tabla6[[#This Row],[Codigo]],TblInventario[],6,FALSE)</f>
        <v>0</v>
      </c>
      <c r="H9" s="158" t="s">
        <v>197</v>
      </c>
      <c r="I9" s="157">
        <v>345</v>
      </c>
      <c r="AC9" s="169" t="s">
        <v>196</v>
      </c>
    </row>
    <row r="10" spans="2:29" x14ac:dyDescent="0.25">
      <c r="B10" s="163">
        <v>44210</v>
      </c>
      <c r="C10" s="162" t="s">
        <v>170</v>
      </c>
      <c r="D10" s="157" t="s">
        <v>99</v>
      </c>
      <c r="E10" s="157" t="str">
        <f>VLOOKUP(Tabla6[[#This Row],[Codigo]],TblInventario[],2,FALSE)</f>
        <v>Multiuso Desengrasante</v>
      </c>
      <c r="F10" s="158" t="str">
        <f>VLOOKUP(Tabla6[[#This Row],[Codigo]],TblInventario[],3,FALSE)</f>
        <v>Lts</v>
      </c>
      <c r="G10" s="158">
        <f>VLOOKUP(Tabla6[[#This Row],[Codigo]],TblInventario[],6,FALSE)</f>
        <v>140</v>
      </c>
      <c r="H10" s="158" t="s">
        <v>197</v>
      </c>
      <c r="I10" s="157">
        <v>120</v>
      </c>
      <c r="AC10" s="170" t="s">
        <v>197</v>
      </c>
    </row>
    <row r="11" spans="2:29" x14ac:dyDescent="0.25">
      <c r="B11" s="163">
        <v>44211</v>
      </c>
      <c r="C11" s="162" t="s">
        <v>171</v>
      </c>
      <c r="D11" s="157" t="s">
        <v>83</v>
      </c>
      <c r="E11" s="157" t="str">
        <f>VLOOKUP(Tabla6[[#This Row],[Codigo]],TblInventario[],2,FALSE)</f>
        <v>Desinfectante Herbal</v>
      </c>
      <c r="F11" s="158" t="str">
        <f>VLOOKUP(Tabla6[[#This Row],[Codigo]],TblInventario[],3,FALSE)</f>
        <v>Lts</v>
      </c>
      <c r="G11" s="158">
        <f>VLOOKUP(Tabla6[[#This Row],[Codigo]],TblInventario[],6,FALSE)</f>
        <v>610</v>
      </c>
      <c r="H11" s="158" t="s">
        <v>197</v>
      </c>
      <c r="I11" s="157">
        <v>250</v>
      </c>
      <c r="AC11" s="170" t="s">
        <v>198</v>
      </c>
    </row>
    <row r="12" spans="2:29" x14ac:dyDescent="0.25">
      <c r="B12" s="163">
        <v>44212</v>
      </c>
      <c r="C12" s="162" t="s">
        <v>173</v>
      </c>
      <c r="D12" s="157" t="s">
        <v>84</v>
      </c>
      <c r="E12" s="157" t="str">
        <f>VLOOKUP(Tabla6[[#This Row],[Codigo]],TblInventario[],2,FALSE)</f>
        <v>Suavizante de Ropa</v>
      </c>
      <c r="F12" s="158" t="str">
        <f>VLOOKUP(Tabla6[[#This Row],[Codigo]],TblInventario[],3,FALSE)</f>
        <v>Lts</v>
      </c>
      <c r="G12" s="158">
        <f>VLOOKUP(Tabla6[[#This Row],[Codigo]],TblInventario[],6,FALSE)</f>
        <v>480</v>
      </c>
      <c r="H12" s="158" t="s">
        <v>197</v>
      </c>
      <c r="I12" s="157">
        <v>180</v>
      </c>
    </row>
    <row r="13" spans="2:29" x14ac:dyDescent="0.25">
      <c r="B13" s="163">
        <v>44213</v>
      </c>
      <c r="C13" s="162" t="s">
        <v>174</v>
      </c>
      <c r="D13" s="157" t="s">
        <v>85</v>
      </c>
      <c r="E13" s="157" t="str">
        <f>VLOOKUP(Tabla6[[#This Row],[Codigo]],TblInventario[],2,FALSE)</f>
        <v>Cloro Jabonoso</v>
      </c>
      <c r="F13" s="158" t="str">
        <f>VLOOKUP(Tabla6[[#This Row],[Codigo]],TblInventario[],3,FALSE)</f>
        <v>Lts</v>
      </c>
      <c r="G13" s="158">
        <f>VLOOKUP(Tabla6[[#This Row],[Codigo]],TblInventario[],6,FALSE)</f>
        <v>170</v>
      </c>
      <c r="H13" s="158" t="s">
        <v>197</v>
      </c>
      <c r="I13" s="157">
        <v>200</v>
      </c>
    </row>
    <row r="14" spans="2:29" x14ac:dyDescent="0.25">
      <c r="B14" s="163">
        <v>44214</v>
      </c>
      <c r="C14" s="162" t="s">
        <v>175</v>
      </c>
      <c r="D14" s="157" t="s">
        <v>86</v>
      </c>
      <c r="E14" s="157" t="str">
        <f>VLOOKUP(Tabla6[[#This Row],[Codigo]],TblInventario[],2,FALSE)</f>
        <v>Multi-Cerámica</v>
      </c>
      <c r="F14" s="158" t="str">
        <f>VLOOKUP(Tabla6[[#This Row],[Codigo]],TblInventario[],3,FALSE)</f>
        <v>Lts</v>
      </c>
      <c r="G14" s="158">
        <f>VLOOKUP(Tabla6[[#This Row],[Codigo]],TblInventario[],6,FALSE)</f>
        <v>0</v>
      </c>
      <c r="H14" s="158" t="s">
        <v>197</v>
      </c>
      <c r="I14" s="157">
        <v>230</v>
      </c>
    </row>
    <row r="15" spans="2:29" x14ac:dyDescent="0.25">
      <c r="B15" s="163">
        <v>44207</v>
      </c>
      <c r="C15" s="165" t="s">
        <v>166</v>
      </c>
      <c r="D15" s="157" t="s">
        <v>81</v>
      </c>
      <c r="E15" s="157" t="str">
        <f>VLOOKUP(Tabla6[[#This Row],[Codigo]],TblInventario[],2,FALSE)</f>
        <v>Lavaplatos en Crema</v>
      </c>
      <c r="F15" s="158" t="s">
        <v>202</v>
      </c>
      <c r="G15" s="158">
        <f>VLOOKUP(Tabla6[[#This Row],[Codigo]],TblInventario[],6,FALSE)</f>
        <v>170</v>
      </c>
      <c r="H15" s="158" t="s">
        <v>198</v>
      </c>
      <c r="I15" s="157">
        <v>-130</v>
      </c>
    </row>
    <row r="16" spans="2:29" x14ac:dyDescent="0.25">
      <c r="B16" s="163">
        <v>44201</v>
      </c>
      <c r="C16" s="165" t="s">
        <v>167</v>
      </c>
      <c r="D16" s="157" t="s">
        <v>83</v>
      </c>
      <c r="E16" s="157" t="str">
        <f>VLOOKUP(Tabla6[[#This Row],[Codigo]],TblInventario[],2,FALSE)</f>
        <v>Desinfectante Herbal</v>
      </c>
      <c r="F16" s="158" t="s">
        <v>202</v>
      </c>
      <c r="G16" s="158">
        <f>VLOOKUP(Tabla6[[#This Row],[Codigo]],TblInventario[],6,FALSE)</f>
        <v>610</v>
      </c>
      <c r="H16" s="158" t="s">
        <v>198</v>
      </c>
      <c r="I16" s="157">
        <v>-140</v>
      </c>
    </row>
    <row r="17" spans="2:9" x14ac:dyDescent="0.25">
      <c r="B17" s="163">
        <v>44211</v>
      </c>
      <c r="C17" s="165" t="s">
        <v>168</v>
      </c>
      <c r="D17" s="157" t="s">
        <v>80</v>
      </c>
      <c r="E17" s="157" t="str">
        <f>VLOOKUP(Tabla6[[#This Row],[Codigo]],TblInventario[],2,FALSE)</f>
        <v>Lavaplatos Liquido</v>
      </c>
      <c r="F17" s="158" t="s">
        <v>202</v>
      </c>
      <c r="G17" s="158">
        <f>VLOOKUP(Tabla6[[#This Row],[Codigo]],TblInventario[],6,FALSE)</f>
        <v>10</v>
      </c>
      <c r="H17" s="158" t="s">
        <v>198</v>
      </c>
      <c r="I17" s="157">
        <v>-300</v>
      </c>
    </row>
    <row r="18" spans="2:9" x14ac:dyDescent="0.25">
      <c r="B18" s="163">
        <v>44216</v>
      </c>
      <c r="C18" s="165" t="s">
        <v>169</v>
      </c>
      <c r="D18" s="157" t="s">
        <v>86</v>
      </c>
      <c r="E18" s="157" t="str">
        <f>VLOOKUP(Tabla6[[#This Row],[Codigo]],TblInventario[],2,FALSE)</f>
        <v>Multi-Cerámica</v>
      </c>
      <c r="F18" s="158" t="s">
        <v>202</v>
      </c>
      <c r="G18" s="158">
        <f>VLOOKUP(Tabla6[[#This Row],[Codigo]],TblInventario[],6,FALSE)</f>
        <v>0</v>
      </c>
      <c r="H18" s="158" t="s">
        <v>198</v>
      </c>
      <c r="I18" s="157">
        <v>-80</v>
      </c>
    </row>
    <row r="19" spans="2:9" x14ac:dyDescent="0.25">
      <c r="B19" s="163">
        <v>44216</v>
      </c>
      <c r="C19" s="165" t="s">
        <v>170</v>
      </c>
      <c r="D19" s="157" t="s">
        <v>82</v>
      </c>
      <c r="E19" s="167" t="str">
        <f>VLOOKUP(Tabla6[[#This Row],[Codigo]],TblInventario[],2,FALSE)</f>
        <v>Detergente de Ropa</v>
      </c>
      <c r="F19" s="167" t="str">
        <f>VLOOKUP(Tabla6[[#This Row],[Codigo]],TblInventario[],3,FALSE)</f>
        <v>Lts</v>
      </c>
      <c r="G19" s="167">
        <f>VLOOKUP(Tabla6[[#This Row],[Codigo]],TblInventario[],6,FALSE)</f>
        <v>0</v>
      </c>
      <c r="H19" s="158" t="s">
        <v>197</v>
      </c>
      <c r="I19" s="157">
        <v>300</v>
      </c>
    </row>
    <row r="20" spans="2:9" x14ac:dyDescent="0.25">
      <c r="B20" s="163">
        <v>44216</v>
      </c>
      <c r="C20" s="165" t="s">
        <v>171</v>
      </c>
      <c r="D20" s="157" t="s">
        <v>80</v>
      </c>
      <c r="E20" s="167" t="str">
        <f>VLOOKUP(Tabla6[[#This Row],[Codigo]],TblInventario[],2,FALSE)</f>
        <v>Lavaplatos Liquido</v>
      </c>
      <c r="F20" s="167" t="str">
        <f>VLOOKUP(Tabla6[[#This Row],[Codigo]],TblInventario[],3,FALSE)</f>
        <v>Lts</v>
      </c>
      <c r="G20" s="167">
        <f>VLOOKUP(Tabla6[[#This Row],[Codigo]],TblInventario[],6,FALSE)</f>
        <v>10</v>
      </c>
      <c r="H20" s="158" t="s">
        <v>197</v>
      </c>
      <c r="I20" s="157">
        <v>500</v>
      </c>
    </row>
    <row r="21" spans="2:9" x14ac:dyDescent="0.25">
      <c r="B21" s="163">
        <v>44216</v>
      </c>
      <c r="C21" s="165" t="s">
        <v>171</v>
      </c>
      <c r="D21" s="157" t="s">
        <v>81</v>
      </c>
      <c r="E21" s="167" t="str">
        <f>VLOOKUP(Tabla6[[#This Row],[Codigo]],TblInventario[],2,FALSE)</f>
        <v>Lavaplatos en Crema</v>
      </c>
      <c r="F21" s="167" t="str">
        <f>VLOOKUP(Tabla6[[#This Row],[Codigo]],TblInventario[],3,FALSE)</f>
        <v>Kgs</v>
      </c>
      <c r="G21" s="167">
        <f>VLOOKUP(Tabla6[[#This Row],[Codigo]],TblInventario[],6,FALSE)</f>
        <v>170</v>
      </c>
      <c r="H21" s="158" t="s">
        <v>197</v>
      </c>
      <c r="I21" s="157">
        <v>300</v>
      </c>
    </row>
    <row r="22" spans="2:9" x14ac:dyDescent="0.25">
      <c r="B22" s="163">
        <v>44216</v>
      </c>
      <c r="C22" s="165" t="s">
        <v>171</v>
      </c>
      <c r="D22" s="157" t="s">
        <v>82</v>
      </c>
      <c r="E22" s="167" t="str">
        <f>VLOOKUP(Tabla6[[#This Row],[Codigo]],TblInventario[],2,FALSE)</f>
        <v>Detergente de Ropa</v>
      </c>
      <c r="F22" s="158" t="s">
        <v>202</v>
      </c>
      <c r="G22" s="167">
        <f>VLOOKUP(Tabla6[[#This Row],[Codigo]],TblInventario[],6,FALSE)</f>
        <v>0</v>
      </c>
      <c r="H22" s="158" t="s">
        <v>198</v>
      </c>
      <c r="I22" s="157">
        <v>-550</v>
      </c>
    </row>
    <row r="23" spans="2:9" x14ac:dyDescent="0.25">
      <c r="B23" s="163">
        <v>44216</v>
      </c>
      <c r="C23" s="165" t="s">
        <v>171</v>
      </c>
      <c r="D23" s="157" t="s">
        <v>86</v>
      </c>
      <c r="E23" s="167" t="str">
        <f>VLOOKUP(Tabla6[[#This Row],[Codigo]],TblInventario[],2,FALSE)</f>
        <v>Multi-Cerámica</v>
      </c>
      <c r="F23" s="158" t="s">
        <v>202</v>
      </c>
      <c r="G23" s="167">
        <f>VLOOKUP(Tabla6[[#This Row],[Codigo]],TblInventario[],6,FALSE)</f>
        <v>0</v>
      </c>
      <c r="H23" s="158" t="s">
        <v>198</v>
      </c>
      <c r="I23" s="157">
        <v>-150</v>
      </c>
    </row>
    <row r="24" spans="2:9" x14ac:dyDescent="0.25">
      <c r="B24" s="163">
        <v>44216</v>
      </c>
      <c r="C24" s="165" t="s">
        <v>173</v>
      </c>
      <c r="D24" s="157" t="s">
        <v>82</v>
      </c>
      <c r="E24" s="167" t="str">
        <f>VLOOKUP(Tabla6[[#This Row],[Codigo]],TblInventario[],2,FALSE)</f>
        <v>Detergente de Ropa</v>
      </c>
      <c r="F24" s="158" t="s">
        <v>202</v>
      </c>
      <c r="G24" s="167">
        <f>VLOOKUP(Tabla6[[#This Row],[Codigo]],TblInventario[],6,FALSE)</f>
        <v>0</v>
      </c>
      <c r="H24" s="158" t="s">
        <v>198</v>
      </c>
      <c r="I24" s="157">
        <v>-95</v>
      </c>
    </row>
    <row r="25" spans="2:9" x14ac:dyDescent="0.25">
      <c r="B25" s="163">
        <v>44207</v>
      </c>
      <c r="C25" s="162" t="s">
        <v>184</v>
      </c>
      <c r="D25" s="157" t="s">
        <v>80</v>
      </c>
      <c r="E25" s="158" t="str">
        <f>VLOOKUP(Tabla6[[#This Row],[Codigo]],TblInventario[],2,FALSE)</f>
        <v>Lavaplatos Liquido</v>
      </c>
      <c r="F25" s="158" t="str">
        <f>VLOOKUP(Tabla6[[#This Row],[Codigo]],TblInventario[],3,FALSE)</f>
        <v>Lts</v>
      </c>
      <c r="G25" s="158">
        <f>VLOOKUP(Tabla6[[#This Row],[Codigo]],TblInventario[],6,FALSE)</f>
        <v>10</v>
      </c>
      <c r="H25" s="158" t="s">
        <v>197</v>
      </c>
      <c r="I25" s="157">
        <v>110</v>
      </c>
    </row>
    <row r="26" spans="2:9" x14ac:dyDescent="0.25">
      <c r="B26" s="163">
        <v>44216</v>
      </c>
      <c r="C26" s="162" t="s">
        <v>186</v>
      </c>
      <c r="D26" s="157" t="s">
        <v>85</v>
      </c>
      <c r="E26" s="167" t="str">
        <f>VLOOKUP(Tabla6[[#This Row],[Codigo]],TblInventario[],2,FALSE)</f>
        <v>Cloro Jabonoso</v>
      </c>
      <c r="F26" s="158" t="s">
        <v>202</v>
      </c>
      <c r="G26" s="167">
        <f>VLOOKUP(Tabla6[[#This Row],[Codigo]],TblInventario[],6,FALSE)</f>
        <v>170</v>
      </c>
      <c r="H26" s="158" t="s">
        <v>198</v>
      </c>
      <c r="I26" s="157">
        <v>-30</v>
      </c>
    </row>
    <row r="27" spans="2:9" x14ac:dyDescent="0.25">
      <c r="B27" s="163">
        <v>44216</v>
      </c>
      <c r="C27" s="162" t="s">
        <v>193</v>
      </c>
      <c r="D27" s="157" t="s">
        <v>80</v>
      </c>
      <c r="E27" s="167" t="str">
        <f>VLOOKUP(Tabla6[[#This Row],[Codigo]],TblInventario[],2,FALSE)</f>
        <v>Lavaplatos Liquido</v>
      </c>
      <c r="F27" s="158" t="s">
        <v>202</v>
      </c>
      <c r="G27" s="167">
        <f>VLOOKUP(Tabla6[[#This Row],[Codigo]],TblInventario[],6,FALSE)</f>
        <v>10</v>
      </c>
      <c r="H27" s="158" t="s">
        <v>198</v>
      </c>
      <c r="I27" s="157">
        <v>-200</v>
      </c>
    </row>
    <row r="28" spans="2:9" x14ac:dyDescent="0.25">
      <c r="B28" s="163">
        <v>44216</v>
      </c>
      <c r="C28" s="162" t="s">
        <v>194</v>
      </c>
      <c r="D28" s="157" t="s">
        <v>83</v>
      </c>
      <c r="E28" s="167" t="str">
        <f>VLOOKUP(Tabla6[[#This Row],[Codigo]],TblInventario[],2,FALSE)</f>
        <v>Desinfectante Herbal</v>
      </c>
      <c r="F28" s="167" t="str">
        <f>VLOOKUP(Tabla6[[#This Row],[Codigo]],TblInventario[],3,FALSE)</f>
        <v>Lts</v>
      </c>
      <c r="G28" s="167">
        <f>VLOOKUP(Tabla6[[#This Row],[Codigo]],TblInventario[],6,FALSE)</f>
        <v>610</v>
      </c>
      <c r="H28" s="158" t="s">
        <v>197</v>
      </c>
      <c r="I28" s="157">
        <v>500</v>
      </c>
    </row>
    <row r="29" spans="2:9" x14ac:dyDescent="0.25">
      <c r="B29" s="163">
        <v>44216</v>
      </c>
      <c r="C29" s="162" t="s">
        <v>195</v>
      </c>
      <c r="D29" s="157" t="s">
        <v>80</v>
      </c>
      <c r="E29" s="167" t="str">
        <f>VLOOKUP(Tabla6[[#This Row],[Codigo]],TblInventario[],2,FALSE)</f>
        <v>Lavaplatos Liquido</v>
      </c>
      <c r="F29" s="158" t="s">
        <v>202</v>
      </c>
      <c r="G29" s="167">
        <f>VLOOKUP(Tabla6[[#This Row],[Codigo]],TblInventario[],6,FALSE)</f>
        <v>10</v>
      </c>
      <c r="H29" s="158" t="s">
        <v>198</v>
      </c>
      <c r="I29" s="157">
        <v>-300</v>
      </c>
    </row>
    <row r="30" spans="2:9" x14ac:dyDescent="0.25">
      <c r="B30" s="163">
        <v>44212</v>
      </c>
      <c r="C30" s="162" t="s">
        <v>199</v>
      </c>
      <c r="D30" s="157" t="s">
        <v>81</v>
      </c>
      <c r="E30" s="167" t="str">
        <f>VLOOKUP(Tabla6[[#This Row],[Codigo]],TblInventario[],2,FALSE)</f>
        <v>Lavaplatos en Crema</v>
      </c>
      <c r="F30" s="158" t="s">
        <v>202</v>
      </c>
      <c r="G30" s="167">
        <f>VLOOKUP(Tabla6[[#This Row],[Codigo]],TblInventario[],6,FALSE)</f>
        <v>170</v>
      </c>
      <c r="H30" s="167" t="s">
        <v>198</v>
      </c>
      <c r="I30" s="157">
        <v>-100</v>
      </c>
    </row>
    <row r="31" spans="2:9" x14ac:dyDescent="0.25">
      <c r="B31" s="162"/>
      <c r="C31" s="165"/>
      <c r="D31" s="157" t="s">
        <v>99</v>
      </c>
      <c r="E31" s="167" t="str">
        <f>VLOOKUP(Tabla6[[#This Row],[Codigo]],TblInventario[],2,FALSE)</f>
        <v>Multiuso Desengrasante</v>
      </c>
      <c r="F31" s="167" t="str">
        <f>VLOOKUP(Tabla6[[#This Row],[Codigo]],TblInventario[],3,FALSE)</f>
        <v>Lts</v>
      </c>
      <c r="G31" s="167">
        <f>VLOOKUP(Tabla6[[#This Row],[Codigo]],TblInventario[],6,FALSE)</f>
        <v>140</v>
      </c>
      <c r="H31" s="167" t="s">
        <v>197</v>
      </c>
      <c r="I31" s="157">
        <v>20</v>
      </c>
    </row>
    <row r="32" spans="2:9" x14ac:dyDescent="0.25">
      <c r="B32" s="162"/>
      <c r="C32" s="165"/>
      <c r="D32" s="157" t="s">
        <v>80</v>
      </c>
      <c r="E32" s="167" t="str">
        <f>VLOOKUP(Tabla6[[#This Row],[Codigo]],TblInventario[],2,FALSE)</f>
        <v>Lavaplatos Liquido</v>
      </c>
      <c r="F32" s="167" t="str">
        <f>VLOOKUP(Tabla6[[#This Row],[Codigo]],TblInventario[],3,FALSE)</f>
        <v>Lts</v>
      </c>
      <c r="G32" s="167">
        <f>VLOOKUP(Tabla6[[#This Row],[Codigo]],TblInventario[],6,FALSE)</f>
        <v>10</v>
      </c>
      <c r="H32" s="167" t="s">
        <v>198</v>
      </c>
      <c r="I32" s="157">
        <v>-20</v>
      </c>
    </row>
    <row r="33" spans="9:9" x14ac:dyDescent="0.25">
      <c r="I33" s="3"/>
    </row>
    <row r="34" spans="9:9" x14ac:dyDescent="0.25">
      <c r="I34" s="3"/>
    </row>
    <row r="35" spans="9:9" x14ac:dyDescent="0.25">
      <c r="I35" s="3"/>
    </row>
    <row r="36" spans="9:9" x14ac:dyDescent="0.25">
      <c r="I36" s="3"/>
    </row>
    <row r="37" spans="9:9" x14ac:dyDescent="0.25">
      <c r="I37" s="3"/>
    </row>
    <row r="38" spans="9:9" x14ac:dyDescent="0.25">
      <c r="I38" s="3"/>
    </row>
    <row r="39" spans="9:9" x14ac:dyDescent="0.25">
      <c r="I39" s="3"/>
    </row>
    <row r="40" spans="9:9" x14ac:dyDescent="0.25">
      <c r="I40"/>
    </row>
    <row r="41" spans="9:9" x14ac:dyDescent="0.25">
      <c r="I41"/>
    </row>
    <row r="42" spans="9:9" x14ac:dyDescent="0.25">
      <c r="I42"/>
    </row>
    <row r="43" spans="9:9" x14ac:dyDescent="0.25">
      <c r="I43"/>
    </row>
    <row r="44" spans="9:9" x14ac:dyDescent="0.25">
      <c r="I44"/>
    </row>
    <row r="45" spans="9:9" x14ac:dyDescent="0.25">
      <c r="I45"/>
    </row>
    <row r="46" spans="9:9" x14ac:dyDescent="0.25">
      <c r="I46"/>
    </row>
    <row r="47" spans="9:9" x14ac:dyDescent="0.25">
      <c r="I47"/>
    </row>
    <row r="48" spans="9:9" x14ac:dyDescent="0.25">
      <c r="I48"/>
    </row>
    <row r="49" spans="9:9" x14ac:dyDescent="0.25">
      <c r="I49"/>
    </row>
    <row r="50" spans="9:9" x14ac:dyDescent="0.25">
      <c r="I50"/>
    </row>
    <row r="51" spans="9:9" x14ac:dyDescent="0.25">
      <c r="I51"/>
    </row>
    <row r="52" spans="9:9" x14ac:dyDescent="0.25">
      <c r="I52"/>
    </row>
    <row r="53" spans="9:9" x14ac:dyDescent="0.25">
      <c r="I53"/>
    </row>
    <row r="54" spans="9:9" x14ac:dyDescent="0.25">
      <c r="I54"/>
    </row>
    <row r="55" spans="9:9" x14ac:dyDescent="0.25">
      <c r="I55"/>
    </row>
    <row r="56" spans="9:9" x14ac:dyDescent="0.25">
      <c r="I56"/>
    </row>
    <row r="57" spans="9:9" x14ac:dyDescent="0.25">
      <c r="I57"/>
    </row>
    <row r="58" spans="9:9" x14ac:dyDescent="0.25">
      <c r="I58"/>
    </row>
    <row r="59" spans="9:9" x14ac:dyDescent="0.25">
      <c r="I59"/>
    </row>
    <row r="60" spans="9:9" x14ac:dyDescent="0.25">
      <c r="I60"/>
    </row>
    <row r="61" spans="9:9" x14ac:dyDescent="0.25">
      <c r="I61"/>
    </row>
    <row r="62" spans="9:9" x14ac:dyDescent="0.25">
      <c r="I62"/>
    </row>
    <row r="63" spans="9:9" x14ac:dyDescent="0.25">
      <c r="I63"/>
    </row>
    <row r="64" spans="9:9"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sheetData>
  <mergeCells count="1">
    <mergeCell ref="B3:I3"/>
  </mergeCells>
  <phoneticPr fontId="12" type="noConversion"/>
  <conditionalFormatting sqref="B6:I32">
    <cfRule type="expression" dxfId="5" priority="2">
      <formula>$I6&lt;0</formula>
    </cfRule>
    <cfRule type="expression" dxfId="4" priority="3" stopIfTrue="1">
      <formula>$I6&gt;0</formula>
    </cfRule>
  </conditionalFormatting>
  <dataValidations count="2">
    <dataValidation type="list" allowBlank="1" showInputMessage="1" showErrorMessage="1" sqref="H6:H32" xr:uid="{5F5BE31E-6F9A-44CA-A997-A5F320D161B7}">
      <formula1>$AC$10:$AC$11</formula1>
    </dataValidation>
    <dataValidation type="custom" allowBlank="1" showInputMessage="1" showErrorMessage="1" errorTitle="Existencia Insuficiente" error="La catidad de Stock de este producto no es suficiente para completar el pedido requerido!!" sqref="I6:I32" xr:uid="{66A8C9AB-78AB-4761-997B-1BE3EA37825F}">
      <formula1>G6&gt;=0</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1782D-5899-4BBE-976D-21C70C2D4385}">
  <sheetPr codeName="Hoja18">
    <tabColor theme="9" tint="-0.249977111117893"/>
  </sheetPr>
  <dimension ref="B1:S19"/>
  <sheetViews>
    <sheetView showGridLines="0" workbookViewId="0">
      <selection activeCell="J18" sqref="J18"/>
    </sheetView>
  </sheetViews>
  <sheetFormatPr baseColWidth="10" defaultRowHeight="15" x14ac:dyDescent="0.25"/>
  <cols>
    <col min="3" max="3" width="14.42578125" bestFit="1" customWidth="1"/>
    <col min="4" max="4" width="10.140625" style="3" bestFit="1" customWidth="1"/>
    <col min="5" max="6" width="8.28515625" style="3" bestFit="1" customWidth="1"/>
    <col min="15" max="15" width="19" customWidth="1"/>
  </cols>
  <sheetData>
    <row r="1" spans="2:19" ht="51" customHeight="1" x14ac:dyDescent="0.25">
      <c r="B1" s="184"/>
      <c r="C1" s="381" t="s">
        <v>205</v>
      </c>
      <c r="D1" s="381"/>
      <c r="E1" s="381"/>
      <c r="F1" s="381"/>
      <c r="G1" s="381"/>
      <c r="H1" s="381"/>
      <c r="I1" s="381"/>
      <c r="J1" s="381"/>
      <c r="K1" s="381"/>
      <c r="L1" s="381"/>
      <c r="M1" s="185"/>
      <c r="N1" s="186" t="s">
        <v>146</v>
      </c>
      <c r="O1" s="187">
        <f ca="1">TODAY()</f>
        <v>44311</v>
      </c>
      <c r="P1" s="184"/>
      <c r="Q1" s="184"/>
      <c r="R1" s="184"/>
      <c r="S1" s="184"/>
    </row>
    <row r="2" spans="2:19" x14ac:dyDescent="0.25">
      <c r="B2" s="184"/>
      <c r="C2" s="184"/>
      <c r="D2" s="188"/>
      <c r="E2" s="188"/>
      <c r="F2" s="188"/>
      <c r="G2" s="184"/>
      <c r="H2" s="184"/>
      <c r="I2" s="184"/>
      <c r="J2" s="184"/>
      <c r="K2" s="184"/>
      <c r="L2" s="184"/>
      <c r="M2" s="184"/>
      <c r="N2" s="184"/>
      <c r="O2" s="184"/>
      <c r="P2" s="184"/>
      <c r="Q2" s="184"/>
      <c r="R2" s="184"/>
      <c r="S2" s="184"/>
    </row>
    <row r="3" spans="2:19" x14ac:dyDescent="0.25">
      <c r="B3" s="184"/>
      <c r="C3" s="184" t="s">
        <v>204</v>
      </c>
      <c r="D3" s="188" t="s">
        <v>202</v>
      </c>
      <c r="E3" s="188"/>
      <c r="F3"/>
      <c r="G3" s="184"/>
      <c r="H3" s="184"/>
      <c r="I3" s="184"/>
      <c r="J3" s="184"/>
      <c r="K3" s="184"/>
      <c r="L3" s="184"/>
      <c r="M3" s="184"/>
      <c r="N3" s="184"/>
      <c r="O3" s="184"/>
      <c r="P3" s="184"/>
      <c r="Q3" s="184"/>
      <c r="R3" s="184"/>
      <c r="S3" s="184"/>
    </row>
    <row r="4" spans="2:19" x14ac:dyDescent="0.25">
      <c r="B4" s="184"/>
      <c r="C4" s="184" t="s">
        <v>90</v>
      </c>
      <c r="D4" s="188" t="s">
        <v>197</v>
      </c>
      <c r="E4" s="184" t="s">
        <v>201</v>
      </c>
      <c r="F4"/>
      <c r="G4" s="184"/>
      <c r="H4" s="184"/>
      <c r="I4" s="184"/>
      <c r="J4" s="184"/>
      <c r="K4" s="184"/>
      <c r="L4" s="184"/>
      <c r="M4" s="184"/>
      <c r="N4" s="184"/>
      <c r="O4" s="184"/>
      <c r="P4" s="184"/>
      <c r="Q4" s="184"/>
      <c r="R4" s="184"/>
      <c r="S4" s="184"/>
    </row>
    <row r="5" spans="2:19" x14ac:dyDescent="0.25">
      <c r="B5" s="184"/>
      <c r="C5" s="189" t="s">
        <v>96</v>
      </c>
      <c r="D5" s="190">
        <v>200</v>
      </c>
      <c r="E5" s="190">
        <v>200</v>
      </c>
      <c r="F5"/>
      <c r="G5" s="184"/>
      <c r="H5" s="184"/>
      <c r="I5" s="184"/>
      <c r="J5" s="184"/>
      <c r="K5" s="184"/>
      <c r="L5" s="184"/>
      <c r="M5" s="184"/>
      <c r="N5" s="184"/>
      <c r="O5" s="184"/>
      <c r="P5" s="184"/>
      <c r="Q5" s="184"/>
      <c r="R5" s="184"/>
      <c r="S5" s="184"/>
    </row>
    <row r="6" spans="2:19" x14ac:dyDescent="0.25">
      <c r="B6" s="184"/>
      <c r="C6" s="189" t="s">
        <v>201</v>
      </c>
      <c r="D6" s="190">
        <v>200</v>
      </c>
      <c r="E6" s="190">
        <v>200</v>
      </c>
      <c r="F6"/>
      <c r="G6" s="184"/>
      <c r="H6" s="184"/>
      <c r="I6" s="184"/>
      <c r="J6" s="184"/>
      <c r="K6" s="184"/>
      <c r="L6" s="184"/>
      <c r="M6" s="184"/>
      <c r="N6" s="184"/>
      <c r="O6" s="184"/>
      <c r="P6" s="184"/>
      <c r="Q6" s="184"/>
      <c r="R6" s="184"/>
      <c r="S6" s="184"/>
    </row>
    <row r="7" spans="2:19" x14ac:dyDescent="0.25">
      <c r="B7" s="184"/>
      <c r="D7"/>
      <c r="E7"/>
      <c r="F7"/>
      <c r="G7" s="184"/>
      <c r="H7" s="184"/>
      <c r="I7" s="184"/>
      <c r="J7" s="184"/>
      <c r="K7" s="184"/>
      <c r="L7" s="184"/>
      <c r="M7" s="184"/>
      <c r="N7" s="184"/>
      <c r="O7" s="184"/>
      <c r="P7" s="184"/>
      <c r="Q7" s="184"/>
      <c r="R7" s="184"/>
      <c r="S7" s="184"/>
    </row>
    <row r="8" spans="2:19" x14ac:dyDescent="0.25">
      <c r="B8" s="184"/>
      <c r="D8"/>
      <c r="E8"/>
      <c r="F8"/>
      <c r="G8" s="184"/>
      <c r="H8" s="184"/>
      <c r="I8" s="184"/>
      <c r="J8" s="184"/>
      <c r="K8" s="184"/>
      <c r="L8" s="184"/>
      <c r="M8" s="184"/>
      <c r="N8" s="184"/>
      <c r="O8" s="184"/>
      <c r="P8" s="184"/>
      <c r="Q8" s="184"/>
      <c r="R8" s="184"/>
      <c r="S8" s="184"/>
    </row>
    <row r="9" spans="2:19" x14ac:dyDescent="0.25">
      <c r="B9" s="184"/>
      <c r="D9"/>
      <c r="E9"/>
      <c r="F9"/>
      <c r="G9" s="184"/>
      <c r="H9" s="184"/>
      <c r="I9" s="184"/>
      <c r="J9" s="184"/>
      <c r="K9" s="184"/>
      <c r="L9" s="184"/>
      <c r="M9" s="184"/>
      <c r="N9" s="184"/>
      <c r="O9" s="184"/>
      <c r="P9" s="184"/>
      <c r="Q9" s="184"/>
      <c r="R9" s="184"/>
      <c r="S9" s="184"/>
    </row>
    <row r="10" spans="2:19" x14ac:dyDescent="0.25">
      <c r="B10" s="184"/>
      <c r="D10"/>
      <c r="E10"/>
      <c r="F10"/>
      <c r="G10" s="184"/>
      <c r="H10" s="184"/>
      <c r="I10" s="184"/>
      <c r="J10" s="184"/>
      <c r="K10" s="184"/>
      <c r="L10" s="184"/>
      <c r="M10" s="184"/>
      <c r="N10" s="184"/>
      <c r="O10" s="184"/>
      <c r="P10" s="184"/>
      <c r="Q10" s="184"/>
      <c r="R10" s="184"/>
      <c r="S10" s="184"/>
    </row>
    <row r="11" spans="2:19" x14ac:dyDescent="0.25">
      <c r="B11" s="184"/>
      <c r="D11"/>
      <c r="E11"/>
      <c r="F11"/>
      <c r="G11" s="184"/>
      <c r="H11" s="184"/>
      <c r="I11" s="184"/>
      <c r="J11" s="184"/>
      <c r="K11" s="184"/>
      <c r="L11" s="184"/>
      <c r="M11" s="184"/>
      <c r="N11" s="184"/>
      <c r="O11" s="184"/>
      <c r="P11" s="184"/>
      <c r="Q11" s="184"/>
      <c r="R11" s="184"/>
      <c r="S11" s="184"/>
    </row>
    <row r="12" spans="2:19" x14ac:dyDescent="0.25">
      <c r="B12" s="184"/>
      <c r="D12"/>
      <c r="E12"/>
      <c r="F12"/>
      <c r="G12" s="184"/>
      <c r="H12" s="184"/>
      <c r="I12" s="184"/>
      <c r="J12" s="184"/>
      <c r="K12" s="184"/>
      <c r="L12" s="184"/>
      <c r="M12" s="184"/>
      <c r="N12" s="184"/>
      <c r="O12" s="184"/>
      <c r="P12" s="184"/>
      <c r="Q12" s="184"/>
      <c r="R12" s="184"/>
      <c r="S12" s="184"/>
    </row>
    <row r="13" spans="2:19" x14ac:dyDescent="0.25">
      <c r="B13" s="184"/>
      <c r="D13"/>
      <c r="E13"/>
      <c r="F13"/>
      <c r="G13" s="184"/>
      <c r="H13" s="184"/>
      <c r="I13" s="184"/>
      <c r="J13" s="184"/>
      <c r="K13" s="184"/>
      <c r="L13" s="184"/>
      <c r="M13" s="184"/>
      <c r="N13" s="184"/>
      <c r="O13" s="184"/>
      <c r="P13" s="184"/>
      <c r="Q13" s="184"/>
      <c r="R13" s="184"/>
      <c r="S13" s="184"/>
    </row>
    <row r="14" spans="2:19" x14ac:dyDescent="0.25">
      <c r="B14" s="184"/>
      <c r="C14" s="184"/>
      <c r="D14" s="188"/>
      <c r="E14" s="188"/>
      <c r="F14" s="188"/>
      <c r="G14" s="184"/>
      <c r="H14" s="184"/>
      <c r="I14" s="184"/>
      <c r="J14" s="184"/>
      <c r="K14" s="184"/>
      <c r="L14" s="184"/>
      <c r="M14" s="184"/>
      <c r="N14" s="184"/>
      <c r="O14" s="184"/>
      <c r="P14" s="184"/>
      <c r="Q14" s="184"/>
      <c r="R14" s="184"/>
      <c r="S14" s="184"/>
    </row>
    <row r="15" spans="2:19" x14ac:dyDescent="0.25">
      <c r="B15" s="184"/>
      <c r="C15" s="184"/>
      <c r="D15" s="188"/>
      <c r="E15" s="188"/>
      <c r="F15" s="188"/>
      <c r="G15" s="184"/>
      <c r="H15" s="184"/>
      <c r="I15" s="184"/>
      <c r="J15" s="184"/>
      <c r="K15" s="184"/>
      <c r="L15" s="184"/>
      <c r="M15" s="184"/>
      <c r="N15" s="184"/>
      <c r="O15" s="184"/>
      <c r="P15" s="184"/>
      <c r="Q15" s="184"/>
      <c r="R15" s="184"/>
      <c r="S15" s="184"/>
    </row>
    <row r="16" spans="2:19" x14ac:dyDescent="0.25">
      <c r="B16" s="184"/>
      <c r="C16" s="184"/>
      <c r="D16" s="188"/>
      <c r="E16" s="188"/>
      <c r="F16" s="188"/>
      <c r="G16" s="184"/>
      <c r="H16" s="184"/>
      <c r="I16" s="184"/>
      <c r="J16" s="184"/>
      <c r="K16" s="184"/>
      <c r="L16" s="184"/>
      <c r="M16" s="184"/>
      <c r="N16" s="184"/>
      <c r="O16" s="184"/>
      <c r="P16" s="184"/>
      <c r="Q16" s="184"/>
      <c r="R16" s="184"/>
      <c r="S16" s="184"/>
    </row>
    <row r="17" spans="2:19" x14ac:dyDescent="0.25">
      <c r="B17" s="184"/>
      <c r="C17" s="184"/>
      <c r="D17" s="188"/>
      <c r="E17" s="188"/>
      <c r="F17" s="188"/>
      <c r="G17" s="184"/>
      <c r="H17" s="184"/>
      <c r="I17" s="184"/>
      <c r="J17" s="184"/>
      <c r="K17" s="184"/>
      <c r="L17" s="184"/>
      <c r="M17" s="184"/>
      <c r="N17" s="184"/>
      <c r="O17" s="184"/>
      <c r="P17" s="184"/>
      <c r="Q17" s="184"/>
      <c r="R17" s="184"/>
      <c r="S17" s="184"/>
    </row>
    <row r="18" spans="2:19" x14ac:dyDescent="0.25">
      <c r="B18" s="184"/>
      <c r="C18" s="184"/>
      <c r="D18" s="188"/>
      <c r="E18" s="188"/>
      <c r="F18" s="188"/>
      <c r="G18" s="184"/>
      <c r="H18" s="184"/>
      <c r="I18" s="184"/>
      <c r="J18" s="184"/>
      <c r="K18" s="184"/>
      <c r="L18" s="184"/>
      <c r="M18" s="184"/>
      <c r="N18" s="184"/>
      <c r="O18" s="184"/>
      <c r="P18" s="184"/>
      <c r="Q18" s="184"/>
      <c r="R18" s="184"/>
      <c r="S18" s="184"/>
    </row>
    <row r="19" spans="2:19" ht="41.25" customHeight="1" x14ac:dyDescent="0.25">
      <c r="B19" s="191"/>
      <c r="C19" s="191"/>
      <c r="D19" s="192"/>
      <c r="E19" s="192"/>
      <c r="F19" s="192"/>
      <c r="G19" s="191"/>
      <c r="H19" s="191"/>
      <c r="I19" s="191"/>
      <c r="J19" s="191"/>
      <c r="K19" s="191"/>
      <c r="L19" s="191"/>
      <c r="M19" s="191"/>
      <c r="N19" s="191"/>
      <c r="O19" s="191"/>
      <c r="P19" s="191"/>
      <c r="Q19" s="191"/>
      <c r="R19" s="191"/>
      <c r="S19" s="191"/>
    </row>
  </sheetData>
  <mergeCells count="1">
    <mergeCell ref="C1:L1"/>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51555-9AAC-447B-B6AE-859667A35992}">
  <sheetPr codeName="Hoja15"/>
  <dimension ref="A1:G27"/>
  <sheetViews>
    <sheetView workbookViewId="0">
      <selection activeCell="O13" sqref="O13"/>
    </sheetView>
  </sheetViews>
  <sheetFormatPr baseColWidth="10" defaultRowHeight="15" x14ac:dyDescent="0.25"/>
  <cols>
    <col min="1" max="1" width="4.140625" customWidth="1"/>
    <col min="2" max="2" width="13.5703125" customWidth="1"/>
    <col min="3" max="3" width="36.42578125" customWidth="1"/>
    <col min="5" max="5" width="17.7109375" bestFit="1" customWidth="1"/>
  </cols>
  <sheetData>
    <row r="1" spans="1:7" ht="23.25" thickBot="1" x14ac:dyDescent="0.35">
      <c r="A1" s="102"/>
      <c r="B1" s="103" t="s">
        <v>142</v>
      </c>
      <c r="C1" s="103"/>
      <c r="D1" s="382" t="s">
        <v>143</v>
      </c>
      <c r="E1" s="382"/>
      <c r="F1" s="102"/>
      <c r="G1" s="102"/>
    </row>
    <row r="2" spans="1:7" ht="62.25" customHeight="1" thickTop="1" thickBot="1" x14ac:dyDescent="0.3">
      <c r="A2" s="102"/>
      <c r="B2" s="104" t="s">
        <v>144</v>
      </c>
      <c r="C2" s="104"/>
      <c r="D2" s="102"/>
      <c r="E2" s="102"/>
      <c r="F2" s="102"/>
      <c r="G2" s="102"/>
    </row>
    <row r="3" spans="1:7" ht="15.75" thickTop="1" x14ac:dyDescent="0.25">
      <c r="A3" s="102"/>
      <c r="B3" t="s">
        <v>145</v>
      </c>
      <c r="C3" s="102"/>
      <c r="D3" s="105" t="s">
        <v>146</v>
      </c>
      <c r="E3" s="106">
        <f ca="1">TODAY()</f>
        <v>44311</v>
      </c>
      <c r="F3" s="102"/>
      <c r="G3" s="102"/>
    </row>
    <row r="4" spans="1:7" ht="30" x14ac:dyDescent="0.25">
      <c r="A4" s="102"/>
      <c r="B4" t="s">
        <v>147</v>
      </c>
      <c r="C4" s="102"/>
      <c r="D4" s="105" t="s">
        <v>148</v>
      </c>
      <c r="E4" s="107">
        <f>IF('[2]Detalle de facturas'!I1="CONSECUTIVO",1,'[2]Detalle de facturas'!I1+1)</f>
        <v>3</v>
      </c>
      <c r="F4" s="102"/>
      <c r="G4" s="102"/>
    </row>
    <row r="5" spans="1:7" ht="36" customHeight="1" x14ac:dyDescent="0.25">
      <c r="A5" s="102"/>
      <c r="B5" s="108" t="s">
        <v>149</v>
      </c>
      <c r="C5" s="108"/>
      <c r="D5" s="109" t="s">
        <v>150</v>
      </c>
      <c r="E5" s="110" t="s">
        <v>151</v>
      </c>
      <c r="F5" s="102"/>
      <c r="G5" s="102"/>
    </row>
    <row r="6" spans="1:7" ht="15.75" thickBot="1" x14ac:dyDescent="0.3">
      <c r="A6" s="102"/>
      <c r="B6" s="111" t="s">
        <v>152</v>
      </c>
      <c r="C6" s="111"/>
      <c r="D6" s="102"/>
      <c r="E6" s="102"/>
      <c r="F6" s="102"/>
      <c r="G6" s="102"/>
    </row>
    <row r="7" spans="1:7" x14ac:dyDescent="0.25">
      <c r="A7" s="102"/>
      <c r="B7" t="s">
        <v>153</v>
      </c>
      <c r="C7" s="102"/>
      <c r="D7" s="102"/>
      <c r="E7" s="102"/>
      <c r="F7" s="102"/>
      <c r="G7" s="102"/>
    </row>
    <row r="8" spans="1:7" x14ac:dyDescent="0.25">
      <c r="A8" s="102"/>
      <c r="B8" t="str">
        <f>IFERROR(VLOOKUP(B7,[2]!tblClientes[#All],2,0),"-")</f>
        <v>-</v>
      </c>
      <c r="C8" s="102"/>
      <c r="D8" s="102"/>
      <c r="E8" s="102"/>
      <c r="F8" s="102"/>
      <c r="G8" s="102"/>
    </row>
    <row r="9" spans="1:7" x14ac:dyDescent="0.25">
      <c r="A9" s="102"/>
      <c r="B9" t="str">
        <f>IFERROR(VLOOKUP(B7,[2]!tblClientes[#All],3,0),"-")</f>
        <v>-</v>
      </c>
      <c r="C9" s="102"/>
      <c r="D9" s="102"/>
      <c r="E9" s="102"/>
      <c r="F9" s="102"/>
      <c r="G9" s="102"/>
    </row>
    <row r="10" spans="1:7" x14ac:dyDescent="0.25">
      <c r="A10" s="102"/>
      <c r="B10" t="str">
        <f>IFERROR(VLOOKUP(B7,[2]!tblClientes[#All],4,0),"-")</f>
        <v>-</v>
      </c>
      <c r="C10" s="102"/>
      <c r="D10" s="102"/>
      <c r="E10" s="102"/>
      <c r="F10" s="102"/>
      <c r="G10" s="102"/>
    </row>
    <row r="11" spans="1:7" x14ac:dyDescent="0.25">
      <c r="A11" s="102"/>
      <c r="B11" s="108" t="str">
        <f>IFERROR(VLOOKUP(B7,[2]!tblClientes[#All],5,0),"-")</f>
        <v>-</v>
      </c>
      <c r="C11" s="108"/>
      <c r="D11" s="102"/>
      <c r="E11" s="102"/>
      <c r="F11" s="102"/>
      <c r="G11" s="102"/>
    </row>
    <row r="12" spans="1:7" x14ac:dyDescent="0.25">
      <c r="A12" s="102"/>
      <c r="B12" s="115" t="s">
        <v>154</v>
      </c>
      <c r="C12" s="115" t="s">
        <v>155</v>
      </c>
      <c r="D12" s="115" t="s">
        <v>1</v>
      </c>
      <c r="E12" s="115" t="s">
        <v>156</v>
      </c>
      <c r="F12" s="102"/>
      <c r="G12" s="102"/>
    </row>
    <row r="13" spans="1:7" x14ac:dyDescent="0.25">
      <c r="A13" s="102"/>
      <c r="B13" s="116">
        <v>1007</v>
      </c>
      <c r="C13" s="117" t="s">
        <v>160</v>
      </c>
      <c r="D13" s="118">
        <v>3</v>
      </c>
      <c r="E13" s="119" t="str">
        <f>IFERROR(Factura[[#This Row],[CANTIDAD]]*VLOOKUP(Factura[[#This Row],[CÓDIGO]],[2]!tblProductos[#All],3,0),"")</f>
        <v/>
      </c>
      <c r="F13" s="102"/>
      <c r="G13" s="102"/>
    </row>
    <row r="14" spans="1:7" x14ac:dyDescent="0.25">
      <c r="A14" s="102"/>
      <c r="B14" s="116">
        <v>1005</v>
      </c>
      <c r="C14" s="117" t="str">
        <f>IFERROR(VLOOKUP(Factura[[#This Row],[CÓDIGO]],[2]!tblProductos[#All],2,0),"")</f>
        <v/>
      </c>
      <c r="D14" s="118">
        <v>4</v>
      </c>
      <c r="E14" s="119" t="str">
        <f>IFERROR(Factura[[#This Row],[CANTIDAD]]*VLOOKUP(Factura[[#This Row],[CÓDIGO]],[2]!tblProductos[#All],3,0),"")</f>
        <v/>
      </c>
      <c r="F14" s="102"/>
      <c r="G14" s="102"/>
    </row>
    <row r="15" spans="1:7" x14ac:dyDescent="0.25">
      <c r="A15" s="102"/>
      <c r="B15" s="116"/>
      <c r="C15" s="117" t="str">
        <f>IFERROR(VLOOKUP(Factura[[#This Row],[CÓDIGO]],[2]!tblProductos[#All],2,0),"")</f>
        <v/>
      </c>
      <c r="D15" s="118"/>
      <c r="E15" s="119" t="str">
        <f>IFERROR(Factura[[#This Row],[CANTIDAD]]*VLOOKUP(Factura[[#This Row],[CÓDIGO]],[2]!tblProductos[#All],3,0),"")</f>
        <v/>
      </c>
      <c r="F15" s="102"/>
      <c r="G15" s="102"/>
    </row>
    <row r="16" spans="1:7" x14ac:dyDescent="0.25">
      <c r="A16" s="102"/>
      <c r="B16" s="116"/>
      <c r="C16" s="117" t="str">
        <f>IFERROR(VLOOKUP(Factura[[#This Row],[CÓDIGO]],[2]!tblProductos[#All],2,0),"")</f>
        <v/>
      </c>
      <c r="D16" s="118"/>
      <c r="E16" s="119" t="str">
        <f>IFERROR(Factura[[#This Row],[CANTIDAD]]*VLOOKUP(Factura[[#This Row],[CÓDIGO]],[2]!tblProductos[#All],3,0),"")</f>
        <v/>
      </c>
      <c r="F16" s="102"/>
      <c r="G16" s="102"/>
    </row>
    <row r="17" spans="1:7" x14ac:dyDescent="0.25">
      <c r="A17" s="102"/>
      <c r="B17" s="116"/>
      <c r="C17" s="117" t="str">
        <f>IFERROR(VLOOKUP(Factura[[#This Row],[CÓDIGO]],[2]!tblProductos[#All],2,0),"")</f>
        <v/>
      </c>
      <c r="D17" s="118"/>
      <c r="E17" s="119" t="str">
        <f>IFERROR(Factura[[#This Row],[CANTIDAD]]*VLOOKUP(Factura[[#This Row],[CÓDIGO]],[2]!tblProductos[#All],3,0),"")</f>
        <v/>
      </c>
      <c r="F17" s="102"/>
      <c r="G17" s="102"/>
    </row>
    <row r="18" spans="1:7" x14ac:dyDescent="0.25">
      <c r="A18" s="102"/>
      <c r="B18" s="116"/>
      <c r="C18" s="117" t="str">
        <f>IFERROR(VLOOKUP(Factura[[#This Row],[CÓDIGO]],[2]!tblProductos[#All],2,0),"")</f>
        <v/>
      </c>
      <c r="D18" s="118"/>
      <c r="E18" s="119" t="str">
        <f>IFERROR(Factura[[#This Row],[CANTIDAD]]*VLOOKUP(Factura[[#This Row],[CÓDIGO]],[2]!tblProductos[#All],3,0),"")</f>
        <v/>
      </c>
      <c r="F18" s="102"/>
      <c r="G18" s="102"/>
    </row>
    <row r="19" spans="1:7" x14ac:dyDescent="0.25">
      <c r="A19" s="102"/>
      <c r="B19" s="116"/>
      <c r="C19" s="117" t="str">
        <f>IFERROR(VLOOKUP(Factura[[#This Row],[CÓDIGO]],[2]!tblProductos[#All],2,0),"")</f>
        <v/>
      </c>
      <c r="D19" s="118"/>
      <c r="E19" s="119" t="str">
        <f>IFERROR(Factura[[#This Row],[CANTIDAD]]*VLOOKUP(Factura[[#This Row],[CÓDIGO]],[2]!tblProductos[#All],3,0),"")</f>
        <v/>
      </c>
      <c r="F19" s="102"/>
      <c r="G19" s="102"/>
    </row>
    <row r="20" spans="1:7" x14ac:dyDescent="0.25">
      <c r="A20" s="102"/>
      <c r="B20" s="116"/>
      <c r="C20" s="117" t="str">
        <f>IFERROR(VLOOKUP(Factura[[#This Row],[CÓDIGO]],[2]!tblProductos[#All],2,0),"")</f>
        <v/>
      </c>
      <c r="D20" s="118"/>
      <c r="E20" s="119" t="str">
        <f>IFERROR(Factura[[#This Row],[CANTIDAD]]*VLOOKUP(Factura[[#This Row],[CÓDIGO]],[2]!tblProductos[#All],3,0),"")</f>
        <v/>
      </c>
      <c r="F20" s="102"/>
      <c r="G20" s="102"/>
    </row>
    <row r="21" spans="1:7" x14ac:dyDescent="0.25">
      <c r="A21" s="102"/>
      <c r="B21" s="116"/>
      <c r="C21" s="117" t="str">
        <f>IFERROR(VLOOKUP(Factura[[#This Row],[CÓDIGO]],[2]!tblProductos[#All],2,0),"")</f>
        <v/>
      </c>
      <c r="D21" s="118"/>
      <c r="E21" s="119" t="str">
        <f>IFERROR(Factura[[#This Row],[CANTIDAD]]*VLOOKUP(Factura[[#This Row],[CÓDIGO]],[2]!tblProductos[#All],3,0),"")</f>
        <v/>
      </c>
      <c r="F21" s="102"/>
      <c r="G21" s="102"/>
    </row>
    <row r="22" spans="1:7" x14ac:dyDescent="0.25">
      <c r="A22" s="102"/>
      <c r="B22" s="116"/>
      <c r="C22" s="117" t="str">
        <f>IFERROR(VLOOKUP(Factura[[#This Row],[CÓDIGO]],[2]!tblProductos[#All],2,0),"")</f>
        <v/>
      </c>
      <c r="D22" s="118"/>
      <c r="E22" s="119" t="str">
        <f>IFERROR(Factura[[#This Row],[CANTIDAD]]*VLOOKUP(Factura[[#This Row],[CÓDIGO]],[2]!tblProductos[#All],3,0),"")</f>
        <v/>
      </c>
      <c r="F22" s="102"/>
      <c r="G22" s="102"/>
    </row>
    <row r="23" spans="1:7" x14ac:dyDescent="0.25">
      <c r="A23" s="102"/>
      <c r="B23" s="116"/>
      <c r="C23" s="117" t="str">
        <f>IFERROR(VLOOKUP(Factura[[#This Row],[CÓDIGO]],[2]!tblProductos[#All],2,0),"")</f>
        <v/>
      </c>
      <c r="D23" s="118"/>
      <c r="E23" s="119" t="str">
        <f>IFERROR(Factura[[#This Row],[CANTIDAD]]*VLOOKUP(Factura[[#This Row],[CÓDIGO]],[2]!tblProductos[#All],3,0),"")</f>
        <v/>
      </c>
      <c r="F23" s="102"/>
      <c r="G23" s="102"/>
    </row>
    <row r="24" spans="1:7" ht="21" customHeight="1" thickBot="1" x14ac:dyDescent="0.3">
      <c r="A24" s="102"/>
      <c r="B24" s="102"/>
      <c r="C24" s="102"/>
      <c r="D24" s="113" t="s">
        <v>157</v>
      </c>
      <c r="E24" s="114">
        <f>SUBTOTAL(109,Factura[IMPORTE])</f>
        <v>0</v>
      </c>
      <c r="F24" s="102"/>
      <c r="G24" s="102"/>
    </row>
    <row r="25" spans="1:7" ht="15.75" thickTop="1" x14ac:dyDescent="0.25">
      <c r="A25" s="102"/>
      <c r="B25" s="383" t="str">
        <f>"Establezca que todos los cheques se paguen a "&amp;Nombre_empresa&amp;""</f>
        <v>Establezca que todos los cheques se paguen a Mi Empresa</v>
      </c>
      <c r="C25" s="383"/>
      <c r="D25" s="112"/>
      <c r="E25" s="112"/>
      <c r="F25" s="102"/>
      <c r="G25" s="102"/>
    </row>
    <row r="26" spans="1:7" x14ac:dyDescent="0.25">
      <c r="A26" s="102"/>
      <c r="B26" s="384" t="s">
        <v>158</v>
      </c>
      <c r="C26" s="384"/>
      <c r="D26" s="384"/>
      <c r="E26" s="384"/>
      <c r="F26" s="102"/>
      <c r="G26" s="102"/>
    </row>
    <row r="27" spans="1:7" x14ac:dyDescent="0.25">
      <c r="A27" s="102"/>
      <c r="B27" s="385" t="s">
        <v>159</v>
      </c>
      <c r="C27" s="385"/>
      <c r="D27" s="385"/>
      <c r="E27" s="385"/>
      <c r="F27" s="102"/>
      <c r="G27" s="102"/>
    </row>
  </sheetData>
  <mergeCells count="4">
    <mergeCell ref="D1:E1"/>
    <mergeCell ref="B25:C25"/>
    <mergeCell ref="B26:E26"/>
    <mergeCell ref="B27:E27"/>
  </mergeCells>
  <dataValidations count="2">
    <dataValidation type="list" allowBlank="1" showInputMessage="1" showErrorMessage="1" sqref="B13:B23" xr:uid="{DDC354C1-4D5C-4C21-9E18-6012793C0DFC}">
      <formula1>INDIRECT("tblProductos[CODIGO]")</formula1>
    </dataValidation>
    <dataValidation type="list" allowBlank="1" showInputMessage="1" showErrorMessage="1" sqref="B7" xr:uid="{2784BF70-5C6D-41A8-8353-0706DF8AEEC3}">
      <formula1>INDIRECT("tblClientes[Nombre]")</formula1>
    </dataValidation>
  </dataValidations>
  <pageMargins left="0.7" right="0.7" top="0.75" bottom="0.75" header="0.3" footer="0.3"/>
  <drawing r:id="rId1"/>
  <legacy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83AF0-83D1-48F5-89B6-32F4D595617A}">
  <sheetPr codeName="Hoja13"/>
  <dimension ref="B5:I9"/>
  <sheetViews>
    <sheetView topLeftCell="B1" zoomScale="95" zoomScaleNormal="95" workbookViewId="0">
      <selection activeCell="M1" sqref="M1"/>
    </sheetView>
  </sheetViews>
  <sheetFormatPr baseColWidth="10" defaultRowHeight="15" x14ac:dyDescent="0.25"/>
  <cols>
    <col min="2" max="2" width="12.42578125" style="3" customWidth="1"/>
    <col min="4" max="4" width="28.5703125" customWidth="1"/>
    <col min="5" max="5" width="41.85546875" customWidth="1"/>
    <col min="7" max="7" width="17" customWidth="1"/>
    <col min="8" max="8" width="21.42578125" bestFit="1" customWidth="1"/>
    <col min="9" max="9" width="15.5703125" customWidth="1"/>
  </cols>
  <sheetData>
    <row r="5" spans="2:9" ht="18.75" x14ac:dyDescent="0.3">
      <c r="B5" s="97" t="s">
        <v>120</v>
      </c>
      <c r="C5" s="96" t="s">
        <v>10</v>
      </c>
      <c r="D5" s="96" t="s">
        <v>121</v>
      </c>
      <c r="E5" s="96" t="s">
        <v>122</v>
      </c>
      <c r="F5" s="96" t="s">
        <v>126</v>
      </c>
      <c r="G5" s="96" t="s">
        <v>123</v>
      </c>
      <c r="H5" s="96" t="s">
        <v>124</v>
      </c>
      <c r="I5" s="98" t="s">
        <v>125</v>
      </c>
    </row>
    <row r="6" spans="2:9" x14ac:dyDescent="0.25">
      <c r="B6" s="101">
        <v>1</v>
      </c>
      <c r="C6" s="99" t="s">
        <v>127</v>
      </c>
      <c r="D6" s="99" t="s">
        <v>128</v>
      </c>
      <c r="E6" s="99" t="s">
        <v>129</v>
      </c>
      <c r="F6" s="99" t="s">
        <v>130</v>
      </c>
      <c r="G6" s="99">
        <v>23245678902</v>
      </c>
      <c r="H6" s="100" t="s">
        <v>131</v>
      </c>
      <c r="I6" s="95"/>
    </row>
    <row r="7" spans="2:9" x14ac:dyDescent="0.25">
      <c r="B7" s="101">
        <v>2</v>
      </c>
      <c r="C7" s="99" t="s">
        <v>132</v>
      </c>
      <c r="D7" s="99" t="s">
        <v>133</v>
      </c>
      <c r="E7" s="99" t="s">
        <v>134</v>
      </c>
      <c r="F7" s="99" t="s">
        <v>135</v>
      </c>
      <c r="G7" s="99">
        <v>23456734567</v>
      </c>
      <c r="H7" s="100" t="s">
        <v>136</v>
      </c>
      <c r="I7" s="95"/>
    </row>
    <row r="8" spans="2:9" x14ac:dyDescent="0.25">
      <c r="B8" s="101">
        <v>3</v>
      </c>
      <c r="C8" s="99" t="s">
        <v>137</v>
      </c>
      <c r="D8" s="99" t="s">
        <v>138</v>
      </c>
      <c r="E8" s="99" t="s">
        <v>139</v>
      </c>
      <c r="F8" s="99" t="s">
        <v>140</v>
      </c>
      <c r="G8" s="99">
        <v>23456789709</v>
      </c>
      <c r="H8" s="100" t="s">
        <v>141</v>
      </c>
      <c r="I8" s="95"/>
    </row>
    <row r="9" spans="2:9" x14ac:dyDescent="0.25">
      <c r="B9" s="101">
        <v>4</v>
      </c>
      <c r="C9" s="99" t="s">
        <v>187</v>
      </c>
      <c r="D9" s="99" t="s">
        <v>188</v>
      </c>
      <c r="E9" s="99" t="s">
        <v>189</v>
      </c>
      <c r="F9" s="99" t="s">
        <v>190</v>
      </c>
      <c r="G9" s="99" t="s">
        <v>191</v>
      </c>
      <c r="H9" s="100" t="s">
        <v>192</v>
      </c>
      <c r="I9" s="95"/>
    </row>
  </sheetData>
  <hyperlinks>
    <hyperlink ref="H6" r:id="rId1" xr:uid="{FC67D646-098D-4254-BC6A-A23D64A7C07F}"/>
    <hyperlink ref="H7" r:id="rId2" xr:uid="{FE911D5C-8B8E-422E-9A4B-34F51FC3E102}"/>
    <hyperlink ref="H8" r:id="rId3" xr:uid="{7A003D66-9B2A-4FA6-BEBF-3AF0D30F15D5}"/>
    <hyperlink ref="H9" r:id="rId4" xr:uid="{FCA02AB1-10A6-4691-9477-EAAF729C85E6}"/>
  </hyperlinks>
  <pageMargins left="0.7" right="0.7" top="0.75" bottom="0.75" header="0.3" footer="0.3"/>
  <pageSetup orientation="portrait" r:id="rId5"/>
  <drawing r:id="rId6"/>
  <legacyDrawing r:id="rId7"/>
  <tableParts count="1">
    <tablePart r:id="rId8"/>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73A0A-B1BD-4CE3-A6A2-1F82244372E8}">
  <sheetPr codeName="Hoja11"/>
  <dimension ref="B3:C7"/>
  <sheetViews>
    <sheetView workbookViewId="0">
      <selection activeCell="C5" sqref="C5"/>
    </sheetView>
  </sheetViews>
  <sheetFormatPr baseColWidth="10" defaultRowHeight="15" x14ac:dyDescent="0.25"/>
  <cols>
    <col min="2" max="2" width="17.5703125" bestFit="1" customWidth="1"/>
    <col min="3" max="3" width="21.5703125" style="81" bestFit="1" customWidth="1"/>
    <col min="4" max="4" width="8.7109375" bestFit="1" customWidth="1"/>
    <col min="5" max="5" width="21.140625" bestFit="1" customWidth="1"/>
    <col min="6" max="6" width="24.28515625" bestFit="1" customWidth="1"/>
    <col min="7" max="7" width="19.28515625" bestFit="1" customWidth="1"/>
    <col min="8" max="8" width="22.42578125" bestFit="1" customWidth="1"/>
    <col min="9" max="9" width="16.5703125" bestFit="1" customWidth="1"/>
    <col min="10" max="10" width="19.7109375" bestFit="1" customWidth="1"/>
    <col min="11" max="11" width="20.140625" bestFit="1" customWidth="1"/>
    <col min="12" max="12" width="23.28515625" bestFit="1" customWidth="1"/>
    <col min="13" max="13" width="12.5703125" bestFit="1" customWidth="1"/>
    <col min="14" max="14" width="27" bestFit="1" customWidth="1"/>
    <col min="15" max="15" width="18.28515625" bestFit="1" customWidth="1"/>
    <col min="16" max="16" width="18.5703125" bestFit="1" customWidth="1"/>
    <col min="17" max="17" width="22" bestFit="1" customWidth="1"/>
    <col min="18" max="18" width="16.42578125" bestFit="1" customWidth="1"/>
    <col min="19" max="19" width="23.5703125" bestFit="1" customWidth="1"/>
    <col min="20" max="20" width="27" bestFit="1" customWidth="1"/>
    <col min="21" max="21" width="16.5703125" bestFit="1" customWidth="1"/>
    <col min="22" max="22" width="18.5703125" bestFit="1" customWidth="1"/>
    <col min="23" max="23" width="22" bestFit="1" customWidth="1"/>
    <col min="24" max="24" width="25.85546875" bestFit="1" customWidth="1"/>
    <col min="25" max="25" width="33.140625" bestFit="1" customWidth="1"/>
    <col min="26" max="26" width="36.42578125" bestFit="1" customWidth="1"/>
    <col min="27" max="27" width="20.140625" bestFit="1" customWidth="1"/>
    <col min="28" max="28" width="3" bestFit="1" customWidth="1"/>
    <col min="29" max="29" width="18.5703125" bestFit="1" customWidth="1"/>
    <col min="30" max="30" width="3" bestFit="1" customWidth="1"/>
    <col min="31" max="31" width="22" bestFit="1" customWidth="1"/>
    <col min="32" max="32" width="4" bestFit="1" customWidth="1"/>
    <col min="33" max="33" width="29.42578125" bestFit="1" customWidth="1"/>
    <col min="34" max="34" width="36.7109375" bestFit="1" customWidth="1"/>
    <col min="35" max="35" width="40" bestFit="1" customWidth="1"/>
    <col min="36" max="36" width="16.42578125" bestFit="1" customWidth="1"/>
    <col min="37" max="37" width="23.5703125" bestFit="1" customWidth="1"/>
    <col min="38" max="38" width="27" bestFit="1" customWidth="1"/>
    <col min="39" max="39" width="7.85546875" bestFit="1" customWidth="1"/>
    <col min="40" max="40" width="22" bestFit="1" customWidth="1"/>
    <col min="41" max="41" width="7.85546875" bestFit="1" customWidth="1"/>
    <col min="42" max="42" width="25.85546875" bestFit="1" customWidth="1"/>
    <col min="43" max="43" width="33.140625" bestFit="1" customWidth="1"/>
    <col min="44" max="44" width="36.42578125" bestFit="1" customWidth="1"/>
    <col min="45" max="45" width="20.140625" bestFit="1" customWidth="1"/>
    <col min="46" max="46" width="6.85546875" bestFit="1" customWidth="1"/>
    <col min="47" max="47" width="3" bestFit="1" customWidth="1"/>
    <col min="48" max="48" width="7.85546875" bestFit="1" customWidth="1"/>
    <col min="49" max="49" width="18.5703125" bestFit="1" customWidth="1"/>
    <col min="50" max="50" width="6.85546875" bestFit="1" customWidth="1"/>
    <col min="51" max="51" width="3" bestFit="1" customWidth="1"/>
    <col min="52" max="52" width="7.85546875" bestFit="1" customWidth="1"/>
    <col min="53" max="53" width="22" bestFit="1" customWidth="1"/>
    <col min="54" max="54" width="6.85546875" bestFit="1" customWidth="1"/>
    <col min="55" max="55" width="4" bestFit="1" customWidth="1"/>
    <col min="56" max="56" width="7.85546875" bestFit="1" customWidth="1"/>
    <col min="57" max="57" width="29.42578125" bestFit="1" customWidth="1"/>
    <col min="58" max="58" width="36.7109375" bestFit="1" customWidth="1"/>
    <col min="59" max="59" width="40" bestFit="1" customWidth="1"/>
    <col min="60" max="60" width="16.42578125" bestFit="1" customWidth="1"/>
    <col min="61" max="61" width="23.5703125" bestFit="1" customWidth="1"/>
    <col min="62" max="62" width="27" bestFit="1" customWidth="1"/>
    <col min="63" max="63" width="5.85546875" bestFit="1" customWidth="1"/>
    <col min="64" max="64" width="8.42578125" bestFit="1" customWidth="1"/>
    <col min="65" max="65" width="7.85546875" bestFit="1" customWidth="1"/>
    <col min="66" max="66" width="16.42578125" bestFit="1" customWidth="1"/>
    <col min="67" max="67" width="23.5703125" bestFit="1" customWidth="1"/>
    <col min="68" max="68" width="27" bestFit="1" customWidth="1"/>
    <col min="69" max="69" width="6.85546875" bestFit="1" customWidth="1"/>
    <col min="70" max="70" width="9.42578125" bestFit="1" customWidth="1"/>
    <col min="71" max="72" width="7.85546875" bestFit="1" customWidth="1"/>
    <col min="73" max="73" width="5.85546875" bestFit="1" customWidth="1"/>
    <col min="74" max="74" width="8.42578125" bestFit="1" customWidth="1"/>
    <col min="75" max="75" width="6.85546875" bestFit="1" customWidth="1"/>
    <col min="76" max="76" width="7.85546875" bestFit="1" customWidth="1"/>
    <col min="77" max="77" width="6.42578125" bestFit="1" customWidth="1"/>
    <col min="78" max="78" width="9.42578125" bestFit="1" customWidth="1"/>
    <col min="79" max="79" width="6.85546875" bestFit="1" customWidth="1"/>
    <col min="80" max="80" width="7.85546875" bestFit="1" customWidth="1"/>
    <col min="81" max="81" width="16.42578125" bestFit="1" customWidth="1"/>
    <col min="82" max="82" width="23.5703125" bestFit="1" customWidth="1"/>
    <col min="83" max="83" width="27" bestFit="1" customWidth="1"/>
    <col min="84" max="84" width="6.85546875" bestFit="1" customWidth="1"/>
    <col min="85" max="85" width="7.85546875" bestFit="1" customWidth="1"/>
    <col min="86" max="86" width="16.42578125" bestFit="1" customWidth="1"/>
    <col min="87" max="87" width="23.5703125" bestFit="1" customWidth="1"/>
    <col min="88" max="88" width="27" bestFit="1" customWidth="1"/>
  </cols>
  <sheetData>
    <row r="3" spans="2:3" x14ac:dyDescent="0.25">
      <c r="B3" s="79" t="s">
        <v>4</v>
      </c>
      <c r="C3" s="81" t="s">
        <v>7</v>
      </c>
    </row>
    <row r="5" spans="2:3" x14ac:dyDescent="0.25">
      <c r="B5" s="79" t="s">
        <v>118</v>
      </c>
      <c r="C5" s="81" t="s">
        <v>119</v>
      </c>
    </row>
    <row r="6" spans="2:3" x14ac:dyDescent="0.25">
      <c r="B6" s="80">
        <v>44160</v>
      </c>
      <c r="C6" s="81">
        <v>9.5</v>
      </c>
    </row>
    <row r="7" spans="2:3" x14ac:dyDescent="0.25">
      <c r="B7" s="80">
        <v>44190</v>
      </c>
      <c r="C7" s="81">
        <v>9.4</v>
      </c>
    </row>
  </sheetData>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4E69E-F3B9-4AFF-B035-A19013674D4A}">
  <sheetPr codeName="Hoja19"/>
  <dimension ref="A1"/>
  <sheetViews>
    <sheetView workbookViewId="0">
      <selection activeCell="Q28" sqref="Q28"/>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3</vt:i4>
      </vt:variant>
    </vt:vector>
  </HeadingPairs>
  <TitlesOfParts>
    <vt:vector size="23" baseType="lpstr">
      <vt:lpstr>Menu</vt:lpstr>
      <vt:lpstr>Reportes</vt:lpstr>
      <vt:lpstr>Registros</vt:lpstr>
      <vt:lpstr>Orden</vt:lpstr>
      <vt:lpstr>Datos</vt:lpstr>
      <vt:lpstr>Calidad</vt:lpstr>
      <vt:lpstr>RegCalidad</vt:lpstr>
      <vt:lpstr>Formulas</vt:lpstr>
      <vt:lpstr>MatPrima</vt:lpstr>
      <vt:lpstr>Fotos</vt:lpstr>
      <vt:lpstr>Precios</vt:lpstr>
      <vt:lpstr>Productos</vt:lpstr>
      <vt:lpstr>Resumen-Produccion</vt:lpstr>
      <vt:lpstr>InventarioPro</vt:lpstr>
      <vt:lpstr>Ent-Sal-Pro</vt:lpstr>
      <vt:lpstr>Exist-Prod</vt:lpstr>
      <vt:lpstr>Hoja1</vt:lpstr>
      <vt:lpstr>Proveedores</vt:lpstr>
      <vt:lpstr>Resumen_Calidad</vt:lpstr>
      <vt:lpstr>ExplosionMatPrima</vt:lpstr>
      <vt:lpstr>Orden!Área_de_impresión</vt:lpstr>
      <vt:lpstr>'Resumen-Produccion'!Área_de_impresión</vt:lpstr>
      <vt:lpstr>Nombre_empresa</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Invitado</dc:creator>
  <cp:lastModifiedBy>Angel Joaquin Ibañez HIdalgo</cp:lastModifiedBy>
  <cp:lastPrinted>2021-01-30T14:47:09Z</cp:lastPrinted>
  <dcterms:created xsi:type="dcterms:W3CDTF">2020-05-21T14:55:24Z</dcterms:created>
  <dcterms:modified xsi:type="dcterms:W3CDTF">2021-04-25T12:51:16Z</dcterms:modified>
</cp:coreProperties>
</file>