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7bc27c5c9d890e/Desktop/GITHUB PROJECTS/Bawa Project/"/>
    </mc:Choice>
  </mc:AlternateContent>
  <xr:revisionPtr revIDLastSave="0" documentId="8_{32A54771-1B7B-4DF4-ADFA-71EFE03FBCBB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Cover Page" sheetId="22" r:id="rId1"/>
    <sheet name="Bawa_StartUp Cost" sheetId="9" r:id="rId2"/>
    <sheet name="Market_Prices_of_Product" sheetId="15" r:id="rId3"/>
    <sheet name="Income Statement_Forecast" sheetId="14" r:id="rId4"/>
    <sheet name="Balance Sheet_Forecast" sheetId="20" r:id="rId5"/>
    <sheet name="Cashflow Statement_Forecast" sheetId="18" r:id="rId6"/>
    <sheet name="Loan Schedule @ 7% p.a" sheetId="21" r:id="rId7"/>
    <sheet name="Payback Period" sheetId="27" r:id="rId8"/>
  </sheets>
  <externalReferences>
    <externalReference r:id="rId9"/>
  </externalReferences>
  <definedNames>
    <definedName name="_xlchart.v1.0" hidden="1">'Payback Period'!$B$8:$G$8</definedName>
    <definedName name="_xlchart.v1.1" hidden="1">('Payback Period'!$A$7,'Payback Period'!$C$7,'Payback Period'!$D$7,'Payback Period'!$E$7,'Payback Period'!$F$7,'Payback Period'!$G$7)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7" l="1"/>
  <c r="E7" i="27" s="1"/>
  <c r="F7" i="27" s="1"/>
  <c r="G7" i="27" s="1"/>
  <c r="B8" i="27"/>
  <c r="C21" i="18" l="1"/>
  <c r="C35" i="20"/>
  <c r="F16" i="18"/>
  <c r="G16" i="18"/>
  <c r="C17" i="18"/>
  <c r="G48" i="14"/>
  <c r="G61" i="20" s="1"/>
  <c r="F48" i="14"/>
  <c r="F61" i="20" s="1"/>
  <c r="G17" i="18"/>
  <c r="G18" i="18" s="1"/>
  <c r="F17" i="18"/>
  <c r="E17" i="18"/>
  <c r="D17" i="18"/>
  <c r="F18" i="18" l="1"/>
  <c r="D11" i="20"/>
  <c r="D35" i="20" s="1"/>
  <c r="E11" i="20" l="1"/>
  <c r="D15" i="21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AB13" i="21" s="1"/>
  <c r="AC13" i="21" s="1"/>
  <c r="AD13" i="21" s="1"/>
  <c r="AE13" i="21" s="1"/>
  <c r="AF13" i="21" s="1"/>
  <c r="AG13" i="21" s="1"/>
  <c r="AH13" i="21" s="1"/>
  <c r="AI13" i="21" s="1"/>
  <c r="AJ13" i="21" s="1"/>
  <c r="AK13" i="21" s="1"/>
  <c r="AL13" i="21" s="1"/>
  <c r="AM13" i="21" s="1"/>
  <c r="B10" i="21"/>
  <c r="D3" i="18"/>
  <c r="E3" i="18" s="1"/>
  <c r="F3" i="18" s="1"/>
  <c r="G3" i="18" s="1"/>
  <c r="G59" i="20"/>
  <c r="F59" i="20"/>
  <c r="C29" i="20"/>
  <c r="C46" i="20"/>
  <c r="C45" i="20"/>
  <c r="C9" i="20"/>
  <c r="C12" i="18" s="1"/>
  <c r="D3" i="20"/>
  <c r="E3" i="20" s="1"/>
  <c r="F3" i="20" s="1"/>
  <c r="G3" i="20" s="1"/>
  <c r="C41" i="14"/>
  <c r="D41" i="14" s="1"/>
  <c r="E41" i="14" s="1"/>
  <c r="F41" i="14" s="1"/>
  <c r="G41" i="14" s="1"/>
  <c r="C42" i="14"/>
  <c r="D42" i="14" s="1"/>
  <c r="E42" i="14" s="1"/>
  <c r="F42" i="14" s="1"/>
  <c r="G42" i="14" s="1"/>
  <c r="C43" i="14"/>
  <c r="D43" i="14" s="1"/>
  <c r="E43" i="14" s="1"/>
  <c r="F43" i="14" s="1"/>
  <c r="G43" i="14" s="1"/>
  <c r="C44" i="14"/>
  <c r="F68" i="14"/>
  <c r="G67" i="14"/>
  <c r="E68" i="14"/>
  <c r="G58" i="14"/>
  <c r="G59" i="14"/>
  <c r="G60" i="14"/>
  <c r="G61" i="14"/>
  <c r="G62" i="14"/>
  <c r="G63" i="14"/>
  <c r="G64" i="14"/>
  <c r="G65" i="14"/>
  <c r="G66" i="14"/>
  <c r="G57" i="14"/>
  <c r="C26" i="14"/>
  <c r="D26" i="14" s="1"/>
  <c r="E26" i="14" s="1"/>
  <c r="F26" i="14" s="1"/>
  <c r="G26" i="14" s="1"/>
  <c r="C29" i="14"/>
  <c r="D29" i="14" s="1"/>
  <c r="E29" i="14" s="1"/>
  <c r="F29" i="14" s="1"/>
  <c r="G29" i="14" s="1"/>
  <c r="C27" i="14"/>
  <c r="D27" i="14" s="1"/>
  <c r="E27" i="14" s="1"/>
  <c r="C28" i="14"/>
  <c r="D28" i="14" s="1"/>
  <c r="E28" i="14" s="1"/>
  <c r="F28" i="14" s="1"/>
  <c r="G28" i="14" s="1"/>
  <c r="C30" i="14"/>
  <c r="D30" i="14" s="1"/>
  <c r="E30" i="14" s="1"/>
  <c r="F30" i="14" s="1"/>
  <c r="G30" i="14" s="1"/>
  <c r="C31" i="14"/>
  <c r="D31" i="14" s="1"/>
  <c r="E31" i="14" s="1"/>
  <c r="F31" i="14" s="1"/>
  <c r="G31" i="14" s="1"/>
  <c r="C35" i="14"/>
  <c r="D35" i="14" s="1"/>
  <c r="E35" i="14" s="1"/>
  <c r="F35" i="14" s="1"/>
  <c r="G35" i="14" s="1"/>
  <c r="C36" i="14"/>
  <c r="D36" i="14" s="1"/>
  <c r="E36" i="14" s="1"/>
  <c r="F36" i="14" s="1"/>
  <c r="G36" i="14" s="1"/>
  <c r="C34" i="14"/>
  <c r="D3" i="14"/>
  <c r="E3" i="14" s="1"/>
  <c r="F3" i="14" s="1"/>
  <c r="G3" i="14" s="1"/>
  <c r="A2" i="14" s="1"/>
  <c r="D44" i="14" l="1"/>
  <c r="C54" i="20"/>
  <c r="C55" i="20" s="1"/>
  <c r="C22" i="20" s="1"/>
  <c r="C7" i="18"/>
  <c r="D12" i="18"/>
  <c r="D13" i="18" s="1"/>
  <c r="C13" i="18"/>
  <c r="D52" i="20"/>
  <c r="E35" i="20"/>
  <c r="F11" i="20"/>
  <c r="AM17" i="21"/>
  <c r="H16" i="21"/>
  <c r="P16" i="21"/>
  <c r="AB16" i="21"/>
  <c r="D17" i="21"/>
  <c r="L17" i="21"/>
  <c r="X17" i="21"/>
  <c r="AJ17" i="21"/>
  <c r="E16" i="21"/>
  <c r="I16" i="21"/>
  <c r="M16" i="21"/>
  <c r="Q16" i="21"/>
  <c r="U16" i="21"/>
  <c r="Y16" i="21"/>
  <c r="AC16" i="21"/>
  <c r="AG16" i="21"/>
  <c r="AK16" i="21"/>
  <c r="E17" i="21"/>
  <c r="I17" i="21"/>
  <c r="M17" i="21"/>
  <c r="Q17" i="21"/>
  <c r="U17" i="21"/>
  <c r="Y17" i="21"/>
  <c r="AC17" i="21"/>
  <c r="AG17" i="21"/>
  <c r="AK17" i="21"/>
  <c r="D16" i="21"/>
  <c r="T16" i="21"/>
  <c r="AF16" i="21"/>
  <c r="H17" i="21"/>
  <c r="T17" i="21"/>
  <c r="AF17" i="21"/>
  <c r="F16" i="21"/>
  <c r="J16" i="21"/>
  <c r="N16" i="21"/>
  <c r="R16" i="21"/>
  <c r="V16" i="21"/>
  <c r="Z16" i="21"/>
  <c r="AD16" i="21"/>
  <c r="AH16" i="21"/>
  <c r="AL16" i="21"/>
  <c r="F17" i="21"/>
  <c r="J17" i="21"/>
  <c r="N17" i="21"/>
  <c r="R17" i="21"/>
  <c r="V17" i="21"/>
  <c r="Z17" i="21"/>
  <c r="AD17" i="21"/>
  <c r="AH17" i="21"/>
  <c r="AL17" i="21"/>
  <c r="L16" i="21"/>
  <c r="X16" i="21"/>
  <c r="X18" i="21" s="1"/>
  <c r="AJ16" i="21"/>
  <c r="P17" i="21"/>
  <c r="AB17" i="21"/>
  <c r="G16" i="21"/>
  <c r="K16" i="21"/>
  <c r="O16" i="21"/>
  <c r="S16" i="21"/>
  <c r="W16" i="21"/>
  <c r="AA16" i="21"/>
  <c r="AE16" i="21"/>
  <c r="AI16" i="21"/>
  <c r="AM16" i="21"/>
  <c r="AM18" i="21" s="1"/>
  <c r="G17" i="21"/>
  <c r="K17" i="21"/>
  <c r="O17" i="21"/>
  <c r="S17" i="21"/>
  <c r="W17" i="21"/>
  <c r="AA17" i="21"/>
  <c r="AE17" i="21"/>
  <c r="AI17" i="21"/>
  <c r="C47" i="20"/>
  <c r="C48" i="20" s="1"/>
  <c r="C49" i="20" s="1"/>
  <c r="D53" i="20"/>
  <c r="G68" i="14"/>
  <c r="B40" i="14" s="1"/>
  <c r="C40" i="14" s="1"/>
  <c r="D40" i="14" s="1"/>
  <c r="E40" i="14" s="1"/>
  <c r="F40" i="14" s="1"/>
  <c r="G40" i="14" s="1"/>
  <c r="C32" i="14"/>
  <c r="C6" i="20" s="1"/>
  <c r="D6" i="20" s="1"/>
  <c r="C37" i="14"/>
  <c r="D34" i="14"/>
  <c r="E34" i="14" s="1"/>
  <c r="F34" i="14" s="1"/>
  <c r="G34" i="14" s="1"/>
  <c r="E32" i="14"/>
  <c r="F27" i="14"/>
  <c r="G27" i="14" s="1"/>
  <c r="D32" i="14"/>
  <c r="C8" i="20" l="1"/>
  <c r="D8" i="20" s="1"/>
  <c r="C7" i="20"/>
  <c r="D7" i="20" s="1"/>
  <c r="D18" i="21"/>
  <c r="E44" i="14"/>
  <c r="D7" i="18"/>
  <c r="D54" i="20"/>
  <c r="D55" i="20" s="1"/>
  <c r="E48" i="14"/>
  <c r="D48" i="14"/>
  <c r="D19" i="21"/>
  <c r="E15" i="21" s="1"/>
  <c r="C48" i="14"/>
  <c r="C8" i="18"/>
  <c r="E6" i="20"/>
  <c r="D18" i="20"/>
  <c r="D45" i="20" s="1"/>
  <c r="E9" i="20"/>
  <c r="E12" i="18" s="1"/>
  <c r="E13" i="18" s="1"/>
  <c r="G11" i="20"/>
  <c r="G35" i="20" s="1"/>
  <c r="F35" i="20"/>
  <c r="AE18" i="21"/>
  <c r="O18" i="21"/>
  <c r="Z18" i="21"/>
  <c r="J18" i="21"/>
  <c r="Y18" i="21"/>
  <c r="I18" i="21"/>
  <c r="H18" i="21"/>
  <c r="AJ18" i="21"/>
  <c r="AI18" i="21"/>
  <c r="S18" i="21"/>
  <c r="L18" i="21"/>
  <c r="AD18" i="21"/>
  <c r="N18" i="21"/>
  <c r="AC18" i="21"/>
  <c r="M18" i="21"/>
  <c r="P18" i="21"/>
  <c r="AA18" i="21"/>
  <c r="K18" i="21"/>
  <c r="AL18" i="21"/>
  <c r="V18" i="21"/>
  <c r="F18" i="21"/>
  <c r="AF18" i="21"/>
  <c r="AK18" i="21"/>
  <c r="U18" i="21"/>
  <c r="E18" i="21"/>
  <c r="E19" i="21" s="1"/>
  <c r="F15" i="21" s="1"/>
  <c r="F19" i="21" s="1"/>
  <c r="G15" i="21" s="1"/>
  <c r="W18" i="21"/>
  <c r="G18" i="21"/>
  <c r="AH18" i="21"/>
  <c r="R18" i="21"/>
  <c r="T18" i="21"/>
  <c r="AG18" i="21"/>
  <c r="Q18" i="21"/>
  <c r="AB18" i="21"/>
  <c r="C45" i="14"/>
  <c r="D45" i="14"/>
  <c r="E45" i="14"/>
  <c r="F32" i="14"/>
  <c r="D37" i="14"/>
  <c r="D38" i="14" s="1"/>
  <c r="C38" i="14"/>
  <c r="E37" i="14"/>
  <c r="E38" i="14" s="1"/>
  <c r="G32" i="14"/>
  <c r="F37" i="14"/>
  <c r="G37" i="14"/>
  <c r="E52" i="20" l="1"/>
  <c r="D22" i="20"/>
  <c r="F44" i="14"/>
  <c r="E7" i="18"/>
  <c r="E54" i="20"/>
  <c r="E46" i="14"/>
  <c r="C59" i="20"/>
  <c r="C60" i="20" s="1"/>
  <c r="D19" i="20"/>
  <c r="D46" i="20" s="1"/>
  <c r="E7" i="20"/>
  <c r="C46" i="14"/>
  <c r="C49" i="14" s="1"/>
  <c r="C51" i="14" s="1"/>
  <c r="E8" i="20"/>
  <c r="D28" i="20"/>
  <c r="D59" i="20"/>
  <c r="D10" i="20" s="1"/>
  <c r="D16" i="18" s="1"/>
  <c r="D18" i="18" s="1"/>
  <c r="D61" i="20"/>
  <c r="E59" i="20"/>
  <c r="E10" i="20" s="1"/>
  <c r="E16" i="18" s="1"/>
  <c r="E18" i="18" s="1"/>
  <c r="C61" i="20"/>
  <c r="E49" i="14"/>
  <c r="E61" i="20"/>
  <c r="F9" i="20"/>
  <c r="F12" i="18" s="1"/>
  <c r="F13" i="18" s="1"/>
  <c r="F6" i="20"/>
  <c r="E18" i="20"/>
  <c r="E45" i="20" s="1"/>
  <c r="E53" i="20"/>
  <c r="G19" i="21"/>
  <c r="H15" i="21" s="1"/>
  <c r="H19" i="21" s="1"/>
  <c r="I15" i="21" s="1"/>
  <c r="I19" i="21" s="1"/>
  <c r="J15" i="21" s="1"/>
  <c r="J19" i="21" s="1"/>
  <c r="K15" i="21" s="1"/>
  <c r="K19" i="21" s="1"/>
  <c r="L15" i="21" s="1"/>
  <c r="L19" i="21" s="1"/>
  <c r="M15" i="21" s="1"/>
  <c r="M19" i="21" s="1"/>
  <c r="N15" i="21" s="1"/>
  <c r="N19" i="21" s="1"/>
  <c r="O15" i="21" s="1"/>
  <c r="O19" i="21" s="1"/>
  <c r="P15" i="21" s="1"/>
  <c r="P19" i="21" s="1"/>
  <c r="Q15" i="21" s="1"/>
  <c r="Q19" i="21" s="1"/>
  <c r="R15" i="21" s="1"/>
  <c r="R19" i="21" s="1"/>
  <c r="S15" i="21" s="1"/>
  <c r="S19" i="21" s="1"/>
  <c r="T15" i="21" s="1"/>
  <c r="T19" i="21" s="1"/>
  <c r="U15" i="21" s="1"/>
  <c r="U19" i="21" s="1"/>
  <c r="V15" i="21" s="1"/>
  <c r="V19" i="21" s="1"/>
  <c r="W15" i="21" s="1"/>
  <c r="W19" i="21" s="1"/>
  <c r="X15" i="21" s="1"/>
  <c r="X19" i="21" s="1"/>
  <c r="Y15" i="21" s="1"/>
  <c r="Y19" i="21" s="1"/>
  <c r="Z15" i="21" s="1"/>
  <c r="Z19" i="21" s="1"/>
  <c r="AA15" i="21" s="1"/>
  <c r="AA19" i="21" s="1"/>
  <c r="AB15" i="21" s="1"/>
  <c r="AB19" i="21" s="1"/>
  <c r="AC15" i="21" s="1"/>
  <c r="AC19" i="21" s="1"/>
  <c r="AD15" i="21" s="1"/>
  <c r="AD19" i="21" s="1"/>
  <c r="AE15" i="21" s="1"/>
  <c r="AE19" i="21" s="1"/>
  <c r="AF15" i="21" s="1"/>
  <c r="AF19" i="21" s="1"/>
  <c r="AG15" i="21" s="1"/>
  <c r="AG19" i="21" s="1"/>
  <c r="AH15" i="21" s="1"/>
  <c r="AH19" i="21" s="1"/>
  <c r="AI15" i="21" s="1"/>
  <c r="AI19" i="21" s="1"/>
  <c r="AJ15" i="21" s="1"/>
  <c r="AJ19" i="21" s="1"/>
  <c r="AK15" i="21" s="1"/>
  <c r="AK19" i="21" s="1"/>
  <c r="AL15" i="21" s="1"/>
  <c r="AL19" i="21" s="1"/>
  <c r="AM15" i="21" s="1"/>
  <c r="AM19" i="21" s="1"/>
  <c r="F53" i="20"/>
  <c r="F38" i="14"/>
  <c r="D46" i="14"/>
  <c r="D49" i="14" s="1"/>
  <c r="G38" i="14"/>
  <c r="F8" i="20" l="1"/>
  <c r="E28" i="20"/>
  <c r="E19" i="20"/>
  <c r="E46" i="20" s="1"/>
  <c r="F7" i="20"/>
  <c r="F46" i="14"/>
  <c r="F49" i="14" s="1"/>
  <c r="F51" i="14" s="1"/>
  <c r="F52" i="14" s="1"/>
  <c r="F6" i="18" s="1"/>
  <c r="C10" i="20"/>
  <c r="C16" i="18" s="1"/>
  <c r="C18" i="18" s="1"/>
  <c r="E55" i="20"/>
  <c r="F52" i="20" s="1"/>
  <c r="F55" i="20" s="1"/>
  <c r="G9" i="20"/>
  <c r="G12" i="18" s="1"/>
  <c r="G13" i="18" s="1"/>
  <c r="G44" i="14"/>
  <c r="F54" i="20"/>
  <c r="F7" i="18"/>
  <c r="F45" i="14"/>
  <c r="D47" i="20"/>
  <c r="D48" i="20" s="1"/>
  <c r="D49" i="20" s="1"/>
  <c r="D8" i="18" s="1"/>
  <c r="D29" i="20"/>
  <c r="C52" i="14"/>
  <c r="C36" i="20" s="1"/>
  <c r="D58" i="20"/>
  <c r="D60" i="20" s="1"/>
  <c r="C31" i="20"/>
  <c r="C32" i="20" s="1"/>
  <c r="G6" i="20"/>
  <c r="G18" i="20" s="1"/>
  <c r="G45" i="20" s="1"/>
  <c r="F18" i="20"/>
  <c r="F45" i="20" s="1"/>
  <c r="G53" i="20"/>
  <c r="D51" i="14"/>
  <c r="E51" i="14"/>
  <c r="E47" i="20" l="1"/>
  <c r="E48" i="20" s="1"/>
  <c r="E49" i="20" s="1"/>
  <c r="E8" i="18" s="1"/>
  <c r="E29" i="20"/>
  <c r="F19" i="20"/>
  <c r="F46" i="20" s="1"/>
  <c r="G7" i="20"/>
  <c r="G8" i="20"/>
  <c r="G28" i="20" s="1"/>
  <c r="F28" i="20"/>
  <c r="G54" i="20"/>
  <c r="G7" i="18"/>
  <c r="G45" i="14"/>
  <c r="G46" i="14" s="1"/>
  <c r="G49" i="14" s="1"/>
  <c r="G51" i="14" s="1"/>
  <c r="G52" i="14" s="1"/>
  <c r="G6" i="18" s="1"/>
  <c r="E22" i="20"/>
  <c r="C6" i="18"/>
  <c r="C9" i="18" s="1"/>
  <c r="C20" i="18" s="1"/>
  <c r="C22" i="18" s="1"/>
  <c r="C8" i="27" s="1"/>
  <c r="D52" i="14"/>
  <c r="D6" i="18" s="1"/>
  <c r="D9" i="18" s="1"/>
  <c r="D20" i="18" s="1"/>
  <c r="E52" i="14"/>
  <c r="E6" i="18" s="1"/>
  <c r="D31" i="20"/>
  <c r="D32" i="20" s="1"/>
  <c r="E58" i="20"/>
  <c r="E60" i="20" s="1"/>
  <c r="C37" i="20"/>
  <c r="C38" i="20" s="1"/>
  <c r="G52" i="20"/>
  <c r="F22" i="20"/>
  <c r="E9" i="18" l="1"/>
  <c r="E20" i="18" s="1"/>
  <c r="G55" i="20"/>
  <c r="G22" i="20" s="1"/>
  <c r="G47" i="20"/>
  <c r="G29" i="20"/>
  <c r="F29" i="20"/>
  <c r="F47" i="20"/>
  <c r="F48" i="20" s="1"/>
  <c r="F49" i="20" s="1"/>
  <c r="F8" i="18" s="1"/>
  <c r="F9" i="18" s="1"/>
  <c r="F20" i="18" s="1"/>
  <c r="G46" i="20"/>
  <c r="G48" i="20" s="1"/>
  <c r="G19" i="20"/>
  <c r="D21" i="18"/>
  <c r="D22" i="18" s="1"/>
  <c r="D8" i="27" s="1"/>
  <c r="C17" i="20"/>
  <c r="C20" i="20" s="1"/>
  <c r="C24" i="20" s="1"/>
  <c r="C40" i="20" s="1"/>
  <c r="D36" i="20"/>
  <c r="E36" i="20" s="1"/>
  <c r="F58" i="20"/>
  <c r="F60" i="20" s="1"/>
  <c r="E31" i="20"/>
  <c r="E32" i="20" s="1"/>
  <c r="A42" i="9"/>
  <c r="A43" i="9" s="1"/>
  <c r="A44" i="9" s="1"/>
  <c r="A45" i="9" s="1"/>
  <c r="A46" i="9" s="1"/>
  <c r="A47" i="9" s="1"/>
  <c r="A48" i="9" s="1"/>
  <c r="A49" i="9" s="1"/>
  <c r="A50" i="9" s="1"/>
  <c r="E53" i="9"/>
  <c r="E11" i="9" s="1"/>
  <c r="E32" i="9" s="1"/>
  <c r="D53" i="9"/>
  <c r="G49" i="20" l="1"/>
  <c r="G8" i="18" s="1"/>
  <c r="G9" i="18" s="1"/>
  <c r="G20" i="18" s="1"/>
  <c r="C24" i="18"/>
  <c r="D37" i="20"/>
  <c r="D38" i="20" s="1"/>
  <c r="E21" i="18"/>
  <c r="E22" i="18" s="1"/>
  <c r="E8" i="27" s="1"/>
  <c r="D17" i="20"/>
  <c r="D20" i="20" s="1"/>
  <c r="D24" i="20" s="1"/>
  <c r="G58" i="20"/>
  <c r="G60" i="20" s="1"/>
  <c r="G31" i="20" s="1"/>
  <c r="G32" i="20" s="1"/>
  <c r="F31" i="20"/>
  <c r="F32" i="20" s="1"/>
  <c r="F36" i="20"/>
  <c r="E37" i="20"/>
  <c r="E38" i="20" s="1"/>
  <c r="D40" i="20" l="1"/>
  <c r="F21" i="18"/>
  <c r="F22" i="18" s="1"/>
  <c r="F8" i="27" s="1"/>
  <c r="E17" i="20"/>
  <c r="E20" i="20" s="1"/>
  <c r="E24" i="20" s="1"/>
  <c r="E40" i="20" s="1"/>
  <c r="D24" i="18"/>
  <c r="G36" i="20"/>
  <c r="G37" i="20" s="1"/>
  <c r="G38" i="20" s="1"/>
  <c r="F37" i="20"/>
  <c r="F38" i="20" s="1"/>
  <c r="F17" i="20" l="1"/>
  <c r="F20" i="20" s="1"/>
  <c r="F24" i="20" s="1"/>
  <c r="F40" i="20" s="1"/>
  <c r="E24" i="18"/>
  <c r="G21" i="18"/>
  <c r="G22" i="18" s="1"/>
  <c r="G8" i="27" s="1"/>
  <c r="C21" i="22"/>
  <c r="F24" i="18" l="1"/>
  <c r="G17" i="20"/>
  <c r="G20" i="20" s="1"/>
  <c r="G24" i="20" s="1"/>
  <c r="G40" i="20" s="1"/>
  <c r="B9" i="27"/>
  <c r="E9" i="27"/>
  <c r="F9" i="27"/>
  <c r="C9" i="27"/>
  <c r="D9" i="27"/>
  <c r="G24" i="18" l="1"/>
  <c r="B29" i="27"/>
  <c r="C20" i="22" l="1"/>
  <c r="C19" i="22"/>
  <c r="C18" i="22"/>
  <c r="C17" i="22"/>
  <c r="C16" i="22"/>
  <c r="C15" i="22"/>
</calcChain>
</file>

<file path=xl/sharedStrings.xml><?xml version="1.0" encoding="utf-8"?>
<sst xmlns="http://schemas.openxmlformats.org/spreadsheetml/2006/main" count="283" uniqueCount="242">
  <si>
    <t>Description</t>
  </si>
  <si>
    <t>Loan Amount</t>
  </si>
  <si>
    <t>Assumptions</t>
  </si>
  <si>
    <t>Revenue</t>
  </si>
  <si>
    <t>Investment</t>
  </si>
  <si>
    <t>Gross Margin</t>
  </si>
  <si>
    <t>Salaries</t>
  </si>
  <si>
    <t>Debt and Interest</t>
  </si>
  <si>
    <t>Debt Assumptions</t>
  </si>
  <si>
    <t>Term</t>
  </si>
  <si>
    <t>Rate</t>
  </si>
  <si>
    <t>Opening</t>
  </si>
  <si>
    <t>Total Payment</t>
  </si>
  <si>
    <t>Interest Payment</t>
  </si>
  <si>
    <t>Principal Payment</t>
  </si>
  <si>
    <t>Closing Balance</t>
  </si>
  <si>
    <t>GH₵</t>
  </si>
  <si>
    <t>Cedis (GH₵)</t>
  </si>
  <si>
    <t>Table of Contents</t>
  </si>
  <si>
    <t>Notes</t>
  </si>
  <si>
    <t xml:space="preserve">Financial Model </t>
  </si>
  <si>
    <t>Assumptions are stated in their respective analysis page</t>
  </si>
  <si>
    <t>Interest Expense</t>
  </si>
  <si>
    <t>Payback Period Example</t>
  </si>
  <si>
    <t>Cash Flows</t>
  </si>
  <si>
    <t>Cumulative Cash Flow</t>
  </si>
  <si>
    <t>Payback Period =</t>
  </si>
  <si>
    <t>* Payback period is in years</t>
  </si>
  <si>
    <t>Total Revenue</t>
  </si>
  <si>
    <t>BAWA INDUSTRIES GROUP</t>
  </si>
  <si>
    <t xml:space="preserve">Currencies are in cedis </t>
  </si>
  <si>
    <t>Cost of purchasing or leasing land</t>
  </si>
  <si>
    <t>Factory and storage facilities</t>
  </si>
  <si>
    <t>Water, electricity, and gas setup</t>
  </si>
  <si>
    <t>Crushers, extractors, refiners, etc.</t>
  </si>
  <si>
    <t>Equipment for packaging oil, flour, and biodiesel</t>
  </si>
  <si>
    <t>For quality control and testing</t>
  </si>
  <si>
    <t>Purchase of initial stock</t>
  </si>
  <si>
    <t>Bottles, bags, labels, etc.</t>
  </si>
  <si>
    <t>Initial hiring and salaries for key staff</t>
  </si>
  <si>
    <t>Training programs for staff</t>
  </si>
  <si>
    <t>Computers, furniture, and stationery</t>
  </si>
  <si>
    <t>Cost of market studies and feasibility analysis</t>
  </si>
  <si>
    <t>Initial marketing campaigns and promotional materials</t>
  </si>
  <si>
    <t>Logo design, website development, and branding materials</t>
  </si>
  <si>
    <t>Fees for company registration and legal compliance</t>
  </si>
  <si>
    <t>Industry-specific permits and licenses</t>
  </si>
  <si>
    <t>Property, liability, and equipment insurance</t>
  </si>
  <si>
    <t>Buffer for unforeseen expenses</t>
  </si>
  <si>
    <t>Expense Category</t>
  </si>
  <si>
    <t>Annex</t>
  </si>
  <si>
    <t>Soya Processing Equipment</t>
  </si>
  <si>
    <t>Equipment</t>
  </si>
  <si>
    <t>Removes impurities from soybeans</t>
  </si>
  <si>
    <t>Removes the outer hull of soybeans</t>
  </si>
  <si>
    <t>Breaks down soybeans into smaller pieces</t>
  </si>
  <si>
    <t>Converts soybeans into meal or oil</t>
  </si>
  <si>
    <t>Extracts oil from soybeans</t>
  </si>
  <si>
    <t>Refines crude soybean oil to remove impurities</t>
  </si>
  <si>
    <t>Filters out impurities from refined oil</t>
  </si>
  <si>
    <t>Grinds soybeans into flour</t>
  </si>
  <si>
    <t>Includes filling, sealing, and labeling machines</t>
  </si>
  <si>
    <t>For storing processed oil and other products</t>
  </si>
  <si>
    <t>Current Market Prices in Ghana</t>
  </si>
  <si>
    <t>1. Soybean Oil</t>
  </si>
  <si>
    <t>2. Soy Flour</t>
  </si>
  <si>
    <t>3. Soybean Meal</t>
  </si>
  <si>
    <t>4. Soy Hulls</t>
  </si>
  <si>
    <t>5. Biodiesel</t>
  </si>
  <si>
    <t>6. Soy-Based Plastics</t>
  </si>
  <si>
    <t>Price: GHS 12 - GHS 14 per liter</t>
  </si>
  <si>
    <t>Price: GHS 20 - GHS 30 per kg</t>
  </si>
  <si>
    <t>Price: GHS 800 - GHS 1,000 per ton</t>
  </si>
  <si>
    <t>Price: GHS 500 - GHS 700 per ton</t>
  </si>
  <si>
    <t>Price: GHS 8 - GHS 10 per liter</t>
  </si>
  <si>
    <t>Price: GHS 40 - GHS 60 per kg</t>
  </si>
  <si>
    <t>Soybean Oil</t>
  </si>
  <si>
    <t>Soy Flour</t>
  </si>
  <si>
    <t>Soybean Meal</t>
  </si>
  <si>
    <t>Soy Hulls</t>
  </si>
  <si>
    <t>Biodiesel</t>
  </si>
  <si>
    <t>Soy-Based Plastics/Adhesives</t>
  </si>
  <si>
    <t>Raw Materials</t>
  </si>
  <si>
    <t>Packaging Materials</t>
  </si>
  <si>
    <t>Production Costs</t>
  </si>
  <si>
    <t>Total COGS</t>
  </si>
  <si>
    <t>Operating Expenses</t>
  </si>
  <si>
    <t>Staff Salaries</t>
  </si>
  <si>
    <t>Utilities and Rent</t>
  </si>
  <si>
    <t>Marketing and Advertising</t>
  </si>
  <si>
    <t>Administrative Costs</t>
  </si>
  <si>
    <t>Depreciation</t>
  </si>
  <si>
    <t>Start-Up Cost</t>
  </si>
  <si>
    <t>Infrastructure</t>
  </si>
  <si>
    <t>Equipment and Machinery</t>
  </si>
  <si>
    <t>Initial Inventory</t>
  </si>
  <si>
    <t>Operational Costs</t>
  </si>
  <si>
    <t>Unexpected Costs</t>
  </si>
  <si>
    <t>TOTAL</t>
  </si>
  <si>
    <t>Marketing and Branding</t>
  </si>
  <si>
    <t>Legal and Administrative</t>
  </si>
  <si>
    <t>Contingency Fund</t>
  </si>
  <si>
    <t>Insurance</t>
  </si>
  <si>
    <t>Business Registration</t>
  </si>
  <si>
    <t>Permits and Licenses</t>
  </si>
  <si>
    <t>Market Research</t>
  </si>
  <si>
    <t>Advertising and Promotion</t>
  </si>
  <si>
    <t>Branding</t>
  </si>
  <si>
    <t>Staff Recruitment and Salaries</t>
  </si>
  <si>
    <t>Training and Development</t>
  </si>
  <si>
    <t>Office Supplies</t>
  </si>
  <si>
    <t>Raw Soybeans</t>
  </si>
  <si>
    <t>Soybean Processing Equipment</t>
  </si>
  <si>
    <t>Packaging Machinery</t>
  </si>
  <si>
    <t>Laboratory Equipment</t>
  </si>
  <si>
    <t>Land Acquisition</t>
  </si>
  <si>
    <t>Building Construction</t>
  </si>
  <si>
    <t>Utilities Installation</t>
  </si>
  <si>
    <t>Soybean Cleaning Machine</t>
  </si>
  <si>
    <t>Soybean Dehulling Machine</t>
  </si>
  <si>
    <t>Soybean Crushing Machine</t>
  </si>
  <si>
    <t>Soybean Extruder</t>
  </si>
  <si>
    <t>Soybean Oil Expeller</t>
  </si>
  <si>
    <t>Oil Refining Unit</t>
  </si>
  <si>
    <t>Oil Filtering System</t>
  </si>
  <si>
    <t>Soy Flour Milling Machine</t>
  </si>
  <si>
    <t>Packaging System</t>
  </si>
  <si>
    <t>Storage Tanks</t>
  </si>
  <si>
    <t>Soy-Based Plastics</t>
  </si>
  <si>
    <t>GH (Cedi)</t>
  </si>
  <si>
    <t>Income Statement</t>
  </si>
  <si>
    <t>Total Expenses</t>
  </si>
  <si>
    <t>Earnings Before Interest &amp; Taxes</t>
  </si>
  <si>
    <t>Earnings Before Taxes</t>
  </si>
  <si>
    <t>Income Taxes</t>
  </si>
  <si>
    <t>Net Earnings</t>
  </si>
  <si>
    <t xml:space="preserve"> (GHS)</t>
  </si>
  <si>
    <t>Estimated Cost</t>
  </si>
  <si>
    <t>(GHS)</t>
  </si>
  <si>
    <t xml:space="preserve">Market Price </t>
  </si>
  <si>
    <t xml:space="preserve">Estimated Cost </t>
  </si>
  <si>
    <t>Market Prices</t>
  </si>
  <si>
    <t>Soybean Oil (Liters)</t>
  </si>
  <si>
    <t>Biodiesel (Liters)</t>
  </si>
  <si>
    <t>Soy-Based Plastics/Adhesives (Tons)</t>
  </si>
  <si>
    <t>Product Prices</t>
  </si>
  <si>
    <t>Cost of Goods Sold</t>
  </si>
  <si>
    <t>Soybean Meal (MT)</t>
  </si>
  <si>
    <t>Soy Flour (Kg)</t>
  </si>
  <si>
    <t>Soy Hulls (MT)</t>
  </si>
  <si>
    <t>Position</t>
  </si>
  <si>
    <t>Number of Staff</t>
  </si>
  <si>
    <t>Monthly Salary (GHS)</t>
  </si>
  <si>
    <t>Annual Salary (GHS)</t>
  </si>
  <si>
    <t>Plant Manager</t>
  </si>
  <si>
    <t>Administrative Officer</t>
  </si>
  <si>
    <t>Accountant</t>
  </si>
  <si>
    <t>Production Supervisor</t>
  </si>
  <si>
    <t>Machine Operators</t>
  </si>
  <si>
    <t>Quality Control Manager</t>
  </si>
  <si>
    <t>Maintenance Technicians</t>
  </si>
  <si>
    <t>Warehouse Manager</t>
  </si>
  <si>
    <t>Drivers</t>
  </si>
  <si>
    <t>Security Personnel</t>
  </si>
  <si>
    <t>Total Salaries</t>
  </si>
  <si>
    <t xml:space="preserve">Months </t>
  </si>
  <si>
    <t>Elementary Workers</t>
  </si>
  <si>
    <t>Accounts Receivable (Days)</t>
  </si>
  <si>
    <t>Inventory (Days)</t>
  </si>
  <si>
    <t>Accounts Payable (Days)</t>
  </si>
  <si>
    <t>Capital Expenditures</t>
  </si>
  <si>
    <t>Debt Issuance (Repayment)</t>
  </si>
  <si>
    <t>Equity Issued (Repaid)</t>
  </si>
  <si>
    <t>Balance Sheet</t>
  </si>
  <si>
    <t>Assets</t>
  </si>
  <si>
    <t>Current assets:</t>
  </si>
  <si>
    <t>Cash</t>
  </si>
  <si>
    <t>Accounts Receivable</t>
  </si>
  <si>
    <t>Inventory</t>
  </si>
  <si>
    <t>Total current assets</t>
  </si>
  <si>
    <t>Property &amp; Equipment</t>
  </si>
  <si>
    <t>Other Asset</t>
  </si>
  <si>
    <t>Total Assets</t>
  </si>
  <si>
    <t>Liabilities</t>
  </si>
  <si>
    <t>Current liabilities:</t>
  </si>
  <si>
    <t>Accounts Payable</t>
  </si>
  <si>
    <t>Total current liabilities</t>
  </si>
  <si>
    <t>Long-term debt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</si>
  <si>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</si>
  <si>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</si>
  <si>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</si>
  <si>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</si>
  <si>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</si>
  <si>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</si>
  <si>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</si>
  <si>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</si>
  <si>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</si>
  <si>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</si>
  <si>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</si>
  <si>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</si>
  <si>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</si>
  <si>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</si>
  <si>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</si>
  <si>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</si>
  <si>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</si>
  <si>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</si>
  <si>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</si>
  <si>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Balance Sheet - 2025-2029</t>
  </si>
  <si>
    <t>Cashflow Statement - 2025-2029</t>
  </si>
  <si>
    <t>Amortization Schedule</t>
  </si>
  <si>
    <t>Schedule</t>
  </si>
  <si>
    <t>Timeline (Months)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</si>
  <si>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</si>
  <si>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</si>
  <si>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</si>
  <si>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</si>
  <si>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</si>
  <si>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</si>
  <si>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</si>
  <si>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</si>
  <si>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</si>
  <si>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</si>
  <si>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</si>
  <si>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</si>
  <si>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</si>
  <si>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</si>
  <si>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</si>
  <si>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Payback Period</t>
  </si>
  <si>
    <t>Market Data</t>
  </si>
  <si>
    <t>Year</t>
  </si>
  <si>
    <t>Annual Production ‘000Mt</t>
  </si>
  <si>
    <t>Annual Area Planted ‘000Ha</t>
  </si>
  <si>
    <t>Yield (Mt/Ha)</t>
  </si>
  <si>
    <t>Consumer Preferences</t>
  </si>
  <si>
    <t>Preference</t>
  </si>
  <si>
    <t>Percentage (%)</t>
  </si>
  <si>
    <t>Quality</t>
  </si>
  <si>
    <t>Price</t>
  </si>
  <si>
    <t>Consumer Preferences for Soybean Oil</t>
  </si>
  <si>
    <t>Brand Preference</t>
  </si>
  <si>
    <t>Consumer Preferences for Soya Animal Feed</t>
  </si>
  <si>
    <t>Summary of Annual Outputs (20 ton/day mill)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</si>
</sst>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&quot;$&quot;#,##0.00_);[Red]\(&quot;$&quot;#,##0.00\)"/>
    <numFmt numFmtId="165" formatCode="#,##0.000"/>
    <numFmt numFmtId="166" formatCode="0.0000"/>
    <numFmt numFmtId="167" formatCode="#,##0.0"/>
    <numFmt numFmtId="168" formatCode="#,##0.00_ ;[Red]\-#,##0.00\ "/>
    <numFmt numFmtId="169" formatCode="#,##0.00_);[Green]\-#,##0.00"/>
    <numFmt numFmtId="170" formatCode="#,##0.00_);[Red]\-#,##0.00"/>
    <numFmt numFmtId="171" formatCode="#,##0.00_);[Green]\(#,##0.00\)"/>
    <numFmt numFmtId="172" formatCode="#,##0_);\(#,##0\);\-"/>
    <numFmt numFmtId="173" formatCode="_-* #,##0_-;\(#,##0\)_-;_-* &quot;-&quot;_-;_-@_-"/>
    <numFmt numFmtId="174" formatCode="_(* #,##0_);_(* \(#,##0\);_(* &quot;-&quot;??_);_(@_)"/>
    <numFmt numFmtId="175" formatCode="0.000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Comic Sans MS"/>
      <family val="4"/>
    </font>
    <font>
      <b/>
      <sz val="1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Geneva"/>
    </font>
    <font>
      <sz val="10"/>
      <name val="Arial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b/>
      <sz val="13"/>
      <color theme="0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u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Arial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sz val="10"/>
      <color theme="1"/>
      <name val="Open Sans"/>
      <family val="2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Open Sans"/>
      <family val="2"/>
    </font>
    <font>
      <i/>
      <sz val="10"/>
      <color theme="0"/>
      <name val="Open Sans"/>
      <family val="2"/>
    </font>
    <font>
      <sz val="10"/>
      <color theme="0"/>
      <name val="Open Sans"/>
      <family val="2"/>
    </font>
    <font>
      <sz val="10"/>
      <name val="Open Sans"/>
      <family val="2"/>
    </font>
    <font>
      <sz val="12"/>
      <color theme="0"/>
      <name val="Arial"/>
      <family val="2"/>
    </font>
    <font>
      <sz val="13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Open Sans"/>
      <family val="2"/>
    </font>
    <font>
      <sz val="10"/>
      <color theme="0"/>
      <name val="Arial"/>
      <family val="2"/>
    </font>
    <font>
      <b/>
      <sz val="10"/>
      <name val="Open Sans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ED942D"/>
        <bgColor rgb="FFED942D"/>
      </patternFill>
    </fill>
    <fill>
      <patternFill patternType="solid">
        <fgColor rgb="FFED942D"/>
        <bgColor rgb="FF132E57"/>
      </patternFill>
    </fill>
    <fill>
      <patternFill patternType="solid">
        <fgColor rgb="FFF2F2F2"/>
        <bgColor rgb="FF000000"/>
      </patternFill>
    </fill>
    <fill>
      <patternFill patternType="solid">
        <fgColor theme="0" tint="-0.14999847407452621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0" fontId="13" fillId="0" borderId="0"/>
    <xf numFmtId="0" fontId="22" fillId="0" borderId="0" applyNumberFormat="0" applyFill="0" applyBorder="0" applyAlignment="0" applyProtection="0"/>
  </cellStyleXfs>
  <cellXfs count="180">
    <xf numFmtId="0" fontId="0" fillId="0" borderId="0" xfId="0"/>
    <xf numFmtId="0" fontId="11" fillId="2" borderId="0" xfId="0" applyFont="1" applyFill="1"/>
    <xf numFmtId="0" fontId="10" fillId="2" borderId="0" xfId="0" applyFont="1" applyFill="1"/>
    <xf numFmtId="0" fontId="3" fillId="0" borderId="0" xfId="0" applyFont="1"/>
    <xf numFmtId="0" fontId="0" fillId="2" borderId="0" xfId="0" applyFill="1"/>
    <xf numFmtId="0" fontId="14" fillId="2" borderId="0" xfId="0" applyFont="1" applyFill="1"/>
    <xf numFmtId="0" fontId="8" fillId="2" borderId="0" xfId="0" applyFont="1" applyFill="1"/>
    <xf numFmtId="0" fontId="15" fillId="2" borderId="1" xfId="0" applyFont="1" applyFill="1" applyBorder="1" applyAlignment="1">
      <alignment horizontal="centerContinuous" vertical="center"/>
    </xf>
    <xf numFmtId="0" fontId="16" fillId="3" borderId="0" xfId="0" applyFont="1" applyFill="1" applyAlignmen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3" fillId="0" borderId="0" xfId="0" applyFont="1" applyAlignment="1">
      <alignment horizontal="center"/>
    </xf>
    <xf numFmtId="0" fontId="18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2" fillId="0" borderId="0" xfId="0" applyFont="1"/>
    <xf numFmtId="0" fontId="6" fillId="0" borderId="0" xfId="0" applyFont="1"/>
    <xf numFmtId="3" fontId="3" fillId="0" borderId="0" xfId="0" applyNumberFormat="1" applyFont="1"/>
    <xf numFmtId="167" fontId="3" fillId="0" borderId="0" xfId="0" applyNumberFormat="1" applyFont="1"/>
    <xf numFmtId="0" fontId="7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39" fontId="6" fillId="0" borderId="0" xfId="0" applyNumberFormat="1" applyFont="1"/>
    <xf numFmtId="0" fontId="2" fillId="0" borderId="0" xfId="0" applyFont="1" applyAlignment="1">
      <alignment horizontal="left"/>
    </xf>
    <xf numFmtId="0" fontId="6" fillId="2" borderId="0" xfId="0" applyFont="1" applyFill="1"/>
    <xf numFmtId="0" fontId="3" fillId="2" borderId="0" xfId="0" applyFont="1" applyFill="1"/>
    <xf numFmtId="0" fontId="3" fillId="0" borderId="4" xfId="0" applyFont="1" applyBorder="1"/>
    <xf numFmtId="164" fontId="3" fillId="0" borderId="0" xfId="0" applyNumberFormat="1" applyFont="1"/>
    <xf numFmtId="1" fontId="3" fillId="0" borderId="0" xfId="0" applyNumberFormat="1" applyFont="1"/>
    <xf numFmtId="171" fontId="2" fillId="0" borderId="0" xfId="0" applyNumberFormat="1" applyFont="1"/>
    <xf numFmtId="0" fontId="8" fillId="4" borderId="0" xfId="0" applyFont="1" applyFill="1" applyAlignment="1">
      <alignment horizontal="right"/>
    </xf>
    <xf numFmtId="0" fontId="8" fillId="0" borderId="0" xfId="0" applyFont="1"/>
    <xf numFmtId="37" fontId="3" fillId="0" borderId="0" xfId="0" applyNumberFormat="1" applyFont="1"/>
    <xf numFmtId="37" fontId="3" fillId="0" borderId="4" xfId="0" applyNumberFormat="1" applyFont="1" applyBorder="1"/>
    <xf numFmtId="0" fontId="2" fillId="0" borderId="2" xfId="0" applyFont="1" applyBorder="1"/>
    <xf numFmtId="0" fontId="2" fillId="0" borderId="4" xfId="0" applyFont="1" applyBorder="1"/>
    <xf numFmtId="0" fontId="7" fillId="2" borderId="0" xfId="0" applyFont="1" applyFill="1"/>
    <xf numFmtId="0" fontId="21" fillId="0" borderId="0" xfId="0" applyFont="1"/>
    <xf numFmtId="0" fontId="3" fillId="6" borderId="0" xfId="0" applyFont="1" applyFill="1"/>
    <xf numFmtId="0" fontId="3" fillId="5" borderId="0" xfId="0" applyFont="1" applyFill="1"/>
    <xf numFmtId="0" fontId="23" fillId="0" borderId="0" xfId="0" applyFont="1" applyAlignment="1">
      <alignment horizontal="left"/>
    </xf>
    <xf numFmtId="0" fontId="2" fillId="5" borderId="0" xfId="0" applyFont="1" applyFill="1" applyAlignment="1">
      <alignment horizontal="right"/>
    </xf>
    <xf numFmtId="0" fontId="2" fillId="0" borderId="1" xfId="0" applyFont="1" applyBorder="1"/>
    <xf numFmtId="172" fontId="19" fillId="0" borderId="0" xfId="0" applyNumberFormat="1" applyFont="1"/>
    <xf numFmtId="0" fontId="3" fillId="0" borderId="4" xfId="0" applyFont="1" applyBorder="1" applyAlignment="1">
      <alignment vertical="center" wrapText="1"/>
    </xf>
    <xf numFmtId="0" fontId="3" fillId="0" borderId="5" xfId="0" applyFont="1" applyBorder="1"/>
    <xf numFmtId="0" fontId="3" fillId="7" borderId="0" xfId="0" applyFont="1" applyFill="1"/>
    <xf numFmtId="172" fontId="19" fillId="0" borderId="0" xfId="8" applyNumberFormat="1" applyFont="1"/>
    <xf numFmtId="0" fontId="24" fillId="0" borderId="0" xfId="0" applyFont="1"/>
    <xf numFmtId="0" fontId="25" fillId="8" borderId="0" xfId="0" applyFont="1" applyFill="1"/>
    <xf numFmtId="0" fontId="8" fillId="4" borderId="0" xfId="0" applyFont="1" applyFill="1" applyAlignment="1">
      <alignment horizontal="left"/>
    </xf>
    <xf numFmtId="3" fontId="24" fillId="0" borderId="0" xfId="0" applyNumberFormat="1" applyFont="1"/>
    <xf numFmtId="2" fontId="28" fillId="9" borderId="0" xfId="0" applyNumberFormat="1" applyFont="1" applyFill="1" applyAlignment="1">
      <alignment horizontal="center"/>
    </xf>
    <xf numFmtId="2" fontId="28" fillId="0" borderId="0" xfId="0" applyNumberFormat="1" applyFont="1" applyAlignment="1">
      <alignment horizontal="center"/>
    </xf>
    <xf numFmtId="0" fontId="3" fillId="0" borderId="0" xfId="0" applyFont="1" applyAlignment="1">
      <alignment horizontal="left" indent="1"/>
    </xf>
    <xf numFmtId="0" fontId="25" fillId="0" borderId="0" xfId="0" applyFont="1"/>
    <xf numFmtId="0" fontId="29" fillId="0" borderId="0" xfId="0" applyFont="1"/>
    <xf numFmtId="0" fontId="7" fillId="3" borderId="0" xfId="0" applyFont="1" applyFill="1"/>
    <xf numFmtId="43" fontId="3" fillId="0" borderId="0" xfId="5" applyFont="1"/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0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3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0" fillId="0" borderId="0" xfId="0" applyFont="1"/>
    <xf numFmtId="0" fontId="30" fillId="0" borderId="0" xfId="0" applyFont="1" applyAlignment="1">
      <alignment horizontal="left" vertical="center" indent="1"/>
    </xf>
    <xf numFmtId="166" fontId="6" fillId="0" borderId="0" xfId="0" applyNumberFormat="1" applyFont="1"/>
    <xf numFmtId="4" fontId="5" fillId="0" borderId="0" xfId="0" applyNumberFormat="1" applyFont="1"/>
    <xf numFmtId="40" fontId="5" fillId="0" borderId="0" xfId="0" applyNumberFormat="1" applyFont="1"/>
    <xf numFmtId="10" fontId="5" fillId="0" borderId="0" xfId="0" applyNumberFormat="1" applyFont="1"/>
    <xf numFmtId="10" fontId="6" fillId="0" borderId="0" xfId="0" applyNumberFormat="1" applyFont="1"/>
    <xf numFmtId="0" fontId="5" fillId="0" borderId="0" xfId="0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3" fontId="5" fillId="0" borderId="0" xfId="0" applyNumberFormat="1" applyFont="1" applyAlignment="1">
      <alignment horizontal="center"/>
    </xf>
    <xf numFmtId="168" fontId="5" fillId="0" borderId="0" xfId="0" applyNumberFormat="1" applyFont="1"/>
    <xf numFmtId="169" fontId="5" fillId="0" borderId="0" xfId="0" applyNumberFormat="1" applyFont="1"/>
    <xf numFmtId="170" fontId="5" fillId="0" borderId="0" xfId="0" applyNumberFormat="1" applyFont="1"/>
    <xf numFmtId="164" fontId="6" fillId="0" borderId="0" xfId="0" applyNumberFormat="1" applyFont="1"/>
    <xf numFmtId="0" fontId="32" fillId="0" borderId="0" xfId="0" applyFont="1" applyAlignment="1">
      <alignment vertical="center"/>
    </xf>
    <xf numFmtId="0" fontId="20" fillId="0" borderId="0" xfId="0" applyFont="1"/>
    <xf numFmtId="0" fontId="15" fillId="2" borderId="0" xfId="0" applyFont="1" applyFill="1" applyAlignment="1">
      <alignment horizontal="centerContinuous" vertical="center"/>
    </xf>
    <xf numFmtId="0" fontId="15" fillId="2" borderId="0" xfId="0" applyFont="1" applyFill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3" fillId="0" borderId="2" xfId="0" applyFont="1" applyBorder="1"/>
    <xf numFmtId="3" fontId="2" fillId="0" borderId="2" xfId="0" applyNumberFormat="1" applyFont="1" applyBorder="1"/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3" fontId="3" fillId="0" borderId="0" xfId="0" applyNumberFormat="1" applyFont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34" fillId="3" borderId="0" xfId="0" applyFont="1" applyFill="1" applyAlignment="1">
      <alignment horizontal="center" vertical="center"/>
    </xf>
    <xf numFmtId="0" fontId="34" fillId="3" borderId="0" xfId="0" applyFont="1" applyFill="1" applyAlignment="1">
      <alignment vertical="center"/>
    </xf>
    <xf numFmtId="0" fontId="34" fillId="3" borderId="0" xfId="0" applyFont="1" applyFill="1" applyAlignment="1">
      <alignment horizontal="center" wrapText="1"/>
    </xf>
    <xf numFmtId="3" fontId="34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39" fontId="6" fillId="0" borderId="0" xfId="0" applyNumberFormat="1" applyFont="1" applyAlignment="1">
      <alignment horizontal="left" vertical="center"/>
    </xf>
    <xf numFmtId="37" fontId="38" fillId="0" borderId="0" xfId="0" applyNumberFormat="1" applyFont="1"/>
    <xf numFmtId="0" fontId="34" fillId="2" borderId="0" xfId="0" applyFont="1" applyFill="1"/>
    <xf numFmtId="0" fontId="15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0" fontId="34" fillId="3" borderId="0" xfId="0" applyFont="1" applyFill="1" applyAlignment="1">
      <alignment horizontal="left" vertical="center"/>
    </xf>
    <xf numFmtId="0" fontId="6" fillId="0" borderId="0" xfId="0" applyFont="1" applyAlignment="1">
      <alignment horizontal="center" wrapText="1"/>
    </xf>
    <xf numFmtId="3" fontId="6" fillId="0" borderId="0" xfId="0" applyNumberFormat="1" applyFont="1" applyAlignment="1">
      <alignment horizontal="center" vertical="center" wrapText="1"/>
    </xf>
    <xf numFmtId="0" fontId="39" fillId="2" borderId="1" xfId="0" applyFont="1" applyFill="1" applyBorder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3" fillId="0" borderId="1" xfId="0" applyFont="1" applyBorder="1"/>
    <xf numFmtId="0" fontId="3" fillId="0" borderId="3" xfId="0" applyFont="1" applyBorder="1"/>
    <xf numFmtId="0" fontId="6" fillId="0" borderId="0" xfId="0" applyFont="1" applyAlignment="1">
      <alignment horizontal="left" vertical="center" indent="1"/>
    </xf>
    <xf numFmtId="174" fontId="40" fillId="0" borderId="0" xfId="5" applyNumberFormat="1" applyFont="1" applyFill="1" applyBorder="1" applyAlignment="1">
      <alignment vertical="center"/>
    </xf>
    <xf numFmtId="174" fontId="6" fillId="0" borderId="0" xfId="5" applyNumberFormat="1" applyFont="1" applyFill="1" applyBorder="1" applyAlignment="1">
      <alignment vertical="center"/>
    </xf>
    <xf numFmtId="174" fontId="16" fillId="3" borderId="0" xfId="5" applyNumberFormat="1" applyFont="1" applyFill="1" applyBorder="1" applyAlignment="1">
      <alignment vertical="center"/>
    </xf>
    <xf numFmtId="174" fontId="3" fillId="0" borderId="0" xfId="5" applyNumberFormat="1" applyFont="1"/>
    <xf numFmtId="174" fontId="6" fillId="0" borderId="0" xfId="5" applyNumberFormat="1" applyFont="1" applyFill="1"/>
    <xf numFmtId="174" fontId="3" fillId="0" borderId="1" xfId="5" applyNumberFormat="1" applyFont="1" applyBorder="1"/>
    <xf numFmtId="174" fontId="6" fillId="0" borderId="1" xfId="5" applyNumberFormat="1" applyFont="1" applyFill="1" applyBorder="1"/>
    <xf numFmtId="174" fontId="2" fillId="0" borderId="0" xfId="5" applyNumberFormat="1" applyFont="1"/>
    <xf numFmtId="174" fontId="5" fillId="0" borderId="0" xfId="5" applyNumberFormat="1" applyFont="1" applyFill="1"/>
    <xf numFmtId="174" fontId="3" fillId="0" borderId="3" xfId="5" applyNumberFormat="1" applyFont="1" applyBorder="1"/>
    <xf numFmtId="174" fontId="6" fillId="0" borderId="3" xfId="5" applyNumberFormat="1" applyFont="1" applyFill="1" applyBorder="1"/>
    <xf numFmtId="174" fontId="3" fillId="0" borderId="0" xfId="5" applyNumberFormat="1" applyFont="1" applyFill="1"/>
    <xf numFmtId="174" fontId="3" fillId="0" borderId="1" xfId="5" applyNumberFormat="1" applyFont="1" applyFill="1" applyBorder="1"/>
    <xf numFmtId="174" fontId="2" fillId="0" borderId="2" xfId="5" applyNumberFormat="1" applyFont="1" applyBorder="1"/>
    <xf numFmtId="174" fontId="2" fillId="0" borderId="2" xfId="5" applyNumberFormat="1" applyFont="1" applyFill="1" applyBorder="1"/>
    <xf numFmtId="9" fontId="6" fillId="0" borderId="0" xfId="5" applyNumberFormat="1" applyFont="1" applyFill="1" applyBorder="1" applyAlignment="1">
      <alignment vertical="center"/>
    </xf>
    <xf numFmtId="9" fontId="6" fillId="0" borderId="0" xfId="1" applyFont="1" applyFill="1" applyBorder="1" applyAlignment="1">
      <alignment vertical="center"/>
    </xf>
    <xf numFmtId="43" fontId="3" fillId="0" borderId="0" xfId="0" applyNumberFormat="1" applyFont="1"/>
    <xf numFmtId="174" fontId="3" fillId="0" borderId="4" xfId="5" applyNumberFormat="1" applyFont="1" applyBorder="1"/>
    <xf numFmtId="174" fontId="5" fillId="0" borderId="4" xfId="5" applyNumberFormat="1" applyFont="1" applyFill="1" applyBorder="1"/>
    <xf numFmtId="174" fontId="3" fillId="0" borderId="0" xfId="5" applyNumberFormat="1" applyFont="1" applyBorder="1"/>
    <xf numFmtId="174" fontId="5" fillId="0" borderId="0" xfId="5" applyNumberFormat="1" applyFont="1" applyFill="1" applyBorder="1"/>
    <xf numFmtId="9" fontId="41" fillId="0" borderId="1" xfId="5" applyNumberFormat="1" applyFont="1" applyBorder="1"/>
    <xf numFmtId="0" fontId="38" fillId="0" borderId="0" xfId="0" applyFont="1"/>
    <xf numFmtId="0" fontId="43" fillId="2" borderId="0" xfId="0" applyFont="1" applyFill="1"/>
    <xf numFmtId="0" fontId="43" fillId="0" borderId="0" xfId="0" applyFont="1"/>
    <xf numFmtId="174" fontId="2" fillId="0" borderId="0" xfId="5" applyNumberFormat="1" applyFont="1" applyBorder="1"/>
    <xf numFmtId="174" fontId="2" fillId="0" borderId="0" xfId="5" applyNumberFormat="1" applyFont="1" applyFill="1" applyBorder="1"/>
    <xf numFmtId="0" fontId="44" fillId="0" borderId="0" xfId="0" applyFont="1"/>
    <xf numFmtId="37" fontId="42" fillId="0" borderId="0" xfId="0" applyNumberFormat="1" applyFont="1"/>
    <xf numFmtId="1" fontId="42" fillId="0" borderId="0" xfId="0" applyNumberFormat="1" applyFont="1"/>
    <xf numFmtId="10" fontId="42" fillId="0" borderId="0" xfId="0" applyNumberFormat="1" applyFont="1"/>
    <xf numFmtId="9" fontId="38" fillId="0" borderId="0" xfId="0" applyNumberFormat="1" applyFont="1"/>
    <xf numFmtId="37" fontId="44" fillId="0" borderId="0" xfId="0" applyNumberFormat="1" applyFont="1"/>
    <xf numFmtId="2" fontId="38" fillId="0" borderId="0" xfId="0" applyNumberFormat="1" applyFont="1"/>
    <xf numFmtId="1" fontId="38" fillId="0" borderId="0" xfId="0" applyNumberFormat="1" applyFont="1"/>
    <xf numFmtId="0" fontId="37" fillId="2" borderId="0" xfId="0" applyFont="1" applyFill="1"/>
    <xf numFmtId="173" fontId="35" fillId="2" borderId="0" xfId="5" applyNumberFormat="1" applyFont="1" applyFill="1" applyAlignment="1">
      <alignment horizontal="left" indent="1"/>
    </xf>
    <xf numFmtId="0" fontId="37" fillId="2" borderId="0" xfId="0" applyFont="1" applyFill="1" applyAlignment="1">
      <alignment horizontal="centerContinuous"/>
    </xf>
    <xf numFmtId="0" fontId="36" fillId="2" borderId="0" xfId="0" applyFont="1" applyFill="1" applyAlignment="1">
      <alignment horizontal="left" indent="1"/>
    </xf>
    <xf numFmtId="0" fontId="35" fillId="2" borderId="0" xfId="0" applyFont="1" applyFill="1"/>
    <xf numFmtId="0" fontId="35" fillId="2" borderId="0" xfId="0" applyFont="1" applyFill="1" applyAlignment="1">
      <alignment horizontal="right"/>
    </xf>
    <xf numFmtId="0" fontId="35" fillId="3" borderId="0" xfId="0" applyFont="1" applyFill="1"/>
    <xf numFmtId="0" fontId="0" fillId="3" borderId="0" xfId="0" applyFill="1"/>
    <xf numFmtId="37" fontId="26" fillId="0" borderId="0" xfId="0" applyNumberFormat="1" applyFont="1" applyAlignment="1">
      <alignment horizontal="right"/>
    </xf>
    <xf numFmtId="37" fontId="27" fillId="0" borderId="0" xfId="0" applyNumberFormat="1" applyFont="1"/>
    <xf numFmtId="0" fontId="3" fillId="0" borderId="4" xfId="0" applyFont="1" applyBorder="1" applyAlignment="1">
      <alignment horizontal="left" indent="1"/>
    </xf>
    <xf numFmtId="0" fontId="47" fillId="0" borderId="0" xfId="0" applyFont="1"/>
    <xf numFmtId="0" fontId="46" fillId="0" borderId="0" xfId="0" applyFont="1"/>
    <xf numFmtId="37" fontId="46" fillId="0" borderId="0" xfId="0" applyNumberFormat="1" applyFont="1"/>
    <xf numFmtId="0" fontId="46" fillId="0" borderId="1" xfId="0" applyFont="1" applyBorder="1"/>
    <xf numFmtId="37" fontId="46" fillId="0" borderId="1" xfId="0" applyNumberFormat="1" applyFont="1" applyBorder="1"/>
    <xf numFmtId="37" fontId="47" fillId="0" borderId="0" xfId="0" applyNumberFormat="1" applyFont="1"/>
    <xf numFmtId="37" fontId="13" fillId="0" borderId="1" xfId="0" applyNumberFormat="1" applyFont="1" applyBorder="1"/>
    <xf numFmtId="175" fontId="48" fillId="0" borderId="0" xfId="0" applyNumberFormat="1" applyFont="1"/>
    <xf numFmtId="0" fontId="45" fillId="3" borderId="0" xfId="0" applyFont="1" applyFill="1"/>
    <xf numFmtId="0" fontId="46" fillId="3" borderId="0" xfId="0" applyFont="1" applyFill="1"/>
    <xf numFmtId="37" fontId="3" fillId="0" borderId="2" xfId="0" applyNumberFormat="1" applyFont="1" applyBorder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</cellXfs>
  <cellStyles count="9">
    <cellStyle name="Comma" xfId="5" builtinId="3"/>
    <cellStyle name="Hyperlink" xfId="8" builtinId="8"/>
    <cellStyle name="Milliers 2 2 2" xfId="4" xr:uid="{00000000-0005-0000-0000-000002000000}"/>
    <cellStyle name="Normal" xfId="0" builtinId="0"/>
    <cellStyle name="Normal 2" xfId="6" xr:uid="{00000000-0005-0000-0000-000004000000}"/>
    <cellStyle name="Normal 2 2 2" xfId="2" xr:uid="{00000000-0005-0000-0000-000005000000}"/>
    <cellStyle name="Normal 27" xfId="7" xr:uid="{00000000-0005-0000-0000-000006000000}"/>
    <cellStyle name="Percent" xfId="1" builtinId="5"/>
    <cellStyle name="Pourcentage 2 2 2 2" xfId="3" xr:uid="{00000000-0005-0000-0000-000008000000}"/>
  </cellStyles>
  <dxfs count="0"/>
  <tableStyles count="0" defaultTableStyle="TableStyleMedium2" defaultPivotStyle="PivotStyleLight16"/>
  <colors>
    <mruColors>
      <color rgb="FFF57A16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Market_Prices_of_Product!$A$26</c:f>
              <c:strCache>
                <c:ptCount val="1"/>
                <c:pt idx="0">
                  <c:v>Annual Production ‘000Mt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Market_Prices_of_Product!$B$25:$L$25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Market_Prices_of_Product!$B$26:$L$26</c:f>
              <c:numCache>
                <c:formatCode>General</c:formatCode>
                <c:ptCount val="11"/>
                <c:pt idx="0">
                  <c:v>152</c:v>
                </c:pt>
                <c:pt idx="1">
                  <c:v>139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170</c:v>
                </c:pt>
                <c:pt idx="6">
                  <c:v>177</c:v>
                </c:pt>
                <c:pt idx="7">
                  <c:v>193</c:v>
                </c:pt>
                <c:pt idx="8">
                  <c:v>209</c:v>
                </c:pt>
                <c:pt idx="9">
                  <c:v>218</c:v>
                </c:pt>
                <c:pt idx="10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B-42C2-A8FC-7BE5043208D7}"/>
            </c:ext>
          </c:extLst>
        </c:ser>
        <c:ser>
          <c:idx val="1"/>
          <c:order val="1"/>
          <c:tx>
            <c:strRef>
              <c:f>Market_Prices_of_Product!$A$27</c:f>
              <c:strCache>
                <c:ptCount val="1"/>
                <c:pt idx="0">
                  <c:v>Annual Area Planted ‘000Ha</c:v>
                </c:pt>
              </c:strCache>
            </c:strRef>
          </c:tx>
          <c:spPr>
            <a:solidFill>
              <a:srgbClr val="F57A16"/>
            </a:solidFill>
            <a:ln>
              <a:noFill/>
            </a:ln>
            <a:effectLst/>
          </c:spPr>
          <c:invertIfNegative val="0"/>
          <c:cat>
            <c:numRef>
              <c:f>Market_Prices_of_Product!$B$25:$L$25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Market_Prices_of_Product!$B$27:$L$27</c:f>
              <c:numCache>
                <c:formatCode>General</c:formatCode>
                <c:ptCount val="11"/>
                <c:pt idx="0">
                  <c:v>85</c:v>
                </c:pt>
                <c:pt idx="1">
                  <c:v>85</c:v>
                </c:pt>
                <c:pt idx="2">
                  <c:v>87</c:v>
                </c:pt>
                <c:pt idx="3">
                  <c:v>86</c:v>
                </c:pt>
                <c:pt idx="4">
                  <c:v>87</c:v>
                </c:pt>
                <c:pt idx="5">
                  <c:v>102</c:v>
                </c:pt>
                <c:pt idx="6">
                  <c:v>103</c:v>
                </c:pt>
                <c:pt idx="7">
                  <c:v>112</c:v>
                </c:pt>
                <c:pt idx="8">
                  <c:v>116</c:v>
                </c:pt>
                <c:pt idx="9">
                  <c:v>126</c:v>
                </c:pt>
                <c:pt idx="1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B-42C2-A8FC-7BE504320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9882831"/>
        <c:axId val="1109888655"/>
      </c:barChart>
      <c:lineChart>
        <c:grouping val="standard"/>
        <c:varyColors val="0"/>
        <c:ser>
          <c:idx val="2"/>
          <c:order val="2"/>
          <c:tx>
            <c:strRef>
              <c:f>Market_Prices_of_Product!$A$28</c:f>
              <c:strCache>
                <c:ptCount val="1"/>
                <c:pt idx="0">
                  <c:v>Yield (Mt/Ha)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Market_Prices_of_Product!$B$25:$L$25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Market_Prices_of_Product!$B$28:$L$28</c:f>
              <c:numCache>
                <c:formatCode>General</c:formatCode>
                <c:ptCount val="11"/>
                <c:pt idx="0">
                  <c:v>1.78</c:v>
                </c:pt>
                <c:pt idx="1">
                  <c:v>1.63</c:v>
                </c:pt>
                <c:pt idx="2">
                  <c:v>1.62</c:v>
                </c:pt>
                <c:pt idx="3">
                  <c:v>1.65</c:v>
                </c:pt>
                <c:pt idx="4">
                  <c:v>1.64</c:v>
                </c:pt>
                <c:pt idx="5">
                  <c:v>1.66</c:v>
                </c:pt>
                <c:pt idx="6">
                  <c:v>1.71</c:v>
                </c:pt>
                <c:pt idx="7">
                  <c:v>1.72</c:v>
                </c:pt>
                <c:pt idx="8">
                  <c:v>1.8</c:v>
                </c:pt>
                <c:pt idx="9">
                  <c:v>1.73</c:v>
                </c:pt>
                <c:pt idx="10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B-42C2-A8FC-7BE504320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541487"/>
        <c:axId val="1117537327"/>
      </c:lineChart>
      <c:catAx>
        <c:axId val="110988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88655"/>
        <c:crosses val="autoZero"/>
        <c:auto val="1"/>
        <c:lblAlgn val="ctr"/>
        <c:lblOffset val="100"/>
        <c:noMultiLvlLbl val="0"/>
      </c:catAx>
      <c:valAx>
        <c:axId val="1109888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82831"/>
        <c:crosses val="autoZero"/>
        <c:crossBetween val="between"/>
      </c:valAx>
      <c:valAx>
        <c:axId val="1117537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41487"/>
        <c:crosses val="max"/>
        <c:crossBetween val="between"/>
      </c:valAx>
      <c:catAx>
        <c:axId val="1117541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7537327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2494155033901723E-2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5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Market_Prices_of_Product!$B$49</c:f>
              <c:strCache>
                <c:ptCount val="1"/>
                <c:pt idx="0">
                  <c:v>Percentage (%)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57-478D-A37C-56F06FE111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0D-4CC2-9363-FF303F29E1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0D-4CC2-9363-FF303F29E1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Market_Prices_of_Product!$A$50:$A$52</c:f>
              <c:strCache>
                <c:ptCount val="3"/>
                <c:pt idx="0">
                  <c:v>Quality</c:v>
                </c:pt>
                <c:pt idx="1">
                  <c:v>Price</c:v>
                </c:pt>
                <c:pt idx="2">
                  <c:v>Brand Preference</c:v>
                </c:pt>
              </c:strCache>
            </c:strRef>
          </c:cat>
          <c:val>
            <c:numRef>
              <c:f>Market_Prices_of_Product!$B$50:$B$52</c:f>
              <c:numCache>
                <c:formatCode>General</c:formatCode>
                <c:ptCount val="3"/>
                <c:pt idx="0">
                  <c:v>60</c:v>
                </c:pt>
                <c:pt idx="1">
                  <c:v>40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7-478D-A37C-56F06FE111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910120874075702"/>
          <c:y val="6.6852387238505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Market_Prices_of_Product!$B$55</c:f>
              <c:strCache>
                <c:ptCount val="1"/>
                <c:pt idx="0">
                  <c:v>Percentage (%)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D9-4900-BECD-EFC9BD94AC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4A-4E3E-8438-9341E8D268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Market_Prices_of_Product!$A$56:$A$57</c:f>
              <c:strCache>
                <c:ptCount val="2"/>
                <c:pt idx="0">
                  <c:v>Quality</c:v>
                </c:pt>
                <c:pt idx="1">
                  <c:v>Price</c:v>
                </c:pt>
              </c:strCache>
            </c:strRef>
          </c:cat>
          <c:val>
            <c:numRef>
              <c:f>Market_Prices_of_Product!$B$56:$B$57</c:f>
              <c:numCache>
                <c:formatCode>General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4900-BECD-EFC9BD94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_xlchart.v1.0</cx:f>
      </cx:numDim>
    </cx:data>
  </cx:chartData>
  <cx:chart>
    <cx:title pos="t" align="ctr" overlay="0">
      <cx:tx>
        <cx:txData>
          <cx:v>Payback Period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r>
            <a:rPr lang="en-US" sz="1400" b="1" i="0" u="none" strike="noStrike" baseline="0">
              <a:solidFill>
                <a:schemeClr val="tx1"/>
              </a:solidFill>
              <a:latin typeface="Arial" panose="020B0604020202020204" pitchFamily="34" charset="0"/>
              <a:ea typeface="Open Sans" panose="020B0606030504020204" pitchFamily="34" charset="0"/>
              <a:cs typeface="Arial" panose="020B0604020202020204" pitchFamily="34" charset="0"/>
            </a:rPr>
            <a:t>Payback Period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waterfall" uniqueId="{35445961-000B-4B9D-8996-E7F4CA28FF01}">
          <cx:spPr>
            <a:solidFill>
              <a:schemeClr val="accent3"/>
            </a:solidFill>
          </cx:spPr>
          <cx:dataPt idx="0">
            <cx:spPr>
              <a:solidFill>
                <a:srgbClr val="FF9900"/>
              </a:solidFill>
            </cx:spPr>
          </cx:dataPt>
          <cx:dataPt idx="1">
            <cx:spPr>
              <a:solidFill>
                <a:srgbClr val="002060"/>
              </a:solidFill>
            </cx:spPr>
          </cx:dataPt>
          <cx:dataPt idx="2">
            <cx:spPr>
              <a:solidFill>
                <a:srgbClr val="002060"/>
              </a:solidFill>
            </cx:spPr>
          </cx:dataPt>
          <cx:dataPt idx="3">
            <cx:spPr>
              <a:solidFill>
                <a:srgbClr val="002060"/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numFmt formatCode="#,##0_);(#,##0)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 sz="1000" b="0" i="0" u="none" strike="noStrike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 b="0" i="0" u="none" strike="noStrike" baseline="0">
              <a:solidFill>
                <a:schemeClr val="tx1"/>
              </a:solidFill>
              <a:latin typeface="Arial" panose="020B0604020202020204" pitchFamily="34" charset="0"/>
              <a:ea typeface="Open Sans" panose="020B0606030504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ckLabels/>
        <cx:numFmt formatCode="#,##0_);(#,##0)" sourceLinked="0"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lang="en-US" sz="10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 b="0" i="0" u="none" strike="noStrike" baseline="0">
              <a:solidFill>
                <a:schemeClr val="tx1"/>
              </a:solidFill>
              <a:latin typeface="Arial" panose="020B0604020202020204" pitchFamily="34" charset="0"/>
              <a:ea typeface="Open Sans" panose="020B0606030504020204" pitchFamily="34" charset="0"/>
              <a:cs typeface="Arial" panose="020B0604020202020204" pitchFamily="34" charset="0"/>
            </a:endParaRPr>
          </a:p>
        </cx:txPr>
      </cx:axis>
    </cx:plotArea>
  </cx:chart>
  <cx:spPr>
    <a:solidFill>
      <a:schemeClr val="bg1"/>
    </a:solidFill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157162</xdr:rowOff>
    </xdr:from>
    <xdr:to>
      <xdr:col>2</xdr:col>
      <xdr:colOff>171450</xdr:colOff>
      <xdr:row>45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871538</xdr:colOff>
      <xdr:row>47</xdr:row>
      <xdr:rowOff>85724</xdr:rowOff>
    </xdr:from>
    <xdr:to>
      <xdr:col>3</xdr:col>
      <xdr:colOff>676275</xdr:colOff>
      <xdr:row>55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90487</xdr:colOff>
      <xdr:row>47</xdr:row>
      <xdr:rowOff>47624</xdr:rowOff>
    </xdr:from>
    <xdr:to>
      <xdr:col>5</xdr:col>
      <xdr:colOff>1600200</xdr:colOff>
      <xdr:row>56</xdr:row>
      <xdr:rowOff>109536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10</xdr:row>
      <xdr:rowOff>57149</xdr:rowOff>
    </xdr:from>
    <xdr:to>
      <xdr:col>6</xdr:col>
      <xdr:colOff>514350</xdr:colOff>
      <xdr:row>26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CABE56E-4F1A-4DC0-9C45-521BFAE93E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49" y="2015489"/>
              <a:ext cx="7696201" cy="30861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BO\Desktop\Mr%20Forster_Boss\Business%20Plans\Chocolate%20Mall\Chocolate%20Mall%20Financ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Sales 2024"/>
      <sheetName val="Sales 2024-2028"/>
      <sheetName val="Operating Expenses 2024-2028"/>
      <sheetName val="Income Statement 2024-2028"/>
      <sheetName val="Balance Sheet 2024-2028"/>
      <sheetName val="Cash Flow Statement 2024-2082"/>
      <sheetName val="Financial Ratio Analysis"/>
      <sheetName val="Amortization Schedule (7% p.a)"/>
    </sheetNames>
    <sheetDataSet>
      <sheetData sheetId="0"/>
      <sheetData sheetId="1"/>
      <sheetData sheetId="2"/>
      <sheetData sheetId="3"/>
      <sheetData sheetId="4"/>
      <sheetData sheetId="5"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showGridLines="0" topLeftCell="A7" workbookViewId="0">
      <selection activeCell="C15" sqref="C15"/>
    </sheetView>
  </sheetViews>
  <sheetFormatPr defaultColWidth="12.5546875" defaultRowHeight="13.8"/>
  <cols>
    <col min="1" max="2" width="11" style="3" customWidth="1"/>
    <col min="3" max="3" width="32.6640625" style="3" bestFit="1" customWidth="1"/>
    <col min="4" max="13" width="11" style="3" customWidth="1"/>
    <col min="14" max="15" width="11" style="41" customWidth="1"/>
    <col min="16" max="20" width="9.109375" style="41" customWidth="1"/>
    <col min="21" max="26" width="9.109375" style="3" customWidth="1"/>
    <col min="27" max="16384" width="12.5546875" style="3"/>
  </cols>
  <sheetData>
    <row r="1" spans="1:26" ht="19.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9.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9.5" customHeight="1">
      <c r="A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9.5" customHeight="1">
      <c r="A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9.5" customHeight="1">
      <c r="A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9.5" customHeight="1">
      <c r="A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9.5" customHeight="1">
      <c r="A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9.5" customHeight="1">
      <c r="A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>
      <c r="A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22.8">
      <c r="A10" s="40"/>
      <c r="C10" s="42" t="s">
        <v>20</v>
      </c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5" customHeight="1">
      <c r="A11" s="40"/>
      <c r="C11" s="3" t="s">
        <v>29</v>
      </c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3.5" customHeight="1">
      <c r="A12" s="40"/>
      <c r="C12" s="12"/>
      <c r="N12" s="43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9.5" customHeight="1">
      <c r="A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9.5" customHeight="1">
      <c r="A14" s="40"/>
      <c r="C14" s="44" t="s">
        <v>18</v>
      </c>
      <c r="D14" s="44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9.5" customHeight="1">
      <c r="A15" s="40"/>
      <c r="C15" s="49" t="str">
        <f ca="1">RIGHT(CELL("filename",'Bawa_StartUp Cost'!B1),LEN(CELL("filename",'Bawa_StartUp Cost'!B1))-FIND("]",CELL("filename",'Bawa_StartUp Cost'!B1)))</f>
        <v>Bawa_StartUp Cost</v>
      </c>
      <c r="D15" s="16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9.5" customHeight="1">
      <c r="A16" s="40"/>
      <c r="C16" s="49" t="str">
        <f ca="1">RIGHT(CELL("filename",Market_Prices_of_Product!A1),LEN(CELL("filename",Market_Prices_of_Product!A1))-FIND("]",CELL("filename",Market_Prices_of_Product!A1)))</f>
        <v>Market_Prices_of_Product</v>
      </c>
      <c r="D16" s="83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9.5" customHeight="1">
      <c r="A17" s="40"/>
      <c r="C17" s="49" t="str">
        <f ca="1">RIGHT(CELL("filename",'Income Statement_Forecast'!A1),LEN(CELL("filename",'Income Statement_Forecast'!A1))-FIND("]",CELL("filename",'Income Statement_Forecast'!A1)))</f>
        <v>Income Statement_Forecast</v>
      </c>
      <c r="D17" s="8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9.5" customHeight="1">
      <c r="A18" s="40"/>
      <c r="C18" s="49" t="str">
        <f ca="1">RIGHT(CELL("filename",'Balance Sheet_Forecast'!A1),LEN(CELL("filename",'Balance Sheet_Forecast'!A1))-FIND("]",CELL("filename",'Balance Sheet_Forecast'!A1)))</f>
        <v>Balance Sheet_Forecast</v>
      </c>
      <c r="D18" s="83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9.5" customHeight="1">
      <c r="A19" s="40"/>
      <c r="C19" s="49" t="str">
        <f ca="1">RIGHT(CELL("filename",'Cashflow Statement_Forecast'!A1),LEN(CELL("filename",'Cashflow Statement_Forecast'!A1))-FIND("]",CELL("filename",'Cashflow Statement_Forecast'!A1)))</f>
        <v>Cashflow Statement_Forecast</v>
      </c>
      <c r="D19" s="83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9.5" customHeight="1">
      <c r="A20" s="40"/>
      <c r="C20" s="49" t="str">
        <f ca="1">RIGHT(CELL("filename",'Loan Schedule @ 7% p.a'!A1),LEN(CELL("filename",'Loan Schedule @ 7% p.a'!A1))-FIND("]",CELL("filename",'Loan Schedule @ 7% p.a'!A1)))</f>
        <v>Loan Schedule @ 7% p.a</v>
      </c>
      <c r="D20" s="83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9.5" customHeight="1">
      <c r="A21" s="40"/>
      <c r="C21" s="49" t="str">
        <f ca="1">RIGHT(CELL("filename",'Payback Period'!A1),LEN(CELL("filename",'Payback Period'!A1))-FIND("]",CELL("filename",'Payback Period'!A1)))</f>
        <v>Payback Period</v>
      </c>
      <c r="D21" s="83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9.5" customHeight="1">
      <c r="A22" s="40"/>
      <c r="C22" s="45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9.5" customHeight="1">
      <c r="A23" s="40"/>
      <c r="C23" s="16" t="s">
        <v>19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9.5" customHeight="1">
      <c r="A24" s="40"/>
      <c r="C24" s="46" t="s">
        <v>30</v>
      </c>
      <c r="D24" s="46"/>
      <c r="E24" s="46"/>
      <c r="F24" s="46"/>
      <c r="G24" s="46"/>
      <c r="H24" s="46"/>
      <c r="I24" s="46"/>
      <c r="J24" s="46"/>
      <c r="K24" s="46"/>
      <c r="L24" s="46"/>
      <c r="M24" s="47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9.5" customHeight="1">
      <c r="A25" s="40"/>
      <c r="C25" s="179" t="s">
        <v>21</v>
      </c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9.5" customHeight="1">
      <c r="A26" s="40"/>
      <c r="C26" s="39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9.5" customHeight="1">
      <c r="A27" s="40"/>
      <c r="C27" s="39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9.5" customHeight="1">
      <c r="A28" s="40"/>
      <c r="C28" s="33"/>
      <c r="N28" s="48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9.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9.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9.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9.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9.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9.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9.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9.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9.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9.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9.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9.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9.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9.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9.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9.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9.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3.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3.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3.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3.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3.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3.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3.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3.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3.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3.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3.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3.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3.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3.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3.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3.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3.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3.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3.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3.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3.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3.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3.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3.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3.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3.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3.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3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3.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3.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3.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3.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3.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3.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3.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3.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3.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3.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3.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3.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3.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3.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3.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3.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3.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3.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3.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3.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3.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3.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3.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3.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3.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3.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3.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3.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3.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3.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3.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3.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3.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3.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3.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3.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3.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3.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3.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3.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3.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3.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3.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3.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3.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3.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3.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3.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3.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3.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3.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3.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3.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3.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3.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3.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3.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3.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3.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3.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3.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3.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3.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3.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3.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3.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3.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3.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3.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3.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3.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3.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3.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3.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3.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3.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3.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3.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3.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3.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3.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3.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3.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3.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3.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3.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3.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3.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3.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3.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3.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3.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3.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3.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3.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3.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3.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3.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3.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3.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3.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3.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3.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3.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3.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3.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3.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3.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3.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3.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3.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3.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3.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3.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3.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3.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3.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3.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3.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3.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3.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3.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3.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3.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3.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3.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3.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3.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3.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3.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3.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3.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3.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3.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3.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3.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3.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3.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3.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3.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3.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3.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3.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3.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3.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3.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3.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3.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3.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3.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3.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3.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3.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3.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3.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3.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3.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3.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3.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3.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3.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3.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3.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3.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3.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3.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3.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3.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3.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3.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3.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3.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3.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3.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3.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3.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3.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3.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3.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3.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3.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3.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3.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3.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3.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3.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3.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3.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3.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3.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3.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3.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3.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3.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3.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3.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3.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3.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3.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3.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3.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3.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3.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3.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3.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3.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3.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3.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3.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3.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3.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3.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3.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3.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3.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3.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3.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3.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3.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3.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3.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3.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3.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3.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3.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3.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3.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3.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3.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3.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3.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3.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3.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3.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3.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3.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3.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3.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3.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3.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3.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3.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3.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3.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3.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3.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3.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3.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3.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3.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3.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3.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3.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3.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3.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3.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3.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3.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3.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3.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3.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3.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3.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3.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3.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3.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3.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3.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3.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3.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3.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3.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3.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3.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3.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3.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3.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3.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3.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3.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3.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3.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3.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3.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3.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3.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3.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3.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3.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3.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3.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3.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3.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3.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3.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3.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3.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3.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3.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3.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3.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3.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3.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3.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3.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3.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3.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3.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3.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3.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3.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3.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3.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3.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3.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3.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3.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3.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3.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3.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3.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3.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3.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3.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3.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3.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3.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3.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3.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3.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3.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3.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3.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3.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3.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3.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3.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3.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3.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3.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3.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3.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3.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3.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3.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3.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3.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3.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3.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3.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3.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3.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3.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3.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3.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3.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3.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3.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3.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3.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3.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3.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3.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3.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3.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3.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3.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3.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3.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3.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3.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3.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3.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3.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3.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3.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3.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3.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3.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3.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3.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3.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3.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3.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3.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3.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3.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3.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3.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3.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3.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3.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3.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3.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3.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3.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3.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3.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3.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3.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3.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3.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3.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3.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3.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3.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3.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3.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3.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3.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3.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3.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3.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3.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3.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3.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3.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3.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3.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3.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3.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3.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3.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3.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3.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3.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3.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3.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3.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3.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3.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3.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3.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3.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3.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3.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3.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3.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3.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3.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3.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3.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3.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3.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3.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3.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3.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3.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3.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3.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3.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3.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3.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3.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3.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3.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3.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3.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3.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3.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3.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3.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3.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3.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3.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3.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3.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3.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3.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3.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3.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3.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3.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3.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3.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3.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3.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3.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3.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3.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3.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3.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3.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3.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3.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3.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3.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3.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3.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3.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3.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3.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3.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3.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3.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3.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3.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3.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3.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3.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3.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3.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3.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3.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3.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3.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3.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3.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3.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3.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3.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3.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3.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3.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3.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3.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3.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3.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3.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3.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3.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3.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3.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3.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3.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3.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3.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3.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3.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3.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3.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3.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3.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3.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3.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3.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3.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3.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3.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3.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3.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3.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3.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3.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3.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3.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3.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3.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3.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3.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3.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3.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3.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3.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3.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3.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3.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3.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3.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3.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3.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3.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3.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3.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3.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3.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3.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3.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3.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3.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3.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3.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3.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3.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3.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3.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3.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3.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3.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3.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3.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3.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3.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3.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3.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3.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3.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3.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3.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3.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3.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3.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3.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3.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3.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3.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3.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3.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3.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3.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3.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3.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3.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3.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3.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3.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3.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3.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3.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3.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3.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3.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3.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3.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3.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3.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3.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3.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3.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3.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3.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3.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3.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3.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3.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3.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3.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3.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3.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3.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3.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3.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3.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3.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3.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3.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3.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3.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3.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3.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3.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3.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3.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3.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3.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3.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3.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3.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3.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3.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3.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3.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3.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3.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3.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3.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3.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3.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3.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3.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3.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3.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3.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3.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3.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3.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3.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3.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3.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3.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3.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3.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3.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3.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3.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3.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3.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3.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3.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3.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3.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3.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3.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3.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3.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3.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3.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3.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3.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3.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3.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3.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3.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3.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3.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3.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3.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3.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3.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3.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3.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3.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3.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3.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3.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3.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3.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3.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3.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3.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3.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3.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3.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3.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3.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3.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3.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3.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3.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3.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3.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3.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3.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3.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3.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3.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3.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3.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3.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3.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3.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3.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3.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3.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3.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3.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3.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3.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3.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3.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3.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3.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3.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3.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3.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3.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3.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3.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3.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3.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3.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3.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3.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3.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3.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3.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3.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3.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3.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3.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3.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3.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3.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3.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3.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3.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3.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3.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3.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3.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3.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3.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3.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3.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3.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3.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3.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3.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3.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3.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3.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3.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3.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3.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3.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3.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3.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3.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3.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3.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3.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3.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3.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3.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3.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3.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3.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3.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3.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3.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3.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3.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3.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3.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3.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3.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3.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3.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3.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3.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3.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3.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3.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3.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3.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3.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3.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3.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3.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3.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3.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3.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3.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3.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3.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3.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3.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3.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3.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3.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3.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3.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3.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3.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3.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3.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3.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3.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3.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3.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3.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3.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3.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3.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3.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3.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3.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3.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3.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3.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3.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3.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3.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3.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3.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3.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3.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3.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3.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3.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3.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3.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3.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3.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3.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3.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3.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3.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3.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3.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3.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3.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3.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3.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3.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3.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3.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3.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3.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3.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3.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3.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3.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3.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3.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3.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3.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3.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3.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3.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3.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3.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3.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3.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3.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3.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3.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3.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3.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3.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3.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3.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3.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3.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3.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3.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3.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3.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3.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3.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3.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3.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3.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3.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3.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3.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3.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3.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3.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3.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3.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3.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3.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3.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3.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</sheetData>
  <mergeCells count="1">
    <mergeCell ref="C25:M25"/>
  </mergeCells>
  <hyperlinks>
    <hyperlink ref="C15" location="'Bawa_StartUp Cost'!A1" display="'Bawa_StartUp Cost'!A1" xr:uid="{00000000-0004-0000-0000-000000000000}"/>
    <hyperlink ref="C16:C19" location="'Cover Page'!A1" display="Cover Page" xr:uid="{00000000-0004-0000-0000-000001000000}"/>
    <hyperlink ref="C20" location="'Cover Page'!A1" display="Cover Page" xr:uid="{00000000-0004-0000-0000-000002000000}"/>
    <hyperlink ref="C16" location="Market_Prices_of_Product!A1" display="Market_Prices_of_Product!A1" xr:uid="{00000000-0004-0000-0000-000003000000}"/>
    <hyperlink ref="C17" location="'Income Statement_Forecast'!A1" display="'Income Statement_Forecast'!A1" xr:uid="{00000000-0004-0000-0000-000004000000}"/>
    <hyperlink ref="C18" location="'Balance Sheet_Forecast'!A1" display="'Balance Sheet_Forecast'!A1" xr:uid="{00000000-0004-0000-0000-000005000000}"/>
    <hyperlink ref="C19" location="'Cashflow Statement_Forecast'!A1" display="'Cashflow Statement_Forecast'!A1" xr:uid="{00000000-0004-0000-0000-000006000000}"/>
    <hyperlink ref="C20" location="'Loan Schedule @ 7% p.a'!A1" display="'Loan Schedule @ 7% p.a'!A1" xr:uid="{00000000-0004-0000-0000-000007000000}"/>
    <hyperlink ref="C21" location="'Payback Period'!A1" display="'Payback Period'!A1" xr:uid="{00000000-0004-0000-0000-000008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4"/>
  <sheetViews>
    <sheetView showGridLines="0" topLeftCell="A39" workbookViewId="0"/>
  </sheetViews>
  <sheetFormatPr defaultColWidth="9.109375" defaultRowHeight="13.8"/>
  <cols>
    <col min="1" max="1" width="3.6640625" style="3" customWidth="1"/>
    <col min="2" max="2" width="41.6640625" style="3" bestFit="1" customWidth="1"/>
    <col min="3" max="3" width="52.5546875" style="3" customWidth="1"/>
    <col min="4" max="4" width="13.5546875" style="3" customWidth="1"/>
    <col min="5" max="5" width="19.44140625" style="3" bestFit="1" customWidth="1"/>
    <col min="6" max="9" width="9.109375" style="3"/>
    <col min="10" max="10" width="18.6640625" style="3" bestFit="1" customWidth="1"/>
    <col min="11" max="16384" width="9.109375" style="3"/>
  </cols>
  <sheetData>
    <row r="1" spans="1:10" ht="21">
      <c r="A1" s="5"/>
      <c r="B1" s="105" t="s">
        <v>29</v>
      </c>
      <c r="C1" s="6"/>
      <c r="D1" s="6"/>
      <c r="E1" s="6"/>
    </row>
    <row r="2" spans="1:10" ht="24" customHeight="1">
      <c r="A2" s="86"/>
      <c r="B2" s="112" t="s">
        <v>92</v>
      </c>
      <c r="C2" s="86"/>
      <c r="D2" s="7"/>
      <c r="E2" s="7"/>
    </row>
    <row r="3" spans="1:10" ht="13.5" customHeight="1">
      <c r="A3" s="106"/>
      <c r="B3" s="107"/>
      <c r="C3" s="106"/>
      <c r="D3" s="108"/>
      <c r="E3" s="108"/>
    </row>
    <row r="4" spans="1:10" ht="17.25" customHeight="1">
      <c r="A4" s="95"/>
      <c r="B4" s="109" t="s">
        <v>49</v>
      </c>
      <c r="C4" s="96" t="s">
        <v>0</v>
      </c>
      <c r="D4" s="97"/>
      <c r="E4" s="98" t="s">
        <v>137</v>
      </c>
    </row>
    <row r="5" spans="1:10" ht="16.8">
      <c r="B5" s="9"/>
      <c r="C5" s="10"/>
      <c r="D5" s="10"/>
      <c r="E5" s="13" t="s">
        <v>136</v>
      </c>
    </row>
    <row r="6" spans="1:10">
      <c r="A6" s="3">
        <v>1</v>
      </c>
      <c r="B6" s="25" t="s">
        <v>93</v>
      </c>
      <c r="C6" s="16"/>
      <c r="D6" s="16"/>
      <c r="E6" s="13"/>
    </row>
    <row r="7" spans="1:10">
      <c r="B7" s="56" t="s">
        <v>115</v>
      </c>
      <c r="C7" s="3" t="s">
        <v>31</v>
      </c>
      <c r="D7" s="11"/>
      <c r="E7" s="91">
        <v>510000</v>
      </c>
    </row>
    <row r="8" spans="1:10">
      <c r="B8" s="56" t="s">
        <v>116</v>
      </c>
      <c r="C8" s="3" t="s">
        <v>32</v>
      </c>
      <c r="D8" s="11"/>
      <c r="E8" s="91">
        <v>1530000</v>
      </c>
    </row>
    <row r="9" spans="1:10">
      <c r="B9" s="56" t="s">
        <v>117</v>
      </c>
      <c r="C9" s="3" t="s">
        <v>33</v>
      </c>
      <c r="D9" s="11"/>
      <c r="E9" s="91">
        <v>204000</v>
      </c>
    </row>
    <row r="10" spans="1:10">
      <c r="A10" s="3">
        <v>2</v>
      </c>
      <c r="B10" s="25" t="s">
        <v>94</v>
      </c>
      <c r="D10" s="11"/>
      <c r="E10" s="91"/>
    </row>
    <row r="11" spans="1:10">
      <c r="B11" s="56" t="s">
        <v>112</v>
      </c>
      <c r="C11" s="3" t="s">
        <v>34</v>
      </c>
      <c r="D11" s="11"/>
      <c r="E11" s="91">
        <f>E53</f>
        <v>2631600</v>
      </c>
    </row>
    <row r="12" spans="1:10">
      <c r="B12" s="56" t="s">
        <v>113</v>
      </c>
      <c r="C12" s="3" t="s">
        <v>35</v>
      </c>
      <c r="D12" s="11"/>
      <c r="E12" s="91">
        <v>510000</v>
      </c>
    </row>
    <row r="13" spans="1:10">
      <c r="B13" s="56" t="s">
        <v>114</v>
      </c>
      <c r="C13" s="3" t="s">
        <v>36</v>
      </c>
      <c r="E13" s="91">
        <v>153000</v>
      </c>
    </row>
    <row r="14" spans="1:10">
      <c r="A14" s="3">
        <v>3</v>
      </c>
      <c r="B14" s="25" t="s">
        <v>95</v>
      </c>
      <c r="C14" s="16"/>
      <c r="D14" s="16"/>
      <c r="E14" s="91"/>
    </row>
    <row r="15" spans="1:10">
      <c r="B15" s="56" t="s">
        <v>111</v>
      </c>
      <c r="C15" s="3" t="s">
        <v>37</v>
      </c>
      <c r="D15" s="11"/>
      <c r="E15" s="91">
        <v>612000</v>
      </c>
    </row>
    <row r="16" spans="1:10">
      <c r="B16" s="56" t="s">
        <v>83</v>
      </c>
      <c r="C16" s="3" t="s">
        <v>38</v>
      </c>
      <c r="D16" s="11"/>
      <c r="E16" s="91">
        <v>102000</v>
      </c>
      <c r="J16" s="60"/>
    </row>
    <row r="17" spans="1:5">
      <c r="A17" s="3">
        <v>4</v>
      </c>
      <c r="B17" s="25" t="s">
        <v>96</v>
      </c>
      <c r="D17" s="11"/>
      <c r="E17" s="91"/>
    </row>
    <row r="18" spans="1:5">
      <c r="B18" s="56" t="s">
        <v>108</v>
      </c>
      <c r="C18" s="3" t="s">
        <v>39</v>
      </c>
      <c r="D18" s="11"/>
      <c r="E18" s="91">
        <v>306000</v>
      </c>
    </row>
    <row r="19" spans="1:5">
      <c r="B19" s="56" t="s">
        <v>109</v>
      </c>
      <c r="C19" s="3" t="s">
        <v>40</v>
      </c>
      <c r="D19" s="11"/>
      <c r="E19" s="91">
        <v>51000</v>
      </c>
    </row>
    <row r="20" spans="1:5">
      <c r="B20" s="56" t="s">
        <v>110</v>
      </c>
      <c r="C20" s="3" t="s">
        <v>41</v>
      </c>
      <c r="D20" s="11"/>
      <c r="E20" s="91">
        <v>51000</v>
      </c>
    </row>
    <row r="21" spans="1:5">
      <c r="A21" s="3">
        <v>5</v>
      </c>
      <c r="B21" s="25" t="s">
        <v>99</v>
      </c>
      <c r="D21" s="11"/>
      <c r="E21" s="91"/>
    </row>
    <row r="22" spans="1:5">
      <c r="B22" s="56" t="s">
        <v>105</v>
      </c>
      <c r="C22" s="3" t="s">
        <v>42</v>
      </c>
      <c r="D22" s="11"/>
      <c r="E22" s="91">
        <v>102000</v>
      </c>
    </row>
    <row r="23" spans="1:5">
      <c r="B23" s="56" t="s">
        <v>106</v>
      </c>
      <c r="C23" s="3" t="s">
        <v>43</v>
      </c>
      <c r="D23" s="11"/>
      <c r="E23" s="91">
        <v>153000</v>
      </c>
    </row>
    <row r="24" spans="1:5">
      <c r="B24" s="56" t="s">
        <v>107</v>
      </c>
      <c r="C24" s="3" t="s">
        <v>44</v>
      </c>
      <c r="D24" s="11"/>
      <c r="E24" s="91">
        <v>76500</v>
      </c>
    </row>
    <row r="25" spans="1:5">
      <c r="A25" s="3">
        <v>6</v>
      </c>
      <c r="B25" s="25" t="s">
        <v>100</v>
      </c>
      <c r="D25" s="11"/>
      <c r="E25" s="91"/>
    </row>
    <row r="26" spans="1:5">
      <c r="B26" s="56" t="s">
        <v>103</v>
      </c>
      <c r="C26" s="3" t="s">
        <v>45</v>
      </c>
      <c r="D26" s="11"/>
      <c r="E26" s="91">
        <v>51000</v>
      </c>
    </row>
    <row r="27" spans="1:5">
      <c r="B27" s="56" t="s">
        <v>104</v>
      </c>
      <c r="C27" s="3" t="s">
        <v>46</v>
      </c>
      <c r="D27" s="11"/>
      <c r="E27" s="91">
        <v>76500</v>
      </c>
    </row>
    <row r="28" spans="1:5">
      <c r="B28" s="56" t="s">
        <v>102</v>
      </c>
      <c r="C28" s="3" t="s">
        <v>47</v>
      </c>
      <c r="D28" s="11"/>
      <c r="E28" s="91">
        <v>102000</v>
      </c>
    </row>
    <row r="29" spans="1:5">
      <c r="A29" s="3">
        <v>7</v>
      </c>
      <c r="B29" s="25" t="s">
        <v>101</v>
      </c>
      <c r="D29" s="11"/>
      <c r="E29" s="91"/>
    </row>
    <row r="30" spans="1:5">
      <c r="B30" s="56" t="s">
        <v>97</v>
      </c>
      <c r="C30" s="3" t="s">
        <v>48</v>
      </c>
      <c r="D30" s="11"/>
      <c r="E30" s="91">
        <v>204000</v>
      </c>
    </row>
    <row r="31" spans="1:5" ht="13.5" customHeight="1">
      <c r="B31" s="11"/>
      <c r="D31" s="11"/>
      <c r="E31" s="91"/>
    </row>
    <row r="32" spans="1:5" ht="13.5" customHeight="1" thickBot="1">
      <c r="B32" s="89" t="s">
        <v>98</v>
      </c>
      <c r="C32" s="87"/>
      <c r="D32" s="90"/>
      <c r="E32" s="92">
        <f>SUM(E6:E31)</f>
        <v>7425600</v>
      </c>
    </row>
    <row r="33" spans="1:5" ht="13.5" customHeight="1" thickTop="1">
      <c r="B33" s="11"/>
      <c r="D33" s="11"/>
      <c r="E33" s="13"/>
    </row>
    <row r="34" spans="1:5" ht="13.5" customHeight="1">
      <c r="B34" s="11"/>
      <c r="D34" s="11"/>
      <c r="E34" s="13"/>
    </row>
    <row r="35" spans="1:5" ht="13.5" customHeight="1">
      <c r="B35" s="11"/>
      <c r="D35" s="11"/>
      <c r="E35" s="13"/>
    </row>
    <row r="36" spans="1:5">
      <c r="B36" s="11"/>
      <c r="D36" s="11"/>
      <c r="E36" s="13"/>
    </row>
    <row r="37" spans="1:5" ht="17.399999999999999">
      <c r="A37" s="85"/>
      <c r="B37" s="85" t="s">
        <v>50</v>
      </c>
      <c r="C37" s="85"/>
      <c r="D37" s="84"/>
      <c r="E37" s="84"/>
    </row>
    <row r="38" spans="1:5" ht="17.399999999999999">
      <c r="A38" s="85"/>
      <c r="B38" s="85" t="s">
        <v>51</v>
      </c>
      <c r="C38" s="85"/>
      <c r="D38" s="84"/>
      <c r="E38" s="84"/>
    </row>
    <row r="39" spans="1:5" ht="30.75" customHeight="1">
      <c r="A39" s="95"/>
      <c r="B39" s="109" t="s">
        <v>52</v>
      </c>
      <c r="C39" s="96" t="s">
        <v>0</v>
      </c>
      <c r="D39" s="97" t="s">
        <v>139</v>
      </c>
      <c r="E39" s="98" t="s">
        <v>140</v>
      </c>
    </row>
    <row r="40" spans="1:5" ht="16.8">
      <c r="B40" s="93"/>
      <c r="C40" s="94"/>
      <c r="D40" s="110" t="s">
        <v>138</v>
      </c>
      <c r="E40" s="111" t="s">
        <v>138</v>
      </c>
    </row>
    <row r="41" spans="1:5">
      <c r="A41" s="3">
        <v>1</v>
      </c>
      <c r="B41" s="3" t="s">
        <v>118</v>
      </c>
      <c r="C41" s="3" t="s">
        <v>53</v>
      </c>
      <c r="D41" s="18">
        <v>350000</v>
      </c>
      <c r="E41" s="18">
        <v>357000</v>
      </c>
    </row>
    <row r="42" spans="1:5">
      <c r="A42" s="3">
        <f>A41+1</f>
        <v>2</v>
      </c>
      <c r="B42" s="3" t="s">
        <v>119</v>
      </c>
      <c r="C42" s="3" t="s">
        <v>54</v>
      </c>
      <c r="D42" s="18">
        <v>300000</v>
      </c>
      <c r="E42" s="18">
        <v>306000</v>
      </c>
    </row>
    <row r="43" spans="1:5">
      <c r="A43" s="3">
        <f t="shared" ref="A43:A50" si="0">A42+1</f>
        <v>3</v>
      </c>
      <c r="B43" s="3" t="s">
        <v>120</v>
      </c>
      <c r="C43" s="3" t="s">
        <v>55</v>
      </c>
      <c r="D43" s="18">
        <v>320000</v>
      </c>
      <c r="E43" s="18">
        <v>326400</v>
      </c>
    </row>
    <row r="44" spans="1:5">
      <c r="A44" s="3">
        <f t="shared" si="0"/>
        <v>4</v>
      </c>
      <c r="B44" s="3" t="s">
        <v>121</v>
      </c>
      <c r="C44" s="3" t="s">
        <v>56</v>
      </c>
      <c r="D44" s="18">
        <v>450000</v>
      </c>
      <c r="E44" s="18">
        <v>459000</v>
      </c>
    </row>
    <row r="45" spans="1:5">
      <c r="A45" s="3">
        <f t="shared" si="0"/>
        <v>5</v>
      </c>
      <c r="B45" s="3" t="s">
        <v>122</v>
      </c>
      <c r="C45" s="3" t="s">
        <v>57</v>
      </c>
      <c r="D45" s="18">
        <v>400000</v>
      </c>
      <c r="E45" s="18">
        <v>408000</v>
      </c>
    </row>
    <row r="46" spans="1:5">
      <c r="A46" s="3">
        <f t="shared" si="0"/>
        <v>6</v>
      </c>
      <c r="B46" s="3" t="s">
        <v>123</v>
      </c>
      <c r="C46" s="3" t="s">
        <v>58</v>
      </c>
      <c r="D46" s="18">
        <v>350000</v>
      </c>
      <c r="E46" s="18">
        <v>357000</v>
      </c>
    </row>
    <row r="47" spans="1:5">
      <c r="A47" s="3">
        <f t="shared" si="0"/>
        <v>7</v>
      </c>
      <c r="B47" s="3" t="s">
        <v>124</v>
      </c>
      <c r="C47" s="3" t="s">
        <v>59</v>
      </c>
      <c r="D47" s="18">
        <v>80000</v>
      </c>
      <c r="E47" s="18">
        <v>81600</v>
      </c>
    </row>
    <row r="48" spans="1:5">
      <c r="A48" s="3">
        <f t="shared" si="0"/>
        <v>8</v>
      </c>
      <c r="B48" s="3" t="s">
        <v>125</v>
      </c>
      <c r="C48" s="3" t="s">
        <v>60</v>
      </c>
      <c r="D48" s="18">
        <v>60000</v>
      </c>
      <c r="E48" s="18">
        <v>61200</v>
      </c>
    </row>
    <row r="49" spans="1:5">
      <c r="A49" s="3">
        <f t="shared" si="0"/>
        <v>9</v>
      </c>
      <c r="B49" s="3" t="s">
        <v>126</v>
      </c>
      <c r="C49" s="3" t="s">
        <v>61</v>
      </c>
      <c r="D49" s="18">
        <v>200000</v>
      </c>
      <c r="E49" s="18">
        <v>204000</v>
      </c>
    </row>
    <row r="50" spans="1:5">
      <c r="A50" s="3">
        <f t="shared" si="0"/>
        <v>10</v>
      </c>
      <c r="B50" s="3" t="s">
        <v>127</v>
      </c>
      <c r="C50" s="3" t="s">
        <v>62</v>
      </c>
      <c r="D50" s="18">
        <v>70000</v>
      </c>
      <c r="E50" s="18">
        <v>71400</v>
      </c>
    </row>
    <row r="53" spans="1:5" ht="14.4" thickBot="1">
      <c r="B53" s="36" t="s">
        <v>98</v>
      </c>
      <c r="C53" s="87"/>
      <c r="D53" s="88">
        <f>SUM(D41:D50)</f>
        <v>2580000</v>
      </c>
      <c r="E53" s="88">
        <f>SUM(E41:E50)</f>
        <v>2631600</v>
      </c>
    </row>
    <row r="54" spans="1:5" ht="14.4" thickTop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7"/>
  <sheetViews>
    <sheetView showGridLines="0" topLeftCell="A39" zoomScaleNormal="100" workbookViewId="0">
      <selection activeCell="F10" sqref="F10"/>
    </sheetView>
  </sheetViews>
  <sheetFormatPr defaultColWidth="9.109375" defaultRowHeight="13.8"/>
  <cols>
    <col min="1" max="1" width="54.33203125" style="3" bestFit="1" customWidth="1"/>
    <col min="2" max="2" width="11.6640625" style="3" customWidth="1"/>
    <col min="3" max="3" width="35.33203125" style="15" bestFit="1" customWidth="1"/>
    <col min="4" max="4" width="16.33203125" style="3" customWidth="1"/>
    <col min="5" max="5" width="9.109375" style="3"/>
    <col min="6" max="6" width="26.88671875" style="3" customWidth="1"/>
    <col min="7" max="7" width="18.88671875" style="3" customWidth="1"/>
    <col min="8" max="8" width="15.33203125" style="3" customWidth="1"/>
    <col min="9" max="16384" width="9.109375" style="3"/>
  </cols>
  <sheetData>
    <row r="1" spans="1:7" ht="15.6">
      <c r="A1" s="105" t="s">
        <v>29</v>
      </c>
      <c r="B1" s="6"/>
      <c r="C1" s="6"/>
    </row>
    <row r="2" spans="1:7" ht="15">
      <c r="A2" s="112" t="s">
        <v>141</v>
      </c>
      <c r="B2" s="6"/>
      <c r="C2" s="6"/>
    </row>
    <row r="3" spans="1:7" s="17" customFormat="1" ht="12" customHeight="1"/>
    <row r="4" spans="1:7" s="17" customFormat="1" ht="16.8">
      <c r="A4" s="8" t="s">
        <v>241</v>
      </c>
      <c r="B4" s="8"/>
      <c r="C4" s="8"/>
    </row>
    <row r="5" spans="1:7" s="17" customFormat="1"/>
    <row r="6" spans="1:7" s="17" customFormat="1">
      <c r="A6" s="3" t="s">
        <v>76</v>
      </c>
      <c r="C6" s="178">
        <v>50000</v>
      </c>
    </row>
    <row r="7" spans="1:7">
      <c r="A7" s="3" t="s">
        <v>77</v>
      </c>
      <c r="C7" s="100">
        <v>10000</v>
      </c>
      <c r="E7" s="18"/>
    </row>
    <row r="8" spans="1:7">
      <c r="A8" s="3" t="s">
        <v>78</v>
      </c>
      <c r="C8" s="100">
        <v>6000</v>
      </c>
      <c r="E8" s="18"/>
    </row>
    <row r="9" spans="1:7">
      <c r="A9" s="3" t="s">
        <v>79</v>
      </c>
      <c r="C9" s="100">
        <v>200</v>
      </c>
      <c r="E9" s="19"/>
    </row>
    <row r="10" spans="1:7">
      <c r="A10" s="3" t="s">
        <v>80</v>
      </c>
      <c r="C10" s="100">
        <v>20000</v>
      </c>
      <c r="E10" s="19"/>
    </row>
    <row r="11" spans="1:7">
      <c r="A11" s="3" t="s">
        <v>128</v>
      </c>
      <c r="C11" s="100">
        <v>5000</v>
      </c>
      <c r="E11" s="18"/>
    </row>
    <row r="12" spans="1:7">
      <c r="C12" s="3"/>
    </row>
    <row r="13" spans="1:7">
      <c r="A13" s="20" t="s">
        <v>63</v>
      </c>
      <c r="B13" s="20"/>
      <c r="C13" s="20"/>
    </row>
    <row r="14" spans="1:7">
      <c r="A14" s="21"/>
      <c r="B14" s="22"/>
      <c r="C14" s="22" t="s">
        <v>16</v>
      </c>
      <c r="G14" s="18"/>
    </row>
    <row r="15" spans="1:7">
      <c r="A15" s="101" t="s">
        <v>64</v>
      </c>
      <c r="B15" s="102"/>
      <c r="C15" s="102" t="s">
        <v>70</v>
      </c>
      <c r="G15" s="18"/>
    </row>
    <row r="16" spans="1:7">
      <c r="A16" s="101" t="s">
        <v>65</v>
      </c>
      <c r="B16" s="99"/>
      <c r="C16" s="99" t="s">
        <v>71</v>
      </c>
      <c r="G16" s="18"/>
    </row>
    <row r="17" spans="1:12">
      <c r="A17" s="99" t="s">
        <v>66</v>
      </c>
      <c r="B17" s="103"/>
      <c r="C17" s="103" t="s">
        <v>72</v>
      </c>
      <c r="D17" s="23"/>
      <c r="G17" s="15"/>
      <c r="H17" s="15"/>
    </row>
    <row r="18" spans="1:12">
      <c r="A18" s="99" t="s">
        <v>67</v>
      </c>
      <c r="B18" s="24"/>
      <c r="C18" s="24" t="s">
        <v>73</v>
      </c>
      <c r="G18" s="15"/>
      <c r="H18" s="15"/>
    </row>
    <row r="19" spans="1:12">
      <c r="A19" s="100" t="s">
        <v>68</v>
      </c>
      <c r="B19" s="102"/>
      <c r="C19" s="102" t="s">
        <v>74</v>
      </c>
      <c r="G19" s="15"/>
      <c r="H19" s="15"/>
    </row>
    <row r="20" spans="1:12">
      <c r="A20" s="3" t="s">
        <v>69</v>
      </c>
      <c r="B20" s="99"/>
      <c r="C20" s="99" t="s">
        <v>75</v>
      </c>
    </row>
    <row r="21" spans="1:12">
      <c r="A21" s="100"/>
      <c r="B21" s="99"/>
      <c r="C21" s="99"/>
    </row>
    <row r="23" spans="1:12">
      <c r="A23" s="20" t="s">
        <v>228</v>
      </c>
      <c r="B23" s="20"/>
      <c r="C23" s="20"/>
    </row>
    <row r="25" spans="1:12" ht="14.4">
      <c r="A25" t="s">
        <v>229</v>
      </c>
      <c r="B25">
        <v>2012</v>
      </c>
      <c r="C25">
        <v>2013</v>
      </c>
      <c r="D25">
        <v>2014</v>
      </c>
      <c r="E25">
        <v>2015</v>
      </c>
      <c r="F25">
        <v>2016</v>
      </c>
      <c r="G25">
        <v>2017</v>
      </c>
      <c r="H25">
        <v>2018</v>
      </c>
      <c r="I25">
        <v>2019</v>
      </c>
      <c r="J25">
        <v>2020</v>
      </c>
      <c r="K25">
        <v>2021</v>
      </c>
      <c r="L25">
        <v>2022</v>
      </c>
    </row>
    <row r="26" spans="1:12" ht="14.4">
      <c r="A26" t="s">
        <v>230</v>
      </c>
      <c r="B26">
        <v>152</v>
      </c>
      <c r="C26">
        <v>139</v>
      </c>
      <c r="D26">
        <v>141</v>
      </c>
      <c r="E26">
        <v>142</v>
      </c>
      <c r="F26">
        <v>143</v>
      </c>
      <c r="G26">
        <v>170</v>
      </c>
      <c r="H26">
        <v>177</v>
      </c>
      <c r="I26">
        <v>193</v>
      </c>
      <c r="J26">
        <v>209</v>
      </c>
      <c r="K26">
        <v>218</v>
      </c>
      <c r="L26">
        <v>255</v>
      </c>
    </row>
    <row r="27" spans="1:12" ht="14.4">
      <c r="A27" t="s">
        <v>231</v>
      </c>
      <c r="B27">
        <v>85</v>
      </c>
      <c r="C27">
        <v>85</v>
      </c>
      <c r="D27">
        <v>87</v>
      </c>
      <c r="E27">
        <v>86</v>
      </c>
      <c r="F27">
        <v>87</v>
      </c>
      <c r="G27">
        <v>102</v>
      </c>
      <c r="H27">
        <v>103</v>
      </c>
      <c r="I27">
        <v>112</v>
      </c>
      <c r="J27">
        <v>116</v>
      </c>
      <c r="K27">
        <v>126</v>
      </c>
      <c r="L27">
        <v>138</v>
      </c>
    </row>
    <row r="28" spans="1:12" ht="14.4">
      <c r="A28" t="s">
        <v>232</v>
      </c>
      <c r="B28">
        <v>1.78</v>
      </c>
      <c r="C28">
        <v>1.63</v>
      </c>
      <c r="D28">
        <v>1.62</v>
      </c>
      <c r="E28">
        <v>1.65</v>
      </c>
      <c r="F28">
        <v>1.64</v>
      </c>
      <c r="G28">
        <v>1.66</v>
      </c>
      <c r="H28">
        <v>1.71</v>
      </c>
      <c r="I28">
        <v>1.72</v>
      </c>
      <c r="J28">
        <v>1.8</v>
      </c>
      <c r="K28">
        <v>1.73</v>
      </c>
      <c r="L28">
        <v>1.84</v>
      </c>
    </row>
    <row r="47" spans="1:3">
      <c r="A47" s="20" t="s">
        <v>233</v>
      </c>
      <c r="B47" s="20"/>
      <c r="C47" s="20"/>
    </row>
    <row r="48" spans="1:3">
      <c r="A48" s="16" t="s">
        <v>238</v>
      </c>
    </row>
    <row r="49" spans="1:2">
      <c r="A49" s="3" t="s">
        <v>234</v>
      </c>
      <c r="B49" s="3" t="s">
        <v>235</v>
      </c>
    </row>
    <row r="50" spans="1:2">
      <c r="A50" s="3" t="s">
        <v>236</v>
      </c>
      <c r="B50" s="3">
        <v>60</v>
      </c>
    </row>
    <row r="51" spans="1:2">
      <c r="A51" s="3" t="s">
        <v>237</v>
      </c>
      <c r="B51" s="3">
        <v>40</v>
      </c>
    </row>
    <row r="52" spans="1:2">
      <c r="A52" s="3" t="s">
        <v>239</v>
      </c>
      <c r="B52" s="3">
        <v>55</v>
      </c>
    </row>
    <row r="54" spans="1:2">
      <c r="A54" s="16" t="s">
        <v>240</v>
      </c>
    </row>
    <row r="55" spans="1:2">
      <c r="A55" s="3" t="s">
        <v>234</v>
      </c>
      <c r="B55" s="3" t="s">
        <v>235</v>
      </c>
    </row>
    <row r="56" spans="1:2">
      <c r="A56" s="3" t="s">
        <v>236</v>
      </c>
      <c r="B56" s="3">
        <v>70</v>
      </c>
    </row>
    <row r="57" spans="1:2">
      <c r="A57" s="3" t="s">
        <v>237</v>
      </c>
      <c r="B57" s="3">
        <v>30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I68"/>
  <sheetViews>
    <sheetView showGridLines="0" topLeftCell="A44" zoomScale="70" zoomScaleNormal="70" workbookViewId="0">
      <selection activeCell="J27" sqref="J27"/>
    </sheetView>
  </sheetViews>
  <sheetFormatPr defaultColWidth="9.109375" defaultRowHeight="13.8"/>
  <cols>
    <col min="1" max="1" width="83" style="3" customWidth="1"/>
    <col min="2" max="2" width="26.33203125" style="3" bestFit="1" customWidth="1"/>
    <col min="3" max="4" width="18.6640625" style="3" customWidth="1"/>
    <col min="5" max="5" width="21.88671875" style="3" bestFit="1" customWidth="1"/>
    <col min="6" max="6" width="28.6640625" style="3" bestFit="1" customWidth="1"/>
    <col min="7" max="7" width="27.5546875" style="3" bestFit="1" customWidth="1"/>
    <col min="8" max="8" width="11.44140625" style="3" customWidth="1"/>
    <col min="9" max="9" width="16.88671875" style="3" bestFit="1" customWidth="1"/>
    <col min="10" max="16384" width="9.109375" style="3"/>
  </cols>
  <sheetData>
    <row r="1" spans="1:9" ht="15.6">
      <c r="A1" s="105" t="s">
        <v>29</v>
      </c>
      <c r="B1" s="6"/>
      <c r="C1" s="6"/>
      <c r="D1" s="26"/>
      <c r="E1" s="26"/>
      <c r="F1" s="26"/>
      <c r="G1" s="26"/>
    </row>
    <row r="2" spans="1:9" ht="16.8">
      <c r="A2" s="115" t="str">
        <f>"Income Statement - "&amp;C3&amp;"-"&amp;G3</f>
        <v>Income Statement - 2025-2029</v>
      </c>
      <c r="B2" s="113"/>
      <c r="C2" s="113"/>
      <c r="D2" s="113"/>
      <c r="E2" s="113"/>
      <c r="F2" s="113"/>
      <c r="G2" s="113"/>
    </row>
    <row r="3" spans="1:9" ht="16.8">
      <c r="A3" s="114" t="s">
        <v>129</v>
      </c>
      <c r="B3" s="113"/>
      <c r="C3" s="113">
        <v>2025</v>
      </c>
      <c r="D3" s="113">
        <f>C3+1</f>
        <v>2026</v>
      </c>
      <c r="E3" s="113">
        <f>D3+1</f>
        <v>2027</v>
      </c>
      <c r="F3" s="113">
        <f>E3+1</f>
        <v>2028</v>
      </c>
      <c r="G3" s="113">
        <f>F3+1</f>
        <v>2029</v>
      </c>
    </row>
    <row r="4" spans="1:9" ht="16.8">
      <c r="A4" s="94"/>
      <c r="B4" s="94"/>
      <c r="C4" s="94"/>
      <c r="D4" s="94"/>
      <c r="E4" s="94"/>
      <c r="F4" s="94"/>
      <c r="G4" s="94"/>
    </row>
    <row r="5" spans="1:9" ht="16.8">
      <c r="A5" s="8" t="s">
        <v>2</v>
      </c>
      <c r="B5" s="8"/>
      <c r="C5" s="8"/>
      <c r="D5" s="8"/>
      <c r="E5" s="8"/>
      <c r="F5" s="8"/>
      <c r="G5" s="8"/>
    </row>
    <row r="6" spans="1:9" ht="16.8">
      <c r="A6" s="21" t="s">
        <v>145</v>
      </c>
      <c r="B6" s="120"/>
      <c r="C6" s="120"/>
      <c r="D6" s="120"/>
      <c r="E6" s="120"/>
      <c r="F6" s="120"/>
      <c r="G6" s="120"/>
    </row>
    <row r="7" spans="1:9">
      <c r="A7" s="56" t="s">
        <v>76</v>
      </c>
      <c r="B7" s="121">
        <v>14</v>
      </c>
      <c r="C7" s="136">
        <v>0.1</v>
      </c>
      <c r="D7" s="136">
        <v>0.1</v>
      </c>
      <c r="E7" s="136">
        <v>0.1</v>
      </c>
      <c r="F7" s="136">
        <v>0.1</v>
      </c>
      <c r="G7" s="136">
        <v>0.1</v>
      </c>
    </row>
    <row r="8" spans="1:9">
      <c r="A8" s="56" t="s">
        <v>77</v>
      </c>
      <c r="B8" s="121">
        <v>30</v>
      </c>
      <c r="C8" s="136">
        <v>0.1</v>
      </c>
      <c r="D8" s="136">
        <v>0.1</v>
      </c>
      <c r="E8" s="136">
        <v>0.1</v>
      </c>
      <c r="F8" s="136">
        <v>0.1</v>
      </c>
      <c r="G8" s="136">
        <v>0.1</v>
      </c>
    </row>
    <row r="9" spans="1:9">
      <c r="A9" s="56" t="s">
        <v>78</v>
      </c>
      <c r="B9" s="121">
        <v>1000</v>
      </c>
      <c r="C9" s="136">
        <v>0.1</v>
      </c>
      <c r="D9" s="136">
        <v>0.1</v>
      </c>
      <c r="E9" s="136">
        <v>0.1</v>
      </c>
      <c r="F9" s="136">
        <v>0.1</v>
      </c>
      <c r="G9" s="136">
        <v>0.1</v>
      </c>
    </row>
    <row r="10" spans="1:9">
      <c r="A10" s="56" t="s">
        <v>79</v>
      </c>
      <c r="B10" s="121">
        <v>700</v>
      </c>
      <c r="C10" s="136">
        <v>0.1</v>
      </c>
      <c r="D10" s="136">
        <v>0.1</v>
      </c>
      <c r="E10" s="136">
        <v>0.1</v>
      </c>
      <c r="F10" s="136">
        <v>0.1</v>
      </c>
      <c r="G10" s="136">
        <v>0.1</v>
      </c>
    </row>
    <row r="11" spans="1:9">
      <c r="A11" s="56" t="s">
        <v>80</v>
      </c>
      <c r="B11" s="121">
        <v>10</v>
      </c>
      <c r="C11" s="136">
        <v>0.1</v>
      </c>
      <c r="D11" s="136">
        <v>0.1</v>
      </c>
      <c r="E11" s="136">
        <v>0.1</v>
      </c>
      <c r="F11" s="136">
        <v>0.1</v>
      </c>
      <c r="G11" s="136">
        <v>0.1</v>
      </c>
    </row>
    <row r="12" spans="1:9">
      <c r="A12" s="56" t="s">
        <v>81</v>
      </c>
      <c r="B12" s="121">
        <v>60</v>
      </c>
      <c r="C12" s="136">
        <v>0.1</v>
      </c>
      <c r="D12" s="136">
        <v>0.1</v>
      </c>
      <c r="E12" s="136">
        <v>0.1</v>
      </c>
      <c r="F12" s="136">
        <v>0.1</v>
      </c>
      <c r="G12" s="136">
        <v>0.1</v>
      </c>
    </row>
    <row r="13" spans="1:9">
      <c r="A13" s="21" t="s">
        <v>146</v>
      </c>
      <c r="B13" s="121"/>
      <c r="C13" s="121"/>
      <c r="D13" s="121"/>
      <c r="E13" s="121"/>
      <c r="F13" s="121"/>
      <c r="G13" s="121"/>
    </row>
    <row r="14" spans="1:9">
      <c r="A14" s="101" t="s">
        <v>82</v>
      </c>
      <c r="B14" s="121">
        <v>600000</v>
      </c>
      <c r="C14" s="135">
        <v>0.06</v>
      </c>
      <c r="D14" s="135">
        <v>0.06</v>
      </c>
      <c r="E14" s="135">
        <v>0.06</v>
      </c>
      <c r="F14" s="135">
        <v>0.06</v>
      </c>
      <c r="G14" s="135">
        <v>0.06</v>
      </c>
      <c r="I14" s="137"/>
    </row>
    <row r="15" spans="1:9">
      <c r="A15" s="101" t="s">
        <v>83</v>
      </c>
      <c r="B15" s="121">
        <v>102000</v>
      </c>
      <c r="C15" s="135">
        <v>0.06</v>
      </c>
      <c r="D15" s="135">
        <v>0.06</v>
      </c>
      <c r="E15" s="135">
        <v>0.06</v>
      </c>
      <c r="F15" s="135">
        <v>0.06</v>
      </c>
      <c r="G15" s="135">
        <v>0.06</v>
      </c>
    </row>
    <row r="16" spans="1:9">
      <c r="A16" s="101" t="s">
        <v>84</v>
      </c>
      <c r="B16" s="121">
        <v>400000</v>
      </c>
      <c r="C16" s="135">
        <v>0.06</v>
      </c>
      <c r="D16" s="135">
        <v>0.06</v>
      </c>
      <c r="E16" s="135">
        <v>0.06</v>
      </c>
      <c r="F16" s="135">
        <v>0.06</v>
      </c>
      <c r="G16" s="135">
        <v>0.06</v>
      </c>
    </row>
    <row r="17" spans="1:7">
      <c r="A17" s="101" t="s">
        <v>86</v>
      </c>
      <c r="B17" s="121"/>
      <c r="C17" s="135"/>
      <c r="D17" s="135"/>
      <c r="E17" s="135"/>
      <c r="F17" s="135"/>
      <c r="G17" s="135"/>
    </row>
    <row r="18" spans="1:7">
      <c r="A18" s="3" t="s">
        <v>87</v>
      </c>
      <c r="C18" s="135">
        <v>0.05</v>
      </c>
      <c r="D18" s="135">
        <v>0.05</v>
      </c>
      <c r="E18" s="135">
        <v>0.05</v>
      </c>
      <c r="F18" s="135">
        <v>0.05</v>
      </c>
      <c r="G18" s="135">
        <v>0.05</v>
      </c>
    </row>
    <row r="19" spans="1:7">
      <c r="A19" s="3" t="s">
        <v>88</v>
      </c>
      <c r="C19" s="135">
        <v>0.05</v>
      </c>
      <c r="D19" s="135">
        <v>0.05</v>
      </c>
      <c r="E19" s="135">
        <v>0.05</v>
      </c>
      <c r="F19" s="135">
        <v>0.05</v>
      </c>
      <c r="G19" s="135">
        <v>0.05</v>
      </c>
    </row>
    <row r="20" spans="1:7">
      <c r="A20" s="3" t="s">
        <v>89</v>
      </c>
      <c r="C20" s="135">
        <v>0.08</v>
      </c>
      <c r="D20" s="135">
        <v>0.08</v>
      </c>
      <c r="E20" s="135">
        <v>0.08</v>
      </c>
      <c r="F20" s="135">
        <v>0.08</v>
      </c>
      <c r="G20" s="135">
        <v>0.08</v>
      </c>
    </row>
    <row r="21" spans="1:7">
      <c r="A21" s="3" t="s">
        <v>90</v>
      </c>
      <c r="C21" s="135">
        <v>0.1</v>
      </c>
      <c r="D21" s="135">
        <v>0.1</v>
      </c>
      <c r="E21" s="135">
        <v>0.1</v>
      </c>
      <c r="F21" s="135">
        <v>0.1</v>
      </c>
      <c r="G21" s="135">
        <v>0.1</v>
      </c>
    </row>
    <row r="22" spans="1:7">
      <c r="A22" s="3" t="s">
        <v>91</v>
      </c>
      <c r="C22" s="135">
        <v>0.1</v>
      </c>
      <c r="D22" s="135">
        <v>0.1</v>
      </c>
      <c r="E22" s="135">
        <v>0.1</v>
      </c>
      <c r="F22" s="135">
        <v>0.1</v>
      </c>
      <c r="G22" s="135">
        <v>0.1</v>
      </c>
    </row>
    <row r="23" spans="1:7">
      <c r="A23" s="101"/>
      <c r="B23" s="121"/>
      <c r="C23" s="135"/>
      <c r="D23" s="135"/>
      <c r="E23" s="135"/>
      <c r="F23" s="135"/>
      <c r="G23" s="135"/>
    </row>
    <row r="24" spans="1:7" ht="16.8">
      <c r="A24" s="8" t="s">
        <v>130</v>
      </c>
      <c r="B24" s="122"/>
      <c r="C24" s="122"/>
      <c r="D24" s="122"/>
      <c r="E24" s="122"/>
      <c r="F24" s="122"/>
      <c r="G24" s="122"/>
    </row>
    <row r="25" spans="1:7">
      <c r="A25" s="16" t="s">
        <v>3</v>
      </c>
      <c r="B25" s="123"/>
      <c r="C25" s="124"/>
      <c r="D25" s="124"/>
      <c r="E25" s="124"/>
      <c r="F25" s="124"/>
      <c r="G25" s="124"/>
    </row>
    <row r="26" spans="1:7">
      <c r="A26" s="119" t="s">
        <v>142</v>
      </c>
      <c r="B26" s="121">
        <v>50000</v>
      </c>
      <c r="C26" s="124">
        <f t="shared" ref="C26:C31" si="0">B26*($B7*(1+C7))</f>
        <v>770000.00000000012</v>
      </c>
      <c r="D26" s="124">
        <f t="shared" ref="D26:G31" si="1">C26*(1+D7)</f>
        <v>847000.00000000023</v>
      </c>
      <c r="E26" s="124">
        <f t="shared" si="1"/>
        <v>931700.00000000035</v>
      </c>
      <c r="F26" s="124">
        <f t="shared" si="1"/>
        <v>1024870.0000000005</v>
      </c>
      <c r="G26" s="124">
        <f t="shared" si="1"/>
        <v>1127357.0000000007</v>
      </c>
    </row>
    <row r="27" spans="1:7">
      <c r="A27" s="119" t="s">
        <v>148</v>
      </c>
      <c r="B27" s="121">
        <v>10000</v>
      </c>
      <c r="C27" s="124">
        <f t="shared" si="0"/>
        <v>330000</v>
      </c>
      <c r="D27" s="124">
        <f t="shared" si="1"/>
        <v>363000.00000000006</v>
      </c>
      <c r="E27" s="124">
        <f t="shared" si="1"/>
        <v>399300.00000000012</v>
      </c>
      <c r="F27" s="124">
        <f t="shared" si="1"/>
        <v>439230.00000000017</v>
      </c>
      <c r="G27" s="124">
        <f t="shared" si="1"/>
        <v>483153.00000000023</v>
      </c>
    </row>
    <row r="28" spans="1:7">
      <c r="A28" s="119" t="s">
        <v>147</v>
      </c>
      <c r="B28" s="121">
        <v>6000</v>
      </c>
      <c r="C28" s="124">
        <f t="shared" si="0"/>
        <v>6600000</v>
      </c>
      <c r="D28" s="124">
        <f t="shared" si="1"/>
        <v>7260000.0000000009</v>
      </c>
      <c r="E28" s="124">
        <f t="shared" si="1"/>
        <v>7986000.0000000019</v>
      </c>
      <c r="F28" s="124">
        <f t="shared" si="1"/>
        <v>8784600.0000000019</v>
      </c>
      <c r="G28" s="124">
        <f t="shared" si="1"/>
        <v>9663060.0000000037</v>
      </c>
    </row>
    <row r="29" spans="1:7">
      <c r="A29" s="119" t="s">
        <v>149</v>
      </c>
      <c r="B29" s="121">
        <v>200</v>
      </c>
      <c r="C29" s="124">
        <f t="shared" si="0"/>
        <v>154000.00000000003</v>
      </c>
      <c r="D29" s="124">
        <f t="shared" si="1"/>
        <v>169400.00000000006</v>
      </c>
      <c r="E29" s="124">
        <f t="shared" si="1"/>
        <v>186340.00000000009</v>
      </c>
      <c r="F29" s="124">
        <f t="shared" si="1"/>
        <v>204974.00000000012</v>
      </c>
      <c r="G29" s="124">
        <f t="shared" si="1"/>
        <v>225471.40000000014</v>
      </c>
    </row>
    <row r="30" spans="1:7">
      <c r="A30" s="119" t="s">
        <v>143</v>
      </c>
      <c r="B30" s="121">
        <v>20000</v>
      </c>
      <c r="C30" s="124">
        <f t="shared" si="0"/>
        <v>220000</v>
      </c>
      <c r="D30" s="124">
        <f t="shared" si="1"/>
        <v>242000.00000000003</v>
      </c>
      <c r="E30" s="124">
        <f t="shared" si="1"/>
        <v>266200.00000000006</v>
      </c>
      <c r="F30" s="124">
        <f t="shared" si="1"/>
        <v>292820.00000000012</v>
      </c>
      <c r="G30" s="124">
        <f t="shared" si="1"/>
        <v>322102.00000000017</v>
      </c>
    </row>
    <row r="31" spans="1:7">
      <c r="A31" s="119" t="s">
        <v>144</v>
      </c>
      <c r="B31" s="121">
        <v>5000</v>
      </c>
      <c r="C31" s="124">
        <f t="shared" si="0"/>
        <v>330000</v>
      </c>
      <c r="D31" s="124">
        <f t="shared" si="1"/>
        <v>363000.00000000006</v>
      </c>
      <c r="E31" s="124">
        <f t="shared" si="1"/>
        <v>399300.00000000012</v>
      </c>
      <c r="F31" s="124">
        <f t="shared" si="1"/>
        <v>439230.00000000017</v>
      </c>
      <c r="G31" s="124">
        <f t="shared" si="1"/>
        <v>483153.00000000023</v>
      </c>
    </row>
    <row r="32" spans="1:7">
      <c r="A32" s="28" t="s">
        <v>28</v>
      </c>
      <c r="B32" s="138"/>
      <c r="C32" s="139">
        <f>SUM(C26:C31)</f>
        <v>8404000</v>
      </c>
      <c r="D32" s="139">
        <f t="shared" ref="D32:G32" si="2">SUM(D26:D31)</f>
        <v>9244400.0000000019</v>
      </c>
      <c r="E32" s="139">
        <f t="shared" si="2"/>
        <v>10168840.000000002</v>
      </c>
      <c r="F32" s="139">
        <f t="shared" si="2"/>
        <v>11185724.000000002</v>
      </c>
      <c r="G32" s="139">
        <f t="shared" si="2"/>
        <v>12304296.400000004</v>
      </c>
    </row>
    <row r="33" spans="1:7">
      <c r="A33" s="16" t="s">
        <v>146</v>
      </c>
      <c r="B33" s="140"/>
      <c r="C33" s="141"/>
      <c r="D33" s="141"/>
      <c r="E33" s="141"/>
      <c r="F33" s="141"/>
      <c r="G33" s="141"/>
    </row>
    <row r="34" spans="1:7">
      <c r="A34" s="3" t="s">
        <v>82</v>
      </c>
      <c r="B34" s="123">
        <v>600000</v>
      </c>
      <c r="C34" s="124">
        <f t="shared" ref="C34:G36" si="3">B34*(1+C14)</f>
        <v>636000</v>
      </c>
      <c r="D34" s="124">
        <f t="shared" si="3"/>
        <v>674160</v>
      </c>
      <c r="E34" s="124">
        <f t="shared" si="3"/>
        <v>714609.60000000009</v>
      </c>
      <c r="F34" s="124">
        <f t="shared" si="3"/>
        <v>757486.17600000009</v>
      </c>
      <c r="G34" s="124">
        <f t="shared" si="3"/>
        <v>802935.34656000009</v>
      </c>
    </row>
    <row r="35" spans="1:7">
      <c r="A35" s="3" t="s">
        <v>83</v>
      </c>
      <c r="B35" s="123">
        <v>102000</v>
      </c>
      <c r="C35" s="124">
        <f t="shared" si="3"/>
        <v>108120</v>
      </c>
      <c r="D35" s="124">
        <f t="shared" si="3"/>
        <v>114607.20000000001</v>
      </c>
      <c r="E35" s="124">
        <f t="shared" si="3"/>
        <v>121483.63200000001</v>
      </c>
      <c r="F35" s="124">
        <f t="shared" si="3"/>
        <v>128772.64992000003</v>
      </c>
      <c r="G35" s="124">
        <f t="shared" si="3"/>
        <v>136499.00891520004</v>
      </c>
    </row>
    <row r="36" spans="1:7">
      <c r="A36" s="3" t="s">
        <v>84</v>
      </c>
      <c r="B36" s="123">
        <v>400000</v>
      </c>
      <c r="C36" s="124">
        <f t="shared" si="3"/>
        <v>424000</v>
      </c>
      <c r="D36" s="124">
        <f t="shared" si="3"/>
        <v>449440</v>
      </c>
      <c r="E36" s="124">
        <f t="shared" si="3"/>
        <v>476406.4</v>
      </c>
      <c r="F36" s="124">
        <f t="shared" si="3"/>
        <v>504990.78400000004</v>
      </c>
      <c r="G36" s="124">
        <f t="shared" si="3"/>
        <v>535290.2310400001</v>
      </c>
    </row>
    <row r="37" spans="1:7">
      <c r="A37" s="118" t="s">
        <v>85</v>
      </c>
      <c r="B37" s="129"/>
      <c r="C37" s="130">
        <f>SUM(C34:C36)</f>
        <v>1168120</v>
      </c>
      <c r="D37" s="130">
        <f t="shared" ref="D37:G37" si="4">SUM(D34:D36)</f>
        <v>1238207.2</v>
      </c>
      <c r="E37" s="130">
        <f t="shared" si="4"/>
        <v>1312499.6320000002</v>
      </c>
      <c r="F37" s="130">
        <f t="shared" si="4"/>
        <v>1391249.6099200002</v>
      </c>
      <c r="G37" s="130">
        <f t="shared" si="4"/>
        <v>1474724.5865152003</v>
      </c>
    </row>
    <row r="38" spans="1:7">
      <c r="A38" s="16" t="s">
        <v>5</v>
      </c>
      <c r="B38" s="127"/>
      <c r="C38" s="128">
        <f>C32-C37</f>
        <v>7235880</v>
      </c>
      <c r="D38" s="128">
        <f t="shared" ref="D38:G38" si="5">D32-D37</f>
        <v>8006192.8000000017</v>
      </c>
      <c r="E38" s="128">
        <f t="shared" si="5"/>
        <v>8856340.3680000007</v>
      </c>
      <c r="F38" s="128">
        <f t="shared" si="5"/>
        <v>9794474.3900800012</v>
      </c>
      <c r="G38" s="128">
        <f t="shared" si="5"/>
        <v>10829571.813484803</v>
      </c>
    </row>
    <row r="39" spans="1:7">
      <c r="A39" s="16" t="s">
        <v>86</v>
      </c>
      <c r="B39" s="123"/>
      <c r="C39" s="124"/>
      <c r="D39" s="124"/>
      <c r="E39" s="124"/>
      <c r="F39" s="124"/>
      <c r="G39" s="124"/>
    </row>
    <row r="40" spans="1:7">
      <c r="A40" s="3" t="s">
        <v>87</v>
      </c>
      <c r="B40" s="123">
        <f>G68</f>
        <v>786000</v>
      </c>
      <c r="C40" s="124">
        <f t="shared" ref="C40:G44" si="6">B40*(1+C18)</f>
        <v>825300</v>
      </c>
      <c r="D40" s="124">
        <f t="shared" si="6"/>
        <v>866565</v>
      </c>
      <c r="E40" s="124">
        <f t="shared" si="6"/>
        <v>909893.25</v>
      </c>
      <c r="F40" s="124">
        <f t="shared" si="6"/>
        <v>955387.91250000009</v>
      </c>
      <c r="G40" s="124">
        <f t="shared" si="6"/>
        <v>1003157.3081250001</v>
      </c>
    </row>
    <row r="41" spans="1:7">
      <c r="A41" s="3" t="s">
        <v>88</v>
      </c>
      <c r="B41" s="123">
        <v>150000</v>
      </c>
      <c r="C41" s="124">
        <f t="shared" si="6"/>
        <v>157500</v>
      </c>
      <c r="D41" s="124">
        <f t="shared" si="6"/>
        <v>165375</v>
      </c>
      <c r="E41" s="124">
        <f t="shared" si="6"/>
        <v>173643.75</v>
      </c>
      <c r="F41" s="124">
        <f t="shared" si="6"/>
        <v>182325.9375</v>
      </c>
      <c r="G41" s="124">
        <f t="shared" si="6"/>
        <v>191442.234375</v>
      </c>
    </row>
    <row r="42" spans="1:7">
      <c r="A42" s="3" t="s">
        <v>89</v>
      </c>
      <c r="B42" s="123">
        <v>153000</v>
      </c>
      <c r="C42" s="124">
        <f t="shared" si="6"/>
        <v>165240</v>
      </c>
      <c r="D42" s="124">
        <f t="shared" si="6"/>
        <v>178459.2</v>
      </c>
      <c r="E42" s="124">
        <f t="shared" si="6"/>
        <v>192735.93600000002</v>
      </c>
      <c r="F42" s="124">
        <f t="shared" si="6"/>
        <v>208154.81088000003</v>
      </c>
      <c r="G42" s="124">
        <f t="shared" si="6"/>
        <v>224807.19575040005</v>
      </c>
    </row>
    <row r="43" spans="1:7">
      <c r="A43" s="3" t="s">
        <v>90</v>
      </c>
      <c r="B43" s="123">
        <v>50000</v>
      </c>
      <c r="C43" s="124">
        <f t="shared" si="6"/>
        <v>55000.000000000007</v>
      </c>
      <c r="D43" s="124">
        <f t="shared" si="6"/>
        <v>60500.000000000015</v>
      </c>
      <c r="E43" s="124">
        <f t="shared" si="6"/>
        <v>66550.000000000015</v>
      </c>
      <c r="F43" s="124">
        <f t="shared" si="6"/>
        <v>73205.000000000029</v>
      </c>
      <c r="G43" s="124">
        <f t="shared" si="6"/>
        <v>80525.500000000044</v>
      </c>
    </row>
    <row r="44" spans="1:7">
      <c r="A44" s="3" t="s">
        <v>91</v>
      </c>
      <c r="B44" s="123">
        <v>150000</v>
      </c>
      <c r="C44" s="124">
        <f t="shared" si="6"/>
        <v>165000</v>
      </c>
      <c r="D44" s="124">
        <f t="shared" si="6"/>
        <v>181500.00000000003</v>
      </c>
      <c r="E44" s="124">
        <f t="shared" si="6"/>
        <v>199650.00000000006</v>
      </c>
      <c r="F44" s="124">
        <f t="shared" si="6"/>
        <v>219615.00000000009</v>
      </c>
      <c r="G44" s="124">
        <f t="shared" si="6"/>
        <v>241576.50000000012</v>
      </c>
    </row>
    <row r="45" spans="1:7">
      <c r="A45" s="118" t="s">
        <v>131</v>
      </c>
      <c r="B45" s="129"/>
      <c r="C45" s="130">
        <f>SUM(C40:C44)</f>
        <v>1368040</v>
      </c>
      <c r="D45" s="130">
        <f t="shared" ref="D45:G45" si="7">SUM(D40:D44)</f>
        <v>1452399.2</v>
      </c>
      <c r="E45" s="130">
        <f t="shared" si="7"/>
        <v>1542472.936</v>
      </c>
      <c r="F45" s="130">
        <f t="shared" si="7"/>
        <v>1638688.6608800001</v>
      </c>
      <c r="G45" s="130">
        <f t="shared" si="7"/>
        <v>1741508.7382503999</v>
      </c>
    </row>
    <row r="46" spans="1:7">
      <c r="A46" s="16" t="s">
        <v>132</v>
      </c>
      <c r="B46" s="127"/>
      <c r="C46" s="128">
        <f>C38-C45</f>
        <v>5867840</v>
      </c>
      <c r="D46" s="128">
        <f t="shared" ref="D46:G46" si="8">D38-D45</f>
        <v>6553793.6000000015</v>
      </c>
      <c r="E46" s="128">
        <f t="shared" si="8"/>
        <v>7313867.432000001</v>
      </c>
      <c r="F46" s="128">
        <f t="shared" si="8"/>
        <v>8155785.7292000009</v>
      </c>
      <c r="G46" s="128">
        <f t="shared" si="8"/>
        <v>9088063.075234402</v>
      </c>
    </row>
    <row r="47" spans="1:7">
      <c r="B47" s="123"/>
      <c r="C47" s="124"/>
      <c r="D47" s="124"/>
      <c r="E47" s="124"/>
      <c r="F47" s="124"/>
      <c r="G47" s="124"/>
    </row>
    <row r="48" spans="1:7">
      <c r="A48" s="117" t="s">
        <v>22</v>
      </c>
      <c r="B48" s="125"/>
      <c r="C48" s="126">
        <f>SUM('Loan Schedule @ 7% p.a'!D17:O17)</f>
        <v>-451261.40130066697</v>
      </c>
      <c r="D48" s="126">
        <f>SUM('Loan Schedule @ 7% p.a'!P17:AA17)</f>
        <v>-282993.41987767007</v>
      </c>
      <c r="E48" s="126">
        <f>SUM('Loan Schedule @ 7% p.a'!AB17:AM17)</f>
        <v>-102561.33247208918</v>
      </c>
      <c r="F48" s="126">
        <f>0</f>
        <v>0</v>
      </c>
      <c r="G48" s="126">
        <f>0</f>
        <v>0</v>
      </c>
    </row>
    <row r="49" spans="1:7">
      <c r="A49" s="16" t="s">
        <v>133</v>
      </c>
      <c r="B49" s="127"/>
      <c r="C49" s="128">
        <f>C46+C48</f>
        <v>5416578.5986993331</v>
      </c>
      <c r="D49" s="128">
        <f t="shared" ref="D49:G49" si="9">D46+D48</f>
        <v>6270800.1801223317</v>
      </c>
      <c r="E49" s="128">
        <f t="shared" si="9"/>
        <v>7211306.0995279122</v>
      </c>
      <c r="F49" s="128">
        <f t="shared" si="9"/>
        <v>8155785.7292000009</v>
      </c>
      <c r="G49" s="128">
        <f t="shared" si="9"/>
        <v>9088063.075234402</v>
      </c>
    </row>
    <row r="50" spans="1:7">
      <c r="B50" s="123"/>
      <c r="C50" s="131"/>
      <c r="D50" s="131"/>
      <c r="E50" s="131"/>
      <c r="F50" s="131"/>
      <c r="G50" s="131"/>
    </row>
    <row r="51" spans="1:7">
      <c r="A51" s="117" t="s">
        <v>134</v>
      </c>
      <c r="B51" s="142">
        <v>0.25</v>
      </c>
      <c r="C51" s="132">
        <f>IF(C49&gt;0,C49*$B$51,0)</f>
        <v>1354144.6496748333</v>
      </c>
      <c r="D51" s="132">
        <f t="shared" ref="D51:G51" si="10">IF(D49&gt;0,D49*$B$51,0)</f>
        <v>1567700.0450305829</v>
      </c>
      <c r="E51" s="132">
        <f t="shared" si="10"/>
        <v>1802826.5248819781</v>
      </c>
      <c r="F51" s="132">
        <f t="shared" si="10"/>
        <v>2038946.4323000002</v>
      </c>
      <c r="G51" s="132">
        <f t="shared" si="10"/>
        <v>2272015.7688086005</v>
      </c>
    </row>
    <row r="52" spans="1:7" ht="14.4" thickBot="1">
      <c r="A52" s="36" t="s">
        <v>135</v>
      </c>
      <c r="B52" s="133"/>
      <c r="C52" s="134">
        <f>C49-C51</f>
        <v>4062433.9490244999</v>
      </c>
      <c r="D52" s="134">
        <f>D49-D51</f>
        <v>4703100.135091749</v>
      </c>
      <c r="E52" s="134">
        <f>E49-E51</f>
        <v>5408479.5746459346</v>
      </c>
      <c r="F52" s="134">
        <f>F49-F51</f>
        <v>6116839.2969000004</v>
      </c>
      <c r="G52" s="134">
        <f>G49-G51</f>
        <v>6816047.3064258015</v>
      </c>
    </row>
    <row r="53" spans="1:7" ht="14.4" thickTop="1">
      <c r="A53" s="16"/>
      <c r="B53" s="146"/>
      <c r="C53" s="147"/>
      <c r="D53" s="147"/>
      <c r="E53" s="147"/>
      <c r="F53" s="147"/>
      <c r="G53" s="147"/>
    </row>
    <row r="54" spans="1:7">
      <c r="A54" s="116"/>
      <c r="B54" s="116"/>
      <c r="C54" s="116"/>
      <c r="D54" s="116"/>
      <c r="E54" s="116"/>
      <c r="F54" s="116"/>
      <c r="G54" s="116"/>
    </row>
    <row r="55" spans="1:7" ht="16.8">
      <c r="A55" s="8" t="s">
        <v>6</v>
      </c>
      <c r="B55" s="122"/>
      <c r="C55" s="122"/>
      <c r="D55" s="122"/>
      <c r="E55" s="122"/>
      <c r="F55" s="122"/>
      <c r="G55" s="122"/>
    </row>
    <row r="56" spans="1:7">
      <c r="A56" s="16" t="s">
        <v>150</v>
      </c>
      <c r="B56" s="16"/>
      <c r="C56" s="16"/>
      <c r="D56" s="16" t="s">
        <v>165</v>
      </c>
      <c r="E56" s="16" t="s">
        <v>151</v>
      </c>
      <c r="F56" s="16" t="s">
        <v>152</v>
      </c>
      <c r="G56" s="16" t="s">
        <v>153</v>
      </c>
    </row>
    <row r="57" spans="1:7">
      <c r="A57" s="3" t="s">
        <v>154</v>
      </c>
      <c r="C57" s="18"/>
      <c r="D57" s="18">
        <v>12</v>
      </c>
      <c r="E57" s="3">
        <v>1</v>
      </c>
      <c r="F57" s="18">
        <v>10000</v>
      </c>
      <c r="G57" s="18">
        <f>D57*E57*F57</f>
        <v>120000</v>
      </c>
    </row>
    <row r="58" spans="1:7">
      <c r="A58" s="3" t="s">
        <v>155</v>
      </c>
      <c r="C58" s="18"/>
      <c r="D58" s="18">
        <v>12</v>
      </c>
      <c r="E58" s="3">
        <v>1</v>
      </c>
      <c r="F58" s="18">
        <v>4000</v>
      </c>
      <c r="G58" s="18">
        <f t="shared" ref="G58:G67" si="11">D58*E58*F58</f>
        <v>48000</v>
      </c>
    </row>
    <row r="59" spans="1:7">
      <c r="A59" s="3" t="s">
        <v>156</v>
      </c>
      <c r="C59" s="18"/>
      <c r="D59" s="18">
        <v>12</v>
      </c>
      <c r="E59" s="3">
        <v>1</v>
      </c>
      <c r="F59" s="18">
        <v>4000</v>
      </c>
      <c r="G59" s="18">
        <f t="shared" si="11"/>
        <v>48000</v>
      </c>
    </row>
    <row r="60" spans="1:7">
      <c r="A60" s="3" t="s">
        <v>157</v>
      </c>
      <c r="C60" s="18"/>
      <c r="D60" s="18">
        <v>12</v>
      </c>
      <c r="E60" s="3">
        <v>2</v>
      </c>
      <c r="F60" s="18">
        <v>3000</v>
      </c>
      <c r="G60" s="18">
        <f t="shared" si="11"/>
        <v>72000</v>
      </c>
    </row>
    <row r="61" spans="1:7">
      <c r="A61" s="3" t="s">
        <v>158</v>
      </c>
      <c r="C61" s="18"/>
      <c r="D61" s="18">
        <v>12</v>
      </c>
      <c r="E61" s="3">
        <v>4</v>
      </c>
      <c r="F61" s="18">
        <v>2500</v>
      </c>
      <c r="G61" s="18">
        <f t="shared" si="11"/>
        <v>120000</v>
      </c>
    </row>
    <row r="62" spans="1:7">
      <c r="A62" s="3" t="s">
        <v>159</v>
      </c>
      <c r="C62" s="18"/>
      <c r="D62" s="18">
        <v>12</v>
      </c>
      <c r="E62" s="3">
        <v>1</v>
      </c>
      <c r="F62" s="18">
        <v>3500</v>
      </c>
      <c r="G62" s="18">
        <f t="shared" si="11"/>
        <v>42000</v>
      </c>
    </row>
    <row r="63" spans="1:7">
      <c r="A63" s="3" t="s">
        <v>160</v>
      </c>
      <c r="C63" s="18"/>
      <c r="D63" s="18">
        <v>12</v>
      </c>
      <c r="E63" s="3">
        <v>2</v>
      </c>
      <c r="F63" s="18">
        <v>2500</v>
      </c>
      <c r="G63" s="18">
        <f t="shared" si="11"/>
        <v>60000</v>
      </c>
    </row>
    <row r="64" spans="1:7">
      <c r="A64" s="3" t="s">
        <v>161</v>
      </c>
      <c r="C64" s="18"/>
      <c r="D64" s="18">
        <v>12</v>
      </c>
      <c r="E64" s="3">
        <v>1</v>
      </c>
      <c r="F64" s="18">
        <v>3000</v>
      </c>
      <c r="G64" s="18">
        <f t="shared" si="11"/>
        <v>36000</v>
      </c>
    </row>
    <row r="65" spans="1:7">
      <c r="A65" s="3" t="s">
        <v>162</v>
      </c>
      <c r="C65" s="18"/>
      <c r="D65" s="18">
        <v>12</v>
      </c>
      <c r="E65" s="3">
        <v>2</v>
      </c>
      <c r="F65" s="18">
        <v>2000</v>
      </c>
      <c r="G65" s="18">
        <f t="shared" si="11"/>
        <v>48000</v>
      </c>
    </row>
    <row r="66" spans="1:7">
      <c r="A66" s="3" t="s">
        <v>163</v>
      </c>
      <c r="C66" s="18"/>
      <c r="D66" s="18">
        <v>12</v>
      </c>
      <c r="E66" s="3">
        <v>3</v>
      </c>
      <c r="F66" s="18">
        <v>2000</v>
      </c>
      <c r="G66" s="18">
        <f t="shared" si="11"/>
        <v>72000</v>
      </c>
    </row>
    <row r="67" spans="1:7">
      <c r="A67" s="3" t="s">
        <v>166</v>
      </c>
      <c r="D67" s="3">
        <v>12</v>
      </c>
      <c r="E67" s="3">
        <v>10</v>
      </c>
      <c r="F67" s="123">
        <v>1000</v>
      </c>
      <c r="G67" s="3">
        <f t="shared" si="11"/>
        <v>120000</v>
      </c>
    </row>
    <row r="68" spans="1:7">
      <c r="A68" s="16" t="s">
        <v>164</v>
      </c>
      <c r="B68" s="127"/>
      <c r="C68" s="127"/>
      <c r="D68" s="127"/>
      <c r="E68" s="127">
        <f>SUM(E57:E67)</f>
        <v>28</v>
      </c>
      <c r="F68" s="127">
        <f>SUM(F57:F67)</f>
        <v>37500</v>
      </c>
      <c r="G68" s="127">
        <f>SUM(G57:G67)</f>
        <v>786000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G61"/>
  <sheetViews>
    <sheetView showGridLines="0" topLeftCell="A60" zoomScale="80" zoomScaleNormal="80" workbookViewId="0">
      <selection activeCell="E56" sqref="E56"/>
    </sheetView>
  </sheetViews>
  <sheetFormatPr defaultColWidth="9.109375" defaultRowHeight="13.8"/>
  <cols>
    <col min="1" max="1" width="42.109375" style="3" bestFit="1" customWidth="1"/>
    <col min="2" max="2" width="9.44140625" style="3" bestFit="1" customWidth="1"/>
    <col min="3" max="7" width="18.6640625" style="3" customWidth="1"/>
    <col min="8" max="8" width="11.44140625" style="3" customWidth="1"/>
    <col min="9" max="16384" width="9.109375" style="3"/>
  </cols>
  <sheetData>
    <row r="1" spans="1:7" ht="21">
      <c r="A1" s="5" t="s">
        <v>29</v>
      </c>
      <c r="B1" s="6"/>
      <c r="C1" s="6"/>
      <c r="D1" s="26"/>
      <c r="E1" s="26"/>
      <c r="F1" s="26"/>
      <c r="G1" s="26"/>
    </row>
    <row r="2" spans="1:7">
      <c r="A2" s="6" t="s">
        <v>207</v>
      </c>
      <c r="B2" s="6"/>
      <c r="C2" s="6"/>
      <c r="D2" s="26"/>
      <c r="E2" s="26"/>
      <c r="F2" s="26"/>
      <c r="G2" s="26"/>
    </row>
    <row r="3" spans="1:7">
      <c r="A3" s="144" t="s">
        <v>129</v>
      </c>
      <c r="B3" s="27"/>
      <c r="C3" s="6">
        <v>2025</v>
      </c>
      <c r="D3" s="6">
        <f>C3+1</f>
        <v>2026</v>
      </c>
      <c r="E3" s="6">
        <f>D3+1</f>
        <v>2027</v>
      </c>
      <c r="F3" s="6">
        <f>E3+1</f>
        <v>2028</v>
      </c>
      <c r="G3" s="6">
        <f>F3+1</f>
        <v>2029</v>
      </c>
    </row>
    <row r="4" spans="1:7">
      <c r="A4" s="145"/>
      <c r="C4" s="33"/>
      <c r="D4" s="33"/>
      <c r="E4" s="33"/>
      <c r="F4" s="33"/>
      <c r="G4" s="33"/>
    </row>
    <row r="5" spans="1:7">
      <c r="A5" s="59" t="s">
        <v>2</v>
      </c>
      <c r="B5" s="59"/>
      <c r="C5" s="59"/>
      <c r="D5" s="59"/>
      <c r="E5" s="59"/>
      <c r="F5" s="59"/>
      <c r="G5" s="59"/>
    </row>
    <row r="6" spans="1:7">
      <c r="A6" s="3" t="s">
        <v>167</v>
      </c>
      <c r="C6" s="34">
        <f>IFERROR(C18/'Income Statement_Forecast'!C32*365,0)</f>
        <v>7.8177058543550686</v>
      </c>
      <c r="D6" s="34">
        <f t="shared" ref="D6:G9" si="0">C6</f>
        <v>7.8177058543550686</v>
      </c>
      <c r="E6" s="34">
        <f t="shared" si="0"/>
        <v>7.8177058543550686</v>
      </c>
      <c r="F6" s="34">
        <f t="shared" si="0"/>
        <v>7.8177058543550686</v>
      </c>
      <c r="G6" s="34">
        <f t="shared" si="0"/>
        <v>7.8177058543550686</v>
      </c>
    </row>
    <row r="7" spans="1:7">
      <c r="A7" s="3" t="s">
        <v>168</v>
      </c>
      <c r="C7" s="34">
        <f>IFERROR(C19/'Income Statement_Forecast'!C37*365,0)</f>
        <v>198.72958257713248</v>
      </c>
      <c r="D7" s="34">
        <f t="shared" si="0"/>
        <v>198.72958257713248</v>
      </c>
      <c r="E7" s="34">
        <f t="shared" si="0"/>
        <v>198.72958257713248</v>
      </c>
      <c r="F7" s="34">
        <f t="shared" si="0"/>
        <v>198.72958257713248</v>
      </c>
      <c r="G7" s="34">
        <f t="shared" si="0"/>
        <v>198.72958257713248</v>
      </c>
    </row>
    <row r="8" spans="1:7">
      <c r="A8" s="3" t="s">
        <v>169</v>
      </c>
      <c r="C8" s="34">
        <f>IFERROR(C28/'Income Statement_Forecast'!C37*365,0)</f>
        <v>24.372495976440778</v>
      </c>
      <c r="D8" s="34">
        <f t="shared" si="0"/>
        <v>24.372495976440778</v>
      </c>
      <c r="E8" s="34">
        <f t="shared" si="0"/>
        <v>24.372495976440778</v>
      </c>
      <c r="F8" s="34">
        <f t="shared" si="0"/>
        <v>24.372495976440778</v>
      </c>
      <c r="G8" s="34">
        <f t="shared" si="0"/>
        <v>24.372495976440778</v>
      </c>
    </row>
    <row r="9" spans="1:7">
      <c r="A9" s="3" t="s">
        <v>170</v>
      </c>
      <c r="C9" s="34">
        <f>C53</f>
        <v>3294600</v>
      </c>
      <c r="D9" s="34"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</row>
    <row r="10" spans="1:7">
      <c r="A10" s="3" t="s">
        <v>171</v>
      </c>
      <c r="C10" s="34">
        <f>C59</f>
        <v>-2327677.3165828078</v>
      </c>
      <c r="D10" s="34">
        <f t="shared" ref="D10:E10" si="1">D59</f>
        <v>-2495945.2980058049</v>
      </c>
      <c r="E10" s="34">
        <f t="shared" si="1"/>
        <v>-2676377.3854113854</v>
      </c>
      <c r="F10" s="34">
        <v>0</v>
      </c>
      <c r="G10" s="34">
        <v>0</v>
      </c>
    </row>
    <row r="11" spans="1:7">
      <c r="A11" s="3" t="s">
        <v>172</v>
      </c>
      <c r="C11" s="34">
        <v>50000</v>
      </c>
      <c r="D11" s="34">
        <f>C11</f>
        <v>50000</v>
      </c>
      <c r="E11" s="34">
        <f t="shared" ref="E11:G11" si="2">D11</f>
        <v>50000</v>
      </c>
      <c r="F11" s="34">
        <f t="shared" si="2"/>
        <v>50000</v>
      </c>
      <c r="G11" s="34">
        <f t="shared" si="2"/>
        <v>50000</v>
      </c>
    </row>
    <row r="14" spans="1:7">
      <c r="A14" s="59" t="s">
        <v>173</v>
      </c>
      <c r="B14" s="59"/>
      <c r="C14" s="59"/>
      <c r="D14" s="59"/>
      <c r="E14" s="59"/>
      <c r="F14" s="59"/>
      <c r="G14" s="59"/>
    </row>
    <row r="15" spans="1:7">
      <c r="A15" s="16" t="s">
        <v>174</v>
      </c>
    </row>
    <row r="16" spans="1:7">
      <c r="A16" s="3" t="s">
        <v>175</v>
      </c>
    </row>
    <row r="17" spans="1:7">
      <c r="A17" s="56" t="s">
        <v>176</v>
      </c>
      <c r="C17" s="34">
        <f>'Cashflow Statement_Forecast'!C22</f>
        <v>5417156.6324416921</v>
      </c>
      <c r="D17" s="34">
        <f>'Cashflow Statement_Forecast'!D22</f>
        <v>7754331.4695276357</v>
      </c>
      <c r="E17" s="34">
        <f>'Cashflow Statement_Forecast'!E22</f>
        <v>10630794.858762186</v>
      </c>
      <c r="F17" s="34">
        <f>'Cashflow Statement_Forecast'!F22</f>
        <v>16907851.027662188</v>
      </c>
      <c r="G17" s="34">
        <f>'Cashflow Statement_Forecast'!G22</f>
        <v>23901641.618407987</v>
      </c>
    </row>
    <row r="18" spans="1:7">
      <c r="A18" s="56" t="s">
        <v>177</v>
      </c>
      <c r="C18" s="34">
        <v>180000</v>
      </c>
      <c r="D18" s="34">
        <f>D6/365*'Income Statement_Forecast'!D32</f>
        <v>198000.00000000003</v>
      </c>
      <c r="E18" s="34">
        <f>E6/365*'Income Statement_Forecast'!E32</f>
        <v>217800.00000000003</v>
      </c>
      <c r="F18" s="34">
        <f>F6/365*'Income Statement_Forecast'!F32</f>
        <v>239580.00000000003</v>
      </c>
      <c r="G18" s="34">
        <f>G6/365*'Income Statement_Forecast'!G32</f>
        <v>263538.00000000006</v>
      </c>
    </row>
    <row r="19" spans="1:7">
      <c r="A19" s="56" t="s">
        <v>178</v>
      </c>
      <c r="C19" s="34">
        <v>636000</v>
      </c>
      <c r="D19" s="34">
        <f>D7/365*'Income Statement_Forecast'!D37</f>
        <v>674159.99999999988</v>
      </c>
      <c r="E19" s="34">
        <f>E7/365*'Income Statement_Forecast'!E37</f>
        <v>714609.60000000009</v>
      </c>
      <c r="F19" s="34">
        <f>F7/365*'Income Statement_Forecast'!F37</f>
        <v>757486.17600000009</v>
      </c>
      <c r="G19" s="34">
        <f>G7/365*'Income Statement_Forecast'!G37</f>
        <v>802935.34656000009</v>
      </c>
    </row>
    <row r="20" spans="1:7">
      <c r="A20" s="166" t="s">
        <v>179</v>
      </c>
      <c r="B20" s="28"/>
      <c r="C20" s="35">
        <f>SUM(C17:C19)</f>
        <v>6233156.6324416921</v>
      </c>
      <c r="D20" s="35">
        <f>SUM(D17:D19)</f>
        <v>8626491.4695276357</v>
      </c>
      <c r="E20" s="35">
        <f>SUM(E17:E19)</f>
        <v>11563204.458762186</v>
      </c>
      <c r="F20" s="35">
        <f>SUM(F17:F19)</f>
        <v>17904917.203662187</v>
      </c>
      <c r="G20" s="35">
        <f>SUM(G17:G19)</f>
        <v>24968114.964967988</v>
      </c>
    </row>
    <row r="22" spans="1:7">
      <c r="A22" s="56" t="s">
        <v>180</v>
      </c>
      <c r="C22" s="34">
        <f>C55</f>
        <v>3129600</v>
      </c>
      <c r="D22" s="34">
        <f>D55</f>
        <v>2948100</v>
      </c>
      <c r="E22" s="34">
        <f>E55</f>
        <v>2748450</v>
      </c>
      <c r="F22" s="34">
        <f>F55</f>
        <v>2528835</v>
      </c>
      <c r="G22" s="34">
        <f>G55</f>
        <v>2287258.5</v>
      </c>
    </row>
    <row r="23" spans="1:7">
      <c r="A23" s="56" t="s">
        <v>181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</row>
    <row r="24" spans="1:7" ht="14.4" thickBot="1">
      <c r="A24" s="36" t="s">
        <v>182</v>
      </c>
      <c r="B24" s="87"/>
      <c r="C24" s="177">
        <f>SUM(C20:C23)</f>
        <v>9362756.6324416921</v>
      </c>
      <c r="D24" s="177">
        <f>SUM(D20:D23)</f>
        <v>11574591.469527636</v>
      </c>
      <c r="E24" s="177">
        <f>SUM(E20:E23)</f>
        <v>14311654.458762186</v>
      </c>
      <c r="F24" s="177">
        <f>SUM(F20:F23)</f>
        <v>20433752.203662187</v>
      </c>
      <c r="G24" s="177">
        <f>SUM(G20:G23)</f>
        <v>27255373.464967988</v>
      </c>
    </row>
    <row r="25" spans="1:7" ht="14.4" thickTop="1"/>
    <row r="26" spans="1:7">
      <c r="A26" s="16" t="s">
        <v>183</v>
      </c>
    </row>
    <row r="27" spans="1:7">
      <c r="A27" s="3" t="s">
        <v>184</v>
      </c>
    </row>
    <row r="28" spans="1:7">
      <c r="A28" s="56" t="s">
        <v>185</v>
      </c>
      <c r="C28" s="34">
        <v>78000</v>
      </c>
      <c r="D28" s="34">
        <f>D8/365*'Income Statement_Forecast'!D37</f>
        <v>82680</v>
      </c>
      <c r="E28" s="34">
        <f>E8/365*'Income Statement_Forecast'!E37</f>
        <v>87640.800000000017</v>
      </c>
      <c r="F28" s="34">
        <f>F8/365*'Income Statement_Forecast'!F37</f>
        <v>92899.248000000021</v>
      </c>
      <c r="G28" s="34">
        <f>G8/365*'Income Statement_Forecast'!G37</f>
        <v>98473.202880000026</v>
      </c>
    </row>
    <row r="29" spans="1:7">
      <c r="A29" s="166" t="s">
        <v>186</v>
      </c>
      <c r="B29" s="28"/>
      <c r="C29" s="35">
        <f>SUM(C28:C28)</f>
        <v>78000</v>
      </c>
      <c r="D29" s="35">
        <f>SUM(D28:D28)</f>
        <v>82680</v>
      </c>
      <c r="E29" s="35">
        <f>SUM(E28:E28)</f>
        <v>87640.800000000017</v>
      </c>
      <c r="F29" s="35">
        <f>SUM(F28:F28)</f>
        <v>92899.248000000021</v>
      </c>
      <c r="G29" s="35">
        <f>SUM(G28:G28)</f>
        <v>98473.202880000026</v>
      </c>
    </row>
    <row r="30" spans="1:7">
      <c r="C30" s="34"/>
      <c r="D30" s="34"/>
      <c r="E30" s="34"/>
      <c r="F30" s="34"/>
      <c r="G30" s="34"/>
    </row>
    <row r="31" spans="1:7">
      <c r="A31" s="3" t="s">
        <v>187</v>
      </c>
      <c r="C31" s="34">
        <f>C60</f>
        <v>5172322.6834171917</v>
      </c>
      <c r="D31" s="34">
        <f>D60</f>
        <v>2676377.3854113868</v>
      </c>
      <c r="E31" s="34">
        <f>E60</f>
        <v>0</v>
      </c>
      <c r="F31" s="34">
        <f>F60</f>
        <v>0</v>
      </c>
      <c r="G31" s="34">
        <f>G60</f>
        <v>0</v>
      </c>
    </row>
    <row r="32" spans="1:7">
      <c r="A32" s="37" t="s">
        <v>188</v>
      </c>
      <c r="B32" s="28"/>
      <c r="C32" s="35">
        <f>SUM(C29:C31)</f>
        <v>5250322.6834171917</v>
      </c>
      <c r="D32" s="35">
        <f>SUM(D29:D31)</f>
        <v>2759057.3854113868</v>
      </c>
      <c r="E32" s="35">
        <f>SUM(E29:E31)</f>
        <v>87640.800000000017</v>
      </c>
      <c r="F32" s="35">
        <f>SUM(F29:F31)</f>
        <v>92899.248000000021</v>
      </c>
      <c r="G32" s="35">
        <f>SUM(G29:G31)</f>
        <v>98473.202880000026</v>
      </c>
    </row>
    <row r="33" spans="1:7">
      <c r="C33" s="34"/>
      <c r="D33" s="34"/>
      <c r="E33" s="34"/>
      <c r="F33" s="34"/>
      <c r="G33" s="34"/>
    </row>
    <row r="34" spans="1:7">
      <c r="A34" s="16" t="s">
        <v>189</v>
      </c>
      <c r="C34" s="34"/>
      <c r="D34" s="34"/>
      <c r="E34" s="34"/>
      <c r="F34" s="34"/>
      <c r="G34" s="34"/>
    </row>
    <row r="35" spans="1:7">
      <c r="A35" s="3" t="s">
        <v>190</v>
      </c>
      <c r="C35" s="34">
        <f>C11</f>
        <v>50000</v>
      </c>
      <c r="D35" s="34">
        <f t="shared" ref="D35:G35" si="3">D11</f>
        <v>50000</v>
      </c>
      <c r="E35" s="34">
        <f t="shared" si="3"/>
        <v>50000</v>
      </c>
      <c r="F35" s="34">
        <f t="shared" si="3"/>
        <v>50000</v>
      </c>
      <c r="G35" s="34">
        <f t="shared" si="3"/>
        <v>50000</v>
      </c>
    </row>
    <row r="36" spans="1:7">
      <c r="A36" s="3" t="s">
        <v>191</v>
      </c>
      <c r="C36" s="34">
        <f>'Income Statement_Forecast'!C52</f>
        <v>4062433.9490244999</v>
      </c>
      <c r="D36" s="34">
        <f>C36+'Income Statement_Forecast'!D52</f>
        <v>8765534.0841162484</v>
      </c>
      <c r="E36" s="34">
        <f>D36+'Income Statement_Forecast'!E52</f>
        <v>14174013.658762183</v>
      </c>
      <c r="F36" s="34">
        <f>E36+'Income Statement_Forecast'!F52</f>
        <v>20290852.955662183</v>
      </c>
      <c r="G36" s="34">
        <f>F36+'Income Statement_Forecast'!G52</f>
        <v>27106900.262087986</v>
      </c>
    </row>
    <row r="37" spans="1:7">
      <c r="A37" s="16" t="s">
        <v>189</v>
      </c>
      <c r="C37" s="34">
        <f>SUM(C35:C36)</f>
        <v>4112433.9490244999</v>
      </c>
      <c r="D37" s="34">
        <f>SUM(D35:D36)</f>
        <v>8815534.0841162484</v>
      </c>
      <c r="E37" s="34">
        <f>SUM(E35:E36)</f>
        <v>14224013.658762183</v>
      </c>
      <c r="F37" s="34">
        <f>SUM(F35:F36)</f>
        <v>20340852.955662183</v>
      </c>
      <c r="G37" s="34">
        <f>SUM(G35:G36)</f>
        <v>27156900.262087986</v>
      </c>
    </row>
    <row r="38" spans="1:7" ht="14.4" thickBot="1">
      <c r="A38" s="36" t="s">
        <v>192</v>
      </c>
      <c r="B38" s="87"/>
      <c r="C38" s="177">
        <f>C32+C37</f>
        <v>9362756.6324416921</v>
      </c>
      <c r="D38" s="177">
        <f t="shared" ref="D38:G38" si="4">D32+D37</f>
        <v>11574591.469527636</v>
      </c>
      <c r="E38" s="177">
        <f t="shared" si="4"/>
        <v>14311654.458762184</v>
      </c>
      <c r="F38" s="177">
        <f t="shared" si="4"/>
        <v>20433752.203662183</v>
      </c>
      <c r="G38" s="177">
        <f t="shared" si="4"/>
        <v>27255373.464967985</v>
      </c>
    </row>
    <row r="39" spans="1:7" ht="14.4" thickTop="1">
      <c r="C39" s="34"/>
      <c r="D39" s="34"/>
      <c r="E39" s="34"/>
      <c r="F39" s="34"/>
      <c r="G39" s="34"/>
    </row>
    <row r="40" spans="1:7">
      <c r="A40" s="3" t="s">
        <v>193</v>
      </c>
      <c r="C40" s="34">
        <f>C38-C24</f>
        <v>0</v>
      </c>
      <c r="D40" s="34">
        <f>D38-D24</f>
        <v>0</v>
      </c>
      <c r="E40" s="34">
        <f>E38-E24</f>
        <v>0</v>
      </c>
      <c r="F40" s="34">
        <f>F38-F24</f>
        <v>0</v>
      </c>
      <c r="G40" s="34">
        <f>G38-G24</f>
        <v>0</v>
      </c>
    </row>
    <row r="43" spans="1:7">
      <c r="A43" s="59" t="s">
        <v>194</v>
      </c>
      <c r="B43" s="59"/>
      <c r="C43" s="59"/>
      <c r="D43" s="59"/>
      <c r="E43" s="59"/>
      <c r="F43" s="59"/>
      <c r="G43" s="59"/>
    </row>
    <row r="44" spans="1:7">
      <c r="A44" s="16" t="s">
        <v>195</v>
      </c>
      <c r="B44" s="16"/>
    </row>
    <row r="45" spans="1:7">
      <c r="A45" s="3" t="s">
        <v>177</v>
      </c>
      <c r="C45" s="34">
        <f t="shared" ref="C45:G46" si="5">C18</f>
        <v>180000</v>
      </c>
      <c r="D45" s="34">
        <f t="shared" si="5"/>
        <v>198000.00000000003</v>
      </c>
      <c r="E45" s="34">
        <f t="shared" si="5"/>
        <v>217800.00000000003</v>
      </c>
      <c r="F45" s="34">
        <f t="shared" si="5"/>
        <v>239580.00000000003</v>
      </c>
      <c r="G45" s="34">
        <f t="shared" si="5"/>
        <v>263538.00000000006</v>
      </c>
    </row>
    <row r="46" spans="1:7">
      <c r="A46" s="3" t="s">
        <v>178</v>
      </c>
      <c r="C46" s="34">
        <f t="shared" si="5"/>
        <v>636000</v>
      </c>
      <c r="D46" s="34">
        <f t="shared" si="5"/>
        <v>674159.99999999988</v>
      </c>
      <c r="E46" s="34">
        <f t="shared" si="5"/>
        <v>714609.60000000009</v>
      </c>
      <c r="F46" s="34">
        <f t="shared" si="5"/>
        <v>757486.17600000009</v>
      </c>
      <c r="G46" s="34">
        <f t="shared" si="5"/>
        <v>802935.34656000009</v>
      </c>
    </row>
    <row r="47" spans="1:7">
      <c r="A47" s="3" t="s">
        <v>185</v>
      </c>
      <c r="C47" s="34">
        <f>C28</f>
        <v>78000</v>
      </c>
      <c r="D47" s="34">
        <f>D28</f>
        <v>82680</v>
      </c>
      <c r="E47" s="34">
        <f>E28</f>
        <v>87640.800000000017</v>
      </c>
      <c r="F47" s="34">
        <f>F28</f>
        <v>92899.248000000021</v>
      </c>
      <c r="G47" s="34">
        <f>G28</f>
        <v>98473.202880000026</v>
      </c>
    </row>
    <row r="48" spans="1:7">
      <c r="A48" s="28" t="s">
        <v>196</v>
      </c>
      <c r="B48" s="35">
        <v>-50000</v>
      </c>
      <c r="C48" s="35">
        <f>C45+C46-C47</f>
        <v>738000</v>
      </c>
      <c r="D48" s="35">
        <f>D45+D46-D47</f>
        <v>789479.99999999988</v>
      </c>
      <c r="E48" s="35">
        <f>E45+E46-E47</f>
        <v>844768.8</v>
      </c>
      <c r="F48" s="35">
        <f>F45+F46-F47</f>
        <v>904166.92800000007</v>
      </c>
      <c r="G48" s="35">
        <f>G45+G46-G47</f>
        <v>968000.14368000021</v>
      </c>
    </row>
    <row r="49" spans="1:7">
      <c r="A49" s="3" t="s">
        <v>197</v>
      </c>
      <c r="C49" s="34">
        <f>C48-B48</f>
        <v>788000</v>
      </c>
      <c r="D49" s="34">
        <f>D48-C48</f>
        <v>51479.999999999884</v>
      </c>
      <c r="E49" s="34">
        <f>E48-D48</f>
        <v>55288.800000000163</v>
      </c>
      <c r="F49" s="34">
        <f>F48-E48</f>
        <v>59398.128000000026</v>
      </c>
      <c r="G49" s="34">
        <f>G48-F48</f>
        <v>63833.215680000139</v>
      </c>
    </row>
    <row r="50" spans="1:7">
      <c r="C50" s="34"/>
      <c r="D50" s="34"/>
      <c r="E50" s="34"/>
      <c r="F50" s="34"/>
      <c r="G50" s="34"/>
    </row>
    <row r="51" spans="1:7">
      <c r="A51" s="16" t="s">
        <v>198</v>
      </c>
      <c r="B51" s="16"/>
      <c r="C51" s="34"/>
      <c r="D51" s="34"/>
      <c r="E51" s="34"/>
      <c r="F51" s="34"/>
      <c r="G51" s="34"/>
    </row>
    <row r="52" spans="1:7">
      <c r="A52" s="3" t="s">
        <v>199</v>
      </c>
      <c r="C52" s="34">
        <v>0</v>
      </c>
      <c r="D52" s="34">
        <f>C55</f>
        <v>3129600</v>
      </c>
      <c r="E52" s="34">
        <f>D55</f>
        <v>2948100</v>
      </c>
      <c r="F52" s="34">
        <f>E55</f>
        <v>2748450</v>
      </c>
      <c r="G52" s="34">
        <f>F55</f>
        <v>2528835</v>
      </c>
    </row>
    <row r="53" spans="1:7">
      <c r="A53" s="3" t="s">
        <v>200</v>
      </c>
      <c r="C53" s="34">
        <v>3294600</v>
      </c>
      <c r="D53" s="34">
        <f>D9</f>
        <v>0</v>
      </c>
      <c r="E53" s="34">
        <f>E9</f>
        <v>0</v>
      </c>
      <c r="F53" s="34">
        <f>F9</f>
        <v>0</v>
      </c>
      <c r="G53" s="34">
        <f>G9</f>
        <v>0</v>
      </c>
    </row>
    <row r="54" spans="1:7">
      <c r="A54" s="3" t="s">
        <v>201</v>
      </c>
      <c r="C54" s="34">
        <f>'Income Statement_Forecast'!C44</f>
        <v>165000</v>
      </c>
      <c r="D54" s="34">
        <f>'Income Statement_Forecast'!D44</f>
        <v>181500.00000000003</v>
      </c>
      <c r="E54" s="34">
        <f>'Income Statement_Forecast'!E44</f>
        <v>199650.00000000006</v>
      </c>
      <c r="F54" s="34">
        <f>'Income Statement_Forecast'!F44</f>
        <v>219615.00000000009</v>
      </c>
      <c r="G54" s="34">
        <f>'Income Statement_Forecast'!G44</f>
        <v>241576.50000000012</v>
      </c>
    </row>
    <row r="55" spans="1:7">
      <c r="A55" s="28" t="s">
        <v>202</v>
      </c>
      <c r="B55" s="28"/>
      <c r="C55" s="35">
        <f>C52+C53-C54</f>
        <v>3129600</v>
      </c>
      <c r="D55" s="35">
        <f>D52+D53-D54</f>
        <v>2948100</v>
      </c>
      <c r="E55" s="35">
        <f>E52+E53-E54</f>
        <v>2748450</v>
      </c>
      <c r="F55" s="35">
        <f>F52+F53-F54</f>
        <v>2528835</v>
      </c>
      <c r="G55" s="35">
        <f>G52+G53-G54</f>
        <v>2287258.5</v>
      </c>
    </row>
    <row r="56" spans="1:7">
      <c r="C56" s="34"/>
      <c r="D56" s="34"/>
      <c r="E56" s="34"/>
      <c r="F56" s="34"/>
      <c r="G56" s="34"/>
    </row>
    <row r="57" spans="1:7">
      <c r="A57" s="16" t="s">
        <v>203</v>
      </c>
      <c r="B57" s="16"/>
      <c r="C57" s="34"/>
      <c r="D57" s="34"/>
      <c r="E57" s="34"/>
      <c r="F57" s="34"/>
      <c r="G57" s="34"/>
    </row>
    <row r="58" spans="1:7">
      <c r="A58" s="3" t="s">
        <v>204</v>
      </c>
      <c r="C58" s="34">
        <v>7500000</v>
      </c>
      <c r="D58" s="34">
        <f>C60</f>
        <v>5172322.6834171917</v>
      </c>
      <c r="E58" s="34">
        <f>D60</f>
        <v>2676377.3854113868</v>
      </c>
      <c r="F58" s="34">
        <f>E60</f>
        <v>0</v>
      </c>
      <c r="G58" s="34">
        <f>F60</f>
        <v>0</v>
      </c>
    </row>
    <row r="59" spans="1:7">
      <c r="A59" s="3" t="s">
        <v>205</v>
      </c>
      <c r="C59" s="34">
        <f>SUM('Loan Schedule @ 7% p.a'!D18:O18)</f>
        <v>-2327677.3165828078</v>
      </c>
      <c r="D59" s="34">
        <f>SUM('Loan Schedule @ 7% p.a'!P18:AA18)</f>
        <v>-2495945.2980058049</v>
      </c>
      <c r="E59" s="34">
        <f>SUM('Loan Schedule @ 7% p.a'!AB18:AM18)</f>
        <v>-2676377.3854113854</v>
      </c>
      <c r="F59" s="34">
        <f>F10</f>
        <v>0</v>
      </c>
      <c r="G59" s="34">
        <f>G10</f>
        <v>0</v>
      </c>
    </row>
    <row r="60" spans="1:7">
      <c r="A60" s="28" t="s">
        <v>206</v>
      </c>
      <c r="B60" s="28"/>
      <c r="C60" s="35">
        <f>SUM(C58:C59)</f>
        <v>5172322.6834171917</v>
      </c>
      <c r="D60" s="35">
        <f>SUM(D58:D59)</f>
        <v>2676377.3854113868</v>
      </c>
      <c r="E60" s="35">
        <f>SUM(E58:E59)</f>
        <v>0</v>
      </c>
      <c r="F60" s="35">
        <f>SUM(F58:F59)</f>
        <v>0</v>
      </c>
      <c r="G60" s="35">
        <f>SUM(G58:G59)</f>
        <v>0</v>
      </c>
    </row>
    <row r="61" spans="1:7">
      <c r="A61" s="3" t="s">
        <v>22</v>
      </c>
      <c r="C61" s="34">
        <f>'Income Statement_Forecast'!C48</f>
        <v>-451261.40130066697</v>
      </c>
      <c r="D61" s="34">
        <f>'Income Statement_Forecast'!D48</f>
        <v>-282993.41987767007</v>
      </c>
      <c r="E61" s="34">
        <f>'Income Statement_Forecast'!E48</f>
        <v>-102561.33247208918</v>
      </c>
      <c r="F61" s="34">
        <f>'Income Statement_Forecast'!F48</f>
        <v>0</v>
      </c>
      <c r="G61" s="34">
        <f>'Income Statement_Forecast'!G48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G25"/>
  <sheetViews>
    <sheetView showGridLines="0" workbookViewId="0">
      <selection activeCell="E17" sqref="E17"/>
    </sheetView>
  </sheetViews>
  <sheetFormatPr defaultColWidth="9.109375" defaultRowHeight="13.8"/>
  <cols>
    <col min="1" max="1" width="9.109375" style="3"/>
    <col min="2" max="2" width="20.6640625" style="3" customWidth="1"/>
    <col min="3" max="7" width="18.6640625" style="3" customWidth="1"/>
    <col min="8" max="8" width="11.44140625" style="3" customWidth="1"/>
    <col min="9" max="16384" width="9.109375" style="3"/>
  </cols>
  <sheetData>
    <row r="1" spans="1:7" ht="21">
      <c r="A1" s="5" t="s">
        <v>29</v>
      </c>
      <c r="B1" s="6"/>
      <c r="C1" s="6"/>
      <c r="D1" s="26"/>
      <c r="E1" s="26"/>
      <c r="F1" s="26"/>
      <c r="G1" s="26"/>
    </row>
    <row r="2" spans="1:7" ht="14.25" customHeight="1">
      <c r="A2" s="6" t="s">
        <v>208</v>
      </c>
      <c r="B2" s="6"/>
      <c r="C2" s="6"/>
      <c r="D2" s="26"/>
      <c r="E2" s="26"/>
      <c r="F2" s="26"/>
      <c r="G2" s="26"/>
    </row>
    <row r="3" spans="1:7" ht="14.25" customHeight="1">
      <c r="A3" s="144" t="s">
        <v>129</v>
      </c>
      <c r="B3" s="27"/>
      <c r="C3" s="6">
        <v>2025</v>
      </c>
      <c r="D3" s="6">
        <f>C3+1</f>
        <v>2026</v>
      </c>
      <c r="E3" s="6">
        <f>D3+1</f>
        <v>2027</v>
      </c>
      <c r="F3" s="6">
        <f>E3+1</f>
        <v>2028</v>
      </c>
      <c r="G3" s="6">
        <f>F3+1</f>
        <v>2029</v>
      </c>
    </row>
    <row r="4" spans="1:7">
      <c r="A4" s="175" t="s">
        <v>212</v>
      </c>
      <c r="B4" s="176"/>
      <c r="C4" s="175"/>
      <c r="D4" s="175"/>
      <c r="E4" s="175"/>
      <c r="F4" s="175"/>
      <c r="G4" s="175"/>
    </row>
    <row r="5" spans="1:7">
      <c r="A5" s="167" t="s">
        <v>213</v>
      </c>
      <c r="B5" s="168"/>
      <c r="C5" s="169"/>
      <c r="D5" s="169"/>
      <c r="E5" s="169"/>
      <c r="F5" s="169"/>
      <c r="G5" s="169"/>
    </row>
    <row r="6" spans="1:7">
      <c r="A6" s="168" t="s">
        <v>135</v>
      </c>
      <c r="B6" s="168"/>
      <c r="C6" s="169">
        <f>'Income Statement_Forecast'!C52</f>
        <v>4062433.9490244999</v>
      </c>
      <c r="D6" s="169">
        <f>'Income Statement_Forecast'!D52</f>
        <v>4703100.135091749</v>
      </c>
      <c r="E6" s="169">
        <f>'Income Statement_Forecast'!E52</f>
        <v>5408479.5746459346</v>
      </c>
      <c r="F6" s="169">
        <f>'Income Statement_Forecast'!F52</f>
        <v>6116839.2969000004</v>
      </c>
      <c r="G6" s="169">
        <f>'Income Statement_Forecast'!G52</f>
        <v>6816047.3064258015</v>
      </c>
    </row>
    <row r="7" spans="1:7">
      <c r="A7" s="168" t="s">
        <v>214</v>
      </c>
      <c r="B7" s="168"/>
      <c r="C7" s="169">
        <f>'Income Statement_Forecast'!C44</f>
        <v>165000</v>
      </c>
      <c r="D7" s="169">
        <f>'Income Statement_Forecast'!D44</f>
        <v>181500.00000000003</v>
      </c>
      <c r="E7" s="169">
        <f>'Income Statement_Forecast'!E44</f>
        <v>199650.00000000006</v>
      </c>
      <c r="F7" s="169">
        <f>'Income Statement_Forecast'!F44</f>
        <v>219615.00000000009</v>
      </c>
      <c r="G7" s="169">
        <f>'Income Statement_Forecast'!G44</f>
        <v>241576.50000000012</v>
      </c>
    </row>
    <row r="8" spans="1:7">
      <c r="A8" s="170" t="s">
        <v>215</v>
      </c>
      <c r="B8" s="170"/>
      <c r="C8" s="171">
        <f>'Balance Sheet_Forecast'!C49</f>
        <v>788000</v>
      </c>
      <c r="D8" s="171">
        <f>'Balance Sheet_Forecast'!D49</f>
        <v>51479.999999999884</v>
      </c>
      <c r="E8" s="171">
        <f>'Balance Sheet_Forecast'!E49</f>
        <v>55288.800000000163</v>
      </c>
      <c r="F8" s="171">
        <f>'Balance Sheet_Forecast'!F49</f>
        <v>59398.128000000026</v>
      </c>
      <c r="G8" s="171">
        <f>'Balance Sheet_Forecast'!G49</f>
        <v>63833.215680000139</v>
      </c>
    </row>
    <row r="9" spans="1:7">
      <c r="A9" s="167" t="s">
        <v>216</v>
      </c>
      <c r="B9" s="167"/>
      <c r="C9" s="172">
        <f>C6+C7-C8</f>
        <v>3439433.9490245003</v>
      </c>
      <c r="D9" s="172">
        <f>D6+D7-D8</f>
        <v>4833120.135091749</v>
      </c>
      <c r="E9" s="172">
        <f>E6+E7-E8</f>
        <v>5552840.7746459348</v>
      </c>
      <c r="F9" s="172">
        <f>F6+F7-F8</f>
        <v>6277056.1688999999</v>
      </c>
      <c r="G9" s="172">
        <f>G6+G7-G8</f>
        <v>6993790.5907458011</v>
      </c>
    </row>
    <row r="10" spans="1:7">
      <c r="A10" s="168"/>
      <c r="B10" s="168"/>
      <c r="C10" s="169"/>
      <c r="D10" s="169"/>
      <c r="E10" s="169"/>
      <c r="F10" s="169"/>
      <c r="G10" s="169"/>
    </row>
    <row r="11" spans="1:7">
      <c r="A11" s="167" t="s">
        <v>217</v>
      </c>
      <c r="B11" s="168"/>
      <c r="C11" s="169"/>
      <c r="D11" s="169"/>
      <c r="E11" s="169"/>
      <c r="F11" s="169"/>
      <c r="G11" s="169"/>
    </row>
    <row r="12" spans="1:7">
      <c r="A12" s="170" t="s">
        <v>218</v>
      </c>
      <c r="B12" s="170"/>
      <c r="C12" s="171">
        <f>'Balance Sheet_Forecast'!C9</f>
        <v>3294600</v>
      </c>
      <c r="D12" s="171">
        <f>'Balance Sheet_Forecast'!D9</f>
        <v>0</v>
      </c>
      <c r="E12" s="171">
        <f>'Balance Sheet_Forecast'!E9</f>
        <v>0</v>
      </c>
      <c r="F12" s="171">
        <f>'Balance Sheet_Forecast'!F9</f>
        <v>0</v>
      </c>
      <c r="G12" s="171">
        <f>'Balance Sheet_Forecast'!G9</f>
        <v>0</v>
      </c>
    </row>
    <row r="13" spans="1:7">
      <c r="A13" s="167" t="s">
        <v>219</v>
      </c>
      <c r="B13" s="167"/>
      <c r="C13" s="172">
        <f>C12</f>
        <v>3294600</v>
      </c>
      <c r="D13" s="172">
        <f>D12</f>
        <v>0</v>
      </c>
      <c r="E13" s="172">
        <f>E12</f>
        <v>0</v>
      </c>
      <c r="F13" s="172">
        <f>F12</f>
        <v>0</v>
      </c>
      <c r="G13" s="172">
        <f>G12</f>
        <v>0</v>
      </c>
    </row>
    <row r="14" spans="1:7">
      <c r="A14" s="168"/>
      <c r="B14" s="168"/>
      <c r="C14" s="169"/>
      <c r="D14" s="169"/>
      <c r="E14" s="169"/>
      <c r="F14" s="169"/>
      <c r="G14" s="169"/>
    </row>
    <row r="15" spans="1:7">
      <c r="A15" s="167" t="s">
        <v>220</v>
      </c>
      <c r="B15" s="168"/>
      <c r="C15" s="169"/>
      <c r="D15" s="169"/>
      <c r="E15" s="169"/>
      <c r="F15" s="169"/>
      <c r="G15" s="169"/>
    </row>
    <row r="16" spans="1:7">
      <c r="A16" s="168" t="s">
        <v>221</v>
      </c>
      <c r="B16" s="168"/>
      <c r="C16" s="169">
        <f>'Balance Sheet_Forecast'!C$10+'Loan Schedule @ 7% p.a'!$D$15</f>
        <v>5172322.6834171917</v>
      </c>
      <c r="D16" s="169">
        <f>'Balance Sheet_Forecast'!D10</f>
        <v>-2495945.2980058049</v>
      </c>
      <c r="E16" s="169">
        <f>'Balance Sheet_Forecast'!E10</f>
        <v>-2676377.3854113854</v>
      </c>
      <c r="F16" s="169">
        <f>'Balance Sheet_Forecast'!F10</f>
        <v>0</v>
      </c>
      <c r="G16" s="169">
        <f>'Balance Sheet_Forecast'!G10</f>
        <v>0</v>
      </c>
    </row>
    <row r="17" spans="1:7">
      <c r="A17" s="170" t="s">
        <v>222</v>
      </c>
      <c r="B17" s="170"/>
      <c r="C17" s="173">
        <f>'Balance Sheet_Forecast'!C11</f>
        <v>50000</v>
      </c>
      <c r="D17" s="173">
        <f>'[1]Balance Sheet 2024-2028'!D10</f>
        <v>0</v>
      </c>
      <c r="E17" s="173">
        <f>'[1]Balance Sheet 2024-2028'!E10</f>
        <v>0</v>
      </c>
      <c r="F17" s="173">
        <f>'[1]Balance Sheet 2024-2028'!F10</f>
        <v>0</v>
      </c>
      <c r="G17" s="173">
        <f>'[1]Balance Sheet 2024-2028'!G10</f>
        <v>0</v>
      </c>
    </row>
    <row r="18" spans="1:7">
      <c r="A18" s="167" t="s">
        <v>223</v>
      </c>
      <c r="B18" s="167"/>
      <c r="C18" s="172">
        <f>SUM(C16:C17)</f>
        <v>5222322.6834171917</v>
      </c>
      <c r="D18" s="172">
        <f>SUM(D16:D17)</f>
        <v>-2495945.2980058049</v>
      </c>
      <c r="E18" s="172">
        <f>SUM(E16:E17)</f>
        <v>-2676377.3854113854</v>
      </c>
      <c r="F18" s="172">
        <f>SUM(F16:F17)</f>
        <v>0</v>
      </c>
      <c r="G18" s="172">
        <f>SUM(G16:G17)</f>
        <v>0</v>
      </c>
    </row>
    <row r="19" spans="1:7">
      <c r="A19" s="168"/>
      <c r="B19" s="168"/>
      <c r="C19" s="169"/>
      <c r="D19" s="169"/>
      <c r="E19" s="169"/>
      <c r="F19" s="169"/>
      <c r="G19" s="169"/>
    </row>
    <row r="20" spans="1:7">
      <c r="A20" s="168" t="s">
        <v>224</v>
      </c>
      <c r="B20" s="168"/>
      <c r="C20" s="169">
        <f>C9-C13+C18</f>
        <v>5367156.6324416921</v>
      </c>
      <c r="D20" s="169">
        <f>D9-D13+D18</f>
        <v>2337174.8370859441</v>
      </c>
      <c r="E20" s="169">
        <f>E9-E13+E18</f>
        <v>2876463.3892345494</v>
      </c>
      <c r="F20" s="169">
        <f>F9-F13+F18</f>
        <v>6277056.1688999999</v>
      </c>
      <c r="G20" s="169">
        <f>G9-G13+G18</f>
        <v>6993790.5907458011</v>
      </c>
    </row>
    <row r="21" spans="1:7">
      <c r="A21" s="170" t="s">
        <v>225</v>
      </c>
      <c r="B21" s="170"/>
      <c r="C21" s="171">
        <f>'Balance Sheet_Forecast'!C11</f>
        <v>50000</v>
      </c>
      <c r="D21" s="171">
        <f>C22</f>
        <v>5417156.6324416921</v>
      </c>
      <c r="E21" s="171">
        <f>D22</f>
        <v>7754331.4695276357</v>
      </c>
      <c r="F21" s="171">
        <f>E22</f>
        <v>10630794.858762186</v>
      </c>
      <c r="G21" s="171">
        <f>F22</f>
        <v>16907851.027662188</v>
      </c>
    </row>
    <row r="22" spans="1:7">
      <c r="A22" s="167" t="s">
        <v>226</v>
      </c>
      <c r="B22" s="167"/>
      <c r="C22" s="172">
        <f>SUM(C20:C21)</f>
        <v>5417156.6324416921</v>
      </c>
      <c r="D22" s="172">
        <f>SUM(D20:D21)</f>
        <v>7754331.4695276357</v>
      </c>
      <c r="E22" s="172">
        <f>SUM(E20:E21)</f>
        <v>10630794.858762186</v>
      </c>
      <c r="F22" s="172">
        <f>SUM(F20:F21)</f>
        <v>16907851.027662188</v>
      </c>
      <c r="G22" s="172">
        <f>SUM(G20:G21)</f>
        <v>23901641.618407987</v>
      </c>
    </row>
    <row r="23" spans="1:7">
      <c r="A23" s="168"/>
      <c r="B23" s="168"/>
      <c r="C23" s="169"/>
      <c r="D23" s="169"/>
      <c r="E23" s="169"/>
      <c r="F23" s="169"/>
      <c r="G23" s="169"/>
    </row>
    <row r="24" spans="1:7">
      <c r="A24" s="168" t="s">
        <v>193</v>
      </c>
      <c r="B24" s="168"/>
      <c r="C24" s="174">
        <f>C22-'Balance Sheet_Forecast'!C17</f>
        <v>0</v>
      </c>
      <c r="D24" s="174">
        <f>D22-'Balance Sheet_Forecast'!D17</f>
        <v>0</v>
      </c>
      <c r="E24" s="174">
        <f>E22-'Balance Sheet_Forecast'!E17</f>
        <v>0</v>
      </c>
      <c r="F24" s="174">
        <f>F22-'Balance Sheet_Forecast'!F17</f>
        <v>0</v>
      </c>
      <c r="G24" s="174">
        <f>G22-'Balance Sheet_Forecast'!G17</f>
        <v>0</v>
      </c>
    </row>
    <row r="25" spans="1:7">
      <c r="A25" s="168"/>
      <c r="B25" s="168"/>
      <c r="C25" s="168"/>
      <c r="D25" s="168"/>
      <c r="E25" s="168"/>
      <c r="F25" s="168"/>
      <c r="G25" s="16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00"/>
  </sheetPr>
  <dimension ref="A1:AM152"/>
  <sheetViews>
    <sheetView showGridLines="0" topLeftCell="A6" workbookViewId="0">
      <selection activeCell="B8" sqref="B8"/>
    </sheetView>
  </sheetViews>
  <sheetFormatPr defaultColWidth="18.6640625" defaultRowHeight="13.8"/>
  <cols>
    <col min="1" max="1" width="18.6640625" style="16"/>
    <col min="2" max="2" width="11.5546875" style="3" customWidth="1"/>
    <col min="3" max="3" width="10.5546875" style="3" customWidth="1"/>
    <col min="4" max="4" width="11.6640625" style="3" customWidth="1"/>
    <col min="5" max="20" width="18.88671875" style="3" bestFit="1" customWidth="1"/>
    <col min="21" max="22" width="20.6640625" style="3" bestFit="1" customWidth="1"/>
    <col min="23" max="16384" width="18.6640625" style="3"/>
  </cols>
  <sheetData>
    <row r="1" spans="1:39" s="17" customFormat="1" ht="21">
      <c r="A1" s="1" t="s">
        <v>29</v>
      </c>
      <c r="B1" s="156"/>
      <c r="C1" s="156"/>
      <c r="D1" s="156"/>
      <c r="E1" s="156"/>
      <c r="F1" s="156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s="17" customFormat="1" ht="15">
      <c r="A2" s="157" t="s">
        <v>209</v>
      </c>
      <c r="B2" s="156"/>
      <c r="C2" s="158"/>
      <c r="D2" s="158"/>
      <c r="E2" s="158"/>
      <c r="F2" s="158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s="17" customFormat="1" ht="15">
      <c r="A3" s="159" t="s">
        <v>129</v>
      </c>
      <c r="B3" s="160"/>
      <c r="C3" s="161"/>
      <c r="D3" s="161"/>
      <c r="E3" s="161"/>
      <c r="F3" s="161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s="17" customFormat="1" ht="14.4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s="17" customFormat="1" ht="15">
      <c r="A5" s="162" t="s">
        <v>7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</row>
    <row r="6" spans="1:39" s="17" customFormat="1" ht="14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s="17" customFormat="1" ht="15">
      <c r="A7" s="148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17" customFormat="1" ht="15">
      <c r="A8" s="143" t="s">
        <v>1</v>
      </c>
      <c r="B8" s="149">
        <v>7500000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s="17" customFormat="1" ht="15">
      <c r="A9" s="143" t="s">
        <v>9</v>
      </c>
      <c r="B9" s="150">
        <v>36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17" customFormat="1" ht="15">
      <c r="A10" s="143" t="s">
        <v>10</v>
      </c>
      <c r="B10" s="151">
        <f>7%/12</f>
        <v>5.8333333333333336E-3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s="17" customFormat="1" ht="15">
      <c r="A11" s="143"/>
      <c r="B11" s="15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s="17" customFormat="1" ht="15">
      <c r="A12" s="148" t="s">
        <v>210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s="17" customFormat="1" ht="15">
      <c r="A13" s="143" t="s">
        <v>211</v>
      </c>
      <c r="B13" s="3"/>
      <c r="C13" s="3"/>
      <c r="D13" s="153">
        <v>1</v>
      </c>
      <c r="E13" s="153">
        <f>D13+1</f>
        <v>2</v>
      </c>
      <c r="F13" s="153">
        <f t="shared" ref="F13:AM13" si="0">E13+1</f>
        <v>3</v>
      </c>
      <c r="G13" s="153">
        <f t="shared" si="0"/>
        <v>4</v>
      </c>
      <c r="H13" s="153">
        <f t="shared" si="0"/>
        <v>5</v>
      </c>
      <c r="I13" s="153">
        <f t="shared" si="0"/>
        <v>6</v>
      </c>
      <c r="J13" s="153">
        <f t="shared" si="0"/>
        <v>7</v>
      </c>
      <c r="K13" s="153">
        <f t="shared" si="0"/>
        <v>8</v>
      </c>
      <c r="L13" s="153">
        <f t="shared" si="0"/>
        <v>9</v>
      </c>
      <c r="M13" s="153">
        <f t="shared" si="0"/>
        <v>10</v>
      </c>
      <c r="N13" s="153">
        <f t="shared" si="0"/>
        <v>11</v>
      </c>
      <c r="O13" s="153">
        <f t="shared" si="0"/>
        <v>12</v>
      </c>
      <c r="P13" s="153">
        <f t="shared" si="0"/>
        <v>13</v>
      </c>
      <c r="Q13" s="153">
        <f t="shared" si="0"/>
        <v>14</v>
      </c>
      <c r="R13" s="153">
        <f t="shared" si="0"/>
        <v>15</v>
      </c>
      <c r="S13" s="153">
        <f t="shared" si="0"/>
        <v>16</v>
      </c>
      <c r="T13" s="153">
        <f t="shared" si="0"/>
        <v>17</v>
      </c>
      <c r="U13" s="153">
        <f t="shared" si="0"/>
        <v>18</v>
      </c>
      <c r="V13" s="153">
        <f t="shared" si="0"/>
        <v>19</v>
      </c>
      <c r="W13" s="153">
        <f t="shared" si="0"/>
        <v>20</v>
      </c>
      <c r="X13" s="153">
        <f t="shared" si="0"/>
        <v>21</v>
      </c>
      <c r="Y13" s="153">
        <f t="shared" si="0"/>
        <v>22</v>
      </c>
      <c r="Z13" s="153">
        <f t="shared" si="0"/>
        <v>23</v>
      </c>
      <c r="AA13" s="153">
        <f t="shared" si="0"/>
        <v>24</v>
      </c>
      <c r="AB13" s="153">
        <f t="shared" si="0"/>
        <v>25</v>
      </c>
      <c r="AC13" s="153">
        <f t="shared" si="0"/>
        <v>26</v>
      </c>
      <c r="AD13" s="153">
        <f t="shared" si="0"/>
        <v>27</v>
      </c>
      <c r="AE13" s="153">
        <f t="shared" si="0"/>
        <v>28</v>
      </c>
      <c r="AF13" s="153">
        <f t="shared" si="0"/>
        <v>29</v>
      </c>
      <c r="AG13" s="153">
        <f t="shared" si="0"/>
        <v>30</v>
      </c>
      <c r="AH13" s="153">
        <f t="shared" si="0"/>
        <v>31</v>
      </c>
      <c r="AI13" s="153">
        <f t="shared" si="0"/>
        <v>32</v>
      </c>
      <c r="AJ13" s="153">
        <f t="shared" si="0"/>
        <v>33</v>
      </c>
      <c r="AK13" s="153">
        <f t="shared" si="0"/>
        <v>34</v>
      </c>
      <c r="AL13" s="153">
        <f t="shared" si="0"/>
        <v>35</v>
      </c>
      <c r="AM13" s="153">
        <f t="shared" si="0"/>
        <v>36</v>
      </c>
    </row>
    <row r="14" spans="1:39" s="17" customFormat="1" ht="15">
      <c r="A14" s="143"/>
      <c r="B14" s="3"/>
      <c r="C14" s="3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54"/>
      <c r="AI14" s="154"/>
      <c r="AJ14" s="154"/>
      <c r="AK14" s="154"/>
      <c r="AL14" s="154"/>
      <c r="AM14" s="154"/>
    </row>
    <row r="15" spans="1:39" s="17" customFormat="1" ht="15">
      <c r="A15" s="143" t="s">
        <v>11</v>
      </c>
      <c r="B15" s="3"/>
      <c r="C15" s="3"/>
      <c r="D15" s="104">
        <f>$B$8</f>
        <v>7500000</v>
      </c>
      <c r="E15" s="104">
        <f>D19</f>
        <v>7312171.7735097101</v>
      </c>
      <c r="F15" s="104">
        <f t="shared" ref="F15:AM15" si="1">E19</f>
        <v>7123247.8823648943</v>
      </c>
      <c r="G15" s="104">
        <f t="shared" si="1"/>
        <v>6933221.9351883996</v>
      </c>
      <c r="H15" s="104">
        <f t="shared" si="1"/>
        <v>6742087.503320042</v>
      </c>
      <c r="I15" s="104">
        <f t="shared" si="1"/>
        <v>6549838.120599119</v>
      </c>
      <c r="J15" s="104">
        <f t="shared" si="1"/>
        <v>6356467.2831456577</v>
      </c>
      <c r="K15" s="104">
        <f t="shared" si="1"/>
        <v>6161968.4491403848</v>
      </c>
      <c r="L15" s="104">
        <f t="shared" si="1"/>
        <v>5966335.0386034139</v>
      </c>
      <c r="M15" s="104">
        <f t="shared" si="1"/>
        <v>5769560.4331716439</v>
      </c>
      <c r="N15" s="104">
        <f t="shared" si="1"/>
        <v>5571637.9758748552</v>
      </c>
      <c r="O15" s="104">
        <f t="shared" si="1"/>
        <v>5372560.9709105026</v>
      </c>
      <c r="P15" s="104">
        <f t="shared" si="1"/>
        <v>5172322.6834171908</v>
      </c>
      <c r="Q15" s="104">
        <f t="shared" si="1"/>
        <v>4970916.3392468346</v>
      </c>
      <c r="R15" s="104">
        <f t="shared" si="1"/>
        <v>4768335.1247354848</v>
      </c>
      <c r="S15" s="104">
        <f t="shared" si="1"/>
        <v>4564572.1864728192</v>
      </c>
      <c r="T15" s="104">
        <f t="shared" si="1"/>
        <v>4359620.6310702879</v>
      </c>
      <c r="U15" s="104">
        <f t="shared" si="1"/>
        <v>4153473.5249279086</v>
      </c>
      <c r="V15" s="104">
        <f t="shared" si="1"/>
        <v>3946123.8939996986</v>
      </c>
      <c r="W15" s="104">
        <f t="shared" si="1"/>
        <v>3737564.7235577404</v>
      </c>
      <c r="X15" s="104">
        <f t="shared" si="1"/>
        <v>3527788.957954871</v>
      </c>
      <c r="Y15" s="104">
        <f t="shared" si="1"/>
        <v>3316789.5003859848</v>
      </c>
      <c r="Z15" s="104">
        <f t="shared" si="1"/>
        <v>3104559.2126479466</v>
      </c>
      <c r="AA15" s="104">
        <f t="shared" si="1"/>
        <v>2891090.9148981031</v>
      </c>
      <c r="AB15" s="104">
        <f t="shared" si="1"/>
        <v>2676377.3854113859</v>
      </c>
      <c r="AC15" s="104">
        <f t="shared" si="1"/>
        <v>2460411.3603359959</v>
      </c>
      <c r="AD15" s="104">
        <f t="shared" si="1"/>
        <v>2243185.5334476661</v>
      </c>
      <c r="AE15" s="104">
        <f t="shared" si="1"/>
        <v>2024692.5559024878</v>
      </c>
      <c r="AF15" s="104">
        <f t="shared" si="1"/>
        <v>1804925.0359882961</v>
      </c>
      <c r="AG15" s="104">
        <f t="shared" si="1"/>
        <v>1583875.538874605</v>
      </c>
      <c r="AH15" s="104">
        <f t="shared" si="1"/>
        <v>1361536.5863610839</v>
      </c>
      <c r="AI15" s="104">
        <f t="shared" si="1"/>
        <v>1137900.6566245672</v>
      </c>
      <c r="AJ15" s="104">
        <f t="shared" si="1"/>
        <v>912960.18396458763</v>
      </c>
      <c r="AK15" s="104">
        <f t="shared" si="1"/>
        <v>686707.55854742485</v>
      </c>
      <c r="AL15" s="104">
        <f t="shared" si="1"/>
        <v>459135.12614866195</v>
      </c>
      <c r="AM15" s="104">
        <f t="shared" si="1"/>
        <v>230235.18789423959</v>
      </c>
    </row>
    <row r="16" spans="1:39" s="17" customFormat="1" ht="15">
      <c r="A16" s="143" t="s">
        <v>12</v>
      </c>
      <c r="B16" s="3"/>
      <c r="C16" s="3"/>
      <c r="D16" s="104">
        <f>PMT($B$10,$B$9,$B$8)</f>
        <v>-231578.22649028955</v>
      </c>
      <c r="E16" s="104">
        <f t="shared" ref="E16:AM16" si="2">PMT($B$10,$B$9,$B$8)</f>
        <v>-231578.22649028955</v>
      </c>
      <c r="F16" s="104">
        <f t="shared" si="2"/>
        <v>-231578.22649028955</v>
      </c>
      <c r="G16" s="104">
        <f t="shared" si="2"/>
        <v>-231578.22649028955</v>
      </c>
      <c r="H16" s="104">
        <f t="shared" si="2"/>
        <v>-231578.22649028955</v>
      </c>
      <c r="I16" s="104">
        <f t="shared" si="2"/>
        <v>-231578.22649028955</v>
      </c>
      <c r="J16" s="104">
        <f t="shared" si="2"/>
        <v>-231578.22649028955</v>
      </c>
      <c r="K16" s="104">
        <f t="shared" si="2"/>
        <v>-231578.22649028955</v>
      </c>
      <c r="L16" s="104">
        <f t="shared" si="2"/>
        <v>-231578.22649028955</v>
      </c>
      <c r="M16" s="104">
        <f t="shared" si="2"/>
        <v>-231578.22649028955</v>
      </c>
      <c r="N16" s="104">
        <f t="shared" si="2"/>
        <v>-231578.22649028955</v>
      </c>
      <c r="O16" s="104">
        <f t="shared" si="2"/>
        <v>-231578.22649028955</v>
      </c>
      <c r="P16" s="104">
        <f t="shared" si="2"/>
        <v>-231578.22649028955</v>
      </c>
      <c r="Q16" s="104">
        <f t="shared" si="2"/>
        <v>-231578.22649028955</v>
      </c>
      <c r="R16" s="104">
        <f t="shared" si="2"/>
        <v>-231578.22649028955</v>
      </c>
      <c r="S16" s="104">
        <f t="shared" si="2"/>
        <v>-231578.22649028955</v>
      </c>
      <c r="T16" s="104">
        <f t="shared" si="2"/>
        <v>-231578.22649028955</v>
      </c>
      <c r="U16" s="104">
        <f t="shared" si="2"/>
        <v>-231578.22649028955</v>
      </c>
      <c r="V16" s="104">
        <f t="shared" si="2"/>
        <v>-231578.22649028955</v>
      </c>
      <c r="W16" s="104">
        <f t="shared" si="2"/>
        <v>-231578.22649028955</v>
      </c>
      <c r="X16" s="104">
        <f t="shared" si="2"/>
        <v>-231578.22649028955</v>
      </c>
      <c r="Y16" s="104">
        <f t="shared" si="2"/>
        <v>-231578.22649028955</v>
      </c>
      <c r="Z16" s="104">
        <f t="shared" si="2"/>
        <v>-231578.22649028955</v>
      </c>
      <c r="AA16" s="104">
        <f t="shared" si="2"/>
        <v>-231578.22649028955</v>
      </c>
      <c r="AB16" s="104">
        <f t="shared" si="2"/>
        <v>-231578.22649028955</v>
      </c>
      <c r="AC16" s="104">
        <f t="shared" si="2"/>
        <v>-231578.22649028955</v>
      </c>
      <c r="AD16" s="104">
        <f t="shared" si="2"/>
        <v>-231578.22649028955</v>
      </c>
      <c r="AE16" s="104">
        <f t="shared" si="2"/>
        <v>-231578.22649028955</v>
      </c>
      <c r="AF16" s="104">
        <f t="shared" si="2"/>
        <v>-231578.22649028955</v>
      </c>
      <c r="AG16" s="104">
        <f t="shared" si="2"/>
        <v>-231578.22649028955</v>
      </c>
      <c r="AH16" s="104">
        <f t="shared" si="2"/>
        <v>-231578.22649028955</v>
      </c>
      <c r="AI16" s="104">
        <f t="shared" si="2"/>
        <v>-231578.22649028955</v>
      </c>
      <c r="AJ16" s="104">
        <f t="shared" si="2"/>
        <v>-231578.22649028955</v>
      </c>
      <c r="AK16" s="104">
        <f t="shared" si="2"/>
        <v>-231578.22649028955</v>
      </c>
      <c r="AL16" s="104">
        <f t="shared" si="2"/>
        <v>-231578.22649028955</v>
      </c>
      <c r="AM16" s="104">
        <f t="shared" si="2"/>
        <v>-231578.22649028955</v>
      </c>
    </row>
    <row r="17" spans="1:39" s="17" customFormat="1" ht="15">
      <c r="A17" s="143" t="s">
        <v>13</v>
      </c>
      <c r="B17" s="3"/>
      <c r="C17" s="3"/>
      <c r="D17" s="104">
        <f>IPMT($B$10,D$13,$B$9,$B$8)</f>
        <v>-43750</v>
      </c>
      <c r="E17" s="104">
        <f t="shared" ref="E17:AM17" si="3">IPMT($B$10,E$13,$B$9,$B$8)</f>
        <v>-42654.335345473301</v>
      </c>
      <c r="F17" s="104">
        <f t="shared" si="3"/>
        <v>-41552.27931379521</v>
      </c>
      <c r="G17" s="104">
        <f t="shared" si="3"/>
        <v>-40443.79462193232</v>
      </c>
      <c r="H17" s="104">
        <f t="shared" si="3"/>
        <v>-39328.843769366911</v>
      </c>
      <c r="I17" s="104">
        <f t="shared" si="3"/>
        <v>-38207.389036828194</v>
      </c>
      <c r="J17" s="104">
        <f t="shared" si="3"/>
        <v>-37079.392485016331</v>
      </c>
      <c r="K17" s="104">
        <f t="shared" si="3"/>
        <v>-35944.815953318903</v>
      </c>
      <c r="L17" s="104">
        <f t="shared" si="3"/>
        <v>-34803.621058519908</v>
      </c>
      <c r="M17" s="104">
        <f t="shared" si="3"/>
        <v>-33655.769193501255</v>
      </c>
      <c r="N17" s="104">
        <f t="shared" si="3"/>
        <v>-32501.221525936657</v>
      </c>
      <c r="O17" s="104">
        <f t="shared" si="3"/>
        <v>-31339.938996977933</v>
      </c>
      <c r="P17" s="104">
        <f t="shared" si="3"/>
        <v>-30171.882319933615</v>
      </c>
      <c r="Q17" s="104">
        <f t="shared" si="3"/>
        <v>-28997.011978939863</v>
      </c>
      <c r="R17" s="104">
        <f t="shared" si="3"/>
        <v>-27815.288227623656</v>
      </c>
      <c r="S17" s="104">
        <f t="shared" si="3"/>
        <v>-26626.671087758114</v>
      </c>
      <c r="T17" s="104">
        <f t="shared" si="3"/>
        <v>-25431.120347910008</v>
      </c>
      <c r="U17" s="104">
        <f t="shared" si="3"/>
        <v>-24228.595562079463</v>
      </c>
      <c r="V17" s="104">
        <f t="shared" si="3"/>
        <v>-23019.056048331575</v>
      </c>
      <c r="W17" s="104">
        <f t="shared" si="3"/>
        <v>-21802.460887420155</v>
      </c>
      <c r="X17" s="104">
        <f t="shared" si="3"/>
        <v>-20578.768921403411</v>
      </c>
      <c r="Y17" s="104">
        <f t="shared" si="3"/>
        <v>-19347.938752251575</v>
      </c>
      <c r="Z17" s="104">
        <f t="shared" si="3"/>
        <v>-18109.928740446354</v>
      </c>
      <c r="AA17" s="104">
        <f t="shared" si="3"/>
        <v>-16864.69700357227</v>
      </c>
      <c r="AB17" s="104">
        <f t="shared" si="3"/>
        <v>-15612.201414899751</v>
      </c>
      <c r="AC17" s="104">
        <f t="shared" si="3"/>
        <v>-14352.399601959976</v>
      </c>
      <c r="AD17" s="104">
        <f t="shared" si="3"/>
        <v>-13085.248945111387</v>
      </c>
      <c r="AE17" s="104">
        <f t="shared" si="3"/>
        <v>-11810.706576097849</v>
      </c>
      <c r="AF17" s="104">
        <f t="shared" si="3"/>
        <v>-10528.729376598394</v>
      </c>
      <c r="AG17" s="104">
        <f t="shared" si="3"/>
        <v>-9239.2739767685289</v>
      </c>
      <c r="AH17" s="104">
        <f t="shared" si="3"/>
        <v>-7942.296753772991</v>
      </c>
      <c r="AI17" s="104">
        <f t="shared" si="3"/>
        <v>-6637.7538303099773</v>
      </c>
      <c r="AJ17" s="104">
        <f t="shared" si="3"/>
        <v>-5325.6010731267634</v>
      </c>
      <c r="AK17" s="104">
        <f t="shared" si="3"/>
        <v>-4005.7940915266472</v>
      </c>
      <c r="AL17" s="104">
        <f t="shared" si="3"/>
        <v>-2678.2882358671964</v>
      </c>
      <c r="AM17" s="104">
        <f t="shared" si="3"/>
        <v>-1343.0385960497326</v>
      </c>
    </row>
    <row r="18" spans="1:39" s="17" customFormat="1" ht="15">
      <c r="A18" s="143" t="s">
        <v>14</v>
      </c>
      <c r="B18" s="3"/>
      <c r="C18" s="3"/>
      <c r="D18" s="104">
        <f>D16-D17</f>
        <v>-187828.22649028955</v>
      </c>
      <c r="E18" s="104">
        <f t="shared" ref="E18:AM18" si="4">E16-E17</f>
        <v>-188923.89114481624</v>
      </c>
      <c r="F18" s="104">
        <f t="shared" si="4"/>
        <v>-190025.94717649434</v>
      </c>
      <c r="G18" s="104">
        <f t="shared" si="4"/>
        <v>-191134.43186835723</v>
      </c>
      <c r="H18" s="104">
        <f t="shared" si="4"/>
        <v>-192249.38272092264</v>
      </c>
      <c r="I18" s="104">
        <f t="shared" si="4"/>
        <v>-193370.83745346137</v>
      </c>
      <c r="J18" s="104">
        <f t="shared" si="4"/>
        <v>-194498.83400527324</v>
      </c>
      <c r="K18" s="104">
        <f t="shared" si="4"/>
        <v>-195633.41053697065</v>
      </c>
      <c r="L18" s="104">
        <f t="shared" si="4"/>
        <v>-196774.60543176965</v>
      </c>
      <c r="M18" s="104">
        <f t="shared" si="4"/>
        <v>-197922.45729678829</v>
      </c>
      <c r="N18" s="104">
        <f t="shared" si="4"/>
        <v>-199077.00496435291</v>
      </c>
      <c r="O18" s="104">
        <f t="shared" si="4"/>
        <v>-200238.28749331163</v>
      </c>
      <c r="P18" s="104">
        <f t="shared" si="4"/>
        <v>-201406.34417035594</v>
      </c>
      <c r="Q18" s="104">
        <f t="shared" si="4"/>
        <v>-202581.21451134968</v>
      </c>
      <c r="R18" s="104">
        <f t="shared" si="4"/>
        <v>-203762.93826266591</v>
      </c>
      <c r="S18" s="104">
        <f t="shared" si="4"/>
        <v>-204951.55540253143</v>
      </c>
      <c r="T18" s="104">
        <f t="shared" si="4"/>
        <v>-206147.10614237955</v>
      </c>
      <c r="U18" s="104">
        <f t="shared" si="4"/>
        <v>-207349.6309282101</v>
      </c>
      <c r="V18" s="104">
        <f t="shared" si="4"/>
        <v>-208559.17044195798</v>
      </c>
      <c r="W18" s="104">
        <f t="shared" si="4"/>
        <v>-209775.76560286939</v>
      </c>
      <c r="X18" s="104">
        <f t="shared" si="4"/>
        <v>-210999.45756888614</v>
      </c>
      <c r="Y18" s="104">
        <f t="shared" si="4"/>
        <v>-212230.28773803799</v>
      </c>
      <c r="Z18" s="104">
        <f t="shared" si="4"/>
        <v>-213468.29774984322</v>
      </c>
      <c r="AA18" s="104">
        <f t="shared" si="4"/>
        <v>-214713.52948671728</v>
      </c>
      <c r="AB18" s="104">
        <f t="shared" si="4"/>
        <v>-215966.0250753898</v>
      </c>
      <c r="AC18" s="104">
        <f t="shared" si="4"/>
        <v>-217225.82688832958</v>
      </c>
      <c r="AD18" s="104">
        <f t="shared" si="4"/>
        <v>-218492.97754517818</v>
      </c>
      <c r="AE18" s="104">
        <f t="shared" si="4"/>
        <v>-219767.51991419171</v>
      </c>
      <c r="AF18" s="104">
        <f t="shared" si="4"/>
        <v>-221049.49711369115</v>
      </c>
      <c r="AG18" s="104">
        <f t="shared" si="4"/>
        <v>-222338.95251352101</v>
      </c>
      <c r="AH18" s="104">
        <f t="shared" si="4"/>
        <v>-223635.92973651655</v>
      </c>
      <c r="AI18" s="104">
        <f t="shared" si="4"/>
        <v>-224940.47265997957</v>
      </c>
      <c r="AJ18" s="104">
        <f t="shared" si="4"/>
        <v>-226252.62541716278</v>
      </c>
      <c r="AK18" s="104">
        <f t="shared" si="4"/>
        <v>-227572.4323987629</v>
      </c>
      <c r="AL18" s="104">
        <f t="shared" si="4"/>
        <v>-228899.93825442236</v>
      </c>
      <c r="AM18" s="104">
        <f t="shared" si="4"/>
        <v>-230235.18789423982</v>
      </c>
    </row>
    <row r="19" spans="1:39" s="17" customFormat="1" ht="15">
      <c r="A19" s="143" t="s">
        <v>15</v>
      </c>
      <c r="B19" s="3"/>
      <c r="C19" s="3"/>
      <c r="D19" s="104">
        <f>D15+D18</f>
        <v>7312171.7735097101</v>
      </c>
      <c r="E19" s="104">
        <f t="shared" ref="E19:AM19" si="5">E15+E18</f>
        <v>7123247.8823648943</v>
      </c>
      <c r="F19" s="104">
        <f t="shared" si="5"/>
        <v>6933221.9351883996</v>
      </c>
      <c r="G19" s="104">
        <f t="shared" si="5"/>
        <v>6742087.503320042</v>
      </c>
      <c r="H19" s="104">
        <f t="shared" si="5"/>
        <v>6549838.120599119</v>
      </c>
      <c r="I19" s="104">
        <f t="shared" si="5"/>
        <v>6356467.2831456577</v>
      </c>
      <c r="J19" s="104">
        <f t="shared" si="5"/>
        <v>6161968.4491403848</v>
      </c>
      <c r="K19" s="104">
        <f t="shared" si="5"/>
        <v>5966335.0386034139</v>
      </c>
      <c r="L19" s="104">
        <f t="shared" si="5"/>
        <v>5769560.4331716439</v>
      </c>
      <c r="M19" s="104">
        <f t="shared" si="5"/>
        <v>5571637.9758748552</v>
      </c>
      <c r="N19" s="104">
        <f t="shared" si="5"/>
        <v>5372560.9709105026</v>
      </c>
      <c r="O19" s="104">
        <f t="shared" si="5"/>
        <v>5172322.6834171908</v>
      </c>
      <c r="P19" s="104">
        <f t="shared" si="5"/>
        <v>4970916.3392468346</v>
      </c>
      <c r="Q19" s="104">
        <f t="shared" si="5"/>
        <v>4768335.1247354848</v>
      </c>
      <c r="R19" s="104">
        <f t="shared" si="5"/>
        <v>4564572.1864728192</v>
      </c>
      <c r="S19" s="104">
        <f t="shared" si="5"/>
        <v>4359620.6310702879</v>
      </c>
      <c r="T19" s="104">
        <f t="shared" si="5"/>
        <v>4153473.5249279086</v>
      </c>
      <c r="U19" s="104">
        <f t="shared" si="5"/>
        <v>3946123.8939996986</v>
      </c>
      <c r="V19" s="104">
        <f t="shared" si="5"/>
        <v>3737564.7235577404</v>
      </c>
      <c r="W19" s="104">
        <f t="shared" si="5"/>
        <v>3527788.957954871</v>
      </c>
      <c r="X19" s="104">
        <f t="shared" si="5"/>
        <v>3316789.5003859848</v>
      </c>
      <c r="Y19" s="104">
        <f t="shared" si="5"/>
        <v>3104559.2126479466</v>
      </c>
      <c r="Z19" s="104">
        <f t="shared" si="5"/>
        <v>2891090.9148981031</v>
      </c>
      <c r="AA19" s="104">
        <f t="shared" si="5"/>
        <v>2676377.3854113859</v>
      </c>
      <c r="AB19" s="104">
        <f t="shared" si="5"/>
        <v>2460411.3603359959</v>
      </c>
      <c r="AC19" s="104">
        <f t="shared" si="5"/>
        <v>2243185.5334476661</v>
      </c>
      <c r="AD19" s="104">
        <f t="shared" si="5"/>
        <v>2024692.5559024878</v>
      </c>
      <c r="AE19" s="104">
        <f t="shared" si="5"/>
        <v>1804925.0359882961</v>
      </c>
      <c r="AF19" s="104">
        <f t="shared" si="5"/>
        <v>1583875.538874605</v>
      </c>
      <c r="AG19" s="104">
        <f t="shared" si="5"/>
        <v>1361536.5863610839</v>
      </c>
      <c r="AH19" s="104">
        <f t="shared" si="5"/>
        <v>1137900.6566245672</v>
      </c>
      <c r="AI19" s="104">
        <f t="shared" si="5"/>
        <v>912960.18396458763</v>
      </c>
      <c r="AJ19" s="104">
        <f t="shared" si="5"/>
        <v>686707.55854742485</v>
      </c>
      <c r="AK19" s="104">
        <f t="shared" si="5"/>
        <v>459135.12614866195</v>
      </c>
      <c r="AL19" s="104">
        <f t="shared" si="5"/>
        <v>230235.18789423959</v>
      </c>
      <c r="AM19" s="155">
        <f t="shared" si="5"/>
        <v>-2.3283064365386963E-10</v>
      </c>
    </row>
    <row r="20" spans="1:39" s="17" customFormat="1" ht="15">
      <c r="A20" s="3"/>
      <c r="B20" s="3"/>
      <c r="C20" s="3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54"/>
      <c r="AI20" s="154"/>
      <c r="AJ20" s="154"/>
      <c r="AK20" s="154"/>
      <c r="AL20" s="154"/>
      <c r="AM20" s="154"/>
    </row>
    <row r="21" spans="1:39" s="17" customFormat="1" ht="14.4">
      <c r="A21"/>
      <c r="B21"/>
      <c r="C21" s="73"/>
      <c r="D21" s="72"/>
    </row>
    <row r="22" spans="1:39" s="17" customFormat="1" ht="14.4">
      <c r="A22" s="67"/>
      <c r="B22"/>
      <c r="C22" s="73"/>
      <c r="D22" s="72"/>
    </row>
    <row r="23" spans="1:39" s="17" customFormat="1" ht="14.4">
      <c r="A23" s="66"/>
      <c r="B23"/>
      <c r="C23" s="73"/>
      <c r="D23" s="72"/>
    </row>
    <row r="24" spans="1:39" s="17" customFormat="1" ht="14.4">
      <c r="A24" s="68"/>
      <c r="B2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</row>
    <row r="25" spans="1:39" s="17" customFormat="1" ht="14.4">
      <c r="A25" s="68"/>
      <c r="B2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</row>
    <row r="26" spans="1:39" s="17" customFormat="1" ht="14.4">
      <c r="A26" s="68"/>
      <c r="B2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</row>
    <row r="27" spans="1:39" s="17" customFormat="1" ht="14.4">
      <c r="A27"/>
      <c r="B27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</row>
    <row r="28" spans="1:39" s="17" customFormat="1" ht="14.4">
      <c r="A28" s="67"/>
      <c r="B28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</row>
    <row r="29" spans="1:39" s="17" customFormat="1" ht="14.4">
      <c r="A29" s="66"/>
      <c r="B29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</row>
    <row r="30" spans="1:39" s="17" customFormat="1" ht="14.4">
      <c r="A30" s="68"/>
      <c r="B30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</row>
    <row r="31" spans="1:39" s="17" customFormat="1" ht="14.4">
      <c r="A31" s="68"/>
      <c r="B31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</row>
    <row r="32" spans="1:39" s="17" customFormat="1" ht="14.4">
      <c r="A32" s="68"/>
      <c r="B32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</row>
    <row r="33" spans="1:22" s="17" customFormat="1" ht="14.4">
      <c r="A33"/>
      <c r="B33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</row>
    <row r="34" spans="1:22" s="17" customFormat="1" ht="17.25" customHeight="1">
      <c r="A34" s="67"/>
      <c r="B3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7"/>
    </row>
    <row r="35" spans="1:22" s="17" customFormat="1" ht="17.25" customHeight="1">
      <c r="A35"/>
      <c r="B35"/>
      <c r="C35" s="76"/>
      <c r="D35" s="76"/>
      <c r="E35" s="76"/>
      <c r="F35" s="76"/>
      <c r="G35" s="76"/>
      <c r="H35" s="75"/>
      <c r="I35" s="75"/>
      <c r="J35" s="75"/>
      <c r="K35" s="75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</row>
    <row r="36" spans="1:22" s="76" customFormat="1" ht="17.25" customHeight="1">
      <c r="A36" s="65"/>
      <c r="B36"/>
      <c r="H36" s="75"/>
      <c r="I36" s="75"/>
      <c r="J36" s="75"/>
      <c r="K36" s="75"/>
    </row>
    <row r="37" spans="1:22" s="69" customFormat="1" ht="17.25" customHeight="1">
      <c r="A37"/>
      <c r="B37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</row>
    <row r="38" spans="1:22" s="17" customFormat="1" ht="20.100000000000001" customHeight="1">
      <c r="A38"/>
      <c r="B38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</row>
    <row r="39" spans="1:22" s="17" customFormat="1" ht="20.100000000000001" customHeight="1">
      <c r="A39"/>
      <c r="B39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spans="1:22" s="17" customFormat="1" ht="14.4">
      <c r="A40" s="61"/>
      <c r="B40" s="61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</row>
    <row r="41" spans="1:22" s="17" customFormat="1" ht="14.4">
      <c r="A41" s="63"/>
      <c r="B41" s="64"/>
      <c r="C41" s="76"/>
      <c r="D41" s="76"/>
      <c r="E41" s="76"/>
      <c r="F41" s="76"/>
      <c r="G41" s="70"/>
      <c r="H41" s="70"/>
      <c r="I41" s="76"/>
      <c r="J41" s="76"/>
      <c r="K41" s="70"/>
      <c r="L41" s="76"/>
      <c r="M41" s="70"/>
      <c r="N41" s="76"/>
      <c r="O41" s="76"/>
      <c r="P41" s="76"/>
      <c r="Q41" s="76"/>
      <c r="R41" s="76"/>
      <c r="S41" s="76"/>
      <c r="T41" s="76"/>
      <c r="U41" s="76"/>
      <c r="V41" s="76"/>
    </row>
    <row r="42" spans="1:22" s="17" customFormat="1" ht="14.4">
      <c r="A42" s="63"/>
      <c r="B42" s="64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</row>
    <row r="43" spans="1:22" s="17" customFormat="1" ht="14.4">
      <c r="A43" s="63"/>
      <c r="B43" s="64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</row>
    <row r="44" spans="1:22" s="17" customFormat="1" ht="14.4">
      <c r="A44" s="63"/>
      <c r="B44" s="64"/>
      <c r="C44" s="81"/>
      <c r="V44" s="76"/>
    </row>
    <row r="45" spans="1:22" s="17" customFormat="1" ht="14.4">
      <c r="A45" s="63"/>
      <c r="B45" s="64"/>
      <c r="C45" s="81"/>
    </row>
    <row r="46" spans="1:22" s="17" customFormat="1" ht="14.4">
      <c r="A46"/>
      <c r="B46"/>
      <c r="C46" s="81"/>
      <c r="D46" s="81"/>
      <c r="V46" s="76"/>
    </row>
    <row r="47" spans="1:22" ht="18">
      <c r="A47" s="65"/>
      <c r="B47"/>
      <c r="C47" s="29"/>
      <c r="V47" s="15"/>
    </row>
    <row r="48" spans="1:22" ht="14.4">
      <c r="A48" s="66"/>
      <c r="B48"/>
      <c r="C48" s="29"/>
      <c r="V48" s="15"/>
    </row>
    <row r="49" spans="1:22" ht="14.4">
      <c r="A49" s="68"/>
      <c r="B49"/>
      <c r="C49" s="29"/>
      <c r="V49" s="15"/>
    </row>
    <row r="50" spans="1:22" ht="14.4">
      <c r="A50" s="68"/>
      <c r="B50"/>
      <c r="C50" s="29"/>
      <c r="V50" s="15"/>
    </row>
    <row r="51" spans="1:22">
      <c r="C51" s="29"/>
      <c r="V51" s="15"/>
    </row>
    <row r="52" spans="1:22">
      <c r="B52" s="14"/>
      <c r="V52" s="15"/>
    </row>
    <row r="53" spans="1:22">
      <c r="B53" s="23"/>
      <c r="C53" s="30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spans="1:22" ht="14.4">
      <c r="A54" s="67"/>
      <c r="B54"/>
      <c r="C54"/>
      <c r="D54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15"/>
    </row>
    <row r="55" spans="1:22" ht="14.4">
      <c r="A55"/>
      <c r="B55"/>
      <c r="C55"/>
      <c r="D55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15"/>
    </row>
    <row r="56" spans="1:22" ht="18">
      <c r="A56" s="65"/>
      <c r="B56"/>
      <c r="C56"/>
      <c r="D56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spans="1:22" ht="14.4">
      <c r="A57"/>
      <c r="B57"/>
      <c r="C57"/>
      <c r="D57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spans="1:22" ht="15.6">
      <c r="A58" s="82"/>
      <c r="B58"/>
      <c r="C58"/>
      <c r="D58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spans="1:22" ht="14.4">
      <c r="A59"/>
      <c r="B59"/>
      <c r="C59"/>
      <c r="D59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spans="1:22" ht="14.4">
      <c r="A60" s="61"/>
      <c r="B60" s="61"/>
      <c r="C60" s="61"/>
      <c r="D60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spans="1:22" ht="14.4">
      <c r="A61" s="63"/>
      <c r="B61" s="62"/>
      <c r="C61" s="64"/>
      <c r="D61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 ht="14.4">
      <c r="A62" s="63"/>
      <c r="B62" s="62"/>
      <c r="C62" s="64"/>
      <c r="D62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spans="1:22" ht="14.4">
      <c r="A63" s="63"/>
      <c r="B63" s="62"/>
      <c r="C63" s="64"/>
      <c r="D63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 spans="1:22" ht="14.4">
      <c r="A64" s="63"/>
      <c r="B64" s="62"/>
      <c r="C64" s="64"/>
      <c r="D64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spans="1:22" ht="14.4">
      <c r="A65" s="63"/>
      <c r="B65" s="62"/>
      <c r="C65" s="64"/>
      <c r="D6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spans="1:22" ht="14.4">
      <c r="A66" s="63"/>
      <c r="B66" s="62"/>
      <c r="C66" s="64"/>
      <c r="D66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 spans="1:22" ht="14.4">
      <c r="A67"/>
      <c r="B67"/>
      <c r="C67"/>
      <c r="D6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 spans="1:22" ht="14.4">
      <c r="A68" s="67"/>
      <c r="B68"/>
      <c r="C68"/>
      <c r="D6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 spans="1:22" ht="14.4">
      <c r="A69"/>
      <c r="B69"/>
      <c r="C69"/>
      <c r="D6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spans="1:22" ht="15.6">
      <c r="A70" s="82"/>
      <c r="B70"/>
      <c r="C70"/>
      <c r="D70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spans="1:22" ht="14.4">
      <c r="A71"/>
      <c r="B71"/>
      <c r="C71"/>
      <c r="D71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 ht="14.4">
      <c r="A72" s="61"/>
      <c r="B72" s="61"/>
      <c r="C72"/>
      <c r="D72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spans="1:22" ht="14.4">
      <c r="A73" s="63"/>
      <c r="B73" s="64"/>
      <c r="C73"/>
      <c r="D73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spans="1:22" ht="14.4">
      <c r="A74" s="63"/>
      <c r="B74" s="64"/>
      <c r="C74"/>
      <c r="D74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spans="1:22" ht="14.4">
      <c r="A75" s="63"/>
      <c r="B75" s="64"/>
      <c r="C75"/>
      <c r="D7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 spans="1:22" ht="14.4">
      <c r="A76" s="63"/>
      <c r="B76" s="64"/>
      <c r="C76"/>
      <c r="D76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 ht="14.4">
      <c r="A77"/>
      <c r="B77"/>
      <c r="C77"/>
      <c r="D77"/>
    </row>
    <row r="78" spans="1:22" ht="14.4">
      <c r="A78" s="67"/>
      <c r="B78"/>
      <c r="C78"/>
      <c r="D78"/>
    </row>
    <row r="79" spans="1:22" ht="14.4">
      <c r="A79"/>
      <c r="B79"/>
      <c r="C79"/>
      <c r="D79"/>
    </row>
    <row r="80" spans="1:22" ht="15.6">
      <c r="A80" s="82"/>
      <c r="B80"/>
      <c r="C80"/>
      <c r="D80"/>
    </row>
    <row r="81" spans="1:4" ht="14.4">
      <c r="A81"/>
      <c r="B81"/>
      <c r="C81"/>
      <c r="D81"/>
    </row>
    <row r="82" spans="1:4" ht="14.4">
      <c r="A82" s="61"/>
      <c r="B82" s="61"/>
      <c r="C82"/>
      <c r="D82"/>
    </row>
    <row r="83" spans="1:4" ht="14.4">
      <c r="A83" s="63"/>
      <c r="B83" s="64"/>
      <c r="C83"/>
      <c r="D83"/>
    </row>
    <row r="84" spans="1:4" ht="14.4">
      <c r="A84" s="63"/>
      <c r="B84" s="64"/>
      <c r="C84"/>
      <c r="D84"/>
    </row>
    <row r="85" spans="1:4" ht="14.4">
      <c r="A85" s="63"/>
      <c r="B85" s="64"/>
      <c r="C85"/>
      <c r="D85"/>
    </row>
    <row r="86" spans="1:4" ht="14.4">
      <c r="A86" s="63"/>
      <c r="B86" s="64"/>
      <c r="C86"/>
      <c r="D86"/>
    </row>
    <row r="87" spans="1:4" ht="14.4">
      <c r="A87" s="63"/>
      <c r="B87" s="64"/>
      <c r="C87"/>
      <c r="D87"/>
    </row>
    <row r="88" spans="1:4" ht="14.4">
      <c r="A88" s="63"/>
      <c r="B88" s="64"/>
      <c r="C88"/>
      <c r="D88"/>
    </row>
    <row r="89" spans="1:4" ht="14.4">
      <c r="A89"/>
      <c r="B89"/>
      <c r="C89"/>
      <c r="D89"/>
    </row>
    <row r="90" spans="1:4" ht="14.4">
      <c r="A90" s="67"/>
      <c r="B90"/>
      <c r="C90"/>
      <c r="D90"/>
    </row>
    <row r="91" spans="1:4" ht="14.4">
      <c r="A91"/>
      <c r="B91"/>
      <c r="C91"/>
      <c r="D91"/>
    </row>
    <row r="92" spans="1:4" ht="15.6">
      <c r="A92" s="82"/>
      <c r="B92"/>
      <c r="C92"/>
      <c r="D92"/>
    </row>
    <row r="93" spans="1:4" ht="14.4">
      <c r="A93"/>
      <c r="B93"/>
      <c r="C93"/>
      <c r="D93"/>
    </row>
    <row r="94" spans="1:4" ht="14.4">
      <c r="A94" s="61"/>
      <c r="B94" s="61"/>
      <c r="C94"/>
      <c r="D94"/>
    </row>
    <row r="95" spans="1:4" ht="14.4">
      <c r="A95" s="63"/>
      <c r="B95" s="64"/>
      <c r="C95"/>
      <c r="D95"/>
    </row>
    <row r="96" spans="1:4" ht="14.4">
      <c r="A96" s="63"/>
      <c r="B96" s="64"/>
      <c r="C96"/>
      <c r="D96"/>
    </row>
    <row r="97" spans="1:4" ht="14.4">
      <c r="A97" s="63"/>
      <c r="B97" s="64"/>
      <c r="C97"/>
      <c r="D97"/>
    </row>
    <row r="98" spans="1:4" ht="14.4">
      <c r="A98"/>
      <c r="B98"/>
      <c r="C98"/>
      <c r="D98"/>
    </row>
    <row r="99" spans="1:4" ht="14.4">
      <c r="A99" s="67"/>
      <c r="B99"/>
      <c r="C99"/>
      <c r="D99"/>
    </row>
    <row r="100" spans="1:4" ht="14.4">
      <c r="A100"/>
      <c r="B100"/>
      <c r="C100"/>
      <c r="D100"/>
    </row>
    <row r="101" spans="1:4" ht="18">
      <c r="A101" s="65"/>
      <c r="B101"/>
      <c r="C101"/>
      <c r="D101"/>
    </row>
    <row r="102" spans="1:4" ht="14.4">
      <c r="A102"/>
      <c r="B102"/>
      <c r="C102"/>
      <c r="D102"/>
    </row>
    <row r="103" spans="1:4" ht="15.6">
      <c r="A103" s="82"/>
      <c r="B103"/>
      <c r="C103"/>
      <c r="D103"/>
    </row>
    <row r="104" spans="1:4" ht="14.4">
      <c r="A104" s="66"/>
      <c r="B104"/>
      <c r="C104"/>
      <c r="D104"/>
    </row>
    <row r="105" spans="1:4" ht="14.4">
      <c r="A105" s="68"/>
      <c r="B105"/>
      <c r="C105"/>
      <c r="D105"/>
    </row>
    <row r="106" spans="1:4" ht="14.4">
      <c r="A106" s="68"/>
      <c r="B106"/>
      <c r="C106"/>
      <c r="D106"/>
    </row>
    <row r="107" spans="1:4" ht="14.4">
      <c r="A107"/>
      <c r="B107"/>
      <c r="C107"/>
      <c r="D107"/>
    </row>
    <row r="108" spans="1:4" ht="14.4">
      <c r="A108" s="61"/>
      <c r="B108" s="61"/>
      <c r="C108"/>
      <c r="D108"/>
    </row>
    <row r="109" spans="1:4" ht="14.4">
      <c r="A109" s="63"/>
      <c r="B109" s="64"/>
      <c r="C109"/>
      <c r="D109"/>
    </row>
    <row r="110" spans="1:4" ht="14.4">
      <c r="A110" s="63"/>
      <c r="B110" s="64"/>
      <c r="C110"/>
      <c r="D110"/>
    </row>
    <row r="111" spans="1:4" ht="14.4">
      <c r="A111" s="63"/>
      <c r="B111" s="64"/>
      <c r="C111"/>
      <c r="D111"/>
    </row>
    <row r="112" spans="1:4" ht="14.4">
      <c r="A112" s="63"/>
      <c r="B112" s="64"/>
      <c r="C112"/>
      <c r="D112"/>
    </row>
    <row r="113" spans="1:4" ht="14.4">
      <c r="A113" s="63"/>
      <c r="B113" s="64"/>
      <c r="C113"/>
      <c r="D113"/>
    </row>
    <row r="114" spans="1:4" ht="14.4">
      <c r="A114"/>
      <c r="B114"/>
      <c r="C114"/>
      <c r="D114"/>
    </row>
    <row r="115" spans="1:4" ht="15.6">
      <c r="A115" s="82"/>
      <c r="B115"/>
      <c r="C115"/>
      <c r="D115"/>
    </row>
    <row r="116" spans="1:4" ht="14.4">
      <c r="A116" s="66"/>
      <c r="B116"/>
      <c r="C116"/>
      <c r="D116"/>
    </row>
    <row r="117" spans="1:4" ht="14.4">
      <c r="A117" s="68"/>
      <c r="B117"/>
      <c r="C117"/>
      <c r="D117"/>
    </row>
    <row r="118" spans="1:4" ht="14.4">
      <c r="A118" s="68"/>
      <c r="B118"/>
      <c r="C118"/>
      <c r="D118"/>
    </row>
    <row r="119" spans="1:4" ht="14.4">
      <c r="A119"/>
      <c r="B119"/>
      <c r="C119"/>
      <c r="D119"/>
    </row>
    <row r="120" spans="1:4" ht="14.4">
      <c r="A120" s="61"/>
      <c r="B120" s="61"/>
      <c r="C120"/>
      <c r="D120"/>
    </row>
    <row r="121" spans="1:4" ht="14.4">
      <c r="A121" s="63"/>
      <c r="B121" s="64"/>
      <c r="C121"/>
      <c r="D121"/>
    </row>
    <row r="122" spans="1:4" ht="14.4">
      <c r="A122" s="63"/>
      <c r="B122" s="64"/>
      <c r="C122"/>
      <c r="D122"/>
    </row>
    <row r="123" spans="1:4" ht="14.4">
      <c r="A123" s="63"/>
      <c r="B123" s="64"/>
      <c r="C123"/>
      <c r="D123"/>
    </row>
    <row r="124" spans="1:4" ht="14.4">
      <c r="A124" s="63"/>
      <c r="B124" s="64"/>
      <c r="C124"/>
      <c r="D124"/>
    </row>
    <row r="125" spans="1:4" ht="14.4">
      <c r="A125" s="63"/>
      <c r="B125" s="64"/>
      <c r="C125"/>
      <c r="D125"/>
    </row>
    <row r="126" spans="1:4" ht="14.4">
      <c r="A126"/>
      <c r="B126"/>
      <c r="C126"/>
      <c r="D126"/>
    </row>
    <row r="127" spans="1:4" ht="15.6">
      <c r="A127" s="82"/>
      <c r="B127"/>
      <c r="C127"/>
      <c r="D127"/>
    </row>
    <row r="128" spans="1:4" ht="14.4">
      <c r="A128" s="66"/>
      <c r="B128"/>
      <c r="C128"/>
      <c r="D128"/>
    </row>
    <row r="129" spans="1:4" ht="14.4">
      <c r="A129" s="68"/>
      <c r="B129"/>
      <c r="C129"/>
      <c r="D129"/>
    </row>
    <row r="130" spans="1:4" ht="14.4">
      <c r="A130" s="68"/>
      <c r="B130"/>
      <c r="C130"/>
      <c r="D130"/>
    </row>
    <row r="131" spans="1:4" ht="14.4">
      <c r="A131"/>
      <c r="B131"/>
      <c r="C131"/>
      <c r="D131"/>
    </row>
    <row r="132" spans="1:4" ht="14.4">
      <c r="A132" s="61"/>
      <c r="B132" s="61"/>
      <c r="C132"/>
      <c r="D132"/>
    </row>
    <row r="133" spans="1:4" ht="14.4">
      <c r="A133" s="63"/>
      <c r="B133" s="64"/>
      <c r="C133"/>
      <c r="D133"/>
    </row>
    <row r="134" spans="1:4" ht="14.4">
      <c r="A134" s="63"/>
      <c r="B134" s="64"/>
      <c r="C134"/>
      <c r="D134"/>
    </row>
    <row r="135" spans="1:4" ht="14.4">
      <c r="A135" s="63"/>
      <c r="B135" s="64"/>
      <c r="C135"/>
      <c r="D135"/>
    </row>
    <row r="136" spans="1:4" ht="14.4">
      <c r="A136" s="63"/>
      <c r="B136" s="64"/>
      <c r="C136"/>
      <c r="D136"/>
    </row>
    <row r="137" spans="1:4" ht="14.4">
      <c r="A137" s="63"/>
      <c r="B137" s="64"/>
      <c r="C137"/>
      <c r="D137"/>
    </row>
    <row r="138" spans="1:4" ht="14.4">
      <c r="A138"/>
      <c r="B138"/>
      <c r="C138"/>
      <c r="D138"/>
    </row>
    <row r="139" spans="1:4" ht="15.6">
      <c r="A139" s="82"/>
      <c r="B139"/>
      <c r="C139"/>
      <c r="D139"/>
    </row>
    <row r="140" spans="1:4" ht="14.4">
      <c r="A140"/>
      <c r="B140"/>
      <c r="C140"/>
      <c r="D140"/>
    </row>
    <row r="141" spans="1:4" ht="14.4">
      <c r="A141" s="61"/>
      <c r="B141" s="61"/>
      <c r="C141" s="61"/>
      <c r="D141" s="61"/>
    </row>
    <row r="142" spans="1:4" ht="14.4">
      <c r="A142" s="63"/>
      <c r="B142" s="64"/>
      <c r="C142" s="64"/>
      <c r="D142" s="64"/>
    </row>
    <row r="143" spans="1:4" ht="14.4">
      <c r="A143" s="63"/>
      <c r="B143" s="64"/>
      <c r="C143" s="64"/>
      <c r="D143" s="64"/>
    </row>
    <row r="144" spans="1:4" ht="14.4">
      <c r="A144" s="63"/>
      <c r="B144" s="64"/>
      <c r="C144" s="64"/>
      <c r="D144" s="64"/>
    </row>
    <row r="145" spans="1:4" ht="14.4">
      <c r="A145" s="63"/>
      <c r="B145" s="64"/>
      <c r="C145" s="64"/>
      <c r="D145" s="64"/>
    </row>
    <row r="146" spans="1:4" ht="14.4">
      <c r="A146" s="63"/>
      <c r="B146" s="64"/>
      <c r="C146" s="64"/>
      <c r="D146" s="64"/>
    </row>
    <row r="147" spans="1:4" ht="14.4">
      <c r="A147"/>
      <c r="B147"/>
      <c r="C147"/>
      <c r="D147"/>
    </row>
    <row r="148" spans="1:4" ht="18">
      <c r="A148" s="65"/>
      <c r="B148"/>
      <c r="C148"/>
      <c r="D148"/>
    </row>
    <row r="149" spans="1:4" ht="14.4">
      <c r="A149" s="66"/>
      <c r="B149"/>
      <c r="C149"/>
      <c r="D149"/>
    </row>
    <row r="150" spans="1:4" ht="14.4">
      <c r="A150" s="68"/>
      <c r="B150"/>
      <c r="C150"/>
      <c r="D150"/>
    </row>
    <row r="151" spans="1:4" ht="14.4">
      <c r="A151" s="68"/>
      <c r="B151"/>
      <c r="C151"/>
      <c r="D151"/>
    </row>
    <row r="152" spans="1:4" ht="14.4">
      <c r="A152" s="68"/>
      <c r="B152"/>
      <c r="C152"/>
      <c r="D1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00"/>
  </sheetPr>
  <dimension ref="A1:T33"/>
  <sheetViews>
    <sheetView showGridLines="0" tabSelected="1" topLeftCell="A20" workbookViewId="0">
      <selection activeCell="H14" sqref="H14"/>
    </sheetView>
  </sheetViews>
  <sheetFormatPr defaultColWidth="15.6640625" defaultRowHeight="14.4"/>
  <cols>
    <col min="1" max="1" width="29.44140625" bestFit="1" customWidth="1"/>
  </cols>
  <sheetData>
    <row r="1" spans="1:20" ht="21">
      <c r="A1" s="1" t="s">
        <v>29</v>
      </c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s="3" customFormat="1" ht="13.8">
      <c r="A2" s="38" t="s">
        <v>227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s="3" customFormat="1" ht="13.8">
      <c r="A3" s="38" t="s">
        <v>17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5" spans="1:20" ht="16.8">
      <c r="A5" s="8" t="s">
        <v>23</v>
      </c>
      <c r="B5" s="8"/>
      <c r="C5" s="8"/>
      <c r="D5" s="8"/>
      <c r="E5" s="8"/>
      <c r="F5" s="8"/>
      <c r="G5" s="8"/>
    </row>
    <row r="6" spans="1:20" ht="15">
      <c r="A6" s="50"/>
      <c r="B6" s="50"/>
      <c r="C6" s="50"/>
      <c r="D6" s="50"/>
      <c r="E6" s="50"/>
      <c r="F6" s="50"/>
      <c r="G6" s="50"/>
    </row>
    <row r="7" spans="1:20">
      <c r="A7" s="52" t="s">
        <v>4</v>
      </c>
      <c r="B7" s="32"/>
      <c r="C7" s="32">
        <v>2025</v>
      </c>
      <c r="D7" s="32">
        <f>C7+1</f>
        <v>2026</v>
      </c>
      <c r="E7" s="32">
        <f t="shared" ref="E7:G7" si="0">D7+1</f>
        <v>2027</v>
      </c>
      <c r="F7" s="32">
        <f t="shared" si="0"/>
        <v>2028</v>
      </c>
      <c r="G7" s="32">
        <f t="shared" si="0"/>
        <v>2029</v>
      </c>
    </row>
    <row r="8" spans="1:20" ht="15">
      <c r="A8" s="50" t="s">
        <v>24</v>
      </c>
      <c r="B8" s="164">
        <f>-'Balance Sheet_Forecast'!C58</f>
        <v>-7500000</v>
      </c>
      <c r="C8" s="164">
        <f>'Cashflow Statement_Forecast'!C22</f>
        <v>5417156.6324416921</v>
      </c>
      <c r="D8" s="164">
        <f>'Cashflow Statement_Forecast'!D22</f>
        <v>7754331.4695276357</v>
      </c>
      <c r="E8" s="164">
        <f>'Cashflow Statement_Forecast'!E22</f>
        <v>10630794.858762186</v>
      </c>
      <c r="F8" s="164">
        <f>'Cashflow Statement_Forecast'!F22</f>
        <v>16907851.027662188</v>
      </c>
      <c r="G8" s="164">
        <f>'Cashflow Statement_Forecast'!G22</f>
        <v>23901641.618407987</v>
      </c>
    </row>
    <row r="9" spans="1:20" ht="15">
      <c r="A9" s="50" t="s">
        <v>25</v>
      </c>
      <c r="B9" s="165">
        <f>SUM($B$8:B8)</f>
        <v>-7500000</v>
      </c>
      <c r="C9" s="165">
        <f>SUM($B$8:C8)</f>
        <v>-2082843.3675583079</v>
      </c>
      <c r="D9" s="165">
        <f>SUM($B$8:D8)</f>
        <v>5671488.1019693278</v>
      </c>
      <c r="E9" s="165">
        <f>SUM($B$8:E8)</f>
        <v>16302282.960731514</v>
      </c>
      <c r="F9" s="165">
        <f>SUM($B$8:F8)</f>
        <v>33210133.988393702</v>
      </c>
      <c r="G9" s="165"/>
    </row>
    <row r="10" spans="1:20" ht="15">
      <c r="A10" s="50"/>
      <c r="B10" s="50"/>
      <c r="C10" s="53"/>
      <c r="D10" s="53"/>
      <c r="E10" s="53"/>
      <c r="F10" s="53"/>
      <c r="G10" s="53"/>
    </row>
    <row r="11" spans="1:20" ht="15">
      <c r="A11" s="50"/>
      <c r="B11" s="50"/>
      <c r="C11" s="50"/>
      <c r="D11" s="50"/>
      <c r="E11" s="50"/>
      <c r="F11" s="50"/>
      <c r="G11" s="50"/>
    </row>
    <row r="12" spans="1:20" ht="15">
      <c r="A12" s="50"/>
      <c r="B12" s="50"/>
      <c r="C12" s="50"/>
      <c r="D12" s="50"/>
      <c r="E12" s="50"/>
      <c r="F12" s="50"/>
      <c r="G12" s="50"/>
    </row>
    <row r="13" spans="1:20" ht="15">
      <c r="A13" s="50"/>
      <c r="B13" s="50"/>
      <c r="C13" s="50"/>
      <c r="D13" s="50"/>
      <c r="E13" s="50"/>
      <c r="F13" s="50"/>
      <c r="G13" s="50"/>
    </row>
    <row r="14" spans="1:20" ht="15">
      <c r="A14" s="50"/>
      <c r="B14" s="50"/>
      <c r="C14" s="50"/>
      <c r="D14" s="50"/>
      <c r="E14" s="50"/>
      <c r="F14" s="50"/>
      <c r="G14" s="50"/>
    </row>
    <row r="15" spans="1:20" ht="15">
      <c r="A15" s="50"/>
      <c r="B15" s="50"/>
      <c r="C15" s="50"/>
      <c r="D15" s="50"/>
      <c r="E15" s="50"/>
      <c r="F15" s="50"/>
      <c r="G15" s="50"/>
    </row>
    <row r="16" spans="1:20" ht="15">
      <c r="A16" s="50"/>
      <c r="B16" s="50"/>
      <c r="C16" s="50"/>
      <c r="D16" s="50"/>
      <c r="E16" s="50"/>
      <c r="F16" s="50"/>
      <c r="G16" s="50"/>
    </row>
    <row r="17" spans="1:7" ht="15">
      <c r="A17" s="50"/>
      <c r="B17" s="50"/>
      <c r="C17" s="50"/>
      <c r="D17" s="50"/>
      <c r="E17" s="50"/>
      <c r="F17" s="50"/>
      <c r="G17" s="50"/>
    </row>
    <row r="18" spans="1:7" ht="15">
      <c r="A18" s="50"/>
      <c r="B18" s="50"/>
      <c r="C18" s="50"/>
      <c r="D18" s="50"/>
      <c r="E18" s="50"/>
      <c r="F18" s="50"/>
      <c r="G18" s="50"/>
    </row>
    <row r="19" spans="1:7" ht="15">
      <c r="A19" s="50"/>
      <c r="B19" s="50"/>
      <c r="C19" s="50"/>
      <c r="D19" s="50"/>
      <c r="E19" s="50"/>
      <c r="F19" s="50"/>
      <c r="G19" s="50"/>
    </row>
    <row r="20" spans="1:7" ht="15">
      <c r="A20" s="50"/>
      <c r="B20" s="50"/>
      <c r="C20" s="50"/>
      <c r="D20" s="50"/>
      <c r="E20" s="50"/>
      <c r="F20" s="50"/>
      <c r="G20" s="50"/>
    </row>
    <row r="21" spans="1:7" ht="15">
      <c r="A21" s="50"/>
      <c r="B21" s="50"/>
      <c r="C21" s="50"/>
      <c r="D21" s="50"/>
      <c r="E21" s="50"/>
      <c r="F21" s="50"/>
      <c r="G21" s="50"/>
    </row>
    <row r="22" spans="1:7" ht="15">
      <c r="A22" s="50"/>
      <c r="B22" s="50"/>
      <c r="C22" s="50"/>
      <c r="D22" s="50"/>
      <c r="E22" s="50"/>
      <c r="F22" s="50"/>
      <c r="G22" s="50"/>
    </row>
    <row r="23" spans="1:7" ht="15">
      <c r="A23" s="50"/>
      <c r="B23" s="50"/>
      <c r="C23" s="50"/>
      <c r="D23" s="50"/>
      <c r="E23" s="50"/>
      <c r="F23" s="50"/>
      <c r="G23" s="50"/>
    </row>
    <row r="24" spans="1:7" ht="15">
      <c r="A24" s="50"/>
      <c r="B24" s="50"/>
      <c r="C24" s="50"/>
      <c r="D24" s="50"/>
      <c r="E24" s="50"/>
      <c r="F24" s="50"/>
      <c r="G24" s="50"/>
    </row>
    <row r="25" spans="1:7" ht="15">
      <c r="A25" s="50"/>
      <c r="B25" s="50"/>
      <c r="C25" s="50"/>
      <c r="D25" s="50"/>
      <c r="E25" s="50"/>
      <c r="F25" s="50"/>
      <c r="G25" s="50"/>
    </row>
    <row r="26" spans="1:7" ht="15">
      <c r="A26" s="50"/>
      <c r="B26" s="50"/>
      <c r="C26" s="50"/>
      <c r="D26" s="50"/>
      <c r="E26" s="50"/>
      <c r="F26" s="50"/>
      <c r="G26" s="50"/>
    </row>
    <row r="27" spans="1:7" ht="15">
      <c r="A27" s="50"/>
      <c r="B27" s="50"/>
      <c r="C27" s="50"/>
      <c r="D27" s="50"/>
      <c r="E27" s="50"/>
      <c r="F27" s="50"/>
      <c r="G27" s="50"/>
    </row>
    <row r="28" spans="1:7" ht="15">
      <c r="A28" s="50"/>
      <c r="B28" s="50"/>
      <c r="C28" s="50"/>
      <c r="D28" s="50"/>
      <c r="E28" s="50"/>
      <c r="F28" s="50"/>
      <c r="G28" s="50"/>
    </row>
    <row r="29" spans="1:7" ht="15">
      <c r="A29" s="51" t="s">
        <v>26</v>
      </c>
      <c r="B29" s="54">
        <f ca="1">COUNTIF(C9:F9,"&lt;0")-(SUM(B8:OFFSET(B8,0,COUNTIF(C9:F9,"&lt;0")))/OFFSET(C8,0,COUNTIF(C9:F9,"&lt;0")))</f>
        <v>1.2686038604028345</v>
      </c>
      <c r="C29" s="50"/>
      <c r="D29" s="50"/>
      <c r="E29" s="50"/>
      <c r="F29" s="50"/>
      <c r="G29" s="50"/>
    </row>
    <row r="30" spans="1:7" ht="15">
      <c r="A30" s="57"/>
      <c r="B30" s="55"/>
      <c r="C30" s="50"/>
      <c r="D30" s="50"/>
      <c r="E30" s="50"/>
      <c r="F30" s="50"/>
      <c r="G30" s="50"/>
    </row>
    <row r="31" spans="1:7" ht="15">
      <c r="A31" s="58" t="s">
        <v>27</v>
      </c>
      <c r="B31" s="55"/>
      <c r="C31" s="50"/>
      <c r="D31" s="50"/>
      <c r="E31" s="50"/>
      <c r="F31" s="50"/>
      <c r="G31" s="50"/>
    </row>
    <row r="32" spans="1:7" ht="15">
      <c r="A32" s="57"/>
      <c r="B32" s="55"/>
      <c r="C32" s="50"/>
      <c r="D32" s="50"/>
      <c r="E32" s="50"/>
      <c r="F32" s="50"/>
      <c r="G32" s="50"/>
    </row>
    <row r="33" spans="1:7" ht="15">
      <c r="A33" s="50"/>
      <c r="B33" s="50"/>
      <c r="C33" s="50"/>
      <c r="D33" s="50"/>
      <c r="E33" s="50"/>
      <c r="F33" s="50"/>
      <c r="G33" s="5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Bawa_StartUp Cost</vt:lpstr>
      <vt:lpstr>Market_Prices_of_Product</vt:lpstr>
      <vt:lpstr>Income Statement_Forecast</vt:lpstr>
      <vt:lpstr>Balance Sheet_Forecast</vt:lpstr>
      <vt:lpstr>Cashflow Statement_Forecast</vt:lpstr>
      <vt:lpstr>Loan Schedule @ 7% p.a</vt:lpstr>
      <vt:lpstr>Payback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Ebo Awortwe</dc:creator>
  <cp:lastModifiedBy>Betty Abaare</cp:lastModifiedBy>
  <cp:lastPrinted>2024-06-05T13:41:41Z</cp:lastPrinted>
  <dcterms:created xsi:type="dcterms:W3CDTF">2022-04-17T09:39:58Z</dcterms:created>
  <dcterms:modified xsi:type="dcterms:W3CDTF">2024-09-08T22:39:30Z</dcterms:modified>
</cp:coreProperties>
</file>