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DCF &amp; Sensitivity Model" sheetId="2" r:id="rId5"/>
    <sheet state="visible" name="Additional Assumptions" sheetId="3" r:id="rId6"/>
  </sheets>
  <definedNames/>
  <calcPr/>
  <extLst>
    <ext uri="GoogleSheetsCustomDataVersion2">
      <go:sheetsCustomData xmlns:go="http://customooxmlschemas.google.com/" r:id="rId7" roundtripDataChecksum="UQ7s8MkY9SNEnRx4X0XdFJDItHsVjE57cIqXpAwEeAc="/>
    </ext>
  </extLst>
</workbook>
</file>

<file path=xl/sharedStrings.xml><?xml version="1.0" encoding="utf-8"?>
<sst xmlns="http://schemas.openxmlformats.org/spreadsheetml/2006/main" count="248" uniqueCount="150">
  <si>
    <t>Scenario &amp; Sensitivity Analysis Model</t>
  </si>
  <si>
    <t>Table of Contents</t>
  </si>
  <si>
    <t>DCF &amp; Sensitivity Model</t>
  </si>
  <si>
    <t>Additional Assumptions</t>
  </si>
  <si>
    <t>PROJECT 2</t>
  </si>
  <si>
    <t>Historical Results</t>
  </si>
  <si>
    <t xml:space="preserve"> Forecast Period</t>
  </si>
  <si>
    <t>FINANCIAL STATEMENTS</t>
  </si>
  <si>
    <t>Balance Sheet Check</t>
  </si>
  <si>
    <t>Live Case</t>
  </si>
  <si>
    <t>Share Price</t>
  </si>
  <si>
    <t>Assumptions</t>
  </si>
  <si>
    <t>Base Case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</si>
  <si>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</si>
  <si>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</si>
  <si>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</si>
  <si>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</si>
  <si>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</si>
  <si>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</si>
  <si>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</si>
  <si>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</si>
  <si>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</si>
  <si>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</si>
  <si>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(£000's)</t>
  </si>
  <si>
    <t>Debt Issuance (Repayment) (£000's)</t>
  </si>
  <si>
    <t>Equity Issued (Repaid) (£000's)</t>
  </si>
  <si>
    <t>Downside Case</t>
  </si>
  <si>
    <t>Upside Case</t>
  </si>
  <si>
    <t>Income Statement</t>
  </si>
  <si>
    <t>Reveneue</t>
  </si>
  <si>
    <t>Cost of Goods Sold (COGS)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</si>
  <si>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</si>
  <si>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</si>
  <si>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</si>
  <si>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</si>
  <si>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</si>
  <si>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</si>
  <si>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</si>
  <si>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</si>
  <si>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</si>
  <si>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</si>
  <si>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</si>
  <si>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</si>
  <si>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</si>
  <si>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</si>
  <si>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</si>
  <si>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</si>
  <si>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</si>
  <si>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</si>
  <si>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</si>
  <si>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</si>
  <si>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</si>
  <si>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</si>
  <si>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</si>
  <si>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</si>
  <si>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</si>
  <si>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</si>
  <si>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</si>
  <si>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</si>
  <si>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</si>
  <si>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</si>
  <si>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</si>
  <si>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</si>
  <si>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</si>
  <si>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</si>
  <si>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</si>
  <si>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</si>
  <si>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</si>
  <si>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</si>
  <si>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</si>
  <si>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</si>
  <si>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</si>
  <si>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</si>
  <si>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</si>
  <si>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</si>
  <si>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</si>
  <si>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</si>
  <si>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</si>
  <si>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</si>
  <si>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</si>
  <si>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</si>
  <si>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</si>
  <si>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</si>
  <si>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</si>
  <si>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</si>
  <si>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</si>
  <si>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</si>
  <si>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</si>
  <si>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</si>
  <si>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Perpetural Growth Rate</t>
  </si>
  <si>
    <t>EV/EBITDA Mulltiple</t>
  </si>
  <si>
    <t>Transaction Date</t>
  </si>
  <si>
    <t>Current Price</t>
  </si>
  <si>
    <t>Shares Outstanding</t>
  </si>
  <si>
    <t>Discounted Cash Flow</t>
  </si>
  <si>
    <t>Entry</t>
  </si>
  <si>
    <t>Exit</t>
  </si>
  <si>
    <t>Terminal Value</t>
  </si>
  <si>
    <t>Date</t>
  </si>
  <si>
    <t>Perpetural Growth</t>
  </si>
  <si>
    <t>EV/EBITDA</t>
  </si>
  <si>
    <t>EBT</t>
  </si>
  <si>
    <t>Average</t>
  </si>
  <si>
    <t>EBIT</t>
  </si>
  <si>
    <t>Less: Cash Taxes</t>
  </si>
  <si>
    <t>Plus: D&amp;A</t>
  </si>
  <si>
    <t>EBITDA</t>
  </si>
  <si>
    <t>Less: Capex</t>
  </si>
  <si>
    <t>Less: Changes in NWC</t>
  </si>
  <si>
    <t>Unlevered FCF</t>
  </si>
  <si>
    <t>(Entry)/Exit</t>
  </si>
  <si>
    <t>Net FCF</t>
  </si>
  <si>
    <t>IRR</t>
  </si>
  <si>
    <t>Present Value</t>
  </si>
  <si>
    <t>Intrinsic Value</t>
  </si>
  <si>
    <t>Market Value</t>
  </si>
  <si>
    <t>Rate of Return</t>
  </si>
  <si>
    <t>Enterprise Value</t>
  </si>
  <si>
    <t>Market Cap</t>
  </si>
  <si>
    <t>Plus: Cash</t>
  </si>
  <si>
    <t>Plus: Debt</t>
  </si>
  <si>
    <t>Target Price</t>
  </si>
  <si>
    <t>Less: Debt</t>
  </si>
  <si>
    <t>Less: Cash</t>
  </si>
  <si>
    <t>Target Price Upside</t>
  </si>
  <si>
    <t>Equity Value</t>
  </si>
  <si>
    <t>EV</t>
  </si>
  <si>
    <t>Equity Value/Share</t>
  </si>
  <si>
    <t>Sensitivity Analysis</t>
  </si>
  <si>
    <t>Share Price Senstivity</t>
  </si>
  <si>
    <t>Revenue Growth</t>
  </si>
  <si>
    <t>Exit Multiple</t>
  </si>
  <si>
    <t>Revenue</t>
  </si>
  <si>
    <t>COGS</t>
  </si>
  <si>
    <t>Change</t>
  </si>
  <si>
    <t>$/Share</t>
  </si>
  <si>
    <t>Assumption</t>
  </si>
  <si>
    <t>-10% Δ</t>
  </si>
  <si>
    <t>+10% Δ</t>
  </si>
  <si>
    <t>Rank</t>
  </si>
  <si>
    <t>ABS</t>
  </si>
  <si>
    <t>Output</t>
  </si>
  <si>
    <t>Driver</t>
  </si>
  <si>
    <t>Pos</t>
  </si>
  <si>
    <t>Neg</t>
  </si>
  <si>
    <t>Impact on Share Price By Change in Assumption</t>
  </si>
  <si>
    <t>Cases</t>
  </si>
  <si>
    <t>Capital Expenditures ($000's)</t>
  </si>
  <si>
    <t>Debt Issuance (Repayment) ($000's)</t>
  </si>
  <si>
    <t>Equity Issued (Repaid) ($000's)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</si>
</sst>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-* #,##0_-;\(#,##0\)_-;_-* &quot;-&quot;_-;_-@"/>
    <numFmt numFmtId="165" formatCode="[$£-809]#,##0.00"/>
    <numFmt numFmtId="166" formatCode="0.0%"/>
    <numFmt numFmtId="167" formatCode="_(* #,##0_);_(* \(#,##0\);_(* &quot;-&quot;??_);_(@_)"/>
    <numFmt numFmtId="168" formatCode="_-* #,##0_-;\-* #,##0_-;_-* &quot;-&quot;??_-;_-@"/>
    <numFmt numFmtId="169" formatCode="0.0000_ ;\-0.0000\ "/>
    <numFmt numFmtId="170" formatCode="_(* #,##0.00_);_(* \(#,##0.00\);_(* &quot;-&quot;??_);_(@_)"/>
    <numFmt numFmtId="171" formatCode="0.0\x"/>
    <numFmt numFmtId="172" formatCode="D/M/YYYY"/>
    <numFmt numFmtId="173" formatCode="_-* #,##0.00_-;\-* #,##0.00_-;_-* &quot;-&quot;??_-;_-@"/>
    <numFmt numFmtId="174" formatCode="_-* #,##0.00_-;\(#,##0.00\)_-;_-* &quot;-&quot;_-;_-@"/>
    <numFmt numFmtId="175" formatCode="&quot;+&quot;0.0%;&quot;-&quot;0.0%;0.0%"/>
  </numFmts>
  <fonts count="28">
    <font>
      <sz val="11.0"/>
      <color theme="1"/>
      <name val="Calibri"/>
      <scheme val="minor"/>
    </font>
    <font>
      <sz val="11.0"/>
      <color theme="1"/>
      <name val="Arial Narrow"/>
    </font>
    <font>
      <b/>
      <i/>
      <sz val="36.0"/>
      <color theme="1"/>
      <name val="Arial Narrow"/>
    </font>
    <font>
      <b/>
      <sz val="11.0"/>
      <color theme="1"/>
      <name val="Arial Narrow"/>
    </font>
    <font>
      <sz val="24.0"/>
      <color theme="1"/>
      <name val="Arial Narrow"/>
    </font>
    <font>
      <b/>
      <i/>
      <sz val="24.0"/>
      <color theme="1"/>
      <name val="Arial Narrow"/>
    </font>
    <font>
      <sz val="12.0"/>
      <color theme="1"/>
      <name val="Arial Narrow"/>
    </font>
    <font>
      <u/>
      <sz val="12.0"/>
      <color rgb="FF0000FF"/>
      <name val="Calibri"/>
    </font>
    <font>
      <u/>
      <sz val="12.0"/>
      <color rgb="FF0000FF"/>
      <name val="Calibri"/>
    </font>
    <font>
      <sz val="16.0"/>
      <color theme="1"/>
      <name val="Arial Narrow"/>
    </font>
    <font>
      <u/>
      <sz val="16.0"/>
      <color rgb="FF132E57"/>
      <name val="Arial"/>
    </font>
    <font>
      <u/>
      <sz val="10.0"/>
      <color rgb="FF132E57"/>
      <name val="Arial"/>
    </font>
    <font>
      <sz val="11.0"/>
      <color theme="0"/>
      <name val="Arial Narrow"/>
    </font>
    <font>
      <i/>
      <sz val="36.0"/>
      <color theme="0"/>
      <name val="Arial Narrow"/>
    </font>
    <font>
      <u/>
      <sz val="10.0"/>
      <color theme="1"/>
      <name val="Arial"/>
    </font>
    <font>
      <i/>
      <sz val="8.0"/>
      <color theme="0"/>
      <name val="Arial Narrow"/>
    </font>
    <font>
      <b/>
      <sz val="12.0"/>
      <color theme="0"/>
      <name val="Arial Narrow"/>
    </font>
    <font/>
    <font>
      <b/>
      <sz val="16.0"/>
      <color theme="0"/>
      <name val="Arial Narrow"/>
    </font>
    <font>
      <b/>
      <sz val="14.0"/>
      <color theme="0"/>
      <name val="Arial Narrow"/>
    </font>
    <font>
      <sz val="14.0"/>
      <color theme="1"/>
      <name val="Arial Narrow"/>
    </font>
    <font>
      <i/>
      <sz val="12.0"/>
      <color theme="1"/>
      <name val="Arial Narrow"/>
    </font>
    <font>
      <sz val="12.0"/>
      <color rgb="FF0000FF"/>
      <name val="Arial Narrow"/>
    </font>
    <font>
      <b/>
      <sz val="12.0"/>
      <color theme="1"/>
      <name val="Arial Narrow"/>
    </font>
    <font>
      <b/>
      <sz val="12.0"/>
      <color rgb="FF0000FF"/>
      <name val="Arial Narrow"/>
    </font>
    <font>
      <sz val="11.0"/>
      <color theme="1"/>
      <name val="Calibri"/>
    </font>
    <font>
      <sz val="12.0"/>
      <color theme="0"/>
      <name val="Arial Narrow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D942D"/>
        <bgColor rgb="FFED942D"/>
      </patternFill>
    </fill>
    <fill>
      <patternFill patternType="solid">
        <fgColor theme="0"/>
        <bgColor theme="0"/>
      </patternFill>
    </fill>
    <fill>
      <patternFill patternType="solid">
        <fgColor rgb="FF132E57"/>
        <bgColor rgb="FF132E57"/>
      </patternFill>
    </fill>
    <fill>
      <patternFill patternType="solid">
        <fgColor rgb="FF1E8496"/>
        <bgColor rgb="FF1E8496"/>
      </patternFill>
    </fill>
    <fill>
      <patternFill patternType="solid">
        <fgColor rgb="FFF2F2F2"/>
        <bgColor rgb="FFF2F2F2"/>
      </patternFill>
    </fill>
    <fill>
      <patternFill patternType="solid">
        <fgColor rgb="FFF9FAFA"/>
        <bgColor rgb="FFF9FAFA"/>
      </patternFill>
    </fill>
    <fill>
      <patternFill patternType="solid">
        <fgColor rgb="FFF4F5F5"/>
        <bgColor rgb="FFF4F5F5"/>
      </patternFill>
    </fill>
    <fill>
      <patternFill patternType="solid">
        <fgColor rgb="FFD8D8D8"/>
        <bgColor rgb="FFD8D8D8"/>
      </patternFill>
    </fill>
  </fills>
  <borders count="13">
    <border/>
    <border>
      <left/>
      <right/>
      <top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2" numFmtId="0" xfId="0" applyFont="1"/>
    <xf borderId="1" fillId="3" fontId="1" numFmtId="0" xfId="0" applyBorder="1" applyFill="1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5" numFmtId="0" xfId="0" applyFont="1"/>
    <xf borderId="0" fillId="0" fontId="6" numFmtId="0" xfId="0" applyFont="1"/>
    <xf borderId="2" fillId="0" fontId="7" numFmtId="0" xfId="0" applyBorder="1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1" fillId="3" fontId="12" numFmtId="0" xfId="0" applyBorder="1" applyFont="1"/>
    <xf borderId="1" fillId="4" fontId="12" numFmtId="0" xfId="0" applyBorder="1" applyFill="1" applyFont="1"/>
    <xf borderId="1" fillId="4" fontId="13" numFmtId="0" xfId="0" applyBorder="1" applyFont="1"/>
    <xf borderId="0" fillId="0" fontId="14" numFmtId="0" xfId="0" applyFont="1"/>
    <xf borderId="1" fillId="4" fontId="15" numFmtId="164" xfId="0" applyBorder="1" applyFont="1" applyNumberFormat="1"/>
    <xf borderId="1" fillId="4" fontId="6" numFmtId="164" xfId="0" applyBorder="1" applyFont="1" applyNumberFormat="1"/>
    <xf borderId="1" fillId="4" fontId="6" numFmtId="164" xfId="0" applyAlignment="1" applyBorder="1" applyFont="1" applyNumberFormat="1">
      <alignment horizontal="center"/>
    </xf>
    <xf borderId="3" fillId="5" fontId="16" numFmtId="164" xfId="0" applyAlignment="1" applyBorder="1" applyFill="1" applyFont="1" applyNumberFormat="1">
      <alignment horizontal="center"/>
    </xf>
    <xf borderId="4" fillId="0" fontId="17" numFmtId="0" xfId="0" applyBorder="1" applyFont="1"/>
    <xf borderId="5" fillId="0" fontId="17" numFmtId="0" xfId="0" applyBorder="1" applyFont="1"/>
    <xf borderId="3" fillId="4" fontId="16" numFmtId="164" xfId="0" applyAlignment="1" applyBorder="1" applyFont="1" applyNumberFormat="1">
      <alignment horizontal="center"/>
    </xf>
    <xf borderId="0" fillId="0" fontId="6" numFmtId="164" xfId="0" applyFont="1" applyNumberFormat="1"/>
    <xf borderId="1" fillId="4" fontId="18" numFmtId="164" xfId="0" applyBorder="1" applyFont="1" applyNumberFormat="1"/>
    <xf borderId="1" fillId="4" fontId="19" numFmtId="164" xfId="0" applyBorder="1" applyFont="1" applyNumberFormat="1"/>
    <xf borderId="1" fillId="4" fontId="19" numFmtId="164" xfId="0" applyAlignment="1" applyBorder="1" applyFont="1" applyNumberFormat="1">
      <alignment horizontal="center"/>
    </xf>
    <xf borderId="1" fillId="5" fontId="19" numFmtId="0" xfId="0" applyBorder="1" applyFont="1"/>
    <xf borderId="1" fillId="4" fontId="19" numFmtId="0" xfId="0" applyBorder="1" applyFont="1"/>
    <xf borderId="0" fillId="0" fontId="20" numFmtId="164" xfId="0" applyFont="1" applyNumberFormat="1"/>
    <xf borderId="0" fillId="0" fontId="6" numFmtId="164" xfId="0" applyAlignment="1" applyFont="1" applyNumberFormat="1">
      <alignment horizontal="center"/>
    </xf>
    <xf borderId="0" fillId="0" fontId="21" numFmtId="164" xfId="0" applyAlignment="1" applyFont="1" applyNumberFormat="1">
      <alignment horizontal="right"/>
    </xf>
    <xf borderId="6" fillId="6" fontId="21" numFmtId="164" xfId="0" applyAlignment="1" applyBorder="1" applyFill="1" applyFont="1" applyNumberFormat="1">
      <alignment horizontal="right" readingOrder="0"/>
    </xf>
    <xf borderId="1" fillId="6" fontId="21" numFmtId="165" xfId="0" applyAlignment="1" applyBorder="1" applyFont="1" applyNumberFormat="1">
      <alignment horizontal="right"/>
    </xf>
    <xf borderId="1" fillId="2" fontId="18" numFmtId="164" xfId="0" applyBorder="1" applyFont="1" applyNumberFormat="1"/>
    <xf borderId="0" fillId="0" fontId="22" numFmtId="164" xfId="0" applyFont="1" applyNumberFormat="1"/>
    <xf borderId="0" fillId="0" fontId="23" numFmtId="164" xfId="0" applyFont="1" applyNumberFormat="1"/>
    <xf borderId="0" fillId="0" fontId="23" numFmtId="9" xfId="0" applyFont="1" applyNumberFormat="1"/>
    <xf borderId="0" fillId="0" fontId="6" numFmtId="10" xfId="0" applyFont="1" applyNumberFormat="1"/>
    <xf borderId="2" fillId="0" fontId="6" numFmtId="164" xfId="0" applyBorder="1" applyFont="1" applyNumberFormat="1"/>
    <xf borderId="2" fillId="0" fontId="23" numFmtId="164" xfId="0" applyBorder="1" applyFont="1" applyNumberFormat="1"/>
    <xf borderId="2" fillId="0" fontId="23" numFmtId="164" xfId="0" applyAlignment="1" applyBorder="1" applyFont="1" applyNumberFormat="1">
      <alignment horizontal="center"/>
    </xf>
    <xf borderId="2" fillId="0" fontId="6" numFmtId="166" xfId="0" applyBorder="1" applyFont="1" applyNumberFormat="1"/>
    <xf borderId="7" fillId="7" fontId="24" numFmtId="166" xfId="0" applyBorder="1" applyFill="1" applyFont="1" applyNumberFormat="1"/>
    <xf borderId="0" fillId="0" fontId="6" numFmtId="166" xfId="0" applyFont="1" applyNumberFormat="1"/>
    <xf borderId="0" fillId="0" fontId="22" numFmtId="166" xfId="0" applyFont="1" applyNumberFormat="1"/>
    <xf borderId="0" fillId="0" fontId="21" numFmtId="164" xfId="0" applyFont="1" applyNumberFormat="1"/>
    <xf borderId="0" fillId="0" fontId="21" numFmtId="164" xfId="0" applyAlignment="1" applyFont="1" applyNumberFormat="1">
      <alignment horizontal="center"/>
    </xf>
    <xf borderId="0" fillId="0" fontId="22" numFmtId="9" xfId="0" applyAlignment="1" applyFont="1" applyNumberFormat="1">
      <alignment horizontal="center"/>
    </xf>
    <xf borderId="0" fillId="0" fontId="6" numFmtId="164" xfId="0" applyAlignment="1" applyFont="1" applyNumberFormat="1">
      <alignment readingOrder="0"/>
    </xf>
    <xf borderId="2" fillId="0" fontId="22" numFmtId="166" xfId="0" applyBorder="1" applyFont="1" applyNumberFormat="1"/>
    <xf borderId="0" fillId="0" fontId="23" numFmtId="164" xfId="0" applyAlignment="1" applyFont="1" applyNumberFormat="1">
      <alignment horizontal="center"/>
    </xf>
    <xf borderId="0" fillId="0" fontId="24" numFmtId="164" xfId="0" applyFont="1" applyNumberFormat="1"/>
    <xf borderId="0" fillId="0" fontId="6" numFmtId="167" xfId="0" applyFont="1" applyNumberFormat="1"/>
    <xf borderId="0" fillId="0" fontId="24" numFmtId="9" xfId="0" applyFont="1" applyNumberFormat="1"/>
    <xf borderId="8" fillId="0" fontId="6" numFmtId="164" xfId="0" applyBorder="1" applyFont="1" applyNumberFormat="1"/>
    <xf borderId="8" fillId="0" fontId="6" numFmtId="164" xfId="0" applyAlignment="1" applyBorder="1" applyFont="1" applyNumberFormat="1">
      <alignment horizontal="center"/>
    </xf>
    <xf borderId="8" fillId="0" fontId="22" numFmtId="164" xfId="0" applyBorder="1" applyFont="1" applyNumberFormat="1"/>
    <xf borderId="9" fillId="0" fontId="23" numFmtId="164" xfId="0" applyBorder="1" applyFont="1" applyNumberFormat="1"/>
    <xf borderId="9" fillId="0" fontId="23" numFmtId="164" xfId="0" applyAlignment="1" applyBorder="1" applyFont="1" applyNumberFormat="1">
      <alignment horizontal="center"/>
    </xf>
    <xf borderId="0" fillId="0" fontId="25" numFmtId="0" xfId="0" applyFont="1"/>
    <xf borderId="0" fillId="0" fontId="6" numFmtId="168" xfId="0" applyFont="1" applyNumberFormat="1"/>
    <xf borderId="10" fillId="0" fontId="23" numFmtId="164" xfId="0" applyBorder="1" applyFont="1" applyNumberFormat="1"/>
    <xf borderId="10" fillId="0" fontId="23" numFmtId="164" xfId="0" applyAlignment="1" applyBorder="1" applyFont="1" applyNumberFormat="1">
      <alignment horizontal="center"/>
    </xf>
    <xf borderId="0" fillId="0" fontId="21" numFmtId="169" xfId="0" applyFont="1" applyNumberFormat="1"/>
    <xf borderId="0" fillId="0" fontId="21" numFmtId="169" xfId="0" applyAlignment="1" applyFont="1" applyNumberFormat="1">
      <alignment horizontal="center"/>
    </xf>
    <xf borderId="2" fillId="0" fontId="6" numFmtId="164" xfId="0" applyAlignment="1" applyBorder="1" applyFont="1" applyNumberFormat="1">
      <alignment horizontal="center"/>
    </xf>
    <xf borderId="0" fillId="0" fontId="6" numFmtId="170" xfId="0" applyFont="1" applyNumberFormat="1"/>
    <xf borderId="2" fillId="0" fontId="22" numFmtId="164" xfId="0" applyBorder="1" applyFont="1" applyNumberFormat="1"/>
    <xf borderId="2" fillId="0" fontId="22" numFmtId="9" xfId="0" applyAlignment="1" applyBorder="1" applyFont="1" applyNumberFormat="1">
      <alignment horizontal="right"/>
    </xf>
    <xf borderId="0" fillId="0" fontId="22" numFmtId="9" xfId="0" applyAlignment="1" applyFont="1" applyNumberFormat="1">
      <alignment horizontal="right"/>
    </xf>
    <xf borderId="1" fillId="7" fontId="22" numFmtId="171" xfId="0" applyAlignment="1" applyBorder="1" applyFont="1" applyNumberFormat="1">
      <alignment horizontal="right"/>
    </xf>
    <xf borderId="0" fillId="0" fontId="22" numFmtId="172" xfId="0" applyFont="1" applyNumberFormat="1"/>
    <xf borderId="0" fillId="0" fontId="22" numFmtId="173" xfId="0" applyAlignment="1" applyFont="1" applyNumberFormat="1">
      <alignment horizontal="right"/>
    </xf>
    <xf borderId="0" fillId="0" fontId="22" numFmtId="168" xfId="0" applyAlignment="1" applyFont="1" applyNumberFormat="1">
      <alignment horizontal="right"/>
    </xf>
    <xf borderId="0" fillId="0" fontId="23" numFmtId="164" xfId="0" applyAlignment="1" applyFont="1" applyNumberFormat="1">
      <alignment horizontal="right"/>
    </xf>
    <xf borderId="0" fillId="0" fontId="23" numFmtId="0" xfId="0" applyFont="1"/>
    <xf borderId="2" fillId="0" fontId="21" numFmtId="172" xfId="0" applyBorder="1" applyFont="1" applyNumberFormat="1"/>
    <xf borderId="7" fillId="6" fontId="6" numFmtId="164" xfId="0" applyBorder="1" applyFont="1" applyNumberFormat="1"/>
    <xf borderId="0" fillId="0" fontId="21" numFmtId="172" xfId="0" applyFont="1" applyNumberFormat="1"/>
    <xf borderId="2" fillId="0" fontId="6" numFmtId="167" xfId="0" applyBorder="1" applyFont="1" applyNumberFormat="1"/>
    <xf borderId="0" fillId="0" fontId="6" numFmtId="9" xfId="0" applyFont="1" applyNumberFormat="1"/>
    <xf borderId="2" fillId="0" fontId="6" numFmtId="9" xfId="0" applyBorder="1" applyFont="1" applyNumberFormat="1"/>
    <xf borderId="2" fillId="0" fontId="6" numFmtId="173" xfId="0" applyBorder="1" applyFont="1" applyNumberFormat="1"/>
    <xf borderId="0" fillId="0" fontId="6" numFmtId="173" xfId="0" applyFont="1" applyNumberFormat="1"/>
    <xf borderId="0" fillId="0" fontId="6" numFmtId="174" xfId="0" applyFont="1" applyNumberFormat="1"/>
    <xf borderId="1" fillId="8" fontId="23" numFmtId="174" xfId="0" applyBorder="1" applyFill="1" applyFont="1" applyNumberFormat="1"/>
    <xf borderId="0" fillId="0" fontId="23" numFmtId="174" xfId="0" applyFont="1" applyNumberFormat="1"/>
    <xf borderId="1" fillId="5" fontId="16" numFmtId="0" xfId="0" applyBorder="1" applyFont="1"/>
    <xf borderId="1" fillId="5" fontId="26" numFmtId="0" xfId="0" applyBorder="1" applyFont="1"/>
    <xf borderId="0" fillId="0" fontId="6" numFmtId="166" xfId="0" applyAlignment="1" applyFont="1" applyNumberFormat="1">
      <alignment horizontal="right"/>
    </xf>
    <xf borderId="0" fillId="0" fontId="23" numFmtId="9" xfId="0" applyAlignment="1" applyFont="1" applyNumberFormat="1">
      <alignment horizontal="center"/>
    </xf>
    <xf borderId="0" fillId="0" fontId="26" numFmtId="174" xfId="0" applyFont="1" applyNumberFormat="1"/>
    <xf borderId="10" fillId="0" fontId="24" numFmtId="9" xfId="0" applyBorder="1" applyFont="1" applyNumberFormat="1"/>
    <xf borderId="10" fillId="0" fontId="23" numFmtId="166" xfId="0" applyBorder="1" applyFont="1" applyNumberFormat="1"/>
    <xf borderId="11" fillId="0" fontId="23" numFmtId="0" xfId="0" applyBorder="1" applyFont="1"/>
    <xf borderId="12" fillId="0" fontId="24" numFmtId="171" xfId="0" applyAlignment="1" applyBorder="1" applyFont="1" applyNumberFormat="1">
      <alignment horizontal="center"/>
    </xf>
    <xf borderId="11" fillId="0" fontId="6" numFmtId="0" xfId="0" applyBorder="1" applyFont="1"/>
    <xf borderId="12" fillId="0" fontId="23" numFmtId="171" xfId="0" applyAlignment="1" applyBorder="1" applyFont="1" applyNumberFormat="1">
      <alignment horizontal="center"/>
    </xf>
    <xf borderId="1" fillId="6" fontId="6" numFmtId="174" xfId="0" applyBorder="1" applyFont="1" applyNumberFormat="1"/>
    <xf borderId="1" fillId="9" fontId="6" numFmtId="174" xfId="0" applyBorder="1" applyFill="1" applyFont="1" applyNumberFormat="1"/>
    <xf borderId="0" fillId="0" fontId="6" numFmtId="171" xfId="0" applyAlignment="1" applyFont="1" applyNumberFormat="1">
      <alignment horizontal="center"/>
    </xf>
    <xf borderId="1" fillId="5" fontId="16" numFmtId="164" xfId="0" applyBorder="1" applyFont="1" applyNumberFormat="1"/>
    <xf borderId="1" fillId="5" fontId="26" numFmtId="164" xfId="0" applyBorder="1" applyFont="1" applyNumberFormat="1"/>
    <xf borderId="0" fillId="0" fontId="22" numFmtId="175" xfId="0" applyAlignment="1" applyFont="1" applyNumberFormat="1">
      <alignment horizontal="center"/>
    </xf>
    <xf borderId="0" fillId="0" fontId="6" numFmtId="39" xfId="0" applyAlignment="1" applyFont="1" applyNumberFormat="1">
      <alignment horizontal="center"/>
    </xf>
    <xf borderId="0" fillId="0" fontId="6" numFmtId="175" xfId="0" applyAlignment="1" applyFont="1" applyNumberFormat="1">
      <alignment horizontal="center"/>
    </xf>
    <xf borderId="0" fillId="0" fontId="23" numFmtId="166" xfId="0" applyFont="1" applyNumberFormat="1"/>
    <xf borderId="1" fillId="5" fontId="16" numFmtId="166" xfId="0" applyBorder="1" applyFont="1" applyNumberFormat="1"/>
    <xf quotePrefix="1" borderId="1" fillId="5" fontId="16" numFmtId="9" xfId="0" applyAlignment="1" applyBorder="1" applyFont="1" applyNumberFormat="1">
      <alignment horizontal="center"/>
    </xf>
    <xf borderId="1" fillId="5" fontId="16" numFmtId="164" xfId="0" applyAlignment="1" applyBorder="1" applyFont="1" applyNumberFormat="1">
      <alignment horizontal="right"/>
    </xf>
    <xf borderId="1" fillId="5" fontId="16" numFmtId="166" xfId="0" applyAlignment="1" applyBorder="1" applyFont="1" applyNumberFormat="1">
      <alignment horizontal="right"/>
    </xf>
    <xf borderId="1" fillId="5" fontId="16" numFmtId="0" xfId="0" applyAlignment="1" applyBorder="1" applyFont="1">
      <alignment horizontal="left"/>
    </xf>
    <xf borderId="1" fillId="5" fontId="26" numFmtId="0" xfId="0" applyAlignment="1" applyBorder="1" applyFont="1">
      <alignment horizontal="left"/>
    </xf>
    <xf borderId="1" fillId="5" fontId="16" numFmtId="0" xfId="0" applyAlignment="1" applyBorder="1" applyFont="1">
      <alignment horizontal="right"/>
    </xf>
    <xf borderId="0" fillId="0" fontId="6" numFmtId="9" xfId="0" applyAlignment="1" applyFont="1" applyNumberFormat="1">
      <alignment horizontal="center"/>
    </xf>
    <xf borderId="0" fillId="0" fontId="6" numFmtId="164" xfId="0" applyAlignment="1" applyFont="1" applyNumberFormat="1">
      <alignment horizontal="right"/>
    </xf>
    <xf borderId="0" fillId="0" fontId="6" numFmtId="9" xfId="0" applyAlignment="1" applyFont="1" applyNumberFormat="1">
      <alignment horizontal="right"/>
    </xf>
    <xf borderId="0" fillId="0" fontId="6" numFmtId="164" xfId="0" applyAlignment="1" applyFont="1" applyNumberFormat="1">
      <alignment horizontal="left"/>
    </xf>
    <xf borderId="3" fillId="5" fontId="16" numFmtId="166" xfId="0" applyAlignment="1" applyBorder="1" applyFont="1" applyNumberFormat="1">
      <alignment horizontal="center"/>
    </xf>
    <xf borderId="0" fillId="0" fontId="27" numFmtId="0" xfId="0" applyFont="1"/>
    <xf borderId="2" fillId="0" fontId="22" numFmtId="168" xfId="0" applyBorder="1" applyFont="1" applyNumberFormat="1"/>
    <xf borderId="0" fillId="0" fontId="22" numFmtId="168" xfId="0" applyFont="1" applyNumberFormat="1"/>
  </cellXfs>
  <cellStyles count="1">
    <cellStyle xfId="0" name="Normal" builtinId="0"/>
  </cellStyles>
  <dxfs count="2">
    <dxf>
      <font>
        <color rgb="FF006100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'DCF &amp; Sensitivity Model'!$H$221</c:f>
            </c:strRef>
          </c:tx>
          <c:val>
            <c:numRef>
              <c:f>'DCF &amp; Sensitivity Model'!$H$222:$H$225</c:f>
              <c:numCache/>
            </c:numRef>
          </c:val>
        </c:ser>
        <c:ser>
          <c:idx val="1"/>
          <c:order val="1"/>
          <c:tx>
            <c:strRef>
              <c:f>'DCF &amp; Sensitivity Model'!$J$221</c:f>
            </c:strRef>
          </c:tx>
          <c:val>
            <c:numRef>
              <c:f>'DCF &amp; Sensitivity Model'!$J$222:$J$225</c:f>
              <c:numCache/>
            </c:numRef>
          </c:val>
        </c:ser>
        <c:ser>
          <c:idx val="2"/>
          <c:order val="2"/>
          <c:tx>
            <c:strRef>
              <c:f>'DCF &amp; Sensitivity Model'!$K$221</c:f>
            </c:strRef>
          </c:tx>
          <c:val>
            <c:numRef>
              <c:f>'DCF &amp; Sensitivity Model'!$K$222:$K$225</c:f>
              <c:numCache/>
            </c:numRef>
          </c:val>
        </c:ser>
        <c:overlap val="100"/>
        <c:axId val="515358208"/>
        <c:axId val="724769749"/>
      </c:barChart>
      <c:catAx>
        <c:axId val="5153582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724769749"/>
      </c:catAx>
      <c:valAx>
        <c:axId val="72476974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515358208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228</xdr:row>
      <xdr:rowOff>66675</xdr:rowOff>
    </xdr:from>
    <xdr:ext cx="6210300" cy="2590800"/>
    <xdr:graphicFrame>
      <xdr:nvGraphicFramePr>
        <xdr:cNvPr id="914472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E6E7E8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1.0"/>
    <col customWidth="1" min="3" max="3" width="29.29"/>
    <col customWidth="1" min="4" max="13" width="11.0"/>
    <col customWidth="1" min="14" max="14" width="13.29"/>
    <col customWidth="1" min="15" max="15" width="11.0"/>
    <col customWidth="1" min="16" max="26" width="9.29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hidden="1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hidden="1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88.5" customHeight="1">
      <c r="A9" s="1"/>
      <c r="B9" s="2"/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2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5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6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0" customHeight="1">
      <c r="A14" s="1"/>
      <c r="B14" s="6"/>
      <c r="C14" s="7" t="s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8"/>
      <c r="C15" s="9" t="s">
        <v>2</v>
      </c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8"/>
      <c r="C16" s="10" t="s">
        <v>3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1"/>
      <c r="C17" s="1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2"/>
      <c r="C18" s="1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2"/>
      <c r="C19" s="1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70.5" customHeight="1">
      <c r="A21" s="1"/>
      <c r="B21" s="2"/>
      <c r="C21" s="15"/>
      <c r="D21" s="15"/>
      <c r="E21" s="15"/>
      <c r="F21" s="15"/>
      <c r="G21" s="16" t="s">
        <v>4</v>
      </c>
      <c r="H21" s="15"/>
      <c r="I21" s="15"/>
      <c r="J21" s="15"/>
      <c r="K21" s="15"/>
      <c r="L21" s="15"/>
      <c r="M21" s="15"/>
      <c r="N21" s="15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2"/>
      <c r="C23" s="1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2"/>
      <c r="C24" s="1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60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display="DCF &amp; Sensitivity Model" location="'DCF &amp; Sensitivity Model'!A1" ref="C15"/>
    <hyperlink display="Additional Assumptions" location="'Additional Assumptions'!A1" ref="C16"/>
  </hyperlinks>
  <printOptions/>
  <pageMargins bottom="0.75" footer="0.0" header="0.0" left="0.7" right="0.7" top="0.75"/>
  <pageSetup scale="9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 outlineLevelRow="1"/>
  <cols>
    <col customWidth="1" min="1" max="1" width="12.71"/>
    <col customWidth="1" min="2" max="2" width="12.29"/>
    <col customWidth="1" min="3" max="3" width="11.29"/>
    <col customWidth="1" min="4" max="13" width="11.71"/>
    <col customWidth="1" min="14" max="26" width="9.29"/>
  </cols>
  <sheetData>
    <row r="1">
      <c r="A1" s="18" t="s">
        <v>4</v>
      </c>
      <c r="B1" s="19"/>
      <c r="C1" s="20"/>
      <c r="D1" s="21" t="s">
        <v>5</v>
      </c>
      <c r="E1" s="22"/>
      <c r="F1" s="22"/>
      <c r="G1" s="22"/>
      <c r="H1" s="23"/>
      <c r="I1" s="24" t="s">
        <v>6</v>
      </c>
      <c r="J1" s="22"/>
      <c r="K1" s="22"/>
      <c r="L1" s="22"/>
      <c r="M1" s="23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21.0" customHeight="1">
      <c r="A2" s="26" t="s">
        <v>7</v>
      </c>
      <c r="B2" s="27"/>
      <c r="C2" s="28"/>
      <c r="D2" s="29">
        <v>2013.0</v>
      </c>
      <c r="E2" s="29">
        <f t="shared" ref="E2:M2" si="1">+D2+1</f>
        <v>2014</v>
      </c>
      <c r="F2" s="29">
        <f t="shared" si="1"/>
        <v>2015</v>
      </c>
      <c r="G2" s="29">
        <f t="shared" si="1"/>
        <v>2016</v>
      </c>
      <c r="H2" s="29">
        <f t="shared" si="1"/>
        <v>2017</v>
      </c>
      <c r="I2" s="30">
        <f t="shared" si="1"/>
        <v>2018</v>
      </c>
      <c r="J2" s="30">
        <f t="shared" si="1"/>
        <v>2019</v>
      </c>
      <c r="K2" s="30">
        <f t="shared" si="1"/>
        <v>2020</v>
      </c>
      <c r="L2" s="30">
        <f t="shared" si="1"/>
        <v>2021</v>
      </c>
      <c r="M2" s="30">
        <f t="shared" si="1"/>
        <v>2022</v>
      </c>
      <c r="N2" s="31"/>
      <c r="O2" s="31"/>
      <c r="P2" s="31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 t="s">
        <v>8</v>
      </c>
      <c r="B3" s="25"/>
      <c r="C3" s="32"/>
      <c r="D3" s="33" t="str">
        <f t="shared" ref="D3:M3" si="2">IFERROR(IF(ABS(D105)&gt;1,"ERROR","OK"),"OK")</f>
        <v>OK</v>
      </c>
      <c r="E3" s="33" t="str">
        <f t="shared" si="2"/>
        <v>OK</v>
      </c>
      <c r="F3" s="33" t="str">
        <f t="shared" si="2"/>
        <v>OK</v>
      </c>
      <c r="G3" s="33" t="str">
        <f t="shared" si="2"/>
        <v>OK</v>
      </c>
      <c r="H3" s="33" t="str">
        <f t="shared" si="2"/>
        <v>OK</v>
      </c>
      <c r="I3" s="33" t="str">
        <f t="shared" si="2"/>
        <v>OK</v>
      </c>
      <c r="J3" s="33" t="str">
        <f t="shared" si="2"/>
        <v>OK</v>
      </c>
      <c r="K3" s="33" t="str">
        <f t="shared" si="2"/>
        <v>OK</v>
      </c>
      <c r="L3" s="33" t="str">
        <f t="shared" si="2"/>
        <v>OK</v>
      </c>
      <c r="M3" s="33" t="str">
        <f t="shared" si="2"/>
        <v>OK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/>
      <c r="B4" s="25"/>
      <c r="C4" s="32"/>
      <c r="D4" s="33"/>
      <c r="E4" s="33"/>
      <c r="F4" s="33"/>
      <c r="G4" s="33"/>
      <c r="H4" s="33" t="s">
        <v>9</v>
      </c>
      <c r="I4" s="34">
        <v>1.0</v>
      </c>
      <c r="J4" s="33"/>
      <c r="K4" s="33" t="s">
        <v>10</v>
      </c>
      <c r="L4" s="35">
        <f>C197</f>
        <v>34.85354095</v>
      </c>
      <c r="M4" s="33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/>
      <c r="B5" s="25"/>
      <c r="C5" s="32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6" t="s">
        <v>11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outlineLevel="1">
      <c r="A7" s="25"/>
      <c r="B7" s="25"/>
      <c r="C7" s="32"/>
      <c r="D7" s="25"/>
      <c r="E7" s="25"/>
      <c r="F7" s="25"/>
      <c r="G7" s="25"/>
      <c r="H7" s="25"/>
      <c r="I7" s="37"/>
      <c r="J7" s="37"/>
      <c r="K7" s="37"/>
      <c r="L7" s="37"/>
      <c r="M7" s="37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outlineLevel="1">
      <c r="A8" s="38" t="s">
        <v>12</v>
      </c>
      <c r="B8" s="25"/>
      <c r="C8" s="32"/>
      <c r="D8" s="25"/>
      <c r="E8" s="25"/>
      <c r="F8" s="25"/>
      <c r="G8" s="25"/>
      <c r="H8" s="39"/>
      <c r="I8" s="40"/>
      <c r="J8" s="40"/>
      <c r="K8" s="40"/>
      <c r="L8" s="40"/>
      <c r="M8" s="40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outlineLevel="1">
      <c r="A9" s="41" t="s">
        <v>13</v>
      </c>
      <c r="B9" s="42"/>
      <c r="C9" s="43"/>
      <c r="D9" s="42"/>
      <c r="E9" s="44"/>
      <c r="F9" s="44"/>
      <c r="G9" s="44"/>
      <c r="H9" s="44"/>
      <c r="I9" s="45">
        <v>0.1</v>
      </c>
      <c r="J9" s="44">
        <f t="shared" ref="J9:M9" si="3">I9</f>
        <v>0.1</v>
      </c>
      <c r="K9" s="44">
        <f t="shared" si="3"/>
        <v>0.1</v>
      </c>
      <c r="L9" s="44">
        <f t="shared" si="3"/>
        <v>0.1</v>
      </c>
      <c r="M9" s="44">
        <f t="shared" si="3"/>
        <v>0.1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outlineLevel="1">
      <c r="A10" s="25" t="s">
        <v>14</v>
      </c>
      <c r="B10" s="25"/>
      <c r="C10" s="32"/>
      <c r="D10" s="46"/>
      <c r="E10" s="46"/>
      <c r="F10" s="46"/>
      <c r="G10" s="46"/>
      <c r="H10" s="46"/>
      <c r="I10" s="47">
        <v>0.42</v>
      </c>
      <c r="J10" s="47">
        <v>0.47</v>
      </c>
      <c r="K10" s="47">
        <v>0.5</v>
      </c>
      <c r="L10" s="47">
        <v>0.36</v>
      </c>
      <c r="M10" s="47">
        <v>0.35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outlineLevel="1">
      <c r="A11" s="25" t="s">
        <v>15</v>
      </c>
      <c r="B11" s="25"/>
      <c r="C11" s="32"/>
      <c r="D11" s="46"/>
      <c r="E11" s="46"/>
      <c r="F11" s="46"/>
      <c r="G11" s="46"/>
      <c r="H11" s="46"/>
      <c r="I11" s="47">
        <v>0.17</v>
      </c>
      <c r="J11" s="47">
        <v>0.17</v>
      </c>
      <c r="K11" s="47">
        <v>0.17</v>
      </c>
      <c r="L11" s="47">
        <v>0.17</v>
      </c>
      <c r="M11" s="47">
        <v>0.17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outlineLevel="1">
      <c r="A12" s="25" t="s">
        <v>16</v>
      </c>
      <c r="B12" s="25"/>
      <c r="C12" s="32"/>
      <c r="D12" s="25"/>
      <c r="E12" s="25"/>
      <c r="F12" s="25"/>
      <c r="G12" s="25"/>
      <c r="H12" s="25"/>
      <c r="I12" s="37">
        <v>15000.0</v>
      </c>
      <c r="J12" s="37">
        <v>15000.0</v>
      </c>
      <c r="K12" s="37">
        <v>15000.0</v>
      </c>
      <c r="L12" s="37">
        <v>15000.0</v>
      </c>
      <c r="M12" s="37">
        <v>15000.0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outlineLevel="1">
      <c r="A13" s="25" t="s">
        <v>17</v>
      </c>
      <c r="B13" s="25"/>
      <c r="C13" s="32"/>
      <c r="D13" s="46"/>
      <c r="E13" s="46"/>
      <c r="F13" s="46"/>
      <c r="G13" s="46"/>
      <c r="H13" s="46"/>
      <c r="I13" s="47">
        <v>0.35</v>
      </c>
      <c r="J13" s="47">
        <v>0.35</v>
      </c>
      <c r="K13" s="47">
        <v>0.35</v>
      </c>
      <c r="L13" s="47">
        <v>0.35</v>
      </c>
      <c r="M13" s="47">
        <v>0.35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outlineLevel="1">
      <c r="A14" s="25" t="s">
        <v>18</v>
      </c>
      <c r="B14" s="25"/>
      <c r="C14" s="32"/>
      <c r="D14" s="46"/>
      <c r="E14" s="46"/>
      <c r="F14" s="46"/>
      <c r="G14" s="46"/>
      <c r="H14" s="46"/>
      <c r="I14" s="47">
        <v>0.1</v>
      </c>
      <c r="J14" s="47">
        <v>0.1</v>
      </c>
      <c r="K14" s="47">
        <v>0.1</v>
      </c>
      <c r="L14" s="47">
        <v>0.1</v>
      </c>
      <c r="M14" s="47">
        <v>0.1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outlineLevel="1">
      <c r="A15" s="25" t="s">
        <v>19</v>
      </c>
      <c r="B15" s="48"/>
      <c r="C15" s="49"/>
      <c r="D15" s="46"/>
      <c r="E15" s="46"/>
      <c r="F15" s="46"/>
      <c r="G15" s="46"/>
      <c r="H15" s="46"/>
      <c r="I15" s="47">
        <v>0.28</v>
      </c>
      <c r="J15" s="47">
        <v>0.28</v>
      </c>
      <c r="K15" s="47">
        <v>0.28</v>
      </c>
      <c r="L15" s="47">
        <v>0.28</v>
      </c>
      <c r="M15" s="47">
        <v>0.28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outlineLevel="1">
      <c r="A16" s="25" t="s">
        <v>20</v>
      </c>
      <c r="B16" s="25"/>
      <c r="C16" s="50"/>
      <c r="D16" s="25"/>
      <c r="E16" s="25"/>
      <c r="F16" s="25"/>
      <c r="G16" s="25"/>
      <c r="H16" s="25"/>
      <c r="I16" s="37">
        <v>18.0</v>
      </c>
      <c r="J16" s="37">
        <v>18.0</v>
      </c>
      <c r="K16" s="37">
        <v>18.0</v>
      </c>
      <c r="L16" s="37">
        <v>18.0</v>
      </c>
      <c r="M16" s="37">
        <v>18.0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outlineLevel="1">
      <c r="A17" s="25" t="s">
        <v>21</v>
      </c>
      <c r="B17" s="25"/>
      <c r="C17" s="50"/>
      <c r="D17" s="25"/>
      <c r="E17" s="25"/>
      <c r="F17" s="25"/>
      <c r="G17" s="25"/>
      <c r="H17" s="25"/>
      <c r="I17" s="37">
        <v>80.0</v>
      </c>
      <c r="J17" s="37">
        <v>90.0</v>
      </c>
      <c r="K17" s="37">
        <v>100.0</v>
      </c>
      <c r="L17" s="37">
        <v>100.0</v>
      </c>
      <c r="M17" s="37">
        <v>100.0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outlineLevel="1">
      <c r="A18" s="25" t="s">
        <v>22</v>
      </c>
      <c r="B18" s="25"/>
      <c r="C18" s="50"/>
      <c r="D18" s="25"/>
      <c r="E18" s="25"/>
      <c r="F18" s="25"/>
      <c r="G18" s="25"/>
      <c r="H18" s="25"/>
      <c r="I18" s="37">
        <v>37.0</v>
      </c>
      <c r="J18" s="37">
        <v>37.0</v>
      </c>
      <c r="K18" s="37">
        <v>37.0</v>
      </c>
      <c r="L18" s="37">
        <v>37.0</v>
      </c>
      <c r="M18" s="37">
        <v>37.0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outlineLevel="1">
      <c r="A19" s="51" t="s">
        <v>23</v>
      </c>
      <c r="B19" s="25"/>
      <c r="C19" s="32"/>
      <c r="D19" s="25"/>
      <c r="E19" s="25"/>
      <c r="F19" s="25"/>
      <c r="G19" s="25"/>
      <c r="H19" s="25"/>
      <c r="I19" s="37">
        <v>15000.0</v>
      </c>
      <c r="J19" s="37">
        <v>15000.0</v>
      </c>
      <c r="K19" s="37">
        <v>15000.0</v>
      </c>
      <c r="L19" s="37">
        <v>15000.0</v>
      </c>
      <c r="M19" s="37">
        <v>15000.0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outlineLevel="1">
      <c r="A20" s="51" t="s">
        <v>24</v>
      </c>
      <c r="B20" s="25"/>
      <c r="C20" s="32"/>
      <c r="D20" s="25"/>
      <c r="E20" s="25"/>
      <c r="F20" s="25"/>
      <c r="G20" s="25"/>
      <c r="H20" s="25"/>
      <c r="I20" s="37">
        <v>0.0</v>
      </c>
      <c r="J20" s="37">
        <v>0.0</v>
      </c>
      <c r="K20" s="37">
        <v>-20000.0</v>
      </c>
      <c r="L20" s="37">
        <v>0.0</v>
      </c>
      <c r="M20" s="37">
        <v>0.0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outlineLevel="1">
      <c r="A21" s="51" t="s">
        <v>25</v>
      </c>
      <c r="B21" s="25"/>
      <c r="C21" s="32"/>
      <c r="D21" s="25"/>
      <c r="E21" s="25"/>
      <c r="F21" s="25"/>
      <c r="G21" s="25"/>
      <c r="H21" s="25"/>
      <c r="I21" s="37">
        <v>0.0</v>
      </c>
      <c r="J21" s="37">
        <v>0.0</v>
      </c>
      <c r="K21" s="37">
        <v>0.0</v>
      </c>
      <c r="L21" s="37">
        <v>0.0</v>
      </c>
      <c r="M21" s="37">
        <v>0.0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outlineLevel="1">
      <c r="A22" s="25"/>
      <c r="B22" s="25"/>
      <c r="C22" s="32"/>
      <c r="D22" s="25"/>
      <c r="E22" s="25"/>
      <c r="F22" s="25"/>
      <c r="G22" s="25"/>
      <c r="H22" s="25"/>
      <c r="I22" s="37"/>
      <c r="J22" s="37"/>
      <c r="K22" s="37"/>
      <c r="L22" s="37"/>
      <c r="M22" s="37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outlineLevel="1">
      <c r="A23" s="38" t="s">
        <v>26</v>
      </c>
      <c r="B23" s="25"/>
      <c r="C23" s="32"/>
      <c r="D23" s="25"/>
      <c r="E23" s="25"/>
      <c r="F23" s="25"/>
      <c r="G23" s="25"/>
      <c r="H23" s="39"/>
      <c r="I23" s="40"/>
      <c r="J23" s="40"/>
      <c r="K23" s="40"/>
      <c r="L23" s="40"/>
      <c r="M23" s="40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outlineLevel="1">
      <c r="A24" s="41" t="s">
        <v>13</v>
      </c>
      <c r="B24" s="42"/>
      <c r="C24" s="43"/>
      <c r="D24" s="42"/>
      <c r="E24" s="44"/>
      <c r="F24" s="44"/>
      <c r="G24" s="44"/>
      <c r="H24" s="44"/>
      <c r="I24" s="52">
        <v>0.05</v>
      </c>
      <c r="J24" s="52">
        <v>0.045</v>
      </c>
      <c r="K24" s="52">
        <v>0.04</v>
      </c>
      <c r="L24" s="52">
        <v>0.035</v>
      </c>
      <c r="M24" s="52">
        <v>0.03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outlineLevel="1">
      <c r="A25" s="25" t="s">
        <v>14</v>
      </c>
      <c r="B25" s="25"/>
      <c r="C25" s="32"/>
      <c r="D25" s="46"/>
      <c r="E25" s="46"/>
      <c r="F25" s="46"/>
      <c r="G25" s="46"/>
      <c r="H25" s="46"/>
      <c r="I25" s="47">
        <v>0.37</v>
      </c>
      <c r="J25" s="47">
        <v>0.37</v>
      </c>
      <c r="K25" s="47">
        <v>0.36</v>
      </c>
      <c r="L25" s="47">
        <v>0.36</v>
      </c>
      <c r="M25" s="47">
        <v>0.35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outlineLevel="1">
      <c r="A26" s="25" t="s">
        <v>15</v>
      </c>
      <c r="B26" s="25"/>
      <c r="C26" s="32"/>
      <c r="D26" s="46"/>
      <c r="E26" s="46"/>
      <c r="F26" s="46"/>
      <c r="G26" s="46"/>
      <c r="H26" s="46"/>
      <c r="I26" s="47">
        <v>0.18</v>
      </c>
      <c r="J26" s="47">
        <v>0.18</v>
      </c>
      <c r="K26" s="47">
        <v>0.18</v>
      </c>
      <c r="L26" s="47">
        <v>0.18</v>
      </c>
      <c r="M26" s="47">
        <v>0.18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outlineLevel="1">
      <c r="A27" s="25" t="s">
        <v>16</v>
      </c>
      <c r="B27" s="25"/>
      <c r="C27" s="32"/>
      <c r="D27" s="25"/>
      <c r="E27" s="25"/>
      <c r="F27" s="25"/>
      <c r="G27" s="25"/>
      <c r="H27" s="25"/>
      <c r="I27" s="37">
        <v>10000.0</v>
      </c>
      <c r="J27" s="37">
        <v>10000.0</v>
      </c>
      <c r="K27" s="37">
        <v>10000.0</v>
      </c>
      <c r="L27" s="37">
        <v>10000.0</v>
      </c>
      <c r="M27" s="37">
        <v>10000.0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outlineLevel="1">
      <c r="A28" s="25" t="s">
        <v>17</v>
      </c>
      <c r="B28" s="25"/>
      <c r="C28" s="32"/>
      <c r="D28" s="46"/>
      <c r="E28" s="46"/>
      <c r="F28" s="46"/>
      <c r="G28" s="46"/>
      <c r="H28" s="46"/>
      <c r="I28" s="47">
        <v>0.4</v>
      </c>
      <c r="J28" s="47">
        <v>0.4</v>
      </c>
      <c r="K28" s="47">
        <v>0.4</v>
      </c>
      <c r="L28" s="47">
        <v>0.4</v>
      </c>
      <c r="M28" s="47">
        <v>0.4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outlineLevel="1">
      <c r="A29" s="25" t="s">
        <v>18</v>
      </c>
      <c r="B29" s="25"/>
      <c r="C29" s="32"/>
      <c r="D29" s="46"/>
      <c r="E29" s="46"/>
      <c r="F29" s="46"/>
      <c r="G29" s="46"/>
      <c r="H29" s="46"/>
      <c r="I29" s="47">
        <v>0.05</v>
      </c>
      <c r="J29" s="47">
        <v>0.05</v>
      </c>
      <c r="K29" s="47">
        <v>0.05</v>
      </c>
      <c r="L29" s="47">
        <v>0.05</v>
      </c>
      <c r="M29" s="47">
        <v>0.05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outlineLevel="1">
      <c r="A30" s="25" t="s">
        <v>19</v>
      </c>
      <c r="B30" s="48"/>
      <c r="C30" s="49"/>
      <c r="D30" s="46"/>
      <c r="E30" s="46"/>
      <c r="F30" s="46"/>
      <c r="G30" s="46"/>
      <c r="H30" s="46"/>
      <c r="I30" s="47">
        <v>0.28</v>
      </c>
      <c r="J30" s="47">
        <v>0.28</v>
      </c>
      <c r="K30" s="47">
        <v>0.28</v>
      </c>
      <c r="L30" s="47">
        <v>0.28</v>
      </c>
      <c r="M30" s="47">
        <v>0.28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outlineLevel="1">
      <c r="A31" s="25" t="s">
        <v>20</v>
      </c>
      <c r="B31" s="25"/>
      <c r="C31" s="50"/>
      <c r="D31" s="25"/>
      <c r="E31" s="25"/>
      <c r="F31" s="25"/>
      <c r="G31" s="25"/>
      <c r="H31" s="25"/>
      <c r="I31" s="37">
        <v>18.0</v>
      </c>
      <c r="J31" s="37">
        <v>18.0</v>
      </c>
      <c r="K31" s="37">
        <v>18.0</v>
      </c>
      <c r="L31" s="37">
        <v>18.0</v>
      </c>
      <c r="M31" s="37">
        <v>18.0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outlineLevel="1">
      <c r="A32" s="25" t="s">
        <v>21</v>
      </c>
      <c r="B32" s="25"/>
      <c r="C32" s="50"/>
      <c r="D32" s="25"/>
      <c r="E32" s="25"/>
      <c r="F32" s="25"/>
      <c r="G32" s="25"/>
      <c r="H32" s="25"/>
      <c r="I32" s="37">
        <v>73.0</v>
      </c>
      <c r="J32" s="37">
        <v>73.0</v>
      </c>
      <c r="K32" s="37">
        <v>73.0</v>
      </c>
      <c r="L32" s="37">
        <v>73.0</v>
      </c>
      <c r="M32" s="37">
        <v>73.0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outlineLevel="1">
      <c r="A33" s="25" t="s">
        <v>22</v>
      </c>
      <c r="B33" s="25"/>
      <c r="C33" s="50"/>
      <c r="D33" s="25"/>
      <c r="E33" s="25"/>
      <c r="F33" s="25"/>
      <c r="G33" s="25"/>
      <c r="H33" s="25"/>
      <c r="I33" s="37">
        <v>37.0</v>
      </c>
      <c r="J33" s="37">
        <v>37.0</v>
      </c>
      <c r="K33" s="37">
        <v>37.0</v>
      </c>
      <c r="L33" s="37">
        <v>37.0</v>
      </c>
      <c r="M33" s="37">
        <v>37.0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outlineLevel="1">
      <c r="A34" s="51" t="s">
        <v>23</v>
      </c>
      <c r="B34" s="25"/>
      <c r="C34" s="32"/>
      <c r="D34" s="25"/>
      <c r="E34" s="25"/>
      <c r="F34" s="25"/>
      <c r="G34" s="25"/>
      <c r="H34" s="25"/>
      <c r="I34" s="37">
        <v>20000.0</v>
      </c>
      <c r="J34" s="37">
        <v>20000.0</v>
      </c>
      <c r="K34" s="37">
        <v>20000.0</v>
      </c>
      <c r="L34" s="37">
        <v>20000.0</v>
      </c>
      <c r="M34" s="37">
        <v>20000.0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outlineLevel="1">
      <c r="A35" s="51" t="s">
        <v>24</v>
      </c>
      <c r="B35" s="25"/>
      <c r="C35" s="32"/>
      <c r="D35" s="25"/>
      <c r="E35" s="25"/>
      <c r="F35" s="25"/>
      <c r="G35" s="25"/>
      <c r="H35" s="25"/>
      <c r="I35" s="37">
        <v>0.0</v>
      </c>
      <c r="J35" s="37">
        <v>0.0</v>
      </c>
      <c r="K35" s="37">
        <v>-20000.0</v>
      </c>
      <c r="L35" s="37">
        <v>0.0</v>
      </c>
      <c r="M35" s="37">
        <v>0.0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outlineLevel="1">
      <c r="A36" s="51" t="s">
        <v>25</v>
      </c>
      <c r="B36" s="25"/>
      <c r="C36" s="32"/>
      <c r="D36" s="25"/>
      <c r="E36" s="25"/>
      <c r="F36" s="25"/>
      <c r="G36" s="25"/>
      <c r="H36" s="25"/>
      <c r="I36" s="37">
        <v>0.0</v>
      </c>
      <c r="J36" s="37">
        <v>0.0</v>
      </c>
      <c r="K36" s="37">
        <v>0.0</v>
      </c>
      <c r="L36" s="37">
        <v>0.0</v>
      </c>
      <c r="M36" s="37">
        <v>0.0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outlineLevel="1">
      <c r="A37" s="25"/>
      <c r="B37" s="25"/>
      <c r="C37" s="32"/>
      <c r="D37" s="25"/>
      <c r="E37" s="25"/>
      <c r="F37" s="25"/>
      <c r="G37" s="25"/>
      <c r="H37" s="25"/>
      <c r="I37" s="37"/>
      <c r="J37" s="37"/>
      <c r="K37" s="37"/>
      <c r="L37" s="37"/>
      <c r="M37" s="37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outlineLevel="1">
      <c r="A38" s="38" t="s">
        <v>27</v>
      </c>
      <c r="B38" s="25"/>
      <c r="C38" s="32"/>
      <c r="D38" s="25"/>
      <c r="E38" s="25"/>
      <c r="F38" s="25"/>
      <c r="G38" s="25"/>
      <c r="H38" s="39"/>
      <c r="I38" s="40"/>
      <c r="J38" s="40"/>
      <c r="K38" s="40"/>
      <c r="L38" s="40"/>
      <c r="M38" s="40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outlineLevel="1">
      <c r="A39" s="41" t="s">
        <v>13</v>
      </c>
      <c r="B39" s="42"/>
      <c r="C39" s="43"/>
      <c r="D39" s="42"/>
      <c r="E39" s="44"/>
      <c r="F39" s="44"/>
      <c r="G39" s="44"/>
      <c r="H39" s="44"/>
      <c r="I39" s="52">
        <v>0.12</v>
      </c>
      <c r="J39" s="52">
        <v>0.12</v>
      </c>
      <c r="K39" s="52">
        <v>0.12</v>
      </c>
      <c r="L39" s="52">
        <v>0.12</v>
      </c>
      <c r="M39" s="52">
        <v>0.12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outlineLevel="1">
      <c r="A40" s="25" t="s">
        <v>14</v>
      </c>
      <c r="B40" s="25"/>
      <c r="C40" s="32"/>
      <c r="D40" s="46"/>
      <c r="E40" s="46"/>
      <c r="F40" s="46"/>
      <c r="G40" s="46"/>
      <c r="H40" s="46"/>
      <c r="I40" s="47">
        <v>0.37</v>
      </c>
      <c r="J40" s="47">
        <v>0.36</v>
      </c>
      <c r="K40" s="47">
        <v>0.35</v>
      </c>
      <c r="L40" s="47">
        <v>0.34</v>
      </c>
      <c r="M40" s="47">
        <v>0.34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outlineLevel="1">
      <c r="A41" s="25" t="s">
        <v>15</v>
      </c>
      <c r="B41" s="25"/>
      <c r="C41" s="32"/>
      <c r="D41" s="46"/>
      <c r="E41" s="46"/>
      <c r="F41" s="46"/>
      <c r="G41" s="46"/>
      <c r="H41" s="46"/>
      <c r="I41" s="47">
        <v>0.16</v>
      </c>
      <c r="J41" s="47">
        <v>0.16</v>
      </c>
      <c r="K41" s="47">
        <v>0.16</v>
      </c>
      <c r="L41" s="47">
        <v>0.16</v>
      </c>
      <c r="M41" s="47">
        <v>0.16</v>
      </c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outlineLevel="1">
      <c r="A42" s="25" t="s">
        <v>16</v>
      </c>
      <c r="B42" s="25"/>
      <c r="C42" s="32"/>
      <c r="D42" s="25"/>
      <c r="E42" s="25"/>
      <c r="F42" s="25"/>
      <c r="G42" s="25"/>
      <c r="H42" s="25"/>
      <c r="I42" s="37">
        <v>10000.0</v>
      </c>
      <c r="J42" s="37">
        <v>10000.0</v>
      </c>
      <c r="K42" s="37">
        <v>10000.0</v>
      </c>
      <c r="L42" s="37">
        <v>10000.0</v>
      </c>
      <c r="M42" s="37">
        <v>10000.0</v>
      </c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outlineLevel="1">
      <c r="A43" s="25" t="s">
        <v>17</v>
      </c>
      <c r="B43" s="25"/>
      <c r="C43" s="32"/>
      <c r="D43" s="46"/>
      <c r="E43" s="46"/>
      <c r="F43" s="46"/>
      <c r="G43" s="46"/>
      <c r="H43" s="46"/>
      <c r="I43" s="47">
        <v>0.4</v>
      </c>
      <c r="J43" s="47">
        <v>0.4</v>
      </c>
      <c r="K43" s="47">
        <v>0.4</v>
      </c>
      <c r="L43" s="47">
        <v>0.4</v>
      </c>
      <c r="M43" s="47">
        <v>0.4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outlineLevel="1">
      <c r="A44" s="25" t="s">
        <v>18</v>
      </c>
      <c r="B44" s="25"/>
      <c r="C44" s="32"/>
      <c r="D44" s="46"/>
      <c r="E44" s="46"/>
      <c r="F44" s="46"/>
      <c r="G44" s="46"/>
      <c r="H44" s="46"/>
      <c r="I44" s="47">
        <v>0.05</v>
      </c>
      <c r="J44" s="47">
        <v>0.05</v>
      </c>
      <c r="K44" s="47">
        <v>0.05</v>
      </c>
      <c r="L44" s="47">
        <v>0.05</v>
      </c>
      <c r="M44" s="47">
        <v>0.05</v>
      </c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outlineLevel="1">
      <c r="A45" s="25" t="s">
        <v>19</v>
      </c>
      <c r="B45" s="48"/>
      <c r="C45" s="49"/>
      <c r="D45" s="46"/>
      <c r="E45" s="46"/>
      <c r="F45" s="46"/>
      <c r="G45" s="46"/>
      <c r="H45" s="46"/>
      <c r="I45" s="47">
        <v>0.28</v>
      </c>
      <c r="J45" s="47">
        <v>0.28</v>
      </c>
      <c r="K45" s="47">
        <v>0.28</v>
      </c>
      <c r="L45" s="47">
        <v>0.28</v>
      </c>
      <c r="M45" s="47">
        <v>0.28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outlineLevel="1">
      <c r="A46" s="25" t="s">
        <v>20</v>
      </c>
      <c r="B46" s="25"/>
      <c r="C46" s="50"/>
      <c r="D46" s="25"/>
      <c r="E46" s="25"/>
      <c r="F46" s="25"/>
      <c r="G46" s="25"/>
      <c r="H46" s="25"/>
      <c r="I46" s="37">
        <v>18.0</v>
      </c>
      <c r="J46" s="37">
        <v>18.0</v>
      </c>
      <c r="K46" s="37">
        <v>18.0</v>
      </c>
      <c r="L46" s="37">
        <v>18.0</v>
      </c>
      <c r="M46" s="37">
        <v>18.0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outlineLevel="1">
      <c r="A47" s="25" t="s">
        <v>21</v>
      </c>
      <c r="B47" s="25"/>
      <c r="C47" s="50"/>
      <c r="D47" s="25"/>
      <c r="E47" s="25"/>
      <c r="F47" s="25"/>
      <c r="G47" s="25"/>
      <c r="H47" s="25"/>
      <c r="I47" s="37">
        <v>73.0</v>
      </c>
      <c r="J47" s="37">
        <v>73.0</v>
      </c>
      <c r="K47" s="37">
        <v>73.0</v>
      </c>
      <c r="L47" s="37">
        <v>73.0</v>
      </c>
      <c r="M47" s="37">
        <v>73.0</v>
      </c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outlineLevel="1">
      <c r="A48" s="25" t="s">
        <v>22</v>
      </c>
      <c r="B48" s="25"/>
      <c r="C48" s="50"/>
      <c r="D48" s="25"/>
      <c r="E48" s="25"/>
      <c r="F48" s="25"/>
      <c r="G48" s="25"/>
      <c r="H48" s="25"/>
      <c r="I48" s="37">
        <v>37.0</v>
      </c>
      <c r="J48" s="37">
        <v>37.0</v>
      </c>
      <c r="K48" s="37">
        <v>37.0</v>
      </c>
      <c r="L48" s="37">
        <v>37.0</v>
      </c>
      <c r="M48" s="37">
        <v>37.0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outlineLevel="1">
      <c r="A49" s="51" t="s">
        <v>23</v>
      </c>
      <c r="B49" s="25"/>
      <c r="C49" s="32"/>
      <c r="D49" s="25"/>
      <c r="E49" s="25"/>
      <c r="F49" s="25"/>
      <c r="G49" s="25"/>
      <c r="H49" s="25"/>
      <c r="I49" s="37">
        <v>15000.0</v>
      </c>
      <c r="J49" s="37">
        <v>15000.0</v>
      </c>
      <c r="K49" s="37">
        <v>15000.0</v>
      </c>
      <c r="L49" s="37">
        <v>15000.0</v>
      </c>
      <c r="M49" s="37">
        <v>15000.0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outlineLevel="1">
      <c r="A50" s="51" t="s">
        <v>24</v>
      </c>
      <c r="B50" s="25"/>
      <c r="C50" s="32"/>
      <c r="D50" s="25"/>
      <c r="E50" s="25"/>
      <c r="F50" s="25"/>
      <c r="G50" s="25"/>
      <c r="H50" s="25"/>
      <c r="I50" s="37">
        <v>0.0</v>
      </c>
      <c r="J50" s="37">
        <v>0.0</v>
      </c>
      <c r="K50" s="37">
        <v>-20000.0</v>
      </c>
      <c r="L50" s="37">
        <v>0.0</v>
      </c>
      <c r="M50" s="37">
        <v>0.0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outlineLevel="1">
      <c r="A51" s="51" t="s">
        <v>25</v>
      </c>
      <c r="B51" s="25"/>
      <c r="C51" s="32"/>
      <c r="D51" s="25"/>
      <c r="E51" s="25"/>
      <c r="F51" s="25"/>
      <c r="G51" s="25"/>
      <c r="H51" s="25"/>
      <c r="I51" s="37">
        <v>0.0</v>
      </c>
      <c r="J51" s="37">
        <v>0.0</v>
      </c>
      <c r="K51" s="37">
        <v>0.0</v>
      </c>
      <c r="L51" s="37">
        <v>0.0</v>
      </c>
      <c r="M51" s="37">
        <v>0.0</v>
      </c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outlineLevel="1">
      <c r="A52" s="25"/>
      <c r="B52" s="25"/>
      <c r="C52" s="32"/>
      <c r="D52" s="25"/>
      <c r="E52" s="25"/>
      <c r="F52" s="25"/>
      <c r="G52" s="25"/>
      <c r="H52" s="25"/>
      <c r="I52" s="37"/>
      <c r="J52" s="37"/>
      <c r="K52" s="37"/>
      <c r="L52" s="37"/>
      <c r="M52" s="37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outlineLevel="1">
      <c r="A53" s="38" t="s">
        <v>9</v>
      </c>
      <c r="B53" s="25"/>
      <c r="C53" s="32"/>
      <c r="D53" s="25"/>
      <c r="E53" s="25"/>
      <c r="F53" s="25"/>
      <c r="G53" s="25"/>
      <c r="H53" s="25"/>
      <c r="I53" s="37"/>
      <c r="J53" s="37"/>
      <c r="K53" s="37"/>
      <c r="L53" s="37"/>
      <c r="M53" s="37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outlineLevel="1">
      <c r="A54" s="41" t="s">
        <v>13</v>
      </c>
      <c r="B54" s="42"/>
      <c r="C54" s="43"/>
      <c r="D54" s="42"/>
      <c r="E54" s="44"/>
      <c r="F54" s="44"/>
      <c r="G54" s="44"/>
      <c r="H54" s="44"/>
      <c r="I54" s="44">
        <f t="shared" ref="I54:M54" si="4">CHOOSE($I$4,I9,I24,I39)</f>
        <v>0.1</v>
      </c>
      <c r="J54" s="44">
        <f t="shared" si="4"/>
        <v>0.1</v>
      </c>
      <c r="K54" s="44">
        <f t="shared" si="4"/>
        <v>0.1</v>
      </c>
      <c r="L54" s="44">
        <f t="shared" si="4"/>
        <v>0.1</v>
      </c>
      <c r="M54" s="44">
        <f t="shared" si="4"/>
        <v>0.1</v>
      </c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outlineLevel="1">
      <c r="A55" s="25" t="s">
        <v>14</v>
      </c>
      <c r="B55" s="25"/>
      <c r="C55" s="32"/>
      <c r="D55" s="46"/>
      <c r="E55" s="46"/>
      <c r="F55" s="46"/>
      <c r="G55" s="46"/>
      <c r="H55" s="46"/>
      <c r="I55" s="46">
        <f t="shared" ref="I55:M55" si="5">CHOOSE($I$4,I10,I25,I40)</f>
        <v>0.42</v>
      </c>
      <c r="J55" s="46">
        <f t="shared" si="5"/>
        <v>0.47</v>
      </c>
      <c r="K55" s="46">
        <f t="shared" si="5"/>
        <v>0.5</v>
      </c>
      <c r="L55" s="46">
        <f t="shared" si="5"/>
        <v>0.36</v>
      </c>
      <c r="M55" s="46">
        <f t="shared" si="5"/>
        <v>0.35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outlineLevel="1">
      <c r="A56" s="25" t="s">
        <v>15</v>
      </c>
      <c r="B56" s="25"/>
      <c r="C56" s="32"/>
      <c r="D56" s="46"/>
      <c r="E56" s="46"/>
      <c r="F56" s="46"/>
      <c r="G56" s="46"/>
      <c r="H56" s="46"/>
      <c r="I56" s="46">
        <f t="shared" ref="I56:M56" si="6">CHOOSE($I$4,I11,I26,I41)</f>
        <v>0.17</v>
      </c>
      <c r="J56" s="46">
        <f t="shared" si="6"/>
        <v>0.17</v>
      </c>
      <c r="K56" s="46">
        <f t="shared" si="6"/>
        <v>0.17</v>
      </c>
      <c r="L56" s="46">
        <f t="shared" si="6"/>
        <v>0.17</v>
      </c>
      <c r="M56" s="46">
        <f t="shared" si="6"/>
        <v>0.17</v>
      </c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outlineLevel="1">
      <c r="A57" s="25" t="s">
        <v>16</v>
      </c>
      <c r="B57" s="25"/>
      <c r="C57" s="32"/>
      <c r="D57" s="25"/>
      <c r="E57" s="25"/>
      <c r="F57" s="25"/>
      <c r="G57" s="25"/>
      <c r="H57" s="25"/>
      <c r="I57" s="25">
        <f t="shared" ref="I57:M57" si="7">CHOOSE($I$4,I12,I27,I42)</f>
        <v>15000</v>
      </c>
      <c r="J57" s="25">
        <f t="shared" si="7"/>
        <v>15000</v>
      </c>
      <c r="K57" s="25">
        <f t="shared" si="7"/>
        <v>15000</v>
      </c>
      <c r="L57" s="25">
        <f t="shared" si="7"/>
        <v>15000</v>
      </c>
      <c r="M57" s="25">
        <f t="shared" si="7"/>
        <v>15000</v>
      </c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outlineLevel="1">
      <c r="A58" s="25" t="s">
        <v>17</v>
      </c>
      <c r="B58" s="25"/>
      <c r="C58" s="32"/>
      <c r="D58" s="46"/>
      <c r="E58" s="46"/>
      <c r="F58" s="46"/>
      <c r="G58" s="46"/>
      <c r="H58" s="46"/>
      <c r="I58" s="46">
        <f t="shared" ref="I58:M58" si="8">CHOOSE($I$4,I13,I28,I43)</f>
        <v>0.35</v>
      </c>
      <c r="J58" s="46">
        <f t="shared" si="8"/>
        <v>0.35</v>
      </c>
      <c r="K58" s="46">
        <f t="shared" si="8"/>
        <v>0.35</v>
      </c>
      <c r="L58" s="46">
        <f t="shared" si="8"/>
        <v>0.35</v>
      </c>
      <c r="M58" s="46">
        <f t="shared" si="8"/>
        <v>0.35</v>
      </c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outlineLevel="1">
      <c r="A59" s="25" t="s">
        <v>18</v>
      </c>
      <c r="B59" s="25"/>
      <c r="C59" s="32"/>
      <c r="D59" s="46"/>
      <c r="E59" s="46"/>
      <c r="F59" s="46"/>
      <c r="G59" s="46"/>
      <c r="H59" s="46"/>
      <c r="I59" s="46">
        <f t="shared" ref="I59:M59" si="9">CHOOSE($I$4,I14,I29,I44)</f>
        <v>0.1</v>
      </c>
      <c r="J59" s="46">
        <f t="shared" si="9"/>
        <v>0.1</v>
      </c>
      <c r="K59" s="46">
        <f t="shared" si="9"/>
        <v>0.1</v>
      </c>
      <c r="L59" s="46">
        <f t="shared" si="9"/>
        <v>0.1</v>
      </c>
      <c r="M59" s="46">
        <f t="shared" si="9"/>
        <v>0.1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outlineLevel="1">
      <c r="A60" s="25" t="s">
        <v>19</v>
      </c>
      <c r="B60" s="48"/>
      <c r="C60" s="49"/>
      <c r="D60" s="46"/>
      <c r="E60" s="46"/>
      <c r="F60" s="46"/>
      <c r="G60" s="46"/>
      <c r="H60" s="46"/>
      <c r="I60" s="46">
        <f t="shared" ref="I60:M60" si="10">CHOOSE($I$4,I15,I30,I45)</f>
        <v>0.28</v>
      </c>
      <c r="J60" s="46">
        <f t="shared" si="10"/>
        <v>0.28</v>
      </c>
      <c r="K60" s="46">
        <f t="shared" si="10"/>
        <v>0.28</v>
      </c>
      <c r="L60" s="46">
        <f t="shared" si="10"/>
        <v>0.28</v>
      </c>
      <c r="M60" s="46">
        <f t="shared" si="10"/>
        <v>0.28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outlineLevel="1">
      <c r="A61" s="25" t="s">
        <v>20</v>
      </c>
      <c r="B61" s="25"/>
      <c r="C61" s="50"/>
      <c r="D61" s="25"/>
      <c r="E61" s="25"/>
      <c r="F61" s="25"/>
      <c r="G61" s="25"/>
      <c r="H61" s="25"/>
      <c r="I61" s="25">
        <f t="shared" ref="I61:M61" si="11">CHOOSE($I$4,I16,I31,I46)</f>
        <v>18</v>
      </c>
      <c r="J61" s="25">
        <f t="shared" si="11"/>
        <v>18</v>
      </c>
      <c r="K61" s="25">
        <f t="shared" si="11"/>
        <v>18</v>
      </c>
      <c r="L61" s="25">
        <f t="shared" si="11"/>
        <v>18</v>
      </c>
      <c r="M61" s="25">
        <f t="shared" si="11"/>
        <v>18</v>
      </c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outlineLevel="1">
      <c r="A62" s="25" t="s">
        <v>21</v>
      </c>
      <c r="B62" s="25"/>
      <c r="C62" s="50"/>
      <c r="D62" s="25"/>
      <c r="E62" s="25"/>
      <c r="F62" s="25"/>
      <c r="G62" s="25"/>
      <c r="H62" s="25"/>
      <c r="I62" s="25">
        <f t="shared" ref="I62:M62" si="12">CHOOSE($I$4,I17,I32,I47)</f>
        <v>80</v>
      </c>
      <c r="J62" s="25">
        <f t="shared" si="12"/>
        <v>90</v>
      </c>
      <c r="K62" s="25">
        <f t="shared" si="12"/>
        <v>100</v>
      </c>
      <c r="L62" s="25">
        <f t="shared" si="12"/>
        <v>100</v>
      </c>
      <c r="M62" s="25">
        <f t="shared" si="12"/>
        <v>100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outlineLevel="1">
      <c r="A63" s="25" t="s">
        <v>22</v>
      </c>
      <c r="B63" s="25"/>
      <c r="C63" s="50"/>
      <c r="D63" s="25"/>
      <c r="E63" s="25"/>
      <c r="F63" s="25"/>
      <c r="G63" s="25"/>
      <c r="H63" s="25"/>
      <c r="I63" s="25">
        <f t="shared" ref="I63:M63" si="13">CHOOSE($I$4,I18,I33,I48)</f>
        <v>37</v>
      </c>
      <c r="J63" s="25">
        <f t="shared" si="13"/>
        <v>37</v>
      </c>
      <c r="K63" s="25">
        <f t="shared" si="13"/>
        <v>37</v>
      </c>
      <c r="L63" s="25">
        <f t="shared" si="13"/>
        <v>37</v>
      </c>
      <c r="M63" s="25">
        <f t="shared" si="13"/>
        <v>37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outlineLevel="1">
      <c r="A64" s="51" t="s">
        <v>23</v>
      </c>
      <c r="B64" s="25"/>
      <c r="C64" s="32"/>
      <c r="D64" s="25"/>
      <c r="E64" s="25"/>
      <c r="F64" s="25"/>
      <c r="G64" s="25"/>
      <c r="H64" s="25"/>
      <c r="I64" s="25">
        <f t="shared" ref="I64:M64" si="14">CHOOSE($I$4,I19,I34,I49)</f>
        <v>15000</v>
      </c>
      <c r="J64" s="25">
        <f t="shared" si="14"/>
        <v>15000</v>
      </c>
      <c r="K64" s="25">
        <f t="shared" si="14"/>
        <v>15000</v>
      </c>
      <c r="L64" s="25">
        <f t="shared" si="14"/>
        <v>15000</v>
      </c>
      <c r="M64" s="25">
        <f t="shared" si="14"/>
        <v>15000</v>
      </c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outlineLevel="1">
      <c r="A65" s="51" t="s">
        <v>24</v>
      </c>
      <c r="B65" s="25"/>
      <c r="C65" s="32"/>
      <c r="D65" s="25"/>
      <c r="E65" s="25"/>
      <c r="F65" s="25"/>
      <c r="G65" s="25"/>
      <c r="H65" s="25"/>
      <c r="I65" s="25">
        <f t="shared" ref="I65:M65" si="15">CHOOSE($I$4,I20,I35,I50)</f>
        <v>0</v>
      </c>
      <c r="J65" s="25">
        <f t="shared" si="15"/>
        <v>0</v>
      </c>
      <c r="K65" s="25">
        <f t="shared" si="15"/>
        <v>-20000</v>
      </c>
      <c r="L65" s="25">
        <f t="shared" si="15"/>
        <v>0</v>
      </c>
      <c r="M65" s="25">
        <f t="shared" si="15"/>
        <v>0</v>
      </c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outlineLevel="1">
      <c r="A66" s="51" t="s">
        <v>25</v>
      </c>
      <c r="B66" s="25"/>
      <c r="C66" s="32"/>
      <c r="D66" s="25"/>
      <c r="E66" s="25"/>
      <c r="F66" s="25"/>
      <c r="G66" s="25"/>
      <c r="H66" s="25"/>
      <c r="I66" s="25">
        <f t="shared" ref="I66:M66" si="16">CHOOSE($I$4,I21,I36,I51)</f>
        <v>0</v>
      </c>
      <c r="J66" s="25">
        <f t="shared" si="16"/>
        <v>0</v>
      </c>
      <c r="K66" s="25">
        <f t="shared" si="16"/>
        <v>0</v>
      </c>
      <c r="L66" s="25">
        <f t="shared" si="16"/>
        <v>0</v>
      </c>
      <c r="M66" s="25">
        <f t="shared" si="16"/>
        <v>0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outlineLevel="1">
      <c r="A67" s="25"/>
      <c r="B67" s="25"/>
      <c r="C67" s="32"/>
      <c r="D67" s="25"/>
      <c r="E67" s="25"/>
      <c r="F67" s="25"/>
      <c r="G67" s="25"/>
      <c r="H67" s="25"/>
      <c r="I67" s="37"/>
      <c r="J67" s="37"/>
      <c r="K67" s="37"/>
      <c r="L67" s="37"/>
      <c r="M67" s="37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32"/>
      <c r="D68" s="25"/>
      <c r="E68" s="25"/>
      <c r="F68" s="25"/>
      <c r="G68" s="25"/>
      <c r="H68" s="25"/>
      <c r="I68" s="37"/>
      <c r="J68" s="37"/>
      <c r="K68" s="37"/>
      <c r="L68" s="37"/>
      <c r="M68" s="37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36" t="s">
        <v>28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outlineLevel="1">
      <c r="A70" s="38"/>
      <c r="B70" s="38"/>
      <c r="C70" s="53"/>
      <c r="D70" s="54"/>
      <c r="E70" s="54"/>
      <c r="F70" s="54"/>
      <c r="G70" s="54"/>
      <c r="H70" s="54"/>
      <c r="I70" s="38"/>
      <c r="J70" s="38"/>
      <c r="K70" s="38"/>
      <c r="L70" s="38"/>
      <c r="M70" s="38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outlineLevel="1">
      <c r="A71" s="38" t="s">
        <v>29</v>
      </c>
      <c r="B71" s="38"/>
      <c r="C71" s="53"/>
      <c r="D71" s="54">
        <v>102007.0</v>
      </c>
      <c r="E71" s="54">
        <v>118086.0</v>
      </c>
      <c r="F71" s="54">
        <v>131345.0</v>
      </c>
      <c r="G71" s="54">
        <v>142341.0</v>
      </c>
      <c r="H71" s="54">
        <v>150772.0</v>
      </c>
      <c r="I71" s="38">
        <f t="shared" ref="I71:M71" si="17">(H71*((1+I54)))*(1+$A$217)</f>
        <v>165849.2</v>
      </c>
      <c r="J71" s="38">
        <f t="shared" si="17"/>
        <v>182434.12</v>
      </c>
      <c r="K71" s="38">
        <f t="shared" si="17"/>
        <v>200677.532</v>
      </c>
      <c r="L71" s="38">
        <f t="shared" si="17"/>
        <v>220745.2852</v>
      </c>
      <c r="M71" s="38">
        <f t="shared" si="17"/>
        <v>242819.8137</v>
      </c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outlineLevel="1">
      <c r="A72" s="25" t="s">
        <v>30</v>
      </c>
      <c r="B72" s="25"/>
      <c r="C72" s="32"/>
      <c r="D72" s="37">
        <v>39023.0</v>
      </c>
      <c r="E72" s="37">
        <v>48004.0</v>
      </c>
      <c r="F72" s="37">
        <v>49123.0</v>
      </c>
      <c r="G72" s="37">
        <v>52654.0</v>
      </c>
      <c r="H72" s="37">
        <v>56710.0</v>
      </c>
      <c r="I72" s="55">
        <f t="shared" ref="I72:M72" si="18">(I71*(I55))*(1+$D$217)</f>
        <v>69656.664</v>
      </c>
      <c r="J72" s="55">
        <f t="shared" si="18"/>
        <v>85744.0364</v>
      </c>
      <c r="K72" s="55">
        <f t="shared" si="18"/>
        <v>100338.766</v>
      </c>
      <c r="L72" s="55">
        <f t="shared" si="18"/>
        <v>79468.30267</v>
      </c>
      <c r="M72" s="55">
        <f t="shared" si="18"/>
        <v>84986.9348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outlineLevel="1">
      <c r="A73" s="42" t="s">
        <v>31</v>
      </c>
      <c r="B73" s="42"/>
      <c r="C73" s="43"/>
      <c r="D73" s="42">
        <f t="shared" ref="D73:M73" si="19">D71-D72</f>
        <v>62984</v>
      </c>
      <c r="E73" s="42">
        <f t="shared" si="19"/>
        <v>70082</v>
      </c>
      <c r="F73" s="42">
        <f t="shared" si="19"/>
        <v>82222</v>
      </c>
      <c r="G73" s="42">
        <f t="shared" si="19"/>
        <v>89687</v>
      </c>
      <c r="H73" s="42">
        <f t="shared" si="19"/>
        <v>94062</v>
      </c>
      <c r="I73" s="42">
        <f t="shared" si="19"/>
        <v>96192.536</v>
      </c>
      <c r="J73" s="42">
        <f t="shared" si="19"/>
        <v>96690.0836</v>
      </c>
      <c r="K73" s="42">
        <f t="shared" si="19"/>
        <v>100338.766</v>
      </c>
      <c r="L73" s="42">
        <f t="shared" si="19"/>
        <v>141276.9825</v>
      </c>
      <c r="M73" s="42">
        <f t="shared" si="19"/>
        <v>157832.8789</v>
      </c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outlineLevel="1">
      <c r="A74" s="38" t="s">
        <v>32</v>
      </c>
      <c r="B74" s="38"/>
      <c r="C74" s="53"/>
      <c r="D74" s="56"/>
      <c r="E74" s="56"/>
      <c r="F74" s="56"/>
      <c r="G74" s="56"/>
      <c r="H74" s="56"/>
      <c r="I74" s="56"/>
      <c r="J74" s="56"/>
      <c r="K74" s="56"/>
      <c r="L74" s="38"/>
      <c r="M74" s="38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outlineLevel="1">
      <c r="A75" s="25" t="s">
        <v>33</v>
      </c>
      <c r="B75" s="25"/>
      <c r="C75" s="32"/>
      <c r="D75" s="37">
        <v>26427.0</v>
      </c>
      <c r="E75" s="37">
        <v>22658.0</v>
      </c>
      <c r="F75" s="37">
        <v>23872.0</v>
      </c>
      <c r="G75" s="37">
        <v>23002.0</v>
      </c>
      <c r="H75" s="37">
        <v>25245.0</v>
      </c>
      <c r="I75" s="25">
        <f t="shared" ref="I75:M75" si="20">I71*I56</f>
        <v>28194.364</v>
      </c>
      <c r="J75" s="25">
        <f t="shared" si="20"/>
        <v>31013.8004</v>
      </c>
      <c r="K75" s="25">
        <f t="shared" si="20"/>
        <v>34115.18044</v>
      </c>
      <c r="L75" s="25">
        <f t="shared" si="20"/>
        <v>37526.69848</v>
      </c>
      <c r="M75" s="25">
        <f t="shared" si="20"/>
        <v>41279.36833</v>
      </c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outlineLevel="1">
      <c r="A76" s="25" t="s">
        <v>34</v>
      </c>
      <c r="B76" s="25"/>
      <c r="C76" s="32"/>
      <c r="D76" s="37">
        <v>10963.0</v>
      </c>
      <c r="E76" s="37">
        <v>10125.0</v>
      </c>
      <c r="F76" s="37">
        <v>10087.0</v>
      </c>
      <c r="G76" s="37">
        <v>11020.0</v>
      </c>
      <c r="H76" s="37">
        <v>11412.0</v>
      </c>
      <c r="I76" s="25">
        <f t="shared" ref="I76:M76" si="21">I57</f>
        <v>15000</v>
      </c>
      <c r="J76" s="25">
        <f t="shared" si="21"/>
        <v>15000</v>
      </c>
      <c r="K76" s="25">
        <f t="shared" si="21"/>
        <v>15000</v>
      </c>
      <c r="L76" s="25">
        <f t="shared" si="21"/>
        <v>15000</v>
      </c>
      <c r="M76" s="25">
        <f t="shared" si="21"/>
        <v>15000</v>
      </c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outlineLevel="1">
      <c r="A77" s="25" t="s">
        <v>35</v>
      </c>
      <c r="B77" s="25"/>
      <c r="C77" s="32"/>
      <c r="D77" s="37">
        <v>19500.0</v>
      </c>
      <c r="E77" s="37">
        <v>18150.0</v>
      </c>
      <c r="F77" s="37">
        <v>17205.0</v>
      </c>
      <c r="G77" s="37">
        <v>16543.5</v>
      </c>
      <c r="H77" s="37">
        <v>16080.449999999999</v>
      </c>
      <c r="I77" s="25">
        <f t="shared" ref="I77:M77" si="22">+I143</f>
        <v>13132.3675</v>
      </c>
      <c r="J77" s="25">
        <f t="shared" si="22"/>
        <v>13786.03888</v>
      </c>
      <c r="K77" s="25">
        <f t="shared" si="22"/>
        <v>14210.92527</v>
      </c>
      <c r="L77" s="25">
        <f t="shared" si="22"/>
        <v>14487.10142</v>
      </c>
      <c r="M77" s="25">
        <f t="shared" si="22"/>
        <v>14666.61593</v>
      </c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outlineLevel="1">
      <c r="A78" s="57" t="s">
        <v>36</v>
      </c>
      <c r="B78" s="57"/>
      <c r="C78" s="58"/>
      <c r="D78" s="59">
        <v>2500.0</v>
      </c>
      <c r="E78" s="59">
        <v>2500.0</v>
      </c>
      <c r="F78" s="59">
        <v>1500.0</v>
      </c>
      <c r="G78" s="59">
        <v>1500.0</v>
      </c>
      <c r="H78" s="59">
        <v>1500.0</v>
      </c>
      <c r="I78" s="57">
        <f t="shared" ref="I78:M78" si="23">I150</f>
        <v>3000</v>
      </c>
      <c r="J78" s="57">
        <f t="shared" si="23"/>
        <v>3000</v>
      </c>
      <c r="K78" s="57">
        <f t="shared" si="23"/>
        <v>1000</v>
      </c>
      <c r="L78" s="57">
        <f t="shared" si="23"/>
        <v>1000</v>
      </c>
      <c r="M78" s="57">
        <f t="shared" si="23"/>
        <v>1000</v>
      </c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outlineLevel="1">
      <c r="A79" s="38" t="s">
        <v>37</v>
      </c>
      <c r="B79" s="25"/>
      <c r="C79" s="32"/>
      <c r="D79" s="38">
        <f t="shared" ref="D79:M79" si="24">SUM(D75:D78)</f>
        <v>59390</v>
      </c>
      <c r="E79" s="38">
        <f t="shared" si="24"/>
        <v>53433</v>
      </c>
      <c r="F79" s="38">
        <f t="shared" si="24"/>
        <v>52664</v>
      </c>
      <c r="G79" s="38">
        <f t="shared" si="24"/>
        <v>52065.5</v>
      </c>
      <c r="H79" s="38">
        <f t="shared" si="24"/>
        <v>54237.45</v>
      </c>
      <c r="I79" s="38">
        <f t="shared" si="24"/>
        <v>59326.7315</v>
      </c>
      <c r="J79" s="38">
        <f t="shared" si="24"/>
        <v>62799.83928</v>
      </c>
      <c r="K79" s="38">
        <f t="shared" si="24"/>
        <v>64326.10571</v>
      </c>
      <c r="L79" s="38">
        <f t="shared" si="24"/>
        <v>68013.79991</v>
      </c>
      <c r="M79" s="38">
        <f t="shared" si="24"/>
        <v>71945.98426</v>
      </c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outlineLevel="1">
      <c r="A80" s="42" t="s">
        <v>38</v>
      </c>
      <c r="B80" s="42"/>
      <c r="C80" s="43"/>
      <c r="D80" s="42">
        <f t="shared" ref="D80:M80" si="25">D73-D79</f>
        <v>3594</v>
      </c>
      <c r="E80" s="42">
        <f t="shared" si="25"/>
        <v>16649</v>
      </c>
      <c r="F80" s="42">
        <f t="shared" si="25"/>
        <v>29558</v>
      </c>
      <c r="G80" s="42">
        <f t="shared" si="25"/>
        <v>37621.5</v>
      </c>
      <c r="H80" s="42">
        <f t="shared" si="25"/>
        <v>39824.55</v>
      </c>
      <c r="I80" s="42">
        <f t="shared" si="25"/>
        <v>36865.8045</v>
      </c>
      <c r="J80" s="42">
        <f t="shared" si="25"/>
        <v>33890.24433</v>
      </c>
      <c r="K80" s="42">
        <f t="shared" si="25"/>
        <v>36012.66029</v>
      </c>
      <c r="L80" s="42">
        <f t="shared" si="25"/>
        <v>73263.18262</v>
      </c>
      <c r="M80" s="42">
        <f t="shared" si="25"/>
        <v>85886.89466</v>
      </c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outlineLevel="1">
      <c r="A81" s="38"/>
      <c r="B81" s="38"/>
      <c r="C81" s="53"/>
      <c r="D81" s="54"/>
      <c r="E81" s="54"/>
      <c r="F81" s="54"/>
      <c r="G81" s="54"/>
      <c r="H81" s="54"/>
      <c r="I81" s="38"/>
      <c r="J81" s="38"/>
      <c r="K81" s="38"/>
      <c r="L81" s="38"/>
      <c r="M81" s="38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outlineLevel="1">
      <c r="A82" s="25" t="s">
        <v>39</v>
      </c>
      <c r="B82" s="25"/>
      <c r="C82" s="32"/>
      <c r="D82" s="37">
        <v>1120.1708</v>
      </c>
      <c r="E82" s="37">
        <v>4858.216502122031</v>
      </c>
      <c r="F82" s="37">
        <v>8482.806114868677</v>
      </c>
      <c r="G82" s="37">
        <v>10908.02097640469</v>
      </c>
      <c r="H82" s="37">
        <v>11597.665241419718</v>
      </c>
      <c r="I82" s="55">
        <f t="shared" ref="I82:M82" si="26">I80*I60</f>
        <v>10322.42526</v>
      </c>
      <c r="J82" s="55">
        <f t="shared" si="26"/>
        <v>9489.268411</v>
      </c>
      <c r="K82" s="55">
        <f t="shared" si="26"/>
        <v>10083.54488</v>
      </c>
      <c r="L82" s="55">
        <f t="shared" si="26"/>
        <v>20513.69113</v>
      </c>
      <c r="M82" s="55">
        <f t="shared" si="26"/>
        <v>24048.3305</v>
      </c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outlineLevel="1">
      <c r="A83" s="60" t="s">
        <v>40</v>
      </c>
      <c r="B83" s="60"/>
      <c r="C83" s="61"/>
      <c r="D83" s="60">
        <f t="shared" ref="D83:M83" si="27">D80-D82</f>
        <v>2473.8292</v>
      </c>
      <c r="E83" s="60">
        <f t="shared" si="27"/>
        <v>11790.7835</v>
      </c>
      <c r="F83" s="60">
        <f t="shared" si="27"/>
        <v>21075.19389</v>
      </c>
      <c r="G83" s="60">
        <f t="shared" si="27"/>
        <v>26713.47902</v>
      </c>
      <c r="H83" s="60">
        <f t="shared" si="27"/>
        <v>28226.88476</v>
      </c>
      <c r="I83" s="60">
        <f t="shared" si="27"/>
        <v>26543.37924</v>
      </c>
      <c r="J83" s="60">
        <f t="shared" si="27"/>
        <v>24400.97591</v>
      </c>
      <c r="K83" s="60">
        <f t="shared" si="27"/>
        <v>25929.11541</v>
      </c>
      <c r="L83" s="60">
        <f t="shared" si="27"/>
        <v>52749.49149</v>
      </c>
      <c r="M83" s="60">
        <f t="shared" si="27"/>
        <v>61838.56415</v>
      </c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outlineLevel="1">
      <c r="A84" s="25"/>
      <c r="B84" s="25"/>
      <c r="C84" s="32"/>
      <c r="D84" s="37"/>
      <c r="E84" s="37"/>
      <c r="F84" s="37"/>
      <c r="G84" s="37"/>
      <c r="H84" s="37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32"/>
      <c r="D85" s="37"/>
      <c r="E85" s="37"/>
      <c r="F85" s="37"/>
      <c r="G85" s="37"/>
      <c r="H85" s="37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36" t="s">
        <v>41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outlineLevel="1">
      <c r="A87" s="25"/>
      <c r="B87" s="25"/>
      <c r="C87" s="32"/>
      <c r="D87" s="37"/>
      <c r="E87" s="37"/>
      <c r="F87" s="37"/>
      <c r="G87" s="37"/>
      <c r="H87" s="37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outlineLevel="1">
      <c r="A88" s="38" t="s">
        <v>42</v>
      </c>
      <c r="B88" s="25"/>
      <c r="C88" s="32"/>
      <c r="D88" s="37"/>
      <c r="E88" s="37"/>
      <c r="F88" s="37"/>
      <c r="G88" s="37"/>
      <c r="H88" s="37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outlineLevel="1">
      <c r="A89" s="25" t="s">
        <v>43</v>
      </c>
      <c r="B89" s="25"/>
      <c r="C89" s="62"/>
      <c r="D89" s="37">
        <v>67971.17920000001</v>
      </c>
      <c r="E89" s="37">
        <v>81209.91269787797</v>
      </c>
      <c r="F89" s="37">
        <v>83715.2565830093</v>
      </c>
      <c r="G89" s="37">
        <v>111069.33560660461</v>
      </c>
      <c r="H89" s="37">
        <v>139549.5203651849</v>
      </c>
      <c r="I89" s="25">
        <f t="shared" ref="I89:M89" si="28">I127</f>
        <v>161049.8749</v>
      </c>
      <c r="J89" s="25">
        <f t="shared" si="28"/>
        <v>179174.6269</v>
      </c>
      <c r="K89" s="25">
        <f t="shared" si="28"/>
        <v>178546.7504</v>
      </c>
      <c r="L89" s="25">
        <f t="shared" si="28"/>
        <v>233395.9999</v>
      </c>
      <c r="M89" s="25">
        <f t="shared" si="28"/>
        <v>292860.042</v>
      </c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outlineLevel="1">
      <c r="A90" s="25" t="s">
        <v>44</v>
      </c>
      <c r="B90" s="25"/>
      <c r="C90" s="62"/>
      <c r="D90" s="37">
        <v>5100.35</v>
      </c>
      <c r="E90" s="37">
        <v>5904.3</v>
      </c>
      <c r="F90" s="37">
        <v>6567.25</v>
      </c>
      <c r="G90" s="37">
        <v>7117.05</v>
      </c>
      <c r="H90" s="37">
        <v>7538.6</v>
      </c>
      <c r="I90" s="63">
        <f t="shared" ref="I90:M90" si="29">I71*I61/365</f>
        <v>8178.864658</v>
      </c>
      <c r="J90" s="63">
        <f t="shared" si="29"/>
        <v>8996.751123</v>
      </c>
      <c r="K90" s="63">
        <f t="shared" si="29"/>
        <v>9896.426236</v>
      </c>
      <c r="L90" s="63">
        <f t="shared" si="29"/>
        <v>10886.06886</v>
      </c>
      <c r="M90" s="63">
        <f t="shared" si="29"/>
        <v>11974.67575</v>
      </c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outlineLevel="1">
      <c r="A91" s="25" t="s">
        <v>45</v>
      </c>
      <c r="B91" s="25"/>
      <c r="C91" s="62"/>
      <c r="D91" s="37">
        <v>7804.6</v>
      </c>
      <c r="E91" s="37">
        <v>9600.800000000001</v>
      </c>
      <c r="F91" s="37">
        <v>9824.6</v>
      </c>
      <c r="G91" s="37">
        <v>10530.800000000001</v>
      </c>
      <c r="H91" s="37">
        <v>11342.0</v>
      </c>
      <c r="I91" s="25">
        <f t="shared" ref="I91:M91" si="30">I72*I62/365</f>
        <v>15267.21403</v>
      </c>
      <c r="J91" s="25">
        <f t="shared" si="30"/>
        <v>21142.36514</v>
      </c>
      <c r="K91" s="25">
        <f t="shared" si="30"/>
        <v>27490.07288</v>
      </c>
      <c r="L91" s="25">
        <f t="shared" si="30"/>
        <v>21772.13772</v>
      </c>
      <c r="M91" s="25">
        <f t="shared" si="30"/>
        <v>23284.09173</v>
      </c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outlineLevel="1">
      <c r="A92" s="25" t="s">
        <v>46</v>
      </c>
      <c r="B92" s="25"/>
      <c r="C92" s="32"/>
      <c r="D92" s="37">
        <v>45500.0</v>
      </c>
      <c r="E92" s="37">
        <v>42350.0</v>
      </c>
      <c r="F92" s="37">
        <v>40145.0</v>
      </c>
      <c r="G92" s="37">
        <v>38601.5</v>
      </c>
      <c r="H92" s="37">
        <v>37521.05</v>
      </c>
      <c r="I92" s="25">
        <f t="shared" ref="I92:M92" si="31">I144</f>
        <v>39388.6825</v>
      </c>
      <c r="J92" s="25">
        <f t="shared" si="31"/>
        <v>40602.64363</v>
      </c>
      <c r="K92" s="25">
        <f t="shared" si="31"/>
        <v>41391.71836</v>
      </c>
      <c r="L92" s="25">
        <f t="shared" si="31"/>
        <v>41904.61693</v>
      </c>
      <c r="M92" s="25">
        <f t="shared" si="31"/>
        <v>42238.00101</v>
      </c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outlineLevel="1">
      <c r="A93" s="60" t="s">
        <v>47</v>
      </c>
      <c r="B93" s="60"/>
      <c r="C93" s="61"/>
      <c r="D93" s="60">
        <f t="shared" ref="D93:M93" si="32">SUM(D89:D92)</f>
        <v>126376.1292</v>
      </c>
      <c r="E93" s="60">
        <f t="shared" si="32"/>
        <v>139065.0127</v>
      </c>
      <c r="F93" s="60">
        <f t="shared" si="32"/>
        <v>140252.1066</v>
      </c>
      <c r="G93" s="60">
        <f t="shared" si="32"/>
        <v>167318.6856</v>
      </c>
      <c r="H93" s="60">
        <f t="shared" si="32"/>
        <v>195951.1704</v>
      </c>
      <c r="I93" s="60">
        <f t="shared" si="32"/>
        <v>223884.6361</v>
      </c>
      <c r="J93" s="60">
        <f t="shared" si="32"/>
        <v>249916.3867</v>
      </c>
      <c r="K93" s="60">
        <f t="shared" si="32"/>
        <v>257324.9679</v>
      </c>
      <c r="L93" s="60">
        <f t="shared" si="32"/>
        <v>307958.8234</v>
      </c>
      <c r="M93" s="60">
        <f t="shared" si="32"/>
        <v>370356.8105</v>
      </c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outlineLevel="1">
      <c r="A94" s="38"/>
      <c r="B94" s="38"/>
      <c r="C94" s="53"/>
      <c r="D94" s="54"/>
      <c r="E94" s="54"/>
      <c r="F94" s="54"/>
      <c r="G94" s="54"/>
      <c r="H94" s="54"/>
      <c r="I94" s="38"/>
      <c r="J94" s="38"/>
      <c r="K94" s="38"/>
      <c r="L94" s="38"/>
      <c r="M94" s="38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outlineLevel="1">
      <c r="A95" s="38" t="s">
        <v>48</v>
      </c>
      <c r="B95" s="25"/>
      <c r="C95" s="62"/>
      <c r="D95" s="37"/>
      <c r="E95" s="37"/>
      <c r="F95" s="37"/>
      <c r="G95" s="37"/>
      <c r="H95" s="37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outlineLevel="1">
      <c r="A96" s="25" t="s">
        <v>49</v>
      </c>
      <c r="B96" s="25"/>
      <c r="C96" s="62"/>
      <c r="D96" s="37">
        <v>3902.3</v>
      </c>
      <c r="E96" s="37">
        <v>4800.400000000001</v>
      </c>
      <c r="F96" s="37">
        <v>4912.3</v>
      </c>
      <c r="G96" s="37">
        <v>5265.400000000001</v>
      </c>
      <c r="H96" s="37">
        <v>5671.0</v>
      </c>
      <c r="I96" s="25">
        <f t="shared" ref="I96:M96" si="33">I72*I63/365</f>
        <v>7061.086488</v>
      </c>
      <c r="J96" s="25">
        <f t="shared" si="33"/>
        <v>8691.861224</v>
      </c>
      <c r="K96" s="25">
        <f t="shared" si="33"/>
        <v>10171.32696</v>
      </c>
      <c r="L96" s="25">
        <f t="shared" si="33"/>
        <v>8055.690956</v>
      </c>
      <c r="M96" s="25">
        <f t="shared" si="33"/>
        <v>8615.113939</v>
      </c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outlineLevel="1">
      <c r="A97" s="25" t="s">
        <v>50</v>
      </c>
      <c r="B97" s="25"/>
      <c r="C97" s="32"/>
      <c r="D97" s="37">
        <v>50000.0</v>
      </c>
      <c r="E97" s="37">
        <v>50000.0</v>
      </c>
      <c r="F97" s="37">
        <v>30000.0</v>
      </c>
      <c r="G97" s="37">
        <v>30000.0</v>
      </c>
      <c r="H97" s="37">
        <v>30000.0</v>
      </c>
      <c r="I97" s="25">
        <f t="shared" ref="I97:M97" si="34">I149</f>
        <v>30000</v>
      </c>
      <c r="J97" s="25">
        <f t="shared" si="34"/>
        <v>30000</v>
      </c>
      <c r="K97" s="25">
        <f t="shared" si="34"/>
        <v>10000</v>
      </c>
      <c r="L97" s="25">
        <f t="shared" si="34"/>
        <v>10000</v>
      </c>
      <c r="M97" s="25">
        <f t="shared" si="34"/>
        <v>10000</v>
      </c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outlineLevel="1">
      <c r="A98" s="42" t="s">
        <v>51</v>
      </c>
      <c r="B98" s="42"/>
      <c r="C98" s="43"/>
      <c r="D98" s="42">
        <f t="shared" ref="D98:M98" si="35">SUM(D96:D97)</f>
        <v>53902.3</v>
      </c>
      <c r="E98" s="42">
        <f t="shared" si="35"/>
        <v>54800.4</v>
      </c>
      <c r="F98" s="42">
        <f t="shared" si="35"/>
        <v>34912.3</v>
      </c>
      <c r="G98" s="42">
        <f t="shared" si="35"/>
        <v>35265.4</v>
      </c>
      <c r="H98" s="42">
        <f t="shared" si="35"/>
        <v>35671</v>
      </c>
      <c r="I98" s="42">
        <f t="shared" si="35"/>
        <v>37061.08649</v>
      </c>
      <c r="J98" s="42">
        <f t="shared" si="35"/>
        <v>38691.86122</v>
      </c>
      <c r="K98" s="42">
        <f t="shared" si="35"/>
        <v>20171.32696</v>
      </c>
      <c r="L98" s="42">
        <f t="shared" si="35"/>
        <v>18055.69096</v>
      </c>
      <c r="M98" s="42">
        <f t="shared" si="35"/>
        <v>18615.11394</v>
      </c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outlineLevel="1">
      <c r="A99" s="38" t="s">
        <v>52</v>
      </c>
      <c r="B99" s="25"/>
      <c r="C99" s="32"/>
      <c r="D99" s="37"/>
      <c r="E99" s="37"/>
      <c r="F99" s="37"/>
      <c r="G99" s="37"/>
      <c r="H99" s="37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outlineLevel="1">
      <c r="A100" s="25" t="s">
        <v>53</v>
      </c>
      <c r="B100" s="25"/>
      <c r="C100" s="32"/>
      <c r="D100" s="37">
        <v>70000.0</v>
      </c>
      <c r="E100" s="37">
        <v>70000.0</v>
      </c>
      <c r="F100" s="37">
        <v>70000.0</v>
      </c>
      <c r="G100" s="37">
        <v>70000.0</v>
      </c>
      <c r="H100" s="37">
        <v>70000.0</v>
      </c>
      <c r="I100" s="25">
        <f t="shared" ref="I100:M100" si="36">H100+I66</f>
        <v>70000</v>
      </c>
      <c r="J100" s="25">
        <f t="shared" si="36"/>
        <v>70000</v>
      </c>
      <c r="K100" s="25">
        <f t="shared" si="36"/>
        <v>70000</v>
      </c>
      <c r="L100" s="25">
        <f t="shared" si="36"/>
        <v>70000</v>
      </c>
      <c r="M100" s="25">
        <f t="shared" si="36"/>
        <v>70000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outlineLevel="1">
      <c r="A101" s="25" t="s">
        <v>54</v>
      </c>
      <c r="B101" s="25"/>
      <c r="C101" s="32"/>
      <c r="D101" s="37">
        <v>2473.8292</v>
      </c>
      <c r="E101" s="37">
        <v>14264.612697877968</v>
      </c>
      <c r="F101" s="37">
        <v>35339.8065830093</v>
      </c>
      <c r="G101" s="37">
        <v>62053.28560660461</v>
      </c>
      <c r="H101" s="37">
        <v>90280.1703651849</v>
      </c>
      <c r="I101" s="25">
        <f t="shared" ref="I101:M101" si="37">+H101+I83</f>
        <v>116823.5496</v>
      </c>
      <c r="J101" s="25">
        <f t="shared" si="37"/>
        <v>141224.5255</v>
      </c>
      <c r="K101" s="25">
        <f t="shared" si="37"/>
        <v>167153.6409</v>
      </c>
      <c r="L101" s="25">
        <f t="shared" si="37"/>
        <v>219903.1324</v>
      </c>
      <c r="M101" s="25">
        <f t="shared" si="37"/>
        <v>281741.6966</v>
      </c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outlineLevel="1">
      <c r="A102" s="64" t="s">
        <v>52</v>
      </c>
      <c r="B102" s="64"/>
      <c r="C102" s="65"/>
      <c r="D102" s="64">
        <f t="shared" ref="D102:M102" si="38">SUM(D100:D101)</f>
        <v>72473.8292</v>
      </c>
      <c r="E102" s="64">
        <f t="shared" si="38"/>
        <v>84264.6127</v>
      </c>
      <c r="F102" s="64">
        <f t="shared" si="38"/>
        <v>105339.8066</v>
      </c>
      <c r="G102" s="64">
        <f t="shared" si="38"/>
        <v>132053.2856</v>
      </c>
      <c r="H102" s="64">
        <f t="shared" si="38"/>
        <v>160280.1704</v>
      </c>
      <c r="I102" s="64">
        <f t="shared" si="38"/>
        <v>186823.5496</v>
      </c>
      <c r="J102" s="64">
        <f t="shared" si="38"/>
        <v>211224.5255</v>
      </c>
      <c r="K102" s="64">
        <f t="shared" si="38"/>
        <v>237153.6409</v>
      </c>
      <c r="L102" s="64">
        <f t="shared" si="38"/>
        <v>289903.1324</v>
      </c>
      <c r="M102" s="64">
        <f t="shared" si="38"/>
        <v>351741.6966</v>
      </c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outlineLevel="1">
      <c r="A103" s="60" t="s">
        <v>55</v>
      </c>
      <c r="B103" s="60"/>
      <c r="C103" s="61"/>
      <c r="D103" s="60">
        <f t="shared" ref="D103:H103" si="39">D98+D102</f>
        <v>126376.1292</v>
      </c>
      <c r="E103" s="60">
        <f t="shared" si="39"/>
        <v>139065.0127</v>
      </c>
      <c r="F103" s="60">
        <f t="shared" si="39"/>
        <v>140252.1066</v>
      </c>
      <c r="G103" s="60">
        <f t="shared" si="39"/>
        <v>167318.6856</v>
      </c>
      <c r="H103" s="60">
        <f t="shared" si="39"/>
        <v>195951.1704</v>
      </c>
      <c r="I103" s="60">
        <f t="shared" ref="I103:M103" si="40">I102+I98</f>
        <v>223884.6361</v>
      </c>
      <c r="J103" s="60">
        <f t="shared" si="40"/>
        <v>249916.3867</v>
      </c>
      <c r="K103" s="60">
        <f t="shared" si="40"/>
        <v>257324.9679</v>
      </c>
      <c r="L103" s="60">
        <f t="shared" si="40"/>
        <v>307958.8234</v>
      </c>
      <c r="M103" s="60">
        <f t="shared" si="40"/>
        <v>370356.8105</v>
      </c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outlineLevel="1">
      <c r="A104" s="25"/>
      <c r="B104" s="25"/>
      <c r="C104" s="32"/>
      <c r="D104" s="37"/>
      <c r="E104" s="37"/>
      <c r="F104" s="37"/>
      <c r="G104" s="37"/>
      <c r="H104" s="37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outlineLevel="1">
      <c r="A105" s="48" t="s">
        <v>56</v>
      </c>
      <c r="B105" s="66"/>
      <c r="C105" s="67"/>
      <c r="D105" s="66">
        <f t="shared" ref="D105:M105" si="41">D103-D93</f>
        <v>0</v>
      </c>
      <c r="E105" s="66">
        <f t="shared" si="41"/>
        <v>0</v>
      </c>
      <c r="F105" s="66">
        <f t="shared" si="41"/>
        <v>0</v>
      </c>
      <c r="G105" s="66">
        <f t="shared" si="41"/>
        <v>0</v>
      </c>
      <c r="H105" s="66">
        <f t="shared" si="41"/>
        <v>0</v>
      </c>
      <c r="I105" s="66">
        <f t="shared" si="41"/>
        <v>0</v>
      </c>
      <c r="J105" s="66">
        <f t="shared" si="41"/>
        <v>0</v>
      </c>
      <c r="K105" s="66">
        <f t="shared" si="41"/>
        <v>0</v>
      </c>
      <c r="L105" s="66">
        <f t="shared" si="41"/>
        <v>0</v>
      </c>
      <c r="M105" s="66">
        <f t="shared" si="41"/>
        <v>0</v>
      </c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outlineLevel="1">
      <c r="A106" s="66"/>
      <c r="B106" s="66"/>
      <c r="C106" s="67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32"/>
      <c r="D107" s="37"/>
      <c r="E107" s="37"/>
      <c r="F107" s="37"/>
      <c r="G107" s="37"/>
      <c r="H107" s="37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36" t="s">
        <v>57</v>
      </c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outlineLevel="1">
      <c r="A109" s="38"/>
      <c r="B109" s="25"/>
      <c r="C109" s="32"/>
      <c r="D109" s="54"/>
      <c r="E109" s="37"/>
      <c r="F109" s="37"/>
      <c r="G109" s="37"/>
      <c r="H109" s="37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outlineLevel="1">
      <c r="A110" s="38" t="s">
        <v>58</v>
      </c>
      <c r="B110" s="25"/>
      <c r="C110" s="32"/>
      <c r="D110" s="37"/>
      <c r="E110" s="37"/>
      <c r="F110" s="37"/>
      <c r="G110" s="37"/>
      <c r="H110" s="37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outlineLevel="1">
      <c r="A111" s="25" t="s">
        <v>40</v>
      </c>
      <c r="B111" s="25"/>
      <c r="C111" s="32"/>
      <c r="D111" s="37">
        <v>2473.8292</v>
      </c>
      <c r="E111" s="37">
        <v>11790.783497877968</v>
      </c>
      <c r="F111" s="37">
        <v>21075.193885131324</v>
      </c>
      <c r="G111" s="37">
        <v>26713.47902359531</v>
      </c>
      <c r="H111" s="37">
        <v>28226.884758580287</v>
      </c>
      <c r="I111" s="25">
        <f t="shared" ref="I111:M111" si="42">I83</f>
        <v>26543.37924</v>
      </c>
      <c r="J111" s="25">
        <f t="shared" si="42"/>
        <v>24400.97591</v>
      </c>
      <c r="K111" s="25">
        <f t="shared" si="42"/>
        <v>25929.11541</v>
      </c>
      <c r="L111" s="25">
        <f t="shared" si="42"/>
        <v>52749.49149</v>
      </c>
      <c r="M111" s="25">
        <f t="shared" si="42"/>
        <v>61838.56415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outlineLevel="1">
      <c r="A112" s="25" t="s">
        <v>59</v>
      </c>
      <c r="B112" s="25"/>
      <c r="C112" s="32"/>
      <c r="D112" s="37">
        <v>19500.0</v>
      </c>
      <c r="E112" s="37">
        <v>18150.0</v>
      </c>
      <c r="F112" s="37">
        <v>17205.0</v>
      </c>
      <c r="G112" s="37">
        <v>16543.5</v>
      </c>
      <c r="H112" s="37">
        <v>16080.449999999999</v>
      </c>
      <c r="I112" s="25">
        <f t="shared" ref="I112:M112" si="43">I77</f>
        <v>13132.3675</v>
      </c>
      <c r="J112" s="25">
        <f t="shared" si="43"/>
        <v>13786.03888</v>
      </c>
      <c r="K112" s="25">
        <f t="shared" si="43"/>
        <v>14210.92527</v>
      </c>
      <c r="L112" s="25">
        <f t="shared" si="43"/>
        <v>14487.10142</v>
      </c>
      <c r="M112" s="25">
        <f t="shared" si="43"/>
        <v>14666.61593</v>
      </c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outlineLevel="1">
      <c r="A113" s="25" t="s">
        <v>60</v>
      </c>
      <c r="B113" s="25"/>
      <c r="C113" s="32"/>
      <c r="D113" s="37">
        <v>9002.650000000001</v>
      </c>
      <c r="E113" s="37">
        <v>1702.0499999999993</v>
      </c>
      <c r="F113" s="37">
        <v>774.8499999999985</v>
      </c>
      <c r="G113" s="37">
        <v>902.9000000000015</v>
      </c>
      <c r="H113" s="37">
        <v>827.1499999999978</v>
      </c>
      <c r="I113" s="25">
        <f t="shared" ref="I113:M113" si="44">I138</f>
        <v>3175.392197</v>
      </c>
      <c r="J113" s="25">
        <f t="shared" si="44"/>
        <v>5062.262842</v>
      </c>
      <c r="K113" s="25">
        <f t="shared" si="44"/>
        <v>5767.917109</v>
      </c>
      <c r="L113" s="25">
        <f t="shared" si="44"/>
        <v>-2612.656526</v>
      </c>
      <c r="M113" s="25">
        <f t="shared" si="44"/>
        <v>2041.137911</v>
      </c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outlineLevel="1">
      <c r="A114" s="42" t="s">
        <v>61</v>
      </c>
      <c r="B114" s="41"/>
      <c r="C114" s="68"/>
      <c r="D114" s="42">
        <f t="shared" ref="D114:M114" si="45">D111+D112-D113</f>
        <v>12971.1792</v>
      </c>
      <c r="E114" s="42">
        <f t="shared" si="45"/>
        <v>28238.7335</v>
      </c>
      <c r="F114" s="42">
        <f t="shared" si="45"/>
        <v>37505.34389</v>
      </c>
      <c r="G114" s="42">
        <f t="shared" si="45"/>
        <v>42354.07902</v>
      </c>
      <c r="H114" s="42">
        <f t="shared" si="45"/>
        <v>43480.18476</v>
      </c>
      <c r="I114" s="42">
        <f t="shared" si="45"/>
        <v>36500.35454</v>
      </c>
      <c r="J114" s="42">
        <f t="shared" si="45"/>
        <v>33124.75195</v>
      </c>
      <c r="K114" s="42">
        <f t="shared" si="45"/>
        <v>34372.12357</v>
      </c>
      <c r="L114" s="42">
        <f t="shared" si="45"/>
        <v>69849.24944</v>
      </c>
      <c r="M114" s="42">
        <f t="shared" si="45"/>
        <v>74464.04217</v>
      </c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outlineLevel="1">
      <c r="A115" s="38"/>
      <c r="B115" s="25"/>
      <c r="C115" s="32"/>
      <c r="D115" s="54"/>
      <c r="E115" s="54"/>
      <c r="F115" s="54"/>
      <c r="G115" s="54"/>
      <c r="H115" s="54"/>
      <c r="I115" s="38"/>
      <c r="J115" s="38"/>
      <c r="K115" s="38"/>
      <c r="L115" s="38"/>
      <c r="M115" s="38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outlineLevel="1">
      <c r="A116" s="38" t="s">
        <v>62</v>
      </c>
      <c r="B116" s="25"/>
      <c r="C116" s="32"/>
      <c r="D116" s="37"/>
      <c r="E116" s="37"/>
      <c r="F116" s="37"/>
      <c r="G116" s="37"/>
      <c r="H116" s="37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outlineLevel="1">
      <c r="A117" s="25" t="s">
        <v>63</v>
      </c>
      <c r="B117" s="25"/>
      <c r="C117" s="32"/>
      <c r="D117" s="37">
        <v>15000.0</v>
      </c>
      <c r="E117" s="37">
        <v>15000.0</v>
      </c>
      <c r="F117" s="37">
        <v>15000.0</v>
      </c>
      <c r="G117" s="37">
        <v>15000.0</v>
      </c>
      <c r="H117" s="37">
        <v>15000.0</v>
      </c>
      <c r="I117" s="25">
        <f t="shared" ref="I117:M117" si="46">I142</f>
        <v>15000</v>
      </c>
      <c r="J117" s="25">
        <f t="shared" si="46"/>
        <v>15000</v>
      </c>
      <c r="K117" s="25">
        <f t="shared" si="46"/>
        <v>15000</v>
      </c>
      <c r="L117" s="25">
        <f t="shared" si="46"/>
        <v>15000</v>
      </c>
      <c r="M117" s="25">
        <f t="shared" si="46"/>
        <v>15000</v>
      </c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outlineLevel="1">
      <c r="A118" s="42" t="s">
        <v>64</v>
      </c>
      <c r="B118" s="41"/>
      <c r="C118" s="68"/>
      <c r="D118" s="42">
        <f t="shared" ref="D118:H118" si="47">SUM(D117)</f>
        <v>15000</v>
      </c>
      <c r="E118" s="42">
        <f t="shared" si="47"/>
        <v>15000</v>
      </c>
      <c r="F118" s="42">
        <f t="shared" si="47"/>
        <v>15000</v>
      </c>
      <c r="G118" s="42">
        <f t="shared" si="47"/>
        <v>15000</v>
      </c>
      <c r="H118" s="42">
        <f t="shared" si="47"/>
        <v>15000</v>
      </c>
      <c r="I118" s="42">
        <f t="shared" ref="I118:M118" si="48">I117</f>
        <v>15000</v>
      </c>
      <c r="J118" s="42">
        <f t="shared" si="48"/>
        <v>15000</v>
      </c>
      <c r="K118" s="42">
        <f t="shared" si="48"/>
        <v>15000</v>
      </c>
      <c r="L118" s="42">
        <f t="shared" si="48"/>
        <v>15000</v>
      </c>
      <c r="M118" s="42">
        <f t="shared" si="48"/>
        <v>15000</v>
      </c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outlineLevel="1">
      <c r="A119" s="38"/>
      <c r="B119" s="25"/>
      <c r="C119" s="32"/>
      <c r="D119" s="54"/>
      <c r="E119" s="54"/>
      <c r="F119" s="54"/>
      <c r="G119" s="54"/>
      <c r="H119" s="54"/>
      <c r="I119" s="38"/>
      <c r="J119" s="38"/>
      <c r="K119" s="38"/>
      <c r="L119" s="38"/>
      <c r="M119" s="38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outlineLevel="1">
      <c r="A120" s="38" t="s">
        <v>65</v>
      </c>
      <c r="B120" s="25"/>
      <c r="C120" s="32"/>
      <c r="D120" s="37"/>
      <c r="E120" s="37"/>
      <c r="F120" s="37"/>
      <c r="G120" s="37"/>
      <c r="H120" s="37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outlineLevel="1">
      <c r="A121" s="25" t="s">
        <v>66</v>
      </c>
      <c r="B121" s="25"/>
      <c r="C121" s="32"/>
      <c r="D121" s="37">
        <v>0.0</v>
      </c>
      <c r="E121" s="37">
        <v>0.0</v>
      </c>
      <c r="F121" s="37">
        <v>-20000.0</v>
      </c>
      <c r="G121" s="37">
        <v>0.0</v>
      </c>
      <c r="H121" s="37">
        <v>0.0</v>
      </c>
      <c r="I121" s="25">
        <f t="shared" ref="I121:M121" si="49">I148</f>
        <v>0</v>
      </c>
      <c r="J121" s="25">
        <f t="shared" si="49"/>
        <v>0</v>
      </c>
      <c r="K121" s="25">
        <f t="shared" si="49"/>
        <v>-20000</v>
      </c>
      <c r="L121" s="25">
        <f t="shared" si="49"/>
        <v>0</v>
      </c>
      <c r="M121" s="25">
        <f t="shared" si="49"/>
        <v>0</v>
      </c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outlineLevel="1">
      <c r="A122" s="25" t="s">
        <v>67</v>
      </c>
      <c r="B122" s="25"/>
      <c r="C122" s="32"/>
      <c r="D122" s="37">
        <v>70000.0</v>
      </c>
      <c r="E122" s="37">
        <v>0.0</v>
      </c>
      <c r="F122" s="37">
        <v>0.0</v>
      </c>
      <c r="G122" s="37">
        <v>0.0</v>
      </c>
      <c r="H122" s="37">
        <v>0.0</v>
      </c>
      <c r="I122" s="25">
        <f t="shared" ref="I122:M122" si="50">I66</f>
        <v>0</v>
      </c>
      <c r="J122" s="25">
        <f t="shared" si="50"/>
        <v>0</v>
      </c>
      <c r="K122" s="25">
        <f t="shared" si="50"/>
        <v>0</v>
      </c>
      <c r="L122" s="25">
        <f t="shared" si="50"/>
        <v>0</v>
      </c>
      <c r="M122" s="25">
        <f t="shared" si="50"/>
        <v>0</v>
      </c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outlineLevel="1">
      <c r="A123" s="42" t="s">
        <v>68</v>
      </c>
      <c r="B123" s="41"/>
      <c r="C123" s="68"/>
      <c r="D123" s="42">
        <f t="shared" ref="D123:M123" si="51">SUM(D121:D122)</f>
        <v>70000</v>
      </c>
      <c r="E123" s="42">
        <f t="shared" si="51"/>
        <v>0</v>
      </c>
      <c r="F123" s="42">
        <f t="shared" si="51"/>
        <v>-20000</v>
      </c>
      <c r="G123" s="42">
        <f t="shared" si="51"/>
        <v>0</v>
      </c>
      <c r="H123" s="42">
        <f t="shared" si="51"/>
        <v>0</v>
      </c>
      <c r="I123" s="42">
        <f t="shared" si="51"/>
        <v>0</v>
      </c>
      <c r="J123" s="42">
        <f t="shared" si="51"/>
        <v>0</v>
      </c>
      <c r="K123" s="42">
        <f t="shared" si="51"/>
        <v>-20000</v>
      </c>
      <c r="L123" s="42">
        <f t="shared" si="51"/>
        <v>0</v>
      </c>
      <c r="M123" s="42">
        <f t="shared" si="51"/>
        <v>0</v>
      </c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outlineLevel="1">
      <c r="A124" s="38"/>
      <c r="B124" s="25"/>
      <c r="C124" s="32"/>
      <c r="D124" s="54"/>
      <c r="E124" s="54"/>
      <c r="F124" s="54"/>
      <c r="G124" s="54"/>
      <c r="H124" s="54"/>
      <c r="I124" s="38"/>
      <c r="J124" s="38"/>
      <c r="K124" s="38"/>
      <c r="L124" s="38"/>
      <c r="M124" s="38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outlineLevel="1">
      <c r="A125" s="25" t="s">
        <v>69</v>
      </c>
      <c r="B125" s="25"/>
      <c r="C125" s="32"/>
      <c r="D125" s="25">
        <f t="shared" ref="D125:M125" si="52">D114-D118+D123</f>
        <v>67971.1792</v>
      </c>
      <c r="E125" s="25">
        <f t="shared" si="52"/>
        <v>13238.7335</v>
      </c>
      <c r="F125" s="25">
        <f t="shared" si="52"/>
        <v>2505.343885</v>
      </c>
      <c r="G125" s="25">
        <f t="shared" si="52"/>
        <v>27354.07902</v>
      </c>
      <c r="H125" s="25">
        <f t="shared" si="52"/>
        <v>28480.18476</v>
      </c>
      <c r="I125" s="25">
        <f t="shared" si="52"/>
        <v>21500.35454</v>
      </c>
      <c r="J125" s="25">
        <f t="shared" si="52"/>
        <v>18124.75195</v>
      </c>
      <c r="K125" s="25">
        <f t="shared" si="52"/>
        <v>-627.8764306</v>
      </c>
      <c r="L125" s="25">
        <f t="shared" si="52"/>
        <v>54849.24944</v>
      </c>
      <c r="M125" s="25">
        <f t="shared" si="52"/>
        <v>59464.04217</v>
      </c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outlineLevel="1">
      <c r="A126" s="25" t="s">
        <v>70</v>
      </c>
      <c r="B126" s="25"/>
      <c r="C126" s="32"/>
      <c r="D126" s="37">
        <v>0.0</v>
      </c>
      <c r="E126" s="37">
        <v>67971.17920000001</v>
      </c>
      <c r="F126" s="37">
        <v>81209.91269787797</v>
      </c>
      <c r="G126" s="37">
        <v>83715.2565830093</v>
      </c>
      <c r="H126" s="37">
        <v>111069.33560660461</v>
      </c>
      <c r="I126" s="25">
        <f t="shared" ref="I126:M126" si="53">H127</f>
        <v>139549.5204</v>
      </c>
      <c r="J126" s="25">
        <f t="shared" si="53"/>
        <v>161049.8749</v>
      </c>
      <c r="K126" s="25">
        <f t="shared" si="53"/>
        <v>179174.6269</v>
      </c>
      <c r="L126" s="25">
        <f t="shared" si="53"/>
        <v>178546.7504</v>
      </c>
      <c r="M126" s="25">
        <f t="shared" si="53"/>
        <v>233395.9999</v>
      </c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outlineLevel="1">
      <c r="A127" s="42" t="s">
        <v>71</v>
      </c>
      <c r="B127" s="41"/>
      <c r="C127" s="68"/>
      <c r="D127" s="42">
        <f t="shared" ref="D127:M127" si="54">SUM(D125:D126)</f>
        <v>67971.1792</v>
      </c>
      <c r="E127" s="42">
        <f t="shared" si="54"/>
        <v>81209.9127</v>
      </c>
      <c r="F127" s="42">
        <f t="shared" si="54"/>
        <v>83715.25658</v>
      </c>
      <c r="G127" s="42">
        <f t="shared" si="54"/>
        <v>111069.3356</v>
      </c>
      <c r="H127" s="42">
        <f t="shared" si="54"/>
        <v>139549.5204</v>
      </c>
      <c r="I127" s="42">
        <f t="shared" si="54"/>
        <v>161049.8749</v>
      </c>
      <c r="J127" s="42">
        <f t="shared" si="54"/>
        <v>179174.6269</v>
      </c>
      <c r="K127" s="42">
        <f t="shared" si="54"/>
        <v>178546.7504</v>
      </c>
      <c r="L127" s="42">
        <f t="shared" si="54"/>
        <v>233395.9999</v>
      </c>
      <c r="M127" s="42">
        <f t="shared" si="54"/>
        <v>292860.042</v>
      </c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outlineLevel="1">
      <c r="A128" s="38"/>
      <c r="B128" s="25"/>
      <c r="C128" s="32"/>
      <c r="D128" s="54"/>
      <c r="E128" s="37"/>
      <c r="F128" s="37"/>
      <c r="G128" s="37"/>
      <c r="H128" s="37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outlineLevel="1">
      <c r="A129" s="38"/>
      <c r="B129" s="25"/>
      <c r="C129" s="32"/>
      <c r="D129" s="54"/>
      <c r="E129" s="37"/>
      <c r="F129" s="37"/>
      <c r="G129" s="37"/>
      <c r="H129" s="37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32"/>
      <c r="D130" s="37"/>
      <c r="E130" s="37"/>
      <c r="F130" s="37"/>
      <c r="G130" s="37"/>
      <c r="H130" s="37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36" t="s">
        <v>72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outlineLevel="1">
      <c r="A132" s="25"/>
      <c r="B132" s="25"/>
      <c r="C132" s="32"/>
      <c r="D132" s="37"/>
      <c r="E132" s="37"/>
      <c r="F132" s="37"/>
      <c r="G132" s="37"/>
      <c r="H132" s="37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outlineLevel="1">
      <c r="A133" s="38" t="s">
        <v>73</v>
      </c>
      <c r="B133" s="25"/>
      <c r="C133" s="32"/>
      <c r="D133" s="37"/>
      <c r="E133" s="37"/>
      <c r="F133" s="37"/>
      <c r="G133" s="37"/>
      <c r="H133" s="37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outlineLevel="1">
      <c r="A134" s="25" t="s">
        <v>44</v>
      </c>
      <c r="B134" s="25"/>
      <c r="C134" s="32"/>
      <c r="D134" s="37">
        <v>5100.35</v>
      </c>
      <c r="E134" s="37">
        <v>5904.3</v>
      </c>
      <c r="F134" s="37">
        <v>6567.25</v>
      </c>
      <c r="G134" s="37">
        <v>7117.05</v>
      </c>
      <c r="H134" s="37">
        <v>7538.6</v>
      </c>
      <c r="I134" s="25">
        <f t="shared" ref="I134:M134" si="55">I90</f>
        <v>8178.864658</v>
      </c>
      <c r="J134" s="25">
        <f t="shared" si="55"/>
        <v>8996.751123</v>
      </c>
      <c r="K134" s="25">
        <f t="shared" si="55"/>
        <v>9896.426236</v>
      </c>
      <c r="L134" s="25">
        <f t="shared" si="55"/>
        <v>10886.06886</v>
      </c>
      <c r="M134" s="25">
        <f t="shared" si="55"/>
        <v>11974.67575</v>
      </c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outlineLevel="1">
      <c r="A135" s="25" t="s">
        <v>45</v>
      </c>
      <c r="B135" s="25"/>
      <c r="C135" s="32"/>
      <c r="D135" s="37">
        <v>7804.6</v>
      </c>
      <c r="E135" s="37">
        <v>9600.800000000001</v>
      </c>
      <c r="F135" s="37">
        <v>9824.6</v>
      </c>
      <c r="G135" s="37">
        <v>10530.800000000001</v>
      </c>
      <c r="H135" s="37">
        <v>11342.0</v>
      </c>
      <c r="I135" s="25">
        <f t="shared" ref="I135:M135" si="56">I91</f>
        <v>15267.21403</v>
      </c>
      <c r="J135" s="25">
        <f t="shared" si="56"/>
        <v>21142.36514</v>
      </c>
      <c r="K135" s="25">
        <f t="shared" si="56"/>
        <v>27490.07288</v>
      </c>
      <c r="L135" s="25">
        <f t="shared" si="56"/>
        <v>21772.13772</v>
      </c>
      <c r="M135" s="25">
        <f t="shared" si="56"/>
        <v>23284.09173</v>
      </c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outlineLevel="1">
      <c r="A136" s="25" t="s">
        <v>49</v>
      </c>
      <c r="B136" s="25"/>
      <c r="C136" s="32"/>
      <c r="D136" s="37">
        <v>3902.3</v>
      </c>
      <c r="E136" s="37">
        <v>4800.400000000001</v>
      </c>
      <c r="F136" s="37">
        <v>4912.3</v>
      </c>
      <c r="G136" s="37">
        <v>5265.400000000001</v>
      </c>
      <c r="H136" s="37">
        <v>5671.0</v>
      </c>
      <c r="I136" s="25">
        <f t="shared" ref="I136:M136" si="57">I96</f>
        <v>7061.086488</v>
      </c>
      <c r="J136" s="25">
        <f t="shared" si="57"/>
        <v>8691.861224</v>
      </c>
      <c r="K136" s="25">
        <f t="shared" si="57"/>
        <v>10171.32696</v>
      </c>
      <c r="L136" s="25">
        <f t="shared" si="57"/>
        <v>8055.690956</v>
      </c>
      <c r="M136" s="25">
        <f t="shared" si="57"/>
        <v>8615.113939</v>
      </c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outlineLevel="1">
      <c r="A137" s="41" t="s">
        <v>74</v>
      </c>
      <c r="B137" s="41"/>
      <c r="C137" s="68"/>
      <c r="D137" s="41">
        <f t="shared" ref="D137:M137" si="58">D134+D135-D136</f>
        <v>9002.65</v>
      </c>
      <c r="E137" s="41">
        <f t="shared" si="58"/>
        <v>10704.7</v>
      </c>
      <c r="F137" s="41">
        <f t="shared" si="58"/>
        <v>11479.55</v>
      </c>
      <c r="G137" s="41">
        <f t="shared" si="58"/>
        <v>12382.45</v>
      </c>
      <c r="H137" s="41">
        <f t="shared" si="58"/>
        <v>13209.6</v>
      </c>
      <c r="I137" s="41">
        <f t="shared" si="58"/>
        <v>16384.9922</v>
      </c>
      <c r="J137" s="41">
        <f t="shared" si="58"/>
        <v>21447.25504</v>
      </c>
      <c r="K137" s="41">
        <f t="shared" si="58"/>
        <v>27215.17215</v>
      </c>
      <c r="L137" s="41">
        <f t="shared" si="58"/>
        <v>24602.51562</v>
      </c>
      <c r="M137" s="41">
        <f t="shared" si="58"/>
        <v>26643.65353</v>
      </c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outlineLevel="1">
      <c r="A138" s="25" t="s">
        <v>75</v>
      </c>
      <c r="B138" s="25"/>
      <c r="C138" s="32"/>
      <c r="D138" s="25">
        <f t="shared" ref="D138:M138" si="59">D137-C137</f>
        <v>9002.65</v>
      </c>
      <c r="E138" s="25">
        <f t="shared" si="59"/>
        <v>1702.05</v>
      </c>
      <c r="F138" s="25">
        <f t="shared" si="59"/>
        <v>774.85</v>
      </c>
      <c r="G138" s="25">
        <f t="shared" si="59"/>
        <v>902.9</v>
      </c>
      <c r="H138" s="25">
        <f t="shared" si="59"/>
        <v>827.15</v>
      </c>
      <c r="I138" s="25">
        <f t="shared" si="59"/>
        <v>3175.392197</v>
      </c>
      <c r="J138" s="25">
        <f t="shared" si="59"/>
        <v>5062.262842</v>
      </c>
      <c r="K138" s="25">
        <f t="shared" si="59"/>
        <v>5767.917109</v>
      </c>
      <c r="L138" s="25">
        <f t="shared" si="59"/>
        <v>-2612.656526</v>
      </c>
      <c r="M138" s="25">
        <f t="shared" si="59"/>
        <v>2041.137911</v>
      </c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outlineLevel="1">
      <c r="A139" s="25"/>
      <c r="B139" s="25"/>
      <c r="C139" s="32"/>
      <c r="D139" s="37"/>
      <c r="E139" s="37"/>
      <c r="F139" s="37"/>
      <c r="G139" s="37"/>
      <c r="H139" s="37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outlineLevel="1">
      <c r="A140" s="38" t="s">
        <v>76</v>
      </c>
      <c r="B140" s="25"/>
      <c r="C140" s="32"/>
      <c r="D140" s="37"/>
      <c r="E140" s="37"/>
      <c r="F140" s="37"/>
      <c r="G140" s="37"/>
      <c r="H140" s="37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outlineLevel="1">
      <c r="A141" s="25" t="s">
        <v>77</v>
      </c>
      <c r="B141" s="25"/>
      <c r="C141" s="32"/>
      <c r="D141" s="37">
        <v>50000.0</v>
      </c>
      <c r="E141" s="37">
        <v>45500.0</v>
      </c>
      <c r="F141" s="37">
        <v>42350.0</v>
      </c>
      <c r="G141" s="37">
        <v>40145.0</v>
      </c>
      <c r="H141" s="37">
        <v>38601.5</v>
      </c>
      <c r="I141" s="25">
        <f t="shared" ref="I141:M141" si="60">H144</f>
        <v>37521.05</v>
      </c>
      <c r="J141" s="25">
        <f t="shared" si="60"/>
        <v>39388.6825</v>
      </c>
      <c r="K141" s="25">
        <f t="shared" si="60"/>
        <v>40602.64363</v>
      </c>
      <c r="L141" s="25">
        <f t="shared" si="60"/>
        <v>41391.71836</v>
      </c>
      <c r="M141" s="25">
        <f t="shared" si="60"/>
        <v>41904.61693</v>
      </c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outlineLevel="1">
      <c r="A142" s="25" t="s">
        <v>78</v>
      </c>
      <c r="B142" s="25"/>
      <c r="C142" s="32"/>
      <c r="D142" s="37">
        <v>15000.0</v>
      </c>
      <c r="E142" s="37">
        <v>15000.0</v>
      </c>
      <c r="F142" s="37">
        <v>15000.0</v>
      </c>
      <c r="G142" s="37">
        <v>15000.0</v>
      </c>
      <c r="H142" s="37">
        <v>15000.0</v>
      </c>
      <c r="I142" s="25">
        <f t="shared" ref="I142:M142" si="61">I64</f>
        <v>15000</v>
      </c>
      <c r="J142" s="25">
        <f t="shared" si="61"/>
        <v>15000</v>
      </c>
      <c r="K142" s="25">
        <f t="shared" si="61"/>
        <v>15000</v>
      </c>
      <c r="L142" s="25">
        <f t="shared" si="61"/>
        <v>15000</v>
      </c>
      <c r="M142" s="25">
        <f t="shared" si="61"/>
        <v>15000</v>
      </c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outlineLevel="1">
      <c r="A143" s="25" t="s">
        <v>79</v>
      </c>
      <c r="B143" s="25"/>
      <c r="C143" s="62"/>
      <c r="D143" s="37">
        <v>19500.0</v>
      </c>
      <c r="E143" s="37">
        <v>18150.0</v>
      </c>
      <c r="F143" s="37">
        <v>17205.0</v>
      </c>
      <c r="G143" s="37">
        <v>16543.5</v>
      </c>
      <c r="H143" s="37">
        <v>16080.449999999999</v>
      </c>
      <c r="I143" s="55">
        <f t="shared" ref="I143:M143" si="62">I141*I58</f>
        <v>13132.3675</v>
      </c>
      <c r="J143" s="69">
        <f t="shared" si="62"/>
        <v>13786.03888</v>
      </c>
      <c r="K143" s="69">
        <f t="shared" si="62"/>
        <v>14210.92527</v>
      </c>
      <c r="L143" s="69">
        <f t="shared" si="62"/>
        <v>14487.10142</v>
      </c>
      <c r="M143" s="69">
        <f t="shared" si="62"/>
        <v>14666.61593</v>
      </c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outlineLevel="1">
      <c r="A144" s="41" t="s">
        <v>80</v>
      </c>
      <c r="B144" s="41"/>
      <c r="C144" s="68"/>
      <c r="D144" s="41">
        <f t="shared" ref="D144:M144" si="63">D141+D142-D143</f>
        <v>45500</v>
      </c>
      <c r="E144" s="41">
        <f t="shared" si="63"/>
        <v>42350</v>
      </c>
      <c r="F144" s="41">
        <f t="shared" si="63"/>
        <v>40145</v>
      </c>
      <c r="G144" s="41">
        <f t="shared" si="63"/>
        <v>38601.5</v>
      </c>
      <c r="H144" s="41">
        <f t="shared" si="63"/>
        <v>37521.05</v>
      </c>
      <c r="I144" s="41">
        <f t="shared" si="63"/>
        <v>39388.6825</v>
      </c>
      <c r="J144" s="41">
        <f t="shared" si="63"/>
        <v>40602.64363</v>
      </c>
      <c r="K144" s="41">
        <f t="shared" si="63"/>
        <v>41391.71836</v>
      </c>
      <c r="L144" s="41">
        <f t="shared" si="63"/>
        <v>41904.61693</v>
      </c>
      <c r="M144" s="41">
        <f t="shared" si="63"/>
        <v>42238.00101</v>
      </c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outlineLevel="1">
      <c r="A145" s="25"/>
      <c r="B145" s="25"/>
      <c r="C145" s="32"/>
      <c r="D145" s="37"/>
      <c r="E145" s="37"/>
      <c r="F145" s="37"/>
      <c r="G145" s="37"/>
      <c r="H145" s="37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outlineLevel="1">
      <c r="A146" s="38" t="s">
        <v>81</v>
      </c>
      <c r="B146" s="25"/>
      <c r="C146" s="32"/>
      <c r="D146" s="37"/>
      <c r="E146" s="37"/>
      <c r="F146" s="37"/>
      <c r="G146" s="37"/>
      <c r="H146" s="37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outlineLevel="1">
      <c r="A147" s="25" t="s">
        <v>82</v>
      </c>
      <c r="B147" s="25"/>
      <c r="C147" s="32"/>
      <c r="D147" s="37">
        <v>50000.0</v>
      </c>
      <c r="E147" s="37">
        <v>50000.0</v>
      </c>
      <c r="F147" s="37">
        <v>50000.0</v>
      </c>
      <c r="G147" s="37">
        <v>30000.0</v>
      </c>
      <c r="H147" s="37">
        <v>30000.0</v>
      </c>
      <c r="I147" s="25">
        <f t="shared" ref="I147:M147" si="64">H149</f>
        <v>30000</v>
      </c>
      <c r="J147" s="25">
        <f t="shared" si="64"/>
        <v>30000</v>
      </c>
      <c r="K147" s="25">
        <f t="shared" si="64"/>
        <v>30000</v>
      </c>
      <c r="L147" s="25">
        <f t="shared" si="64"/>
        <v>10000</v>
      </c>
      <c r="M147" s="25">
        <f t="shared" si="64"/>
        <v>10000</v>
      </c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outlineLevel="1">
      <c r="A148" s="25" t="s">
        <v>83</v>
      </c>
      <c r="B148" s="25"/>
      <c r="C148" s="32"/>
      <c r="D148" s="37">
        <v>0.0</v>
      </c>
      <c r="E148" s="37">
        <v>0.0</v>
      </c>
      <c r="F148" s="37">
        <v>-20000.0</v>
      </c>
      <c r="G148" s="37">
        <v>0.0</v>
      </c>
      <c r="H148" s="37">
        <v>0.0</v>
      </c>
      <c r="I148" s="25">
        <f t="shared" ref="I148:M148" si="65">I65</f>
        <v>0</v>
      </c>
      <c r="J148" s="25">
        <f t="shared" si="65"/>
        <v>0</v>
      </c>
      <c r="K148" s="25">
        <f t="shared" si="65"/>
        <v>-20000</v>
      </c>
      <c r="L148" s="25">
        <f t="shared" si="65"/>
        <v>0</v>
      </c>
      <c r="M148" s="25">
        <f t="shared" si="65"/>
        <v>0</v>
      </c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outlineLevel="1">
      <c r="A149" s="41" t="s">
        <v>84</v>
      </c>
      <c r="B149" s="41"/>
      <c r="C149" s="68"/>
      <c r="D149" s="41">
        <f t="shared" ref="D149:M149" si="66">SUM(D147:D148)</f>
        <v>50000</v>
      </c>
      <c r="E149" s="41">
        <f t="shared" si="66"/>
        <v>50000</v>
      </c>
      <c r="F149" s="41">
        <f t="shared" si="66"/>
        <v>30000</v>
      </c>
      <c r="G149" s="41">
        <f t="shared" si="66"/>
        <v>30000</v>
      </c>
      <c r="H149" s="41">
        <f t="shared" si="66"/>
        <v>30000</v>
      </c>
      <c r="I149" s="41">
        <f t="shared" si="66"/>
        <v>30000</v>
      </c>
      <c r="J149" s="41">
        <f t="shared" si="66"/>
        <v>30000</v>
      </c>
      <c r="K149" s="41">
        <f t="shared" si="66"/>
        <v>10000</v>
      </c>
      <c r="L149" s="41">
        <f t="shared" si="66"/>
        <v>10000</v>
      </c>
      <c r="M149" s="41">
        <f t="shared" si="66"/>
        <v>10000</v>
      </c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outlineLevel="1">
      <c r="A150" s="25" t="s">
        <v>85</v>
      </c>
      <c r="B150" s="25"/>
      <c r="C150" s="62"/>
      <c r="D150" s="37">
        <v>2500.0</v>
      </c>
      <c r="E150" s="37">
        <v>2500.0</v>
      </c>
      <c r="F150" s="37">
        <v>1500.0</v>
      </c>
      <c r="G150" s="37">
        <v>1500.0</v>
      </c>
      <c r="H150" s="37">
        <v>1500.0</v>
      </c>
      <c r="I150" s="25">
        <f t="shared" ref="I150:M150" si="67">I149*I59</f>
        <v>3000</v>
      </c>
      <c r="J150" s="25">
        <f t="shared" si="67"/>
        <v>3000</v>
      </c>
      <c r="K150" s="25">
        <f t="shared" si="67"/>
        <v>1000</v>
      </c>
      <c r="L150" s="25">
        <f t="shared" si="67"/>
        <v>1000</v>
      </c>
      <c r="M150" s="25">
        <f t="shared" si="67"/>
        <v>1000</v>
      </c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outlineLevel="1">
      <c r="A151" s="25"/>
      <c r="B151" s="25"/>
      <c r="C151" s="32"/>
      <c r="D151" s="37"/>
      <c r="E151" s="37"/>
      <c r="F151" s="37"/>
      <c r="G151" s="37"/>
      <c r="H151" s="37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outlineLevel="1">
      <c r="A152" s="25"/>
      <c r="B152" s="25"/>
      <c r="C152" s="32"/>
      <c r="D152" s="37"/>
      <c r="E152" s="37"/>
      <c r="F152" s="37"/>
      <c r="G152" s="37"/>
      <c r="H152" s="37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32"/>
      <c r="D153" s="37"/>
      <c r="E153" s="37"/>
      <c r="F153" s="37"/>
      <c r="G153" s="37"/>
      <c r="H153" s="37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36" t="s">
        <v>86</v>
      </c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outlineLevel="1">
      <c r="A155" s="38"/>
      <c r="B155" s="25"/>
      <c r="C155" s="32"/>
      <c r="D155" s="37"/>
      <c r="E155" s="37"/>
      <c r="F155" s="37"/>
      <c r="G155" s="37"/>
      <c r="H155" s="37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outlineLevel="1">
      <c r="A156" s="38" t="s">
        <v>11</v>
      </c>
      <c r="B156" s="37"/>
      <c r="C156" s="37"/>
      <c r="D156" s="37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outlineLevel="1">
      <c r="A157" s="41" t="s">
        <v>87</v>
      </c>
      <c r="B157" s="70"/>
      <c r="C157" s="71">
        <v>0.25</v>
      </c>
      <c r="D157" s="37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outlineLevel="1">
      <c r="A158" s="25" t="s">
        <v>88</v>
      </c>
      <c r="B158" s="25"/>
      <c r="C158" s="72">
        <v>0.12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outlineLevel="1">
      <c r="A159" s="25" t="s">
        <v>89</v>
      </c>
      <c r="B159" s="25"/>
      <c r="C159" s="72">
        <v>0.04</v>
      </c>
      <c r="D159" s="25"/>
      <c r="E159" s="25"/>
      <c r="F159" s="25"/>
      <c r="G159" s="25"/>
      <c r="H159" s="25"/>
      <c r="I159" s="25"/>
      <c r="J159" s="62"/>
      <c r="K159" s="62"/>
      <c r="L159" s="62"/>
      <c r="M159" s="62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outlineLevel="1">
      <c r="A160" s="25" t="s">
        <v>90</v>
      </c>
      <c r="B160" s="25"/>
      <c r="C160" s="73">
        <v>8.0</v>
      </c>
      <c r="D160" s="25"/>
      <c r="E160" s="25"/>
      <c r="F160" s="25"/>
      <c r="G160" s="25"/>
      <c r="H160" s="25"/>
      <c r="I160" s="25"/>
      <c r="J160" s="62"/>
      <c r="K160" s="62"/>
      <c r="L160" s="62"/>
      <c r="M160" s="62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outlineLevel="1">
      <c r="A161" s="25" t="s">
        <v>91</v>
      </c>
      <c r="B161" s="25"/>
      <c r="C161" s="74">
        <v>43100.0</v>
      </c>
      <c r="D161" s="25"/>
      <c r="E161" s="25"/>
      <c r="F161" s="25"/>
      <c r="G161" s="25"/>
      <c r="H161" s="25"/>
      <c r="I161" s="25"/>
      <c r="J161" s="62"/>
      <c r="K161" s="62"/>
      <c r="L161" s="62"/>
      <c r="M161" s="62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outlineLevel="1">
      <c r="A162" s="25" t="s">
        <v>92</v>
      </c>
      <c r="B162" s="25"/>
      <c r="C162" s="75">
        <v>16.0</v>
      </c>
      <c r="D162" s="25"/>
      <c r="E162" s="25"/>
      <c r="F162" s="25"/>
      <c r="G162" s="25"/>
      <c r="H162" s="25"/>
      <c r="I162" s="25"/>
      <c r="J162" s="62"/>
      <c r="K162" s="62"/>
      <c r="L162" s="62"/>
      <c r="M162" s="62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outlineLevel="1">
      <c r="A163" s="25" t="s">
        <v>93</v>
      </c>
      <c r="B163" s="25"/>
      <c r="C163" s="76">
        <v>20000.0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outlineLevel="1">
      <c r="A164" s="25"/>
      <c r="B164" s="25"/>
      <c r="C164" s="7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outlineLevel="1">
      <c r="A165" s="25"/>
      <c r="B165" s="25"/>
      <c r="C165" s="7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outlineLevel="1">
      <c r="A166" s="38" t="s">
        <v>94</v>
      </c>
      <c r="B166" s="25"/>
      <c r="C166" s="77" t="s">
        <v>95</v>
      </c>
      <c r="D166" s="78">
        <f>YEAR(D167)</f>
        <v>2018</v>
      </c>
      <c r="E166" s="78">
        <f t="shared" ref="E166:H166" si="68">+D166+1</f>
        <v>2019</v>
      </c>
      <c r="F166" s="78">
        <f t="shared" si="68"/>
        <v>2020</v>
      </c>
      <c r="G166" s="78">
        <f t="shared" si="68"/>
        <v>2021</v>
      </c>
      <c r="H166" s="78">
        <f t="shared" si="68"/>
        <v>2022</v>
      </c>
      <c r="I166" s="77" t="s">
        <v>96</v>
      </c>
      <c r="J166" s="25"/>
      <c r="K166" s="38" t="s">
        <v>97</v>
      </c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outlineLevel="1">
      <c r="A167" s="41" t="s">
        <v>98</v>
      </c>
      <c r="B167" s="41"/>
      <c r="C167" s="79">
        <f>C161</f>
        <v>43100</v>
      </c>
      <c r="D167" s="79">
        <f t="shared" ref="D167:H167" si="69">DATE(YEAR(C167+1),12,31)</f>
        <v>43465</v>
      </c>
      <c r="E167" s="79">
        <f t="shared" si="69"/>
        <v>43830</v>
      </c>
      <c r="F167" s="79">
        <f t="shared" si="69"/>
        <v>44196</v>
      </c>
      <c r="G167" s="79">
        <f t="shared" si="69"/>
        <v>44561</v>
      </c>
      <c r="H167" s="79">
        <f t="shared" si="69"/>
        <v>44926</v>
      </c>
      <c r="I167" s="79">
        <f>H167</f>
        <v>44926</v>
      </c>
      <c r="J167" s="25"/>
      <c r="K167" s="41" t="s">
        <v>99</v>
      </c>
      <c r="L167" s="41"/>
      <c r="M167" s="80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outlineLevel="1">
      <c r="A168" s="25"/>
      <c r="B168" s="25"/>
      <c r="C168" s="25"/>
      <c r="D168" s="81"/>
      <c r="E168" s="25"/>
      <c r="F168" s="25"/>
      <c r="G168" s="25"/>
      <c r="H168" s="25"/>
      <c r="I168" s="25"/>
      <c r="J168" s="25"/>
      <c r="K168" s="25" t="s">
        <v>100</v>
      </c>
      <c r="L168" s="25"/>
      <c r="M168" s="55">
        <f>+H174*(C160*(1+$J$217))</f>
        <v>812428.0847</v>
      </c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outlineLevel="1">
      <c r="A169" s="25" t="s">
        <v>101</v>
      </c>
      <c r="B169" s="25"/>
      <c r="C169" s="25"/>
      <c r="D169" s="25">
        <f t="shared" ref="D169:H169" si="70">I80</f>
        <v>36865.8045</v>
      </c>
      <c r="E169" s="25">
        <f t="shared" si="70"/>
        <v>33890.24433</v>
      </c>
      <c r="F169" s="25">
        <f t="shared" si="70"/>
        <v>36012.66029</v>
      </c>
      <c r="G169" s="25">
        <f t="shared" si="70"/>
        <v>73263.18262</v>
      </c>
      <c r="H169" s="25">
        <f t="shared" si="70"/>
        <v>85886.89466</v>
      </c>
      <c r="I169" s="25"/>
      <c r="J169" s="25"/>
      <c r="K169" s="25" t="s">
        <v>102</v>
      </c>
      <c r="L169" s="25"/>
      <c r="M169" s="41">
        <f>AVERAGE(M167:M168)</f>
        <v>812428.0847</v>
      </c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outlineLevel="1">
      <c r="A170" s="25" t="s">
        <v>36</v>
      </c>
      <c r="B170" s="25"/>
      <c r="C170" s="25"/>
      <c r="D170" s="25">
        <f t="shared" ref="D170:H170" si="71">I78</f>
        <v>3000</v>
      </c>
      <c r="E170" s="25">
        <f t="shared" si="71"/>
        <v>3000</v>
      </c>
      <c r="F170" s="25">
        <f t="shared" si="71"/>
        <v>1000</v>
      </c>
      <c r="G170" s="25">
        <f t="shared" si="71"/>
        <v>1000</v>
      </c>
      <c r="H170" s="25">
        <f t="shared" si="71"/>
        <v>1000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outlineLevel="1">
      <c r="A171" s="25" t="s">
        <v>103</v>
      </c>
      <c r="B171" s="25"/>
      <c r="C171" s="25"/>
      <c r="D171" s="41">
        <f t="shared" ref="D171:H171" si="72">SUM(D169:D170)</f>
        <v>39865.8045</v>
      </c>
      <c r="E171" s="41">
        <f t="shared" si="72"/>
        <v>36890.24433</v>
      </c>
      <c r="F171" s="41">
        <f t="shared" si="72"/>
        <v>37012.66029</v>
      </c>
      <c r="G171" s="41">
        <f t="shared" si="72"/>
        <v>74263.18262</v>
      </c>
      <c r="H171" s="41">
        <f t="shared" si="72"/>
        <v>86886.89466</v>
      </c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outlineLevel="1">
      <c r="A172" s="25" t="s">
        <v>104</v>
      </c>
      <c r="B172" s="25"/>
      <c r="C172" s="25"/>
      <c r="D172" s="55">
        <f t="shared" ref="D172:H172" si="73">D171*$C$157</f>
        <v>9966.451125</v>
      </c>
      <c r="E172" s="55">
        <f t="shared" si="73"/>
        <v>9222.561081</v>
      </c>
      <c r="F172" s="55">
        <f t="shared" si="73"/>
        <v>9253.165073</v>
      </c>
      <c r="G172" s="55">
        <f t="shared" si="73"/>
        <v>18565.79565</v>
      </c>
      <c r="H172" s="55">
        <f t="shared" si="73"/>
        <v>21721.72366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outlineLevel="1">
      <c r="A173" s="25" t="s">
        <v>105</v>
      </c>
      <c r="B173" s="25"/>
      <c r="C173" s="25"/>
      <c r="D173" s="55">
        <f t="shared" ref="D173:H173" si="74">+I112</f>
        <v>13132.3675</v>
      </c>
      <c r="E173" s="55">
        <f t="shared" si="74"/>
        <v>13786.03888</v>
      </c>
      <c r="F173" s="55">
        <f t="shared" si="74"/>
        <v>14210.92527</v>
      </c>
      <c r="G173" s="55">
        <f t="shared" si="74"/>
        <v>14487.10142</v>
      </c>
      <c r="H173" s="55">
        <f t="shared" si="74"/>
        <v>14666.61593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outlineLevel="1">
      <c r="A174" s="25" t="s">
        <v>106</v>
      </c>
      <c r="B174" s="25"/>
      <c r="C174" s="25"/>
      <c r="D174" s="82">
        <f t="shared" ref="D174:H174" si="75">D171+D173</f>
        <v>52998.172</v>
      </c>
      <c r="E174" s="82">
        <f t="shared" si="75"/>
        <v>50676.2832</v>
      </c>
      <c r="F174" s="82">
        <f t="shared" si="75"/>
        <v>51223.58556</v>
      </c>
      <c r="G174" s="82">
        <f t="shared" si="75"/>
        <v>88750.28404</v>
      </c>
      <c r="H174" s="82">
        <f t="shared" si="75"/>
        <v>101553.5106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outlineLevel="1">
      <c r="A175" s="25" t="s">
        <v>107</v>
      </c>
      <c r="B175" s="25"/>
      <c r="C175" s="25"/>
      <c r="D175" s="25">
        <f t="shared" ref="D175:H175" si="76">I117</f>
        <v>15000</v>
      </c>
      <c r="E175" s="25">
        <f t="shared" si="76"/>
        <v>15000</v>
      </c>
      <c r="F175" s="25">
        <f t="shared" si="76"/>
        <v>15000</v>
      </c>
      <c r="G175" s="25">
        <f t="shared" si="76"/>
        <v>15000</v>
      </c>
      <c r="H175" s="25">
        <f t="shared" si="76"/>
        <v>15000</v>
      </c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outlineLevel="1">
      <c r="A176" s="25" t="s">
        <v>108</v>
      </c>
      <c r="B176" s="25"/>
      <c r="C176" s="25"/>
      <c r="D176" s="25">
        <f t="shared" ref="D176:H176" si="77">I138</f>
        <v>3175.392197</v>
      </c>
      <c r="E176" s="25">
        <f t="shared" si="77"/>
        <v>5062.262842</v>
      </c>
      <c r="F176" s="25">
        <f t="shared" si="77"/>
        <v>5767.917109</v>
      </c>
      <c r="G176" s="25">
        <f t="shared" si="77"/>
        <v>-2612.656526</v>
      </c>
      <c r="H176" s="25">
        <f t="shared" si="77"/>
        <v>2041.137911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outlineLevel="1">
      <c r="A177" s="25" t="s">
        <v>109</v>
      </c>
      <c r="B177" s="25"/>
      <c r="C177" s="25"/>
      <c r="D177" s="41">
        <f t="shared" ref="D177:H177" si="78">D171-D172+D173-D175-D176</f>
        <v>24856.32868</v>
      </c>
      <c r="E177" s="41">
        <f t="shared" si="78"/>
        <v>21391.45928</v>
      </c>
      <c r="F177" s="41">
        <f t="shared" si="78"/>
        <v>21202.50338</v>
      </c>
      <c r="G177" s="41">
        <f t="shared" si="78"/>
        <v>57797.14492</v>
      </c>
      <c r="H177" s="41">
        <f t="shared" si="78"/>
        <v>62790.64901</v>
      </c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outlineLevel="1">
      <c r="A178" s="25" t="s">
        <v>110</v>
      </c>
      <c r="B178" s="25"/>
      <c r="C178" s="25"/>
      <c r="D178" s="25"/>
      <c r="E178" s="25"/>
      <c r="F178" s="25"/>
      <c r="G178" s="25"/>
      <c r="H178" s="25"/>
      <c r="I178" s="25">
        <f>M169</f>
        <v>812428.0847</v>
      </c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outlineLevel="1">
      <c r="A179" s="25" t="s">
        <v>111</v>
      </c>
      <c r="B179" s="25"/>
      <c r="C179" s="41">
        <f t="shared" ref="C179:I179" si="79">C178+C177</f>
        <v>0</v>
      </c>
      <c r="D179" s="41">
        <f t="shared" si="79"/>
        <v>24856.32868</v>
      </c>
      <c r="E179" s="41">
        <f t="shared" si="79"/>
        <v>21391.45928</v>
      </c>
      <c r="F179" s="41">
        <f t="shared" si="79"/>
        <v>21202.50338</v>
      </c>
      <c r="G179" s="41">
        <f t="shared" si="79"/>
        <v>57797.14492</v>
      </c>
      <c r="H179" s="41">
        <f t="shared" si="79"/>
        <v>62790.64901</v>
      </c>
      <c r="I179" s="41">
        <f t="shared" si="79"/>
        <v>812428.0847</v>
      </c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outlineLevel="1">
      <c r="A180" s="25" t="s">
        <v>112</v>
      </c>
      <c r="B180" s="25"/>
      <c r="C180" s="25">
        <f>-G195</f>
        <v>-210450.4796</v>
      </c>
      <c r="D180" s="25">
        <f t="shared" ref="D180:I180" si="80">D179</f>
        <v>24856.32868</v>
      </c>
      <c r="E180" s="25">
        <f t="shared" si="80"/>
        <v>21391.45928</v>
      </c>
      <c r="F180" s="25">
        <f t="shared" si="80"/>
        <v>21202.50338</v>
      </c>
      <c r="G180" s="25">
        <f t="shared" si="80"/>
        <v>57797.14492</v>
      </c>
      <c r="H180" s="25">
        <f t="shared" si="80"/>
        <v>62790.64901</v>
      </c>
      <c r="I180" s="25">
        <f t="shared" si="80"/>
        <v>812428.0847</v>
      </c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outlineLevel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outlineLevel="1">
      <c r="A182" s="38" t="s">
        <v>113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outlineLevel="1">
      <c r="A183" s="25">
        <f t="shared" ref="A183:A188" si="81">XNPV($C$158,$C183:$H183,$C$167:$H$167)</f>
        <v>22193.15061</v>
      </c>
      <c r="B183" s="83">
        <f t="shared" ref="B183:B188" si="82">A183/$A$189</f>
        <v>0.03777420607</v>
      </c>
      <c r="C183" s="25">
        <v>0.0</v>
      </c>
      <c r="D183" s="25">
        <f>D180</f>
        <v>24856.32868</v>
      </c>
      <c r="E183" s="25">
        <v>0.0</v>
      </c>
      <c r="F183" s="25">
        <v>0.0</v>
      </c>
      <c r="G183" s="25">
        <v>0.0</v>
      </c>
      <c r="H183" s="25">
        <v>0.0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outlineLevel="1">
      <c r="A184" s="25">
        <f t="shared" si="81"/>
        <v>17053.14037</v>
      </c>
      <c r="B184" s="83">
        <f t="shared" si="82"/>
        <v>0.02902556964</v>
      </c>
      <c r="C184" s="25">
        <v>0.0</v>
      </c>
      <c r="D184" s="25">
        <v>0.0</v>
      </c>
      <c r="E184" s="25">
        <f>E180</f>
        <v>21391.45928</v>
      </c>
      <c r="F184" s="25">
        <v>0.0</v>
      </c>
      <c r="G184" s="25">
        <v>0.0</v>
      </c>
      <c r="H184" s="25">
        <v>0.0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outlineLevel="1">
      <c r="A185" s="25">
        <f t="shared" si="81"/>
        <v>15086.83808</v>
      </c>
      <c r="B185" s="83">
        <f t="shared" si="82"/>
        <v>0.02567879345</v>
      </c>
      <c r="C185" s="25">
        <v>0.0</v>
      </c>
      <c r="D185" s="25">
        <v>0.0</v>
      </c>
      <c r="E185" s="25">
        <v>0.0</v>
      </c>
      <c r="F185" s="25">
        <f>F180</f>
        <v>21202.50338</v>
      </c>
      <c r="G185" s="25">
        <v>0.0</v>
      </c>
      <c r="H185" s="25">
        <v>0.0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outlineLevel="1">
      <c r="A186" s="25">
        <f t="shared" si="81"/>
        <v>36719.72761</v>
      </c>
      <c r="B186" s="83">
        <f t="shared" si="82"/>
        <v>0.06249939823</v>
      </c>
      <c r="C186" s="25">
        <v>0.0</v>
      </c>
      <c r="D186" s="25">
        <v>0.0</v>
      </c>
      <c r="E186" s="25">
        <v>0.0</v>
      </c>
      <c r="F186" s="25">
        <v>0.0</v>
      </c>
      <c r="G186" s="25">
        <f>G180</f>
        <v>57797.14492</v>
      </c>
      <c r="H186" s="25">
        <v>0.0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outlineLevel="1">
      <c r="A187" s="25">
        <f t="shared" si="81"/>
        <v>35618.03979</v>
      </c>
      <c r="B187" s="83">
        <f t="shared" si="82"/>
        <v>0.0606242529</v>
      </c>
      <c r="C187" s="25">
        <v>0.0</v>
      </c>
      <c r="D187" s="25">
        <v>0.0</v>
      </c>
      <c r="E187" s="25">
        <v>0.0</v>
      </c>
      <c r="F187" s="25">
        <v>0.0</v>
      </c>
      <c r="G187" s="25">
        <v>0.0</v>
      </c>
      <c r="H187" s="25">
        <f>H180</f>
        <v>62790.64901</v>
      </c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outlineLevel="1">
      <c r="A188" s="25">
        <f t="shared" si="81"/>
        <v>460850.4021</v>
      </c>
      <c r="B188" s="83">
        <f t="shared" si="82"/>
        <v>0.7843977797</v>
      </c>
      <c r="C188" s="25">
        <v>0.0</v>
      </c>
      <c r="D188" s="25">
        <v>0.0</v>
      </c>
      <c r="E188" s="25">
        <v>0.0</v>
      </c>
      <c r="F188" s="25">
        <v>0.0</v>
      </c>
      <c r="G188" s="25">
        <v>0.0</v>
      </c>
      <c r="H188" s="25">
        <f>I178</f>
        <v>812428.0847</v>
      </c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outlineLevel="1">
      <c r="A189" s="42">
        <f t="shared" ref="A189:H189" si="83">SUM(A183:A188)</f>
        <v>587521.2986</v>
      </c>
      <c r="B189" s="84">
        <f t="shared" si="83"/>
        <v>1</v>
      </c>
      <c r="C189" s="41">
        <f t="shared" si="83"/>
        <v>0</v>
      </c>
      <c r="D189" s="41">
        <f t="shared" si="83"/>
        <v>24856.32868</v>
      </c>
      <c r="E189" s="41">
        <f t="shared" si="83"/>
        <v>21391.45928</v>
      </c>
      <c r="F189" s="41">
        <f t="shared" si="83"/>
        <v>21202.50338</v>
      </c>
      <c r="G189" s="41">
        <f t="shared" si="83"/>
        <v>57797.14492</v>
      </c>
      <c r="H189" s="41">
        <f t="shared" si="83"/>
        <v>875218.7337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outlineLevel="1">
      <c r="A190" s="25"/>
      <c r="B190" s="83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outlineLevel="1">
      <c r="A191" s="38" t="s">
        <v>114</v>
      </c>
      <c r="B191" s="25"/>
      <c r="C191" s="25"/>
      <c r="D191" s="25"/>
      <c r="E191" s="38" t="s">
        <v>115</v>
      </c>
      <c r="F191" s="25"/>
      <c r="G191" s="25"/>
      <c r="H191" s="25"/>
      <c r="I191" s="38" t="s">
        <v>116</v>
      </c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outlineLevel="1">
      <c r="A192" s="41" t="s">
        <v>117</v>
      </c>
      <c r="B192" s="41"/>
      <c r="C192" s="41">
        <f>XNPV((C158*(1+$G$217)),C179:I179,C167:I167)</f>
        <v>587521.2986</v>
      </c>
      <c r="D192" s="25"/>
      <c r="E192" s="41" t="s">
        <v>118</v>
      </c>
      <c r="F192" s="41"/>
      <c r="G192" s="41">
        <f>C162*C163</f>
        <v>320000</v>
      </c>
      <c r="H192" s="25"/>
      <c r="I192" s="41" t="s">
        <v>92</v>
      </c>
      <c r="J192" s="41"/>
      <c r="K192" s="85">
        <f>C162</f>
        <v>16</v>
      </c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outlineLevel="1">
      <c r="A193" s="25" t="s">
        <v>119</v>
      </c>
      <c r="B193" s="25"/>
      <c r="C193" s="25">
        <f>+H89</f>
        <v>139549.5204</v>
      </c>
      <c r="D193" s="25"/>
      <c r="E193" s="25" t="s">
        <v>120</v>
      </c>
      <c r="F193" s="25"/>
      <c r="G193" s="25">
        <f>C194</f>
        <v>30000</v>
      </c>
      <c r="H193" s="25"/>
      <c r="I193" s="25" t="s">
        <v>121</v>
      </c>
      <c r="J193" s="25"/>
      <c r="K193" s="86">
        <f>C195/C163</f>
        <v>34.85354095</v>
      </c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outlineLevel="1">
      <c r="A194" s="25" t="s">
        <v>122</v>
      </c>
      <c r="B194" s="25"/>
      <c r="C194" s="25">
        <f>H97</f>
        <v>30000</v>
      </c>
      <c r="D194" s="25"/>
      <c r="E194" s="25" t="s">
        <v>123</v>
      </c>
      <c r="F194" s="25"/>
      <c r="G194" s="25">
        <f>+C193</f>
        <v>139549.5204</v>
      </c>
      <c r="H194" s="25"/>
      <c r="I194" s="25" t="s">
        <v>124</v>
      </c>
      <c r="J194" s="25"/>
      <c r="K194" s="83">
        <f>K193/K192-1</f>
        <v>1.178346309</v>
      </c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outlineLevel="1">
      <c r="A195" s="25" t="s">
        <v>125</v>
      </c>
      <c r="B195" s="25"/>
      <c r="C195" s="41">
        <f>C192+C193-C194</f>
        <v>697070.819</v>
      </c>
      <c r="D195" s="25"/>
      <c r="E195" s="25" t="s">
        <v>126</v>
      </c>
      <c r="F195" s="25"/>
      <c r="G195" s="41">
        <f>G192+G193-G194</f>
        <v>210450.4796</v>
      </c>
      <c r="H195" s="25"/>
      <c r="I195" s="25" t="s">
        <v>112</v>
      </c>
      <c r="J195" s="25"/>
      <c r="K195" s="83">
        <f>XIRR(C180:I180,C167:I167)</f>
        <v>0.4053703354</v>
      </c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outlineLevel="1">
      <c r="A196" s="25"/>
      <c r="B196" s="25"/>
      <c r="C196" s="25"/>
      <c r="D196" s="25"/>
      <c r="E196" s="25"/>
      <c r="F196" s="25"/>
      <c r="G196" s="87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outlineLevel="1">
      <c r="A197" s="38" t="s">
        <v>127</v>
      </c>
      <c r="B197" s="25"/>
      <c r="C197" s="88">
        <f>C195/C163</f>
        <v>34.85354095</v>
      </c>
      <c r="D197" s="25"/>
      <c r="E197" s="38" t="s">
        <v>127</v>
      </c>
      <c r="F197" s="38"/>
      <c r="G197" s="89">
        <f>G192/C163</f>
        <v>16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outlineLevel="1">
      <c r="A198" s="25"/>
      <c r="B198" s="25"/>
      <c r="C198" s="87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outlineLevel="1">
      <c r="A199" s="25"/>
      <c r="B199" s="25"/>
      <c r="C199" s="83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36" t="s">
        <v>128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idden="1" outlineLevel="1">
      <c r="A202" s="38"/>
      <c r="B202" s="25"/>
      <c r="C202" s="32"/>
      <c r="D202" s="37"/>
      <c r="E202" s="37"/>
      <c r="F202" s="37"/>
      <c r="G202" s="37"/>
      <c r="H202" s="37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idden="1" outlineLevel="1">
      <c r="A203" s="38"/>
      <c r="B203" s="25"/>
      <c r="C203" s="32"/>
      <c r="D203" s="37"/>
      <c r="E203" s="37"/>
      <c r="F203" s="37"/>
      <c r="G203" s="37"/>
      <c r="H203" s="37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idden="1" outlineLevel="1">
      <c r="A204" s="90" t="s">
        <v>129</v>
      </c>
      <c r="B204" s="90"/>
      <c r="C204" s="90"/>
      <c r="D204" s="91"/>
      <c r="E204" s="91"/>
      <c r="F204" s="91"/>
      <c r="G204" s="91"/>
      <c r="H204" s="92"/>
      <c r="I204" s="46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idden="1" outlineLevel="1">
      <c r="A205" s="83"/>
      <c r="B205" s="83"/>
      <c r="C205" s="93" t="s">
        <v>130</v>
      </c>
      <c r="H205" s="92"/>
      <c r="I205" s="46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idden="1" outlineLevel="1">
      <c r="A206" s="8"/>
      <c r="B206" s="94">
        <f>C197</f>
        <v>34.85354095</v>
      </c>
      <c r="C206" s="95">
        <v>0.0</v>
      </c>
      <c r="D206" s="96">
        <f t="shared" ref="D206:G206" si="84">+C206+0.05</f>
        <v>0.05</v>
      </c>
      <c r="E206" s="96">
        <f t="shared" si="84"/>
        <v>0.1</v>
      </c>
      <c r="F206" s="96">
        <f t="shared" si="84"/>
        <v>0.15</v>
      </c>
      <c r="G206" s="96">
        <f t="shared" si="84"/>
        <v>0.2</v>
      </c>
      <c r="H206" s="92"/>
      <c r="I206" s="46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idden="1" outlineLevel="1">
      <c r="A207" s="97"/>
      <c r="B207" s="98">
        <v>6.0</v>
      </c>
      <c r="C207" s="87">
        <v>19.22537998434714</v>
      </c>
      <c r="D207" s="87">
        <v>23.730617129830133</v>
      </c>
      <c r="E207" s="87">
        <v>29.0929109210652</v>
      </c>
      <c r="F207" s="87">
        <v>35.43453985179791</v>
      </c>
      <c r="G207" s="87">
        <v>42.88907045869387</v>
      </c>
      <c r="H207" s="92"/>
      <c r="I207" s="46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idden="1" outlineLevel="1">
      <c r="A208" s="99"/>
      <c r="B208" s="100">
        <f t="shared" ref="B208:B211" si="85">+B207+1</f>
        <v>7</v>
      </c>
      <c r="C208" s="87">
        <v>20.852554508803017</v>
      </c>
      <c r="D208" s="101">
        <v>25.9248906572698</v>
      </c>
      <c r="E208" s="101">
        <v>31.973225934443988</v>
      </c>
      <c r="F208" s="101">
        <v>39.137638833542695</v>
      </c>
      <c r="G208" s="87">
        <v>47.57118929605821</v>
      </c>
      <c r="H208" s="92"/>
      <c r="I208" s="46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idden="1" outlineLevel="1">
      <c r="A209" s="97" t="s">
        <v>131</v>
      </c>
      <c r="B209" s="100">
        <f t="shared" si="85"/>
        <v>8</v>
      </c>
      <c r="C209" s="87">
        <v>22.479729033258895</v>
      </c>
      <c r="D209" s="101">
        <v>28.11916418470947</v>
      </c>
      <c r="E209" s="102">
        <v>34.85354094782278</v>
      </c>
      <c r="F209" s="101">
        <v>42.840737815287476</v>
      </c>
      <c r="G209" s="87">
        <v>52.25330813342255</v>
      </c>
      <c r="H209" s="92"/>
      <c r="I209" s="46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idden="1" outlineLevel="1">
      <c r="A210" s="99"/>
      <c r="B210" s="100">
        <f t="shared" si="85"/>
        <v>9</v>
      </c>
      <c r="C210" s="87">
        <v>24.106903557714773</v>
      </c>
      <c r="D210" s="101">
        <v>30.313437712149142</v>
      </c>
      <c r="E210" s="101">
        <v>37.73385596120157</v>
      </c>
      <c r="F210" s="101">
        <v>46.54383679703226</v>
      </c>
      <c r="G210" s="87">
        <v>56.93542697078689</v>
      </c>
      <c r="H210" s="92"/>
      <c r="I210" s="46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idden="1" outlineLevel="1">
      <c r="A211" s="99"/>
      <c r="B211" s="100">
        <f t="shared" si="85"/>
        <v>10</v>
      </c>
      <c r="C211" s="87">
        <v>25.734078082170647</v>
      </c>
      <c r="D211" s="87">
        <v>32.507711239588815</v>
      </c>
      <c r="E211" s="87">
        <v>40.61417097458036</v>
      </c>
      <c r="F211" s="87">
        <v>50.24693577877704</v>
      </c>
      <c r="G211" s="87">
        <v>61.617545808151235</v>
      </c>
      <c r="H211" s="92"/>
      <c r="I211" s="46"/>
      <c r="J211" s="8"/>
      <c r="K211" s="8"/>
      <c r="L211" s="8"/>
      <c r="M211" s="8"/>
      <c r="N211" s="8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idden="1" outlineLevel="1">
      <c r="A212" s="8"/>
      <c r="B212" s="103"/>
      <c r="C212" s="87"/>
      <c r="D212" s="87"/>
      <c r="E212" s="87"/>
      <c r="F212" s="87"/>
      <c r="G212" s="87"/>
      <c r="H212" s="92"/>
      <c r="I212" s="46"/>
      <c r="J212" s="8"/>
      <c r="K212" s="8"/>
      <c r="L212" s="8"/>
      <c r="M212" s="8"/>
      <c r="N212" s="8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idden="1" outlineLevel="1">
      <c r="A213" s="8"/>
      <c r="B213" s="103"/>
      <c r="C213" s="87"/>
      <c r="D213" s="87"/>
      <c r="E213" s="87"/>
      <c r="F213" s="87"/>
      <c r="G213" s="87"/>
      <c r="H213" s="92"/>
      <c r="I213" s="46"/>
      <c r="J213" s="8"/>
      <c r="K213" s="8"/>
      <c r="L213" s="8"/>
      <c r="M213" s="8"/>
      <c r="N213" s="8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idden="1" outlineLevel="1">
      <c r="A214" s="25"/>
      <c r="B214" s="25"/>
      <c r="C214" s="32"/>
      <c r="D214" s="25"/>
      <c r="E214" s="25"/>
      <c r="F214" s="25"/>
      <c r="G214" s="8"/>
      <c r="H214" s="92"/>
      <c r="I214" s="46"/>
      <c r="J214" s="8"/>
      <c r="K214" s="8"/>
      <c r="L214" s="8"/>
      <c r="M214" s="8"/>
      <c r="N214" s="8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idden="1" outlineLevel="1">
      <c r="A215" s="104" t="s">
        <v>132</v>
      </c>
      <c r="B215" s="105"/>
      <c r="C215" s="32"/>
      <c r="D215" s="104" t="s">
        <v>133</v>
      </c>
      <c r="E215" s="105"/>
      <c r="F215" s="25"/>
      <c r="G215" s="104" t="s">
        <v>88</v>
      </c>
      <c r="H215" s="105"/>
      <c r="I215" s="25"/>
      <c r="J215" s="104" t="s">
        <v>100</v>
      </c>
      <c r="K215" s="105"/>
      <c r="L215" s="25"/>
      <c r="M215" s="83"/>
      <c r="N215" s="83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idden="1" outlineLevel="1">
      <c r="A216" s="53" t="s">
        <v>134</v>
      </c>
      <c r="B216" s="53" t="s">
        <v>135</v>
      </c>
      <c r="C216" s="32"/>
      <c r="D216" s="53" t="s">
        <v>134</v>
      </c>
      <c r="E216" s="53" t="s">
        <v>135</v>
      </c>
      <c r="F216" s="25"/>
      <c r="G216" s="53" t="s">
        <v>134</v>
      </c>
      <c r="H216" s="53" t="s">
        <v>135</v>
      </c>
      <c r="I216" s="25"/>
      <c r="J216" s="53" t="s">
        <v>134</v>
      </c>
      <c r="K216" s="53" t="s">
        <v>135</v>
      </c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idden="1" outlineLevel="1">
      <c r="A217" s="106">
        <v>0.0</v>
      </c>
      <c r="B217" s="107">
        <f>$C$197</f>
        <v>34.85354095</v>
      </c>
      <c r="C217" s="32"/>
      <c r="D217" s="106">
        <v>0.0</v>
      </c>
      <c r="E217" s="107">
        <f>$C$197</f>
        <v>34.85354095</v>
      </c>
      <c r="F217" s="25"/>
      <c r="G217" s="106">
        <v>0.0</v>
      </c>
      <c r="H217" s="107">
        <f>$C$197</f>
        <v>34.85354095</v>
      </c>
      <c r="I217" s="25"/>
      <c r="J217" s="106">
        <v>0.0</v>
      </c>
      <c r="K217" s="107">
        <f>$C$197</f>
        <v>34.85354095</v>
      </c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idden="1" outlineLevel="1">
      <c r="A218" s="108">
        <v>-0.1</v>
      </c>
      <c r="B218" s="107">
        <v>21.470336010352923</v>
      </c>
      <c r="C218" s="32"/>
      <c r="D218" s="108">
        <v>-0.1</v>
      </c>
      <c r="E218" s="107">
        <v>37.971434899575975</v>
      </c>
      <c r="F218" s="25"/>
      <c r="G218" s="108">
        <v>-0.1</v>
      </c>
      <c r="H218" s="107">
        <v>36.3642577930377</v>
      </c>
      <c r="I218" s="25"/>
      <c r="J218" s="108">
        <v>-0.1</v>
      </c>
      <c r="K218" s="107">
        <v>32.54928893711975</v>
      </c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idden="1" outlineLevel="1">
      <c r="A219" s="108">
        <v>0.1</v>
      </c>
      <c r="B219" s="107">
        <v>54.32312360365605</v>
      </c>
      <c r="C219" s="32"/>
      <c r="D219" s="108">
        <v>0.1</v>
      </c>
      <c r="E219" s="107">
        <v>31.735646996069583</v>
      </c>
      <c r="F219" s="25"/>
      <c r="G219" s="108">
        <v>0.1</v>
      </c>
      <c r="H219" s="107">
        <v>33.43455019745089</v>
      </c>
      <c r="I219" s="46"/>
      <c r="J219" s="108">
        <v>0.1</v>
      </c>
      <c r="K219" s="107">
        <v>37.15779295852582</v>
      </c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idden="1" outlineLevel="1">
      <c r="A220" s="109"/>
      <c r="B220" s="87"/>
      <c r="C220" s="92"/>
      <c r="D220" s="46"/>
      <c r="E220" s="25"/>
      <c r="F220" s="109"/>
      <c r="G220" s="87"/>
      <c r="H220" s="92"/>
      <c r="I220" s="46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idden="1" outlineLevel="1">
      <c r="A221" s="110" t="s">
        <v>136</v>
      </c>
      <c r="B221" s="105"/>
      <c r="C221" s="111" t="s">
        <v>137</v>
      </c>
      <c r="D221" s="111" t="s">
        <v>138</v>
      </c>
      <c r="E221" s="112" t="s">
        <v>139</v>
      </c>
      <c r="F221" s="112" t="s">
        <v>140</v>
      </c>
      <c r="G221" s="113" t="s">
        <v>141</v>
      </c>
      <c r="H221" s="114" t="s">
        <v>142</v>
      </c>
      <c r="I221" s="115"/>
      <c r="J221" s="116" t="s">
        <v>143</v>
      </c>
      <c r="K221" s="116" t="s">
        <v>144</v>
      </c>
      <c r="L221" s="8"/>
      <c r="M221" s="8"/>
      <c r="N221" s="8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idden="1" outlineLevel="1">
      <c r="A222" s="25" t="str">
        <f>A215</f>
        <v>Revenue</v>
      </c>
      <c r="B222" s="25"/>
      <c r="C222" s="117">
        <f>B218/B217-1</f>
        <v>-0.3839840823</v>
      </c>
      <c r="D222" s="117">
        <f>B219/B217-1</f>
        <v>0.558611324</v>
      </c>
      <c r="E222" s="118">
        <v>1.0</v>
      </c>
      <c r="F222" s="119">
        <f t="shared" ref="F222:F225" si="86">ABS(D222)</f>
        <v>0.558611324</v>
      </c>
      <c r="G222" s="119">
        <f t="shared" ref="G222:G225" si="87">SMALL($F$222:$F$225,E222)</f>
        <v>0.04071295805</v>
      </c>
      <c r="H222" s="120" t="str">
        <f t="shared" ref="H222:H225" si="88">INDEX($A$222:$G$225,MATCH(G222,$F$222:$F$225,0),MATCH($A$222,$A$222:$F$222,0))</f>
        <v>Discount Rate</v>
      </c>
      <c r="I222" s="83"/>
      <c r="J222" s="83">
        <f t="shared" ref="J222:J225" si="89">VLOOKUP(H222,$A$222:$D$225,4,FALSE)</f>
        <v>-0.04071295805</v>
      </c>
      <c r="K222" s="83">
        <f t="shared" ref="K222:K225" si="90">VLOOKUP(H222,$A$222:$D$225,3,FALSE)</f>
        <v>0.04334471632</v>
      </c>
      <c r="L222" s="25"/>
      <c r="M222" s="25"/>
      <c r="N222" s="8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idden="1" outlineLevel="1">
      <c r="A223" s="25" t="str">
        <f>D215</f>
        <v>COGS</v>
      </c>
      <c r="B223" s="25"/>
      <c r="C223" s="117">
        <f>E218/E217-1</f>
        <v>0.08945702121</v>
      </c>
      <c r="D223" s="117">
        <f>E219/E217-1</f>
        <v>-0.08945702121</v>
      </c>
      <c r="E223" s="118">
        <f t="shared" ref="E223:E225" si="91">+E222+1</f>
        <v>2</v>
      </c>
      <c r="F223" s="119">
        <f t="shared" si="86"/>
        <v>0.08945702121</v>
      </c>
      <c r="G223" s="119">
        <f t="shared" si="87"/>
        <v>0.0661124221</v>
      </c>
      <c r="H223" s="120" t="str">
        <f t="shared" si="88"/>
        <v>EV/EBITDA</v>
      </c>
      <c r="I223" s="83"/>
      <c r="J223" s="83">
        <f t="shared" si="89"/>
        <v>0.0661124221</v>
      </c>
      <c r="K223" s="83">
        <f t="shared" si="90"/>
        <v>-0.0661124221</v>
      </c>
      <c r="L223" s="25"/>
      <c r="M223" s="25"/>
      <c r="N223" s="8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idden="1" outlineLevel="1">
      <c r="A224" s="25" t="str">
        <f>G215</f>
        <v>Discount Rate</v>
      </c>
      <c r="B224" s="25"/>
      <c r="C224" s="117">
        <f>H218/H217-1</f>
        <v>0.04334471632</v>
      </c>
      <c r="D224" s="117">
        <f>H219/H217-1</f>
        <v>-0.04071295805</v>
      </c>
      <c r="E224" s="118">
        <f t="shared" si="91"/>
        <v>3</v>
      </c>
      <c r="F224" s="119">
        <f t="shared" si="86"/>
        <v>0.04071295805</v>
      </c>
      <c r="G224" s="119">
        <f t="shared" si="87"/>
        <v>0.08945702121</v>
      </c>
      <c r="H224" s="120" t="str">
        <f t="shared" si="88"/>
        <v>COGS</v>
      </c>
      <c r="I224" s="83"/>
      <c r="J224" s="83">
        <f t="shared" si="89"/>
        <v>-0.08945702121</v>
      </c>
      <c r="K224" s="83">
        <f t="shared" si="90"/>
        <v>0.08945702121</v>
      </c>
      <c r="L224" s="25"/>
      <c r="M224" s="25"/>
      <c r="N224" s="8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idden="1" outlineLevel="1">
      <c r="A225" s="25" t="str">
        <f>J215</f>
        <v>EV/EBITDA</v>
      </c>
      <c r="B225" s="25"/>
      <c r="C225" s="117">
        <f>K218/K217-1</f>
        <v>-0.0661124221</v>
      </c>
      <c r="D225" s="117">
        <f>K219/K217-1</f>
        <v>0.0661124221</v>
      </c>
      <c r="E225" s="118">
        <f t="shared" si="91"/>
        <v>4</v>
      </c>
      <c r="F225" s="119">
        <f t="shared" si="86"/>
        <v>0.0661124221</v>
      </c>
      <c r="G225" s="119">
        <f t="shared" si="87"/>
        <v>0.558611324</v>
      </c>
      <c r="H225" s="120" t="str">
        <f t="shared" si="88"/>
        <v>Revenue</v>
      </c>
      <c r="I225" s="83"/>
      <c r="J225" s="83">
        <f t="shared" si="89"/>
        <v>0.558611324</v>
      </c>
      <c r="K225" s="83">
        <f t="shared" si="90"/>
        <v>-0.3839840823</v>
      </c>
      <c r="L225" s="25"/>
      <c r="M225" s="25"/>
      <c r="N225" s="8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idden="1" outlineLevel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8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idden="1" outlineLevel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8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idden="1" outlineLevel="1">
      <c r="A228" s="25"/>
      <c r="B228" s="121" t="s">
        <v>145</v>
      </c>
      <c r="C228" s="22"/>
      <c r="D228" s="22"/>
      <c r="E228" s="22"/>
      <c r="F228" s="22"/>
      <c r="G228" s="22"/>
      <c r="H228" s="22"/>
      <c r="I228" s="23"/>
      <c r="J228" s="25"/>
      <c r="K228" s="25"/>
      <c r="L228" s="25"/>
      <c r="M228" s="25"/>
      <c r="N228" s="8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idden="1" outlineLevel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8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idden="1" outlineLevel="1">
      <c r="A230" s="25"/>
      <c r="B230" s="25"/>
      <c r="C230" s="25"/>
      <c r="D230" s="25"/>
      <c r="E230" s="25"/>
      <c r="F230" s="25"/>
      <c r="G230" s="25"/>
      <c r="H230" s="8"/>
      <c r="I230" s="8"/>
      <c r="J230" s="8"/>
      <c r="K230" s="8"/>
      <c r="L230" s="8"/>
      <c r="M230" s="8"/>
      <c r="N230" s="8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idden="1" outlineLevel="1">
      <c r="A231" s="25"/>
      <c r="B231" s="25"/>
      <c r="C231" s="25"/>
      <c r="D231" s="25"/>
      <c r="E231" s="25"/>
      <c r="F231" s="25"/>
      <c r="G231" s="25"/>
      <c r="H231" s="8"/>
      <c r="I231" s="8"/>
      <c r="J231" s="8"/>
      <c r="K231" s="8"/>
      <c r="L231" s="8"/>
      <c r="M231" s="8"/>
      <c r="N231" s="8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idden="1" outlineLevel="1">
      <c r="A232" s="25"/>
      <c r="B232" s="25"/>
      <c r="C232" s="25"/>
      <c r="D232" s="25"/>
      <c r="E232" s="25"/>
      <c r="F232" s="25"/>
      <c r="G232" s="25"/>
      <c r="H232" s="8"/>
      <c r="I232" s="2"/>
      <c r="J232" s="2"/>
      <c r="K232" s="2"/>
      <c r="L232" s="2"/>
      <c r="M232" s="2"/>
      <c r="N232" s="2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idden="1" outlineLevel="1">
      <c r="A233" s="25"/>
      <c r="B233" s="25"/>
      <c r="C233" s="25"/>
      <c r="D233" s="25"/>
      <c r="E233" s="25"/>
      <c r="F233" s="25"/>
      <c r="G233" s="25"/>
      <c r="H233" s="8"/>
      <c r="I233" s="2"/>
      <c r="J233" s="2"/>
      <c r="K233" s="2"/>
      <c r="L233" s="2"/>
      <c r="M233" s="2"/>
      <c r="N233" s="2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idden="1" outlineLevel="1">
      <c r="A234" s="25"/>
      <c r="B234" s="25"/>
      <c r="C234" s="25"/>
      <c r="D234" s="25"/>
      <c r="E234" s="25"/>
      <c r="F234" s="25"/>
      <c r="G234" s="25"/>
      <c r="H234" s="8"/>
      <c r="I234" s="2"/>
      <c r="J234" s="2"/>
      <c r="K234" s="2"/>
      <c r="L234" s="2"/>
      <c r="M234" s="2"/>
      <c r="N234" s="2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idden="1" outlineLevel="1">
      <c r="A235" s="25"/>
      <c r="B235" s="25"/>
      <c r="C235" s="25"/>
      <c r="D235" s="25"/>
      <c r="E235" s="25"/>
      <c r="F235" s="25"/>
      <c r="G235" s="25"/>
      <c r="H235" s="8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idden="1" outlineLevel="1">
      <c r="A236" s="25"/>
      <c r="B236" s="25"/>
      <c r="C236" s="25"/>
      <c r="D236" s="25"/>
      <c r="E236" s="25"/>
      <c r="F236" s="25"/>
      <c r="G236" s="25"/>
      <c r="H236" s="8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idden="1" outlineLevel="1">
      <c r="A237" s="25"/>
      <c r="B237" s="25"/>
      <c r="C237" s="25"/>
      <c r="D237" s="25"/>
      <c r="E237" s="25"/>
      <c r="F237" s="25"/>
      <c r="G237" s="25"/>
      <c r="H237" s="8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idden="1" outlineLevel="1">
      <c r="A238" s="25"/>
      <c r="B238" s="25"/>
      <c r="C238" s="25"/>
      <c r="D238" s="25"/>
      <c r="E238" s="25"/>
      <c r="F238" s="25"/>
      <c r="G238" s="25"/>
      <c r="H238" s="8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idden="1" outlineLevel="1">
      <c r="A239" s="25"/>
      <c r="B239" s="25"/>
      <c r="C239" s="25"/>
      <c r="D239" s="25"/>
      <c r="E239" s="25"/>
      <c r="F239" s="25"/>
      <c r="G239" s="25"/>
      <c r="H239" s="8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idden="1" outlineLevel="1">
      <c r="A240" s="25"/>
      <c r="B240" s="25"/>
      <c r="C240" s="25"/>
      <c r="D240" s="25"/>
      <c r="E240" s="25"/>
      <c r="F240" s="25"/>
      <c r="G240" s="25"/>
      <c r="H240" s="8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idden="1" outlineLevel="1">
      <c r="A241" s="25"/>
      <c r="B241" s="25"/>
      <c r="C241" s="25"/>
      <c r="D241" s="25"/>
      <c r="E241" s="25"/>
      <c r="F241" s="25"/>
      <c r="G241" s="25"/>
      <c r="H241" s="8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idden="1" outlineLevel="1">
      <c r="A242" s="25"/>
      <c r="B242" s="25"/>
      <c r="C242" s="25"/>
      <c r="D242" s="25"/>
      <c r="E242" s="25"/>
      <c r="F242" s="25"/>
      <c r="G242" s="25"/>
      <c r="H242" s="8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ollapsed="1">
      <c r="A243" s="25"/>
      <c r="B243" s="25"/>
      <c r="C243" s="32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32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32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32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32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32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32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32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32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32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32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32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32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32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32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32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32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32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32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32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32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32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32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32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32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32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32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32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32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32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32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32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32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32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32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32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32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32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32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32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32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32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32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32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32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32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32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32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32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32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32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32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32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32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32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32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32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32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32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32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32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32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32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32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32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32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32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32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32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32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32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32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32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32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32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32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32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32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32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32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32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32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32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32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32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32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32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32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32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32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32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32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32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32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32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32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32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32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32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32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32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32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32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32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32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32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32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32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32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32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32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32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32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32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32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32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32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32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32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32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32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32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32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32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32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32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32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32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32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32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32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32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32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32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32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32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32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32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32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32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32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32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32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32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32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32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32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32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32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32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32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32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32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32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32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32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32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32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32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32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32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32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32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32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32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32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32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32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32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32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32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32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32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32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32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32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32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32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32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32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32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32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32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32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32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32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32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32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32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32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32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32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32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32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32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32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32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32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32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32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32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32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32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32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32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32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32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32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32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32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32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32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32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32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32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32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32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32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32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32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32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32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32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32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32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32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32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32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32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32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32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32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32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32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32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32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32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32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32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32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32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32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32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32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32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32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32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32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32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32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32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32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32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32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32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32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32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32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32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32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32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32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32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32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32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32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32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32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32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32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32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32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32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32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32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32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32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32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32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32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32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32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32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32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32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32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32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32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32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32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32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32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32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32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32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32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32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32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32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32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32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32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32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32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32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32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32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32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32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32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32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32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32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32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32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32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32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32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32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32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32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32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32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32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32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32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32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32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32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32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32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32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32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32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32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32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32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32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32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32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32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32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32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32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32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32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32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32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32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32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32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32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32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32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32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32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32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32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32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32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32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32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32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32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32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32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32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32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32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32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32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32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32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32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32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32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32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32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32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32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32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32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32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32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32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32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32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32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32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32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32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32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32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32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32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32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32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32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32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32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32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32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32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32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32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32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32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32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32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32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32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32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32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32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32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32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32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32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32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32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32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32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32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32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32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32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32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32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32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32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32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32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32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32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32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32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32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32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32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32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32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32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32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32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32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32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32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32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32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32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32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32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32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32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32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32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32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32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32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32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32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32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32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32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32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32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32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32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32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32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32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32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32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32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32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32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32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32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32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32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32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32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32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32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32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32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32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32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32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32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32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32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32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32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32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32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32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32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32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32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32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32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32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32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32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32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32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32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32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32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32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32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32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32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32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32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32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32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32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32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32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32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32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32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32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32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32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32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32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32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32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32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32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32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32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32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32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32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32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32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32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32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32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32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32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32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32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32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32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32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32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32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32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32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32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32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32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32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32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32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32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32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32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32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32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32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32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32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32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32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32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32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32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32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32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32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32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32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32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32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32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32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32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32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32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32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32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32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32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32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32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32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32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32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32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32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32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32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32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32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32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32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32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32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32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32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32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32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32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32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32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32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32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32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32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32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32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32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32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32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32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32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32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32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32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32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32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32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32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32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32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32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32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32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32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32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32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32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32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32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32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32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32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32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32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32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32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32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32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32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32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32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32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32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32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32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32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32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32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32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32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32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32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32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32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32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32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32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32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32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32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32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32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32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32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32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32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32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32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32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32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32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32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32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32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32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32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32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32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32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32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32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32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32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32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32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32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32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32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32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32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32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32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32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32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32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32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32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32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32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32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32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32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32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32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32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32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32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32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32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32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32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32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32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32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32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32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32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32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32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32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32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32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32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32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32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32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32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32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32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32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32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32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32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32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32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32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32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32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32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32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32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32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32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32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32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32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32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4">
    <mergeCell ref="D1:H1"/>
    <mergeCell ref="I1:M1"/>
    <mergeCell ref="C205:G205"/>
    <mergeCell ref="B228:I228"/>
  </mergeCells>
  <conditionalFormatting sqref="D3:M4">
    <cfRule type="containsText" dxfId="0" priority="1" operator="containsText" text="OK">
      <formula>NOT(ISERROR(SEARCH(("OK"),(D3))))</formula>
    </cfRule>
  </conditionalFormatting>
  <conditionalFormatting sqref="D3:M4">
    <cfRule type="containsText" dxfId="1" priority="2" operator="containsText" text="ERROR">
      <formula>NOT(ISERROR(SEARCH(("ERROR"),(D3))))</formula>
    </cfRule>
  </conditionalFormatting>
  <dataValidations>
    <dataValidation type="list" allowBlank="1" showErrorMessage="1" sqref="I4">
      <formula1>'Additional Assumptions'!$O$4:$O$6</formula1>
    </dataValidation>
  </dataValidations>
  <printOptions/>
  <pageMargins bottom="0.7480314960629921" footer="0.0" header="0.0" left="0.7086614173228347" right="0.7086614173228347" top="0.7480314960629921"/>
  <pageSetup scale="7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>
      <c r="A1" s="30"/>
      <c r="B1" s="30"/>
      <c r="C1" s="30"/>
      <c r="D1" s="30"/>
      <c r="E1" s="30"/>
      <c r="F1" s="30"/>
      <c r="G1" s="30"/>
      <c r="H1" s="30"/>
      <c r="I1" s="30">
        <f>'DCF &amp; Sensitivity Model'!I2</f>
        <v>2018</v>
      </c>
      <c r="J1" s="30">
        <f t="shared" ref="J1:M1" si="1">+I1+1</f>
        <v>2019</v>
      </c>
      <c r="K1" s="30">
        <f t="shared" si="1"/>
        <v>2020</v>
      </c>
      <c r="L1" s="30">
        <f t="shared" si="1"/>
        <v>2021</v>
      </c>
      <c r="M1" s="30">
        <f t="shared" si="1"/>
        <v>2022</v>
      </c>
    </row>
    <row r="2" ht="14.25" customHeight="1">
      <c r="A2" s="25"/>
      <c r="B2" s="25"/>
      <c r="C2" s="32"/>
      <c r="D2" s="25"/>
      <c r="E2" s="25"/>
      <c r="F2" s="25"/>
      <c r="G2" s="25"/>
      <c r="H2" s="25"/>
      <c r="I2" s="37"/>
      <c r="J2" s="37"/>
      <c r="K2" s="37"/>
      <c r="L2" s="37"/>
      <c r="M2" s="37"/>
    </row>
    <row r="3" ht="14.25" customHeight="1">
      <c r="A3" s="38" t="s">
        <v>12</v>
      </c>
      <c r="B3" s="25"/>
      <c r="C3" s="32"/>
      <c r="D3" s="25"/>
      <c r="E3" s="25"/>
      <c r="F3" s="25"/>
      <c r="G3" s="25"/>
      <c r="H3" s="39"/>
      <c r="I3" s="40"/>
      <c r="J3" s="40"/>
      <c r="K3" s="40"/>
      <c r="L3" s="40"/>
      <c r="M3" s="40"/>
      <c r="O3" s="122" t="s">
        <v>146</v>
      </c>
    </row>
    <row r="4" ht="14.25" customHeight="1">
      <c r="A4" s="41" t="s">
        <v>13</v>
      </c>
      <c r="B4" s="42"/>
      <c r="C4" s="43"/>
      <c r="D4" s="42"/>
      <c r="E4" s="44"/>
      <c r="F4" s="44"/>
      <c r="G4" s="44"/>
      <c r="H4" s="44"/>
      <c r="I4" s="52">
        <v>0.1</v>
      </c>
      <c r="J4" s="52">
        <v>0.1</v>
      </c>
      <c r="K4" s="52">
        <v>0.1</v>
      </c>
      <c r="L4" s="52">
        <v>0.1</v>
      </c>
      <c r="M4" s="52">
        <v>0.1</v>
      </c>
      <c r="O4" s="123">
        <v>1.0</v>
      </c>
    </row>
    <row r="5" ht="14.25" customHeight="1">
      <c r="A5" s="25" t="s">
        <v>14</v>
      </c>
      <c r="B5" s="25"/>
      <c r="C5" s="32"/>
      <c r="D5" s="46"/>
      <c r="E5" s="46"/>
      <c r="F5" s="46"/>
      <c r="G5" s="46"/>
      <c r="H5" s="46"/>
      <c r="I5" s="47">
        <v>0.42</v>
      </c>
      <c r="J5" s="47">
        <v>0.47</v>
      </c>
      <c r="K5" s="47">
        <v>0.5</v>
      </c>
      <c r="L5" s="47">
        <v>0.36</v>
      </c>
      <c r="M5" s="47">
        <v>0.35</v>
      </c>
      <c r="O5" s="124">
        <v>2.0</v>
      </c>
    </row>
    <row r="6" ht="14.25" customHeight="1">
      <c r="A6" s="25" t="s">
        <v>15</v>
      </c>
      <c r="B6" s="25"/>
      <c r="C6" s="32"/>
      <c r="D6" s="46"/>
      <c r="E6" s="46"/>
      <c r="F6" s="46"/>
      <c r="G6" s="46"/>
      <c r="H6" s="46"/>
      <c r="I6" s="47">
        <v>0.17</v>
      </c>
      <c r="J6" s="47">
        <v>0.17</v>
      </c>
      <c r="K6" s="47">
        <v>0.17</v>
      </c>
      <c r="L6" s="47">
        <v>0.17</v>
      </c>
      <c r="M6" s="47">
        <v>0.17</v>
      </c>
      <c r="O6" s="124">
        <v>3.0</v>
      </c>
    </row>
    <row r="7" ht="14.25" customHeight="1">
      <c r="A7" s="25" t="s">
        <v>16</v>
      </c>
      <c r="B7" s="25"/>
      <c r="C7" s="32"/>
      <c r="D7" s="25"/>
      <c r="E7" s="25"/>
      <c r="F7" s="25"/>
      <c r="G7" s="25"/>
      <c r="H7" s="25"/>
      <c r="I7" s="37">
        <v>15000.0</v>
      </c>
      <c r="J7" s="37">
        <v>15000.0</v>
      </c>
      <c r="K7" s="37">
        <v>15000.0</v>
      </c>
      <c r="L7" s="37">
        <v>15000.0</v>
      </c>
      <c r="M7" s="37">
        <v>15000.0</v>
      </c>
    </row>
    <row r="8" ht="14.25" customHeight="1">
      <c r="A8" s="25" t="s">
        <v>17</v>
      </c>
      <c r="B8" s="25"/>
      <c r="C8" s="32"/>
      <c r="D8" s="46"/>
      <c r="E8" s="46"/>
      <c r="F8" s="46"/>
      <c r="G8" s="46"/>
      <c r="H8" s="46"/>
      <c r="I8" s="47">
        <v>0.35</v>
      </c>
      <c r="J8" s="47">
        <v>0.35</v>
      </c>
      <c r="K8" s="47">
        <v>0.35</v>
      </c>
      <c r="L8" s="47">
        <v>0.35</v>
      </c>
      <c r="M8" s="47">
        <v>0.35</v>
      </c>
    </row>
    <row r="9" ht="14.25" customHeight="1">
      <c r="A9" s="25" t="s">
        <v>18</v>
      </c>
      <c r="B9" s="25"/>
      <c r="C9" s="32"/>
      <c r="D9" s="46"/>
      <c r="E9" s="46"/>
      <c r="F9" s="46"/>
      <c r="G9" s="46"/>
      <c r="H9" s="46"/>
      <c r="I9" s="47">
        <v>0.1</v>
      </c>
      <c r="J9" s="47">
        <v>0.1</v>
      </c>
      <c r="K9" s="47">
        <v>0.1</v>
      </c>
      <c r="L9" s="47">
        <v>0.1</v>
      </c>
      <c r="M9" s="47">
        <v>0.1</v>
      </c>
    </row>
    <row r="10" ht="14.25" customHeight="1">
      <c r="A10" s="25" t="s">
        <v>19</v>
      </c>
      <c r="B10" s="48"/>
      <c r="C10" s="49"/>
      <c r="D10" s="46"/>
      <c r="E10" s="46"/>
      <c r="F10" s="46"/>
      <c r="G10" s="46"/>
      <c r="H10" s="46"/>
      <c r="I10" s="47">
        <v>0.28</v>
      </c>
      <c r="J10" s="47">
        <v>0.28</v>
      </c>
      <c r="K10" s="47">
        <v>0.28</v>
      </c>
      <c r="L10" s="47">
        <v>0.28</v>
      </c>
      <c r="M10" s="47">
        <v>0.28</v>
      </c>
    </row>
    <row r="11" ht="14.25" customHeight="1">
      <c r="A11" s="25" t="s">
        <v>20</v>
      </c>
      <c r="B11" s="25"/>
      <c r="C11" s="50"/>
      <c r="D11" s="25"/>
      <c r="E11" s="25"/>
      <c r="F11" s="25"/>
      <c r="G11" s="25"/>
      <c r="H11" s="25"/>
      <c r="I11" s="37">
        <v>18.0</v>
      </c>
      <c r="J11" s="37">
        <v>18.0</v>
      </c>
      <c r="K11" s="37">
        <v>18.0</v>
      </c>
      <c r="L11" s="37">
        <v>18.0</v>
      </c>
      <c r="M11" s="37">
        <v>18.0</v>
      </c>
    </row>
    <row r="12" ht="14.25" customHeight="1">
      <c r="A12" s="25" t="s">
        <v>21</v>
      </c>
      <c r="B12" s="25"/>
      <c r="C12" s="50"/>
      <c r="D12" s="25"/>
      <c r="E12" s="25"/>
      <c r="F12" s="25"/>
      <c r="G12" s="25"/>
      <c r="H12" s="25"/>
      <c r="I12" s="37">
        <v>80.0</v>
      </c>
      <c r="J12" s="37">
        <v>90.0</v>
      </c>
      <c r="K12" s="37">
        <v>100.0</v>
      </c>
      <c r="L12" s="37">
        <v>100.0</v>
      </c>
      <c r="M12" s="37">
        <v>100.0</v>
      </c>
    </row>
    <row r="13" ht="14.25" customHeight="1">
      <c r="A13" s="25" t="s">
        <v>22</v>
      </c>
      <c r="B13" s="25"/>
      <c r="C13" s="50"/>
      <c r="D13" s="25"/>
      <c r="E13" s="25"/>
      <c r="F13" s="25"/>
      <c r="G13" s="25"/>
      <c r="H13" s="25"/>
      <c r="I13" s="37">
        <v>37.0</v>
      </c>
      <c r="J13" s="37">
        <v>37.0</v>
      </c>
      <c r="K13" s="37">
        <v>37.0</v>
      </c>
      <c r="L13" s="37">
        <v>37.0</v>
      </c>
      <c r="M13" s="37">
        <v>37.0</v>
      </c>
    </row>
    <row r="14" ht="14.25" customHeight="1">
      <c r="A14" s="25" t="s">
        <v>147</v>
      </c>
      <c r="B14" s="25"/>
      <c r="C14" s="32"/>
      <c r="D14" s="25"/>
      <c r="E14" s="25"/>
      <c r="F14" s="25"/>
      <c r="G14" s="25"/>
      <c r="H14" s="25"/>
      <c r="I14" s="37">
        <v>15000.0</v>
      </c>
      <c r="J14" s="37">
        <v>15000.0</v>
      </c>
      <c r="K14" s="37">
        <v>15000.0</v>
      </c>
      <c r="L14" s="37">
        <v>15000.0</v>
      </c>
      <c r="M14" s="37">
        <v>15000.0</v>
      </c>
    </row>
    <row r="15" ht="14.25" customHeight="1">
      <c r="A15" s="25" t="s">
        <v>148</v>
      </c>
      <c r="B15" s="25"/>
      <c r="C15" s="32"/>
      <c r="D15" s="25"/>
      <c r="E15" s="25"/>
      <c r="F15" s="25"/>
      <c r="G15" s="25"/>
      <c r="H15" s="25"/>
      <c r="I15" s="37">
        <v>0.0</v>
      </c>
      <c r="J15" s="37">
        <v>0.0</v>
      </c>
      <c r="K15" s="37">
        <v>-20000.0</v>
      </c>
      <c r="L15" s="37">
        <v>0.0</v>
      </c>
      <c r="M15" s="37">
        <v>0.0</v>
      </c>
    </row>
    <row r="16" ht="14.25" customHeight="1">
      <c r="A16" s="25" t="s">
        <v>149</v>
      </c>
      <c r="B16" s="25"/>
      <c r="C16" s="32"/>
      <c r="D16" s="25"/>
      <c r="E16" s="25"/>
      <c r="F16" s="25"/>
      <c r="G16" s="25"/>
      <c r="H16" s="25"/>
      <c r="I16" s="37">
        <v>0.0</v>
      </c>
      <c r="J16" s="37">
        <v>0.0</v>
      </c>
      <c r="K16" s="37">
        <v>0.0</v>
      </c>
      <c r="L16" s="37">
        <v>0.0</v>
      </c>
      <c r="M16" s="37">
        <v>0.0</v>
      </c>
    </row>
    <row r="17" ht="14.25" customHeight="1">
      <c r="A17" s="25"/>
      <c r="B17" s="25"/>
      <c r="C17" s="32"/>
      <c r="D17" s="25"/>
      <c r="E17" s="25"/>
      <c r="F17" s="25"/>
      <c r="G17" s="25"/>
      <c r="H17" s="25"/>
      <c r="I17" s="37"/>
      <c r="J17" s="37"/>
      <c r="K17" s="37"/>
      <c r="L17" s="37"/>
      <c r="M17" s="37"/>
    </row>
    <row r="18" ht="14.25" customHeight="1">
      <c r="A18" s="38" t="s">
        <v>26</v>
      </c>
      <c r="B18" s="25"/>
      <c r="C18" s="32"/>
      <c r="D18" s="25"/>
      <c r="E18" s="25"/>
      <c r="F18" s="25"/>
      <c r="G18" s="25"/>
      <c r="H18" s="39"/>
      <c r="I18" s="40"/>
      <c r="J18" s="40"/>
      <c r="K18" s="40"/>
      <c r="L18" s="40"/>
      <c r="M18" s="40"/>
    </row>
    <row r="19" ht="14.25" customHeight="1">
      <c r="A19" s="41" t="s">
        <v>13</v>
      </c>
      <c r="B19" s="42"/>
      <c r="C19" s="43"/>
      <c r="D19" s="42"/>
      <c r="E19" s="44"/>
      <c r="F19" s="44"/>
      <c r="G19" s="44"/>
      <c r="H19" s="44"/>
      <c r="I19" s="52">
        <v>0.05</v>
      </c>
      <c r="J19" s="52">
        <v>0.045</v>
      </c>
      <c r="K19" s="52">
        <v>0.04</v>
      </c>
      <c r="L19" s="52">
        <v>0.035</v>
      </c>
      <c r="M19" s="52">
        <v>0.03</v>
      </c>
    </row>
    <row r="20" ht="14.25" customHeight="1">
      <c r="A20" s="25" t="s">
        <v>14</v>
      </c>
      <c r="B20" s="25"/>
      <c r="C20" s="32"/>
      <c r="D20" s="46"/>
      <c r="E20" s="46"/>
      <c r="F20" s="46"/>
      <c r="G20" s="46"/>
      <c r="H20" s="46"/>
      <c r="I20" s="47">
        <v>0.37</v>
      </c>
      <c r="J20" s="47">
        <v>0.37</v>
      </c>
      <c r="K20" s="47">
        <v>0.36</v>
      </c>
      <c r="L20" s="47">
        <v>0.36</v>
      </c>
      <c r="M20" s="47">
        <v>0.35</v>
      </c>
    </row>
    <row r="21" ht="14.25" customHeight="1">
      <c r="A21" s="25" t="s">
        <v>15</v>
      </c>
      <c r="B21" s="25"/>
      <c r="C21" s="32"/>
      <c r="D21" s="46"/>
      <c r="E21" s="46"/>
      <c r="F21" s="46"/>
      <c r="G21" s="46"/>
      <c r="H21" s="46"/>
      <c r="I21" s="47">
        <v>0.18</v>
      </c>
      <c r="J21" s="47">
        <v>0.18</v>
      </c>
      <c r="K21" s="47">
        <v>0.18</v>
      </c>
      <c r="L21" s="47">
        <v>0.18</v>
      </c>
      <c r="M21" s="47">
        <v>0.18</v>
      </c>
    </row>
    <row r="22" ht="14.25" customHeight="1">
      <c r="A22" s="25" t="s">
        <v>16</v>
      </c>
      <c r="B22" s="25"/>
      <c r="C22" s="32"/>
      <c r="D22" s="25"/>
      <c r="E22" s="25"/>
      <c r="F22" s="25"/>
      <c r="G22" s="25"/>
      <c r="H22" s="25"/>
      <c r="I22" s="37">
        <v>10000.0</v>
      </c>
      <c r="J22" s="37">
        <v>10000.0</v>
      </c>
      <c r="K22" s="37">
        <v>10000.0</v>
      </c>
      <c r="L22" s="37">
        <v>10000.0</v>
      </c>
      <c r="M22" s="37">
        <v>10000.0</v>
      </c>
    </row>
    <row r="23" ht="14.25" customHeight="1">
      <c r="A23" s="25" t="s">
        <v>17</v>
      </c>
      <c r="B23" s="25"/>
      <c r="C23" s="32"/>
      <c r="D23" s="46"/>
      <c r="E23" s="46"/>
      <c r="F23" s="46"/>
      <c r="G23" s="46"/>
      <c r="H23" s="46"/>
      <c r="I23" s="47">
        <v>0.4</v>
      </c>
      <c r="J23" s="47">
        <v>0.4</v>
      </c>
      <c r="K23" s="47">
        <v>0.4</v>
      </c>
      <c r="L23" s="47">
        <v>0.4</v>
      </c>
      <c r="M23" s="47">
        <v>0.4</v>
      </c>
    </row>
    <row r="24" ht="14.25" customHeight="1">
      <c r="A24" s="25" t="s">
        <v>18</v>
      </c>
      <c r="B24" s="25"/>
      <c r="C24" s="32"/>
      <c r="D24" s="46"/>
      <c r="E24" s="46"/>
      <c r="F24" s="46"/>
      <c r="G24" s="46"/>
      <c r="H24" s="46"/>
      <c r="I24" s="47">
        <v>0.05</v>
      </c>
      <c r="J24" s="47">
        <v>0.05</v>
      </c>
      <c r="K24" s="47">
        <v>0.05</v>
      </c>
      <c r="L24" s="47">
        <v>0.05</v>
      </c>
      <c r="M24" s="47">
        <v>0.05</v>
      </c>
    </row>
    <row r="25" ht="14.25" customHeight="1">
      <c r="A25" s="25" t="s">
        <v>19</v>
      </c>
      <c r="B25" s="48"/>
      <c r="C25" s="49"/>
      <c r="D25" s="46"/>
      <c r="E25" s="46"/>
      <c r="F25" s="46"/>
      <c r="G25" s="46"/>
      <c r="H25" s="46"/>
      <c r="I25" s="47">
        <v>0.28</v>
      </c>
      <c r="J25" s="47">
        <v>0.28</v>
      </c>
      <c r="K25" s="47">
        <v>0.28</v>
      </c>
      <c r="L25" s="47">
        <v>0.28</v>
      </c>
      <c r="M25" s="47">
        <v>0.28</v>
      </c>
    </row>
    <row r="26" ht="14.25" customHeight="1">
      <c r="A26" s="25" t="s">
        <v>20</v>
      </c>
      <c r="B26" s="25"/>
      <c r="C26" s="50"/>
      <c r="D26" s="25"/>
      <c r="E26" s="25"/>
      <c r="F26" s="25"/>
      <c r="G26" s="25"/>
      <c r="H26" s="25"/>
      <c r="I26" s="37">
        <v>18.0</v>
      </c>
      <c r="J26" s="37">
        <v>18.0</v>
      </c>
      <c r="K26" s="37">
        <v>18.0</v>
      </c>
      <c r="L26" s="37">
        <v>18.0</v>
      </c>
      <c r="M26" s="37">
        <v>18.0</v>
      </c>
    </row>
    <row r="27" ht="14.25" customHeight="1">
      <c r="A27" s="25" t="s">
        <v>21</v>
      </c>
      <c r="B27" s="25"/>
      <c r="C27" s="50"/>
      <c r="D27" s="25"/>
      <c r="E27" s="25"/>
      <c r="F27" s="25"/>
      <c r="G27" s="25"/>
      <c r="H27" s="25"/>
      <c r="I27" s="37">
        <v>73.0</v>
      </c>
      <c r="J27" s="37">
        <v>73.0</v>
      </c>
      <c r="K27" s="37">
        <v>73.0</v>
      </c>
      <c r="L27" s="37">
        <v>73.0</v>
      </c>
      <c r="M27" s="37">
        <v>73.0</v>
      </c>
    </row>
    <row r="28" ht="14.25" customHeight="1">
      <c r="A28" s="25" t="s">
        <v>22</v>
      </c>
      <c r="B28" s="25"/>
      <c r="C28" s="50"/>
      <c r="D28" s="25"/>
      <c r="E28" s="25"/>
      <c r="F28" s="25"/>
      <c r="G28" s="25"/>
      <c r="H28" s="25"/>
      <c r="I28" s="37">
        <v>37.0</v>
      </c>
      <c r="J28" s="37">
        <v>37.0</v>
      </c>
      <c r="K28" s="37">
        <v>37.0</v>
      </c>
      <c r="L28" s="37">
        <v>37.0</v>
      </c>
      <c r="M28" s="37">
        <v>37.0</v>
      </c>
    </row>
    <row r="29" ht="14.25" customHeight="1">
      <c r="A29" s="25" t="s">
        <v>147</v>
      </c>
      <c r="B29" s="25"/>
      <c r="C29" s="32"/>
      <c r="D29" s="25"/>
      <c r="E29" s="25"/>
      <c r="F29" s="25"/>
      <c r="G29" s="25"/>
      <c r="H29" s="25"/>
      <c r="I29" s="37">
        <v>20000.0</v>
      </c>
      <c r="J29" s="37">
        <v>20000.0</v>
      </c>
      <c r="K29" s="37">
        <v>20000.0</v>
      </c>
      <c r="L29" s="37">
        <v>20000.0</v>
      </c>
      <c r="M29" s="37">
        <v>20000.0</v>
      </c>
    </row>
    <row r="30" ht="14.25" customHeight="1">
      <c r="A30" s="25" t="s">
        <v>148</v>
      </c>
      <c r="B30" s="25"/>
      <c r="C30" s="32"/>
      <c r="D30" s="25"/>
      <c r="E30" s="25"/>
      <c r="F30" s="25"/>
      <c r="G30" s="25"/>
      <c r="H30" s="25"/>
      <c r="I30" s="37">
        <v>0.0</v>
      </c>
      <c r="J30" s="37">
        <v>0.0</v>
      </c>
      <c r="K30" s="37">
        <v>-20000.0</v>
      </c>
      <c r="L30" s="37">
        <v>0.0</v>
      </c>
      <c r="M30" s="37">
        <v>0.0</v>
      </c>
    </row>
    <row r="31" ht="14.25" customHeight="1">
      <c r="A31" s="25" t="s">
        <v>149</v>
      </c>
      <c r="B31" s="25"/>
      <c r="C31" s="32"/>
      <c r="D31" s="25"/>
      <c r="E31" s="25"/>
      <c r="F31" s="25"/>
      <c r="G31" s="25"/>
      <c r="H31" s="25"/>
      <c r="I31" s="37">
        <v>0.0</v>
      </c>
      <c r="J31" s="37">
        <v>0.0</v>
      </c>
      <c r="K31" s="37">
        <v>0.0</v>
      </c>
      <c r="L31" s="37">
        <v>0.0</v>
      </c>
      <c r="M31" s="37">
        <v>0.0</v>
      </c>
    </row>
    <row r="32" ht="14.25" customHeight="1">
      <c r="A32" s="25"/>
      <c r="B32" s="25"/>
      <c r="C32" s="32"/>
      <c r="D32" s="25"/>
      <c r="E32" s="25"/>
      <c r="F32" s="25"/>
      <c r="G32" s="25"/>
      <c r="H32" s="25"/>
      <c r="I32" s="37"/>
      <c r="J32" s="37"/>
      <c r="K32" s="37"/>
      <c r="L32" s="37"/>
      <c r="M32" s="37"/>
    </row>
    <row r="33" ht="14.25" customHeight="1">
      <c r="A33" s="38" t="s">
        <v>27</v>
      </c>
      <c r="B33" s="25"/>
      <c r="C33" s="32"/>
      <c r="D33" s="25"/>
      <c r="E33" s="25"/>
      <c r="F33" s="25"/>
      <c r="G33" s="25"/>
      <c r="H33" s="39"/>
      <c r="I33" s="40"/>
      <c r="J33" s="40"/>
      <c r="K33" s="40"/>
      <c r="L33" s="40"/>
      <c r="M33" s="40"/>
    </row>
    <row r="34" ht="14.25" customHeight="1">
      <c r="A34" s="41" t="s">
        <v>13</v>
      </c>
      <c r="B34" s="42"/>
      <c r="C34" s="43"/>
      <c r="D34" s="42"/>
      <c r="E34" s="44"/>
      <c r="F34" s="44"/>
      <c r="G34" s="44"/>
      <c r="H34" s="44"/>
      <c r="I34" s="52">
        <v>0.12</v>
      </c>
      <c r="J34" s="52">
        <v>0.12</v>
      </c>
      <c r="K34" s="52">
        <v>0.12</v>
      </c>
      <c r="L34" s="52">
        <v>0.12</v>
      </c>
      <c r="M34" s="52">
        <v>0.12</v>
      </c>
    </row>
    <row r="35" ht="14.25" customHeight="1">
      <c r="A35" s="25" t="s">
        <v>14</v>
      </c>
      <c r="B35" s="25"/>
      <c r="C35" s="32"/>
      <c r="D35" s="46"/>
      <c r="E35" s="46"/>
      <c r="F35" s="46"/>
      <c r="G35" s="46"/>
      <c r="H35" s="46"/>
      <c r="I35" s="47">
        <v>0.37</v>
      </c>
      <c r="J35" s="47">
        <v>0.36</v>
      </c>
      <c r="K35" s="47">
        <v>0.35</v>
      </c>
      <c r="L35" s="47">
        <v>0.34</v>
      </c>
      <c r="M35" s="47">
        <v>0.34</v>
      </c>
    </row>
    <row r="36" ht="14.25" customHeight="1">
      <c r="A36" s="25" t="s">
        <v>15</v>
      </c>
      <c r="B36" s="25"/>
      <c r="C36" s="32"/>
      <c r="D36" s="46"/>
      <c r="E36" s="46"/>
      <c r="F36" s="46"/>
      <c r="G36" s="46"/>
      <c r="H36" s="46"/>
      <c r="I36" s="47">
        <v>0.16</v>
      </c>
      <c r="J36" s="47">
        <v>0.16</v>
      </c>
      <c r="K36" s="47">
        <v>0.16</v>
      </c>
      <c r="L36" s="47">
        <v>0.16</v>
      </c>
      <c r="M36" s="47">
        <v>0.16</v>
      </c>
    </row>
    <row r="37" ht="14.25" customHeight="1">
      <c r="A37" s="25" t="s">
        <v>16</v>
      </c>
      <c r="B37" s="25"/>
      <c r="C37" s="32"/>
      <c r="D37" s="25"/>
      <c r="E37" s="25"/>
      <c r="F37" s="25"/>
      <c r="G37" s="25"/>
      <c r="H37" s="25"/>
      <c r="I37" s="37">
        <v>10000.0</v>
      </c>
      <c r="J37" s="37">
        <v>10000.0</v>
      </c>
      <c r="K37" s="37">
        <v>10000.0</v>
      </c>
      <c r="L37" s="37">
        <v>10000.0</v>
      </c>
      <c r="M37" s="37">
        <v>10000.0</v>
      </c>
    </row>
    <row r="38" ht="14.25" customHeight="1">
      <c r="A38" s="25" t="s">
        <v>17</v>
      </c>
      <c r="B38" s="25"/>
      <c r="C38" s="32"/>
      <c r="D38" s="46"/>
      <c r="E38" s="46"/>
      <c r="F38" s="46"/>
      <c r="G38" s="46"/>
      <c r="H38" s="46"/>
      <c r="I38" s="47">
        <v>0.4</v>
      </c>
      <c r="J38" s="47">
        <v>0.4</v>
      </c>
      <c r="K38" s="47">
        <v>0.4</v>
      </c>
      <c r="L38" s="47">
        <v>0.4</v>
      </c>
      <c r="M38" s="47">
        <v>0.4</v>
      </c>
    </row>
    <row r="39" ht="14.25" customHeight="1">
      <c r="A39" s="25" t="s">
        <v>18</v>
      </c>
      <c r="B39" s="25"/>
      <c r="C39" s="32"/>
      <c r="D39" s="46"/>
      <c r="E39" s="46"/>
      <c r="F39" s="46"/>
      <c r="G39" s="46"/>
      <c r="H39" s="46"/>
      <c r="I39" s="47">
        <v>0.05</v>
      </c>
      <c r="J39" s="47">
        <v>0.05</v>
      </c>
      <c r="K39" s="47">
        <v>0.05</v>
      </c>
      <c r="L39" s="47">
        <v>0.05</v>
      </c>
      <c r="M39" s="47">
        <v>0.05</v>
      </c>
    </row>
    <row r="40" ht="14.25" customHeight="1">
      <c r="A40" s="25" t="s">
        <v>19</v>
      </c>
      <c r="B40" s="48"/>
      <c r="C40" s="49"/>
      <c r="D40" s="46"/>
      <c r="E40" s="46"/>
      <c r="F40" s="46"/>
      <c r="G40" s="46"/>
      <c r="H40" s="46"/>
      <c r="I40" s="47">
        <v>0.28</v>
      </c>
      <c r="J40" s="47">
        <v>0.28</v>
      </c>
      <c r="K40" s="47">
        <v>0.28</v>
      </c>
      <c r="L40" s="47">
        <v>0.28</v>
      </c>
      <c r="M40" s="47">
        <v>0.28</v>
      </c>
    </row>
    <row r="41" ht="14.25" customHeight="1">
      <c r="A41" s="25" t="s">
        <v>20</v>
      </c>
      <c r="B41" s="25"/>
      <c r="C41" s="50"/>
      <c r="D41" s="25"/>
      <c r="E41" s="25"/>
      <c r="F41" s="25"/>
      <c r="G41" s="25"/>
      <c r="H41" s="25"/>
      <c r="I41" s="37">
        <v>18.0</v>
      </c>
      <c r="J41" s="37">
        <v>18.0</v>
      </c>
      <c r="K41" s="37">
        <v>18.0</v>
      </c>
      <c r="L41" s="37">
        <v>18.0</v>
      </c>
      <c r="M41" s="37">
        <v>18.0</v>
      </c>
    </row>
    <row r="42" ht="14.25" customHeight="1">
      <c r="A42" s="25" t="s">
        <v>21</v>
      </c>
      <c r="B42" s="25"/>
      <c r="C42" s="50"/>
      <c r="D42" s="25"/>
      <c r="E42" s="25"/>
      <c r="F42" s="25"/>
      <c r="G42" s="25"/>
      <c r="H42" s="25"/>
      <c r="I42" s="37">
        <v>73.0</v>
      </c>
      <c r="J42" s="37">
        <v>73.0</v>
      </c>
      <c r="K42" s="37">
        <v>73.0</v>
      </c>
      <c r="L42" s="37">
        <v>73.0</v>
      </c>
      <c r="M42" s="37">
        <v>73.0</v>
      </c>
    </row>
    <row r="43" ht="14.25" customHeight="1">
      <c r="A43" s="25" t="s">
        <v>22</v>
      </c>
      <c r="B43" s="25"/>
      <c r="C43" s="50"/>
      <c r="D43" s="25"/>
      <c r="E43" s="25"/>
      <c r="F43" s="25"/>
      <c r="G43" s="25"/>
      <c r="H43" s="25"/>
      <c r="I43" s="37">
        <v>37.0</v>
      </c>
      <c r="J43" s="37">
        <v>37.0</v>
      </c>
      <c r="K43" s="37">
        <v>37.0</v>
      </c>
      <c r="L43" s="37">
        <v>37.0</v>
      </c>
      <c r="M43" s="37">
        <v>37.0</v>
      </c>
    </row>
    <row r="44" ht="14.25" customHeight="1">
      <c r="A44" s="25" t="s">
        <v>147</v>
      </c>
      <c r="B44" s="25"/>
      <c r="C44" s="32"/>
      <c r="D44" s="25"/>
      <c r="E44" s="25"/>
      <c r="F44" s="25"/>
      <c r="G44" s="25"/>
      <c r="H44" s="25"/>
      <c r="I44" s="37">
        <v>15000.0</v>
      </c>
      <c r="J44" s="37">
        <v>15000.0</v>
      </c>
      <c r="K44" s="37">
        <v>15000.0</v>
      </c>
      <c r="L44" s="37">
        <v>15000.0</v>
      </c>
      <c r="M44" s="37">
        <v>15000.0</v>
      </c>
    </row>
    <row r="45" ht="14.25" customHeight="1">
      <c r="A45" s="25" t="s">
        <v>148</v>
      </c>
      <c r="B45" s="25"/>
      <c r="C45" s="32"/>
      <c r="D45" s="25"/>
      <c r="E45" s="25"/>
      <c r="F45" s="25"/>
      <c r="G45" s="25"/>
      <c r="H45" s="25"/>
      <c r="I45" s="37">
        <v>0.0</v>
      </c>
      <c r="J45" s="37">
        <v>0.0</v>
      </c>
      <c r="K45" s="37">
        <v>-20000.0</v>
      </c>
      <c r="L45" s="37">
        <v>0.0</v>
      </c>
      <c r="M45" s="37">
        <v>0.0</v>
      </c>
    </row>
    <row r="46" ht="14.25" customHeight="1">
      <c r="A46" s="25" t="s">
        <v>149</v>
      </c>
      <c r="B46" s="25"/>
      <c r="C46" s="32"/>
      <c r="D46" s="25"/>
      <c r="E46" s="25"/>
      <c r="F46" s="25"/>
      <c r="G46" s="25"/>
      <c r="H46" s="25"/>
      <c r="I46" s="37">
        <v>0.0</v>
      </c>
      <c r="J46" s="37">
        <v>0.0</v>
      </c>
      <c r="K46" s="37">
        <v>0.0</v>
      </c>
      <c r="L46" s="37">
        <v>0.0</v>
      </c>
      <c r="M46" s="37">
        <v>0.0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2014-11-08T22:00:02Z</dcterms:created>
  <dc:creator>CFI</dc:creator>
</cp:coreProperties>
</file>