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d3debbe23c60685a/Documents/"/>
    </mc:Choice>
  </mc:AlternateContent>
  <xr:revisionPtr revIDLastSave="1627" documentId="8_{FBA32005-84A0-485E-AC0D-E8B8BC2C4479}" xr6:coauthVersionLast="47" xr6:coauthVersionMax="47" xr10:uidLastSave="{BF0949B9-9F59-4581-8E02-8CAE90BC52EA}"/>
  <bookViews>
    <workbookView xWindow="-108" yWindow="-108" windowWidth="23256" windowHeight="12456" activeTab="2" xr2:uid="{64E60957-40F4-4595-AA58-05BF090D8B3F}"/>
  </bookViews>
  <sheets>
    <sheet name="MasterData" sheetId="1" r:id="rId1"/>
    <sheet name="Input Data" sheetId="2" r:id="rId2"/>
    <sheet name="Dashboard" sheetId="3" r:id="rId3"/>
    <sheet name="Analysis" sheetId="4" r:id="rId4"/>
  </sheets>
  <definedNames>
    <definedName name="_xlnm._FilterDatabase" localSheetId="1" hidden="1">'Input Data'!$A$1:$K$27</definedName>
    <definedName name="_xlnm._FilterDatabase" localSheetId="0" hidden="1">MasterData!$A$1:$F$29</definedName>
    <definedName name="Category">INDEX(OFFSET(Analysis!$AE$2, 1, 0, COUNT(Analysis!XFB:XFB), 1), ROW(Analysis!XDW1048575))</definedName>
    <definedName name="CategoryRange">INDEX(OFFSET(Analysis!$AF$2, 1, 0, COUNT(Analysis!XFA:XFA), 1), ROW(Analysis!XDV1048575))</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3" i="4" l="1" a="1"/>
  <c r="AJ3" i="4" s="1"/>
  <c r="AI3" i="4" a="1"/>
  <c r="AI3" i="4" s="1"/>
  <c r="AI4" i="4" a="1"/>
  <c r="AI4" i="4" s="1"/>
  <c r="AJ4" i="4" a="1"/>
  <c r="AJ4" i="4" s="1"/>
  <c r="AJ5" i="4" a="1"/>
  <c r="AJ5" i="4" s="1"/>
  <c r="AH5" i="4" s="1"/>
  <c r="AI5" i="4" a="1"/>
  <c r="AI5" i="4" s="1"/>
  <c r="U3" i="4" a="1"/>
  <c r="U3" i="4" s="1"/>
  <c r="AA1" i="4"/>
  <c r="AB1" i="4" s="1"/>
  <c r="W4" i="4" a="1"/>
  <c r="W4" i="4" s="1"/>
  <c r="W5" i="4" a="1"/>
  <c r="W5" i="4" s="1"/>
  <c r="W6" i="4" a="1"/>
  <c r="W6" i="4"/>
  <c r="W7" i="4" a="1"/>
  <c r="W7" i="4" s="1"/>
  <c r="W8" i="4" a="1"/>
  <c r="W8" i="4" s="1"/>
  <c r="W9" i="4" a="1"/>
  <c r="W9" i="4" s="1"/>
  <c r="W10" i="4" a="1"/>
  <c r="W10" i="4" s="1"/>
  <c r="W11" i="4" a="1"/>
  <c r="W11" i="4" s="1"/>
  <c r="W12" i="4" a="1"/>
  <c r="W12" i="4" s="1"/>
  <c r="W13" i="4" a="1"/>
  <c r="W13" i="4" s="1"/>
  <c r="W14" i="4" a="1"/>
  <c r="W14" i="4" s="1"/>
  <c r="W15" i="4" a="1"/>
  <c r="W15" i="4" s="1"/>
  <c r="W16" i="4" a="1"/>
  <c r="W16" i="4" s="1"/>
  <c r="W17" i="4" a="1"/>
  <c r="W17" i="4" s="1"/>
  <c r="W18" i="4" a="1"/>
  <c r="W18" i="4" s="1"/>
  <c r="W19" i="4" a="1"/>
  <c r="W19" i="4" s="1"/>
  <c r="AA11" i="4" s="1" a="1"/>
  <c r="AA11" i="4" s="1"/>
  <c r="W20" i="4" a="1"/>
  <c r="W20" i="4" s="1"/>
  <c r="W21" i="4" a="1"/>
  <c r="W21" i="4" s="1"/>
  <c r="AA12" i="4" s="1" a="1"/>
  <c r="AA12" i="4" s="1"/>
  <c r="W22" i="4" a="1"/>
  <c r="W22" i="4" s="1"/>
  <c r="W23" i="4" a="1"/>
  <c r="W23" i="4" s="1"/>
  <c r="AA13" i="4" s="1" a="1"/>
  <c r="AA13" i="4" s="1"/>
  <c r="W24" i="4" a="1"/>
  <c r="W24" i="4" s="1"/>
  <c r="W25" i="4" a="1"/>
  <c r="W25" i="4" s="1"/>
  <c r="AA14" i="4" s="1" a="1"/>
  <c r="AA14" i="4" s="1"/>
  <c r="W26" i="4" a="1"/>
  <c r="W26" i="4" s="1"/>
  <c r="W27" i="4" a="1"/>
  <c r="W27" i="4" s="1"/>
  <c r="AA15" i="4" s="1" a="1"/>
  <c r="AA15" i="4" s="1"/>
  <c r="W28" i="4" a="1"/>
  <c r="W28" i="4" s="1"/>
  <c r="W3" i="4" a="1"/>
  <c r="W3" i="4" s="1"/>
  <c r="V3" i="4" a="1"/>
  <c r="V3" i="4" s="1"/>
  <c r="V28" i="4" a="1"/>
  <c r="V28" i="4" s="1"/>
  <c r="G23" i="2"/>
  <c r="G2" i="2"/>
  <c r="H2" i="2"/>
  <c r="I2" i="2"/>
  <c r="J2" i="2"/>
  <c r="K2" i="2"/>
  <c r="L2" i="2"/>
  <c r="M2" i="2"/>
  <c r="N2" i="2"/>
  <c r="O2" i="2"/>
  <c r="P2" i="2"/>
  <c r="G3" i="2"/>
  <c r="H3" i="2"/>
  <c r="I3" i="2"/>
  <c r="J3" i="2"/>
  <c r="L3" i="2" s="1"/>
  <c r="K3" i="2"/>
  <c r="M3" i="2" s="1"/>
  <c r="N3" i="2"/>
  <c r="O3" i="2"/>
  <c r="P3" i="2"/>
  <c r="G4" i="2"/>
  <c r="H4" i="2"/>
  <c r="I4" i="2"/>
  <c r="J4" i="2"/>
  <c r="L4" i="2" s="1"/>
  <c r="K4" i="2"/>
  <c r="M4" i="2" s="1"/>
  <c r="N4" i="2"/>
  <c r="O4" i="2"/>
  <c r="P4" i="2"/>
  <c r="G5" i="2"/>
  <c r="H5" i="2"/>
  <c r="I5" i="2"/>
  <c r="J5" i="2"/>
  <c r="L5" i="2" s="1"/>
  <c r="K5" i="2"/>
  <c r="M5" i="2" s="1"/>
  <c r="N5" i="2"/>
  <c r="O5" i="2"/>
  <c r="P5" i="2"/>
  <c r="G6" i="2"/>
  <c r="H6" i="2"/>
  <c r="I6" i="2"/>
  <c r="J6" i="2"/>
  <c r="K6" i="2"/>
  <c r="L6" i="2"/>
  <c r="M6" i="2"/>
  <c r="N6" i="2"/>
  <c r="O6" i="2"/>
  <c r="P6" i="2"/>
  <c r="G7" i="2"/>
  <c r="H7" i="2"/>
  <c r="I7" i="2"/>
  <c r="J7" i="2"/>
  <c r="L7" i="2" s="1"/>
  <c r="K7" i="2"/>
  <c r="M7" i="2" s="1"/>
  <c r="N7" i="2"/>
  <c r="O7" i="2"/>
  <c r="P7" i="2"/>
  <c r="G8" i="2"/>
  <c r="H8" i="2"/>
  <c r="I8" i="2"/>
  <c r="J8" i="2"/>
  <c r="K8" i="2"/>
  <c r="L8" i="2"/>
  <c r="M8" i="2"/>
  <c r="N8" i="2"/>
  <c r="O8" i="2"/>
  <c r="P8" i="2"/>
  <c r="G9" i="2"/>
  <c r="H9" i="2"/>
  <c r="I9" i="2"/>
  <c r="J9" i="2"/>
  <c r="L9" i="2" s="1"/>
  <c r="K9" i="2"/>
  <c r="M9" i="2" s="1"/>
  <c r="N9" i="2"/>
  <c r="O9" i="2"/>
  <c r="P9" i="2"/>
  <c r="G10" i="2"/>
  <c r="H10" i="2"/>
  <c r="I10" i="2"/>
  <c r="J10" i="2"/>
  <c r="K10" i="2"/>
  <c r="M10" i="2" s="1"/>
  <c r="L10" i="2"/>
  <c r="N10" i="2"/>
  <c r="O10" i="2"/>
  <c r="P10" i="2"/>
  <c r="G11" i="2"/>
  <c r="H11" i="2"/>
  <c r="I11" i="2"/>
  <c r="J11" i="2"/>
  <c r="K11" i="2"/>
  <c r="L11" i="2"/>
  <c r="M11" i="2"/>
  <c r="N11" i="2"/>
  <c r="O11" i="2"/>
  <c r="P11" i="2"/>
  <c r="G12" i="2"/>
  <c r="H12" i="2"/>
  <c r="I12" i="2"/>
  <c r="J12" i="2"/>
  <c r="L12" i="2" s="1"/>
  <c r="K12" i="2"/>
  <c r="M12" i="2" s="1"/>
  <c r="N12" i="2"/>
  <c r="O12" i="2"/>
  <c r="P12" i="2"/>
  <c r="G13" i="2"/>
  <c r="H13" i="2"/>
  <c r="I13" i="2"/>
  <c r="J13" i="2"/>
  <c r="K13" i="2"/>
  <c r="L13" i="2"/>
  <c r="M13" i="2"/>
  <c r="N13" i="2"/>
  <c r="O13" i="2"/>
  <c r="P13" i="2"/>
  <c r="G14" i="2"/>
  <c r="H14" i="2"/>
  <c r="I14" i="2"/>
  <c r="J14" i="2"/>
  <c r="L14" i="2" s="1"/>
  <c r="K14" i="2"/>
  <c r="M14" i="2" s="1"/>
  <c r="N14" i="2"/>
  <c r="O14" i="2"/>
  <c r="P14" i="2"/>
  <c r="G15" i="2"/>
  <c r="H15" i="2"/>
  <c r="I15" i="2"/>
  <c r="J15" i="2"/>
  <c r="L15" i="2" s="1"/>
  <c r="K15" i="2"/>
  <c r="M15" i="2"/>
  <c r="N15" i="2"/>
  <c r="O15" i="2"/>
  <c r="P15" i="2"/>
  <c r="G16" i="2"/>
  <c r="H16" i="2"/>
  <c r="I16" i="2"/>
  <c r="J16" i="2"/>
  <c r="K16" i="2"/>
  <c r="M16" i="2" s="1"/>
  <c r="L16" i="2"/>
  <c r="N16" i="2"/>
  <c r="O16" i="2"/>
  <c r="P16" i="2"/>
  <c r="G17" i="2"/>
  <c r="H17" i="2"/>
  <c r="I17" i="2"/>
  <c r="J17" i="2"/>
  <c r="L17" i="2" s="1"/>
  <c r="K17" i="2"/>
  <c r="M17" i="2"/>
  <c r="N17" i="2"/>
  <c r="O17" i="2"/>
  <c r="P17" i="2"/>
  <c r="G18" i="2"/>
  <c r="H18" i="2"/>
  <c r="I18" i="2"/>
  <c r="J18" i="2"/>
  <c r="K18" i="2"/>
  <c r="M18" i="2" s="1"/>
  <c r="L18" i="2"/>
  <c r="N18" i="2"/>
  <c r="O18" i="2"/>
  <c r="P18" i="2"/>
  <c r="G19" i="2"/>
  <c r="H19" i="2"/>
  <c r="I19" i="2"/>
  <c r="J19" i="2"/>
  <c r="L19" i="2" s="1"/>
  <c r="K19" i="2"/>
  <c r="M19" i="2" s="1"/>
  <c r="N19" i="2"/>
  <c r="O19" i="2"/>
  <c r="P19" i="2"/>
  <c r="G20" i="2"/>
  <c r="H20" i="2"/>
  <c r="I20" i="2"/>
  <c r="J20" i="2"/>
  <c r="K20" i="2"/>
  <c r="L20" i="2"/>
  <c r="M20" i="2"/>
  <c r="N20" i="2"/>
  <c r="O20" i="2"/>
  <c r="P20" i="2"/>
  <c r="G21" i="2"/>
  <c r="H21" i="2"/>
  <c r="I21" i="2"/>
  <c r="J21" i="2"/>
  <c r="L21" i="2" s="1"/>
  <c r="K21" i="2"/>
  <c r="M21" i="2" s="1"/>
  <c r="N21" i="2"/>
  <c r="O21" i="2"/>
  <c r="P21" i="2"/>
  <c r="G22" i="2"/>
  <c r="H22" i="2"/>
  <c r="I22" i="2"/>
  <c r="J22" i="2"/>
  <c r="K22" i="2"/>
  <c r="L22" i="2"/>
  <c r="M22" i="2"/>
  <c r="N22" i="2"/>
  <c r="O22" i="2"/>
  <c r="P22" i="2"/>
  <c r="H23" i="2"/>
  <c r="I23" i="2"/>
  <c r="J23" i="2"/>
  <c r="L23" i="2" s="1"/>
  <c r="K23" i="2"/>
  <c r="M23" i="2" s="1"/>
  <c r="N23" i="2"/>
  <c r="O23" i="2"/>
  <c r="P23" i="2"/>
  <c r="G24" i="2"/>
  <c r="H24" i="2"/>
  <c r="I24" i="2"/>
  <c r="J24" i="2"/>
  <c r="L24" i="2" s="1"/>
  <c r="K24" i="2"/>
  <c r="M24" i="2" s="1"/>
  <c r="N24" i="2"/>
  <c r="O24" i="2"/>
  <c r="P24" i="2"/>
  <c r="G25" i="2"/>
  <c r="H25" i="2"/>
  <c r="I25" i="2"/>
  <c r="J25" i="2"/>
  <c r="L25" i="2" s="1"/>
  <c r="K25" i="2"/>
  <c r="M25" i="2" s="1"/>
  <c r="N25" i="2"/>
  <c r="O25" i="2"/>
  <c r="P25" i="2"/>
  <c r="G26" i="2"/>
  <c r="H26" i="2"/>
  <c r="I26" i="2"/>
  <c r="J26" i="2"/>
  <c r="K26" i="2"/>
  <c r="M26" i="2" s="1"/>
  <c r="L26" i="2"/>
  <c r="N26" i="2"/>
  <c r="O26" i="2"/>
  <c r="P26" i="2"/>
  <c r="G27" i="2"/>
  <c r="H27" i="2"/>
  <c r="I27" i="2"/>
  <c r="J27" i="2"/>
  <c r="K27" i="2"/>
  <c r="L27" i="2"/>
  <c r="M27" i="2"/>
  <c r="N27" i="2"/>
  <c r="O27" i="2"/>
  <c r="P27" i="2"/>
  <c r="V4" i="4" a="1"/>
  <c r="V4" i="4" s="1"/>
  <c r="V5" i="4" a="1"/>
  <c r="V5" i="4" s="1"/>
  <c r="V6" i="4" a="1"/>
  <c r="V6" i="4" s="1"/>
  <c r="V7" i="4" a="1"/>
  <c r="V7" i="4" s="1"/>
  <c r="V8" i="4" a="1"/>
  <c r="V8" i="4" s="1"/>
  <c r="V9" i="4" a="1"/>
  <c r="V9" i="4" s="1"/>
  <c r="V10" i="4" a="1"/>
  <c r="V10" i="4" s="1"/>
  <c r="V11" i="4" a="1"/>
  <c r="V11" i="4" s="1"/>
  <c r="V12" i="4" a="1"/>
  <c r="V12" i="4" s="1"/>
  <c r="V13" i="4" a="1"/>
  <c r="V13" i="4" s="1"/>
  <c r="V14" i="4" a="1"/>
  <c r="V14" i="4" s="1"/>
  <c r="V15" i="4" a="1"/>
  <c r="V15" i="4" s="1"/>
  <c r="V16" i="4" a="1"/>
  <c r="V16" i="4" s="1"/>
  <c r="V17" i="4" a="1"/>
  <c r="V17" i="4" s="1"/>
  <c r="V18" i="4" a="1"/>
  <c r="V18" i="4" s="1"/>
  <c r="V19" i="4" a="1"/>
  <c r="V19" i="4" s="1"/>
  <c r="V20" i="4" a="1"/>
  <c r="V20" i="4" s="1"/>
  <c r="V21" i="4" a="1"/>
  <c r="V21" i="4" s="1"/>
  <c r="V22" i="4" a="1"/>
  <c r="V22" i="4" s="1"/>
  <c r="V23" i="4" a="1"/>
  <c r="V23" i="4" s="1"/>
  <c r="V24" i="4" a="1"/>
  <c r="V24" i="4" s="1"/>
  <c r="V25" i="4" a="1"/>
  <c r="V25" i="4" s="1"/>
  <c r="V26" i="4" a="1"/>
  <c r="V26" i="4" s="1"/>
  <c r="V27" i="4" a="1"/>
  <c r="V27" i="4" s="1"/>
  <c r="X4" i="4" a="1"/>
  <c r="X4" i="4" s="1"/>
  <c r="X5" i="4" a="1"/>
  <c r="X5" i="4" s="1"/>
  <c r="X6" i="4" a="1"/>
  <c r="X6" i="4" s="1"/>
  <c r="X7" i="4" a="1"/>
  <c r="X7" i="4" s="1"/>
  <c r="X8" i="4" a="1"/>
  <c r="X8" i="4" s="1"/>
  <c r="X9" i="4" a="1"/>
  <c r="X9" i="4" s="1"/>
  <c r="X10" i="4" a="1"/>
  <c r="X10" i="4" s="1"/>
  <c r="X11" i="4" a="1"/>
  <c r="X11" i="4" s="1"/>
  <c r="X12" i="4" a="1"/>
  <c r="X12" i="4" s="1"/>
  <c r="X13" i="4" a="1"/>
  <c r="X13" i="4" s="1"/>
  <c r="X14" i="4" a="1"/>
  <c r="X14" i="4" s="1"/>
  <c r="X15" i="4" a="1"/>
  <c r="X15" i="4" s="1"/>
  <c r="X16" i="4" a="1"/>
  <c r="X16" i="4" s="1"/>
  <c r="X17" i="4" a="1"/>
  <c r="X17" i="4" s="1"/>
  <c r="X18" i="4" a="1"/>
  <c r="X18" i="4" s="1"/>
  <c r="X19" i="4" a="1"/>
  <c r="X19" i="4" s="1"/>
  <c r="X20" i="4" a="1"/>
  <c r="X20" i="4" s="1"/>
  <c r="X21" i="4" a="1"/>
  <c r="X21" i="4" s="1"/>
  <c r="X22" i="4" a="1"/>
  <c r="X22" i="4" s="1"/>
  <c r="X23" i="4" a="1"/>
  <c r="X23" i="4" s="1"/>
  <c r="X24" i="4" a="1"/>
  <c r="X24" i="4" s="1"/>
  <c r="X25" i="4" a="1"/>
  <c r="X25" i="4" s="1"/>
  <c r="X26" i="4" a="1"/>
  <c r="X26" i="4" s="1"/>
  <c r="X27" i="4" a="1"/>
  <c r="X27" i="4" s="1"/>
  <c r="X28" i="4" a="1"/>
  <c r="X28" i="4" s="1"/>
  <c r="X3" i="4" a="1"/>
  <c r="X3" i="4" s="1"/>
  <c r="U4" i="4" a="1"/>
  <c r="U4" i="4" s="1"/>
  <c r="U5" i="4" a="1"/>
  <c r="U5" i="4" s="1"/>
  <c r="U6" i="4" a="1"/>
  <c r="U6" i="4" s="1"/>
  <c r="U7" i="4" a="1"/>
  <c r="U7" i="4" s="1"/>
  <c r="U8" i="4" a="1"/>
  <c r="U8" i="4" s="1"/>
  <c r="U9" i="4" a="1"/>
  <c r="U9" i="4" s="1"/>
  <c r="U10" i="4" a="1"/>
  <c r="U10" i="4" s="1"/>
  <c r="U11" i="4" a="1"/>
  <c r="U11" i="4" s="1"/>
  <c r="U12" i="4" a="1"/>
  <c r="U12" i="4" s="1"/>
  <c r="U13" i="4" a="1"/>
  <c r="U13" i="4" s="1"/>
  <c r="U14" i="4" a="1"/>
  <c r="U14" i="4" s="1"/>
  <c r="U15" i="4" a="1"/>
  <c r="U15" i="4" s="1"/>
  <c r="U16" i="4" a="1"/>
  <c r="U16" i="4" s="1"/>
  <c r="U17" i="4" a="1"/>
  <c r="U17" i="4" s="1"/>
  <c r="Z10" i="4" s="1" a="1"/>
  <c r="Z10" i="4" s="1"/>
  <c r="U18" i="4" a="1"/>
  <c r="U18" i="4" s="1"/>
  <c r="U19" i="4" a="1"/>
  <c r="U19" i="4" s="1"/>
  <c r="Z11" i="4" s="1" a="1"/>
  <c r="Z11" i="4" s="1"/>
  <c r="U20" i="4" a="1"/>
  <c r="U20" i="4" s="1"/>
  <c r="U21" i="4" a="1"/>
  <c r="U21" i="4" s="1"/>
  <c r="Z12" i="4" s="1" a="1"/>
  <c r="Z12" i="4" s="1"/>
  <c r="U22" i="4" a="1"/>
  <c r="U22" i="4" s="1"/>
  <c r="U23" i="4" a="1"/>
  <c r="U23" i="4" s="1"/>
  <c r="Z13" i="4" s="1" a="1"/>
  <c r="Z13" i="4" s="1"/>
  <c r="U24" i="4" a="1"/>
  <c r="U24" i="4" s="1"/>
  <c r="U25" i="4" a="1"/>
  <c r="U25" i="4" s="1"/>
  <c r="Z14" i="4" s="1" a="1"/>
  <c r="Z14" i="4" s="1"/>
  <c r="U26" i="4" a="1"/>
  <c r="U26" i="4" s="1"/>
  <c r="U27" i="4" a="1"/>
  <c r="U27" i="4" s="1"/>
  <c r="Z15" i="4" s="1" a="1"/>
  <c r="Z15" i="4" s="1"/>
  <c r="U28" i="4" a="1"/>
  <c r="U28" i="4" s="1"/>
  <c r="L4" i="4"/>
  <c r="M5" i="4"/>
  <c r="N5" i="4" s="1"/>
  <c r="M4" i="4"/>
  <c r="N4" i="4" s="1"/>
  <c r="M6" i="4"/>
  <c r="N6" i="4" s="1"/>
  <c r="M7" i="4"/>
  <c r="N7" i="4" s="1"/>
  <c r="M8" i="4"/>
  <c r="N8" i="4" s="1"/>
  <c r="M9" i="4"/>
  <c r="N9" i="4" s="1"/>
  <c r="M10" i="4"/>
  <c r="N10" i="4" s="1"/>
  <c r="M11" i="4"/>
  <c r="N11" i="4" s="1"/>
  <c r="M12" i="4"/>
  <c r="N12" i="4" s="1"/>
  <c r="M13" i="4"/>
  <c r="N13" i="4" s="1"/>
  <c r="M14" i="4"/>
  <c r="N14" i="4" s="1"/>
  <c r="M15" i="4"/>
  <c r="N15" i="4" s="1"/>
  <c r="L5" i="4"/>
  <c r="L6" i="4"/>
  <c r="L7" i="4"/>
  <c r="L8" i="4"/>
  <c r="L9" i="4"/>
  <c r="L10" i="4"/>
  <c r="L11" i="4"/>
  <c r="L12" i="4"/>
  <c r="L13" i="4"/>
  <c r="L14" i="4"/>
  <c r="L15" i="4"/>
  <c r="E4" i="4"/>
  <c r="E5" i="4"/>
  <c r="AA9" i="4" l="1" a="1"/>
  <c r="AA9" i="4" s="1"/>
  <c r="Z9" i="4" a="1"/>
  <c r="Z9" i="4" s="1"/>
  <c r="AA10" i="4" a="1"/>
  <c r="AA10" i="4" s="1"/>
  <c r="Z5" i="4" a="1"/>
  <c r="Z5" i="4" s="1"/>
  <c r="AA5" i="4" a="1"/>
  <c r="AA5" i="4" s="1"/>
  <c r="AA4" i="4" a="1"/>
  <c r="AA4" i="4" s="1"/>
  <c r="Z7" i="4" a="1"/>
  <c r="Z7" i="4" s="1"/>
  <c r="AA3" i="4" a="1"/>
  <c r="AA3" i="4" s="1"/>
  <c r="Z6" i="4" a="1"/>
  <c r="Z6" i="4" s="1"/>
  <c r="AA7" i="4" a="1"/>
  <c r="AA7" i="4" s="1"/>
  <c r="AH4" i="4"/>
  <c r="AH3" i="4"/>
  <c r="AA8" i="4" a="1"/>
  <c r="AA8" i="4" s="1"/>
  <c r="Z4" i="4" a="1"/>
  <c r="Z4" i="4" s="1"/>
  <c r="AA6" i="4" a="1"/>
  <c r="AA6" i="4" s="1"/>
  <c r="Z3" i="4" a="1"/>
  <c r="Z3" i="4" s="1"/>
  <c r="Z8" i="4" a="1"/>
  <c r="Z8" i="4" s="1"/>
  <c r="T3" i="4" a="1"/>
  <c r="T3" i="4" s="1"/>
  <c r="E6" i="4"/>
  <c r="AJ1" i="4" l="1"/>
  <c r="AI1" i="4"/>
  <c r="X1" i="4"/>
  <c r="W1" i="4"/>
  <c r="V1" i="4"/>
  <c r="U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<sst xmlns="http://schemas.openxmlformats.org/spreadsheetml/2006/main" count="322" uniqueCount="110">
  <si>
    <t>UOM</t>
  </si>
  <si>
    <t>Herbal Tea</t>
  </si>
  <si>
    <t>Aloe Vera Gel</t>
  </si>
  <si>
    <t>Turmeric Powder</t>
  </si>
  <si>
    <t>Ashwagandha Capsules</t>
  </si>
  <si>
    <t>Cinnamon Sticks</t>
  </si>
  <si>
    <t>Moringa Powder</t>
  </si>
  <si>
    <t>Ginger Tea</t>
  </si>
  <si>
    <t>Brahmi Powder</t>
  </si>
  <si>
    <t>Cardamom</t>
  </si>
  <si>
    <t>Lavender Oil</t>
  </si>
  <si>
    <t>Clove Powder</t>
  </si>
  <si>
    <t>Chamomile Tea</t>
  </si>
  <si>
    <t>Neem Capsules</t>
  </si>
  <si>
    <t>Saffron</t>
  </si>
  <si>
    <t>Tulsi Tea</t>
  </si>
  <si>
    <t>Triphala Powder</t>
  </si>
  <si>
    <t>Amla Capsules</t>
  </si>
  <si>
    <t>Cinnamon Powder</t>
  </si>
  <si>
    <t>Eucalyptus Oil</t>
  </si>
  <si>
    <t>Ginseng Capsules</t>
  </si>
  <si>
    <t>Sandalwood Powder</t>
  </si>
  <si>
    <t>Rose Water</t>
  </si>
  <si>
    <t>Peppermint Oil</t>
  </si>
  <si>
    <t>Lemon Grass Tea</t>
  </si>
  <si>
    <t>Fennel Seeds</t>
  </si>
  <si>
    <t>Mint Tea</t>
  </si>
  <si>
    <t>Black Pepper</t>
  </si>
  <si>
    <t>Ashwagandha Powder</t>
  </si>
  <si>
    <t>PRO10122</t>
  </si>
  <si>
    <t>PRO10123</t>
  </si>
  <si>
    <t>PRO10124</t>
  </si>
  <si>
    <t>PRO10125</t>
  </si>
  <si>
    <t>PRO10126</t>
  </si>
  <si>
    <t>PRO10127</t>
  </si>
  <si>
    <t>PRO10128</t>
  </si>
  <si>
    <t>PRO10129</t>
  </si>
  <si>
    <t>PRO10130</t>
  </si>
  <si>
    <t>PRO10131</t>
  </si>
  <si>
    <t>PRO10132</t>
  </si>
  <si>
    <t>PRO10133</t>
  </si>
  <si>
    <t>PRO10134</t>
  </si>
  <si>
    <t>PRO10135</t>
  </si>
  <si>
    <t>PRO10136</t>
  </si>
  <si>
    <t>PRO10137</t>
  </si>
  <si>
    <t>PRO10138</t>
  </si>
  <si>
    <t>PRO10139</t>
  </si>
  <si>
    <t>PRO10140</t>
  </si>
  <si>
    <t>PRO10141</t>
  </si>
  <si>
    <t>PRO10142</t>
  </si>
  <si>
    <t>PRO10143</t>
  </si>
  <si>
    <t>PRO10144</t>
  </si>
  <si>
    <t>PRO10145</t>
  </si>
  <si>
    <t>PRO10146</t>
  </si>
  <si>
    <t>PRO10147</t>
  </si>
  <si>
    <t>PRO10148</t>
  </si>
  <si>
    <t>PRO10149</t>
  </si>
  <si>
    <t>Beverage</t>
  </si>
  <si>
    <t>Skincare</t>
  </si>
  <si>
    <t>Spice</t>
  </si>
  <si>
    <t>Supplement</t>
  </si>
  <si>
    <t>Box</t>
  </si>
  <si>
    <t>Bottle</t>
  </si>
  <si>
    <t>Bag</t>
  </si>
  <si>
    <t>Pack</t>
  </si>
  <si>
    <t>Gram</t>
  </si>
  <si>
    <t>Date</t>
  </si>
  <si>
    <t>Retail</t>
  </si>
  <si>
    <t>Wholesale</t>
  </si>
  <si>
    <t>Cash</t>
  </si>
  <si>
    <t>UPI</t>
  </si>
  <si>
    <t>Card</t>
  </si>
  <si>
    <t>Online</t>
  </si>
  <si>
    <t>PRODUCT</t>
  </si>
  <si>
    <t>CATEGORY</t>
  </si>
  <si>
    <t>BUYING PRICE</t>
  </si>
  <si>
    <t>SELLING PRICE</t>
  </si>
  <si>
    <t>QUANTITY</t>
  </si>
  <si>
    <t>SALE TYPE</t>
  </si>
  <si>
    <t>PAYMENT MODE</t>
  </si>
  <si>
    <t>DISCOUNT %</t>
  </si>
  <si>
    <t>PRODUCT_ID</t>
  </si>
  <si>
    <t>TOTAL BUYING VALUE</t>
  </si>
  <si>
    <t>TOTAL SELLING VALUE</t>
  </si>
  <si>
    <t>DAY</t>
  </si>
  <si>
    <t>MONTH</t>
  </si>
  <si>
    <t>YEAR</t>
  </si>
  <si>
    <t>Sum of TOTAL SELLING VALUE</t>
  </si>
  <si>
    <t>Sum of TOTAL BUYING VALUE</t>
  </si>
  <si>
    <t>Sum of QUANTITY</t>
  </si>
  <si>
    <t>Total Sales</t>
  </si>
  <si>
    <t>Total Profit</t>
  </si>
  <si>
    <t xml:space="preserve">Profit % </t>
  </si>
  <si>
    <t>Month</t>
  </si>
  <si>
    <t>Sales</t>
  </si>
  <si>
    <t>Profit</t>
  </si>
  <si>
    <t>Profit %</t>
  </si>
  <si>
    <t>Apr</t>
  </si>
  <si>
    <t>Jan</t>
  </si>
  <si>
    <t>Feb</t>
  </si>
  <si>
    <t>Mar</t>
  </si>
  <si>
    <t>May</t>
  </si>
  <si>
    <t>Jun</t>
  </si>
  <si>
    <t>Jul</t>
  </si>
  <si>
    <t>Sep</t>
  </si>
  <si>
    <t>Oct</t>
  </si>
  <si>
    <t>Nov</t>
  </si>
  <si>
    <t>Dec</t>
  </si>
  <si>
    <t>Aug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</si>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</sst>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00"/>
    <numFmt numFmtId="165" formatCode="[$-F800]dddd\,\ mmmm\ dd\,\ yyyy"/>
  </numFmts>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9" fontId="0" fillId="0" borderId="0" xfId="0" applyNumberFormat="1"/>
    <xf numFmtId="0" fontId="0" fillId="2" borderId="0" xfId="0" applyFill="1"/>
    <xf numFmtId="0" fontId="0" fillId="3" borderId="0" xfId="0" applyFill="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0" applyNumberFormat="1"/>
    <xf numFmtId="0" fontId="0" fillId="4" borderId="0" xfId="0" applyFill="1" applyAlignment="1">
      <alignment horizontal="center"/>
    </xf>
  </cellXfs>
  <cellStyles count="1">
    <cellStyle name="Normal" xfId="0" builtinId="0"/>
  </cellStyles>
  <dxfs count="15">
    <dxf>
      <numFmt numFmtId="0" formatCode="General"/>
    </dxf>
    <dxf>
      <numFmt numFmtId="0" formatCode="General"/>
    </dxf>
    <dxf>
      <numFmt numFmtId="0" formatCode="General"/>
    </dxf>
    <dxf>
      <numFmt numFmtId="164" formatCode="&quot;₹&quot;\ #,##0.00"/>
    </dxf>
    <dxf>
      <numFmt numFmtId="164" formatCode="&quot;₹&quot;\ #,##0.00"/>
    </dxf>
    <dxf>
      <numFmt numFmtId="164" formatCode="&quot;₹&quot;\ #,##0.00"/>
    </dxf>
    <dxf>
      <numFmt numFmtId="164" formatCode="&quot;₹&quot;\ #,##0.00"/>
    </dxf>
    <dxf>
      <numFmt numFmtId="0" formatCode="General"/>
    </dxf>
    <dxf>
      <numFmt numFmtId="0" formatCode="General"/>
    </dxf>
    <dxf>
      <numFmt numFmtId="0" formatCode="General"/>
    </dxf>
    <dxf>
      <numFmt numFmtId="13" formatCode="0%"/>
    </dxf>
    <dxf>
      <numFmt numFmtId="19" formatCode="dd/mm/yyyy"/>
    </dxf>
    <dxf>
      <font>
        <b val="0"/>
        <i val="0"/>
        <strike val="0"/>
        <condense val="0"/>
        <extend val="0"/>
        <outline val="0"/>
        <shadow val="0"/>
        <u val="none"/>
        <vertAlign val="baseline"/>
        <sz val="11"/>
        <color theme="1"/>
        <name val="Calibri"/>
        <family val="2"/>
        <scheme val="minor"/>
      </font>
      <fill>
        <patternFill patternType="solid">
          <fgColor indexed="64"/>
          <bgColor theme="8" tint="0.59999389629810485"/>
        </patternFill>
      </fill>
      <alignment horizontal="general" vertical="bottom" textRotation="0" wrapText="0" indent="0" justifyLastLine="0" shrinkToFit="0" readingOrder="0"/>
    </dxf>
    <dxf>
      <font>
        <b/>
        <i val="0"/>
        <sz val="12"/>
        <color theme="0"/>
        <name val="Clarendon BT"/>
        <family val="1"/>
        <scheme val="none"/>
      </font>
      <fill>
        <patternFill>
          <bgColor theme="9"/>
        </patternFill>
      </fill>
      <border diagonalUp="0" diagonalDown="0">
        <left/>
        <right/>
        <top/>
        <bottom/>
        <vertical/>
        <horizontal/>
      </border>
    </dxf>
    <dxf>
      <font>
        <b/>
        <i val="0"/>
        <sz val="9"/>
        <color theme="0"/>
        <name val="POPPINS"/>
      </font>
      <fill>
        <patternFill>
          <bgColor theme="9"/>
        </patternFill>
      </fill>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 pivot="0" table="0" count="10" xr9:uid="{244DF577-6720-4198-BD48-5D08D035AC6E}">
      <tableStyleElement type="wholeTable" dxfId="14"/>
      <tableStyleElement type="headerRow" dxfId="1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Dashboard_Project.xlsx]Analysis!Daily</c:name>
    <c:fmtId val="8"/>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c:f>
              <c:strCache>
                <c:ptCount val="1"/>
                <c:pt idx="0">
                  <c:v>Total</c:v>
                </c:pt>
              </c:strCache>
            </c:strRef>
          </c:tx>
          <c:spPr>
            <a:solidFill>
              <a:schemeClr val="accent1"/>
            </a:solidFill>
            <a:ln w="254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cat>
            <c:strRef>
              <c:f>Analysis!$A$2:$A$10</c:f>
              <c:strCache>
                <c:ptCount val="9"/>
                <c:pt idx="0">
                  <c:v>1</c:v>
                </c:pt>
                <c:pt idx="1">
                  <c:v>7</c:v>
                </c:pt>
                <c:pt idx="2">
                  <c:v>8</c:v>
                </c:pt>
                <c:pt idx="3">
                  <c:v>9</c:v>
                </c:pt>
                <c:pt idx="4">
                  <c:v>10</c:v>
                </c:pt>
                <c:pt idx="5">
                  <c:v>11</c:v>
                </c:pt>
                <c:pt idx="6">
                  <c:v>12</c:v>
                </c:pt>
                <c:pt idx="7">
                  <c:v>13</c:v>
                </c:pt>
                <c:pt idx="8">
                  <c:v>14</c:v>
                </c:pt>
              </c:strCache>
            </c:strRef>
          </c:cat>
          <c:val>
            <c:numRef>
              <c:f>Analysis!$B$2:$B$10</c:f>
              <c:numCache>
                <c:formatCode>"₹"\ #,##0.00</c:formatCode>
                <c:ptCount val="9"/>
                <c:pt idx="0">
                  <c:v>536.1</c:v>
                </c:pt>
                <c:pt idx="1">
                  <c:v>131.80000000000001</c:v>
                </c:pt>
                <c:pt idx="2">
                  <c:v>46</c:v>
                </c:pt>
                <c:pt idx="3">
                  <c:v>86</c:v>
                </c:pt>
                <c:pt idx="4">
                  <c:v>104</c:v>
                </c:pt>
                <c:pt idx="5">
                  <c:v>85</c:v>
                </c:pt>
                <c:pt idx="6">
                  <c:v>61</c:v>
                </c:pt>
                <c:pt idx="7">
                  <c:v>50</c:v>
                </c:pt>
                <c:pt idx="8">
                  <c:v>34</c:v>
                </c:pt>
              </c:numCache>
            </c:numRef>
          </c:val>
          <c:extLst>
            <c:ext xmlns:c16="http://schemas.microsoft.com/office/drawing/2014/chart" uri="{C3380CC4-5D6E-409C-BE32-E72D297353CC}">
              <c16:uniqueId val="{00000003-59FE-4E00-AB0A-9ABD9273B226}"/>
            </c:ext>
          </c:extLst>
        </c:ser>
        <c:dLbls>
          <c:showLegendKey val="0"/>
          <c:showVal val="0"/>
          <c:showCatName val="0"/>
          <c:showSerName val="0"/>
          <c:showPercent val="0"/>
          <c:showBubbleSize val="0"/>
        </c:dLbls>
        <c:axId val="1324862159"/>
        <c:axId val="1324862639"/>
      </c:areaChart>
      <c:catAx>
        <c:axId val="1324862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324862639"/>
        <c:crosses val="autoZero"/>
        <c:auto val="1"/>
        <c:lblAlgn val="ctr"/>
        <c:lblOffset val="100"/>
        <c:noMultiLvlLbl val="0"/>
      </c:catAx>
      <c:valAx>
        <c:axId val="1324862639"/>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3248621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Analysis!$L$4:$L$14</c:f>
              <c:numCache>
                <c:formatCode>"₹"\ #,##0.00</c:formatCode>
                <c:ptCount val="11"/>
                <c:pt idx="0">
                  <c:v>29.7</c:v>
                </c:pt>
                <c:pt idx="1">
                  <c:v>30</c:v>
                </c:pt>
                <c:pt idx="2">
                  <c:v>22</c:v>
                </c:pt>
                <c:pt idx="3">
                  <c:v>462.4</c:v>
                </c:pt>
                <c:pt idx="4">
                  <c:v>37</c:v>
                </c:pt>
                <c:pt idx="5">
                  <c:v>50</c:v>
                </c:pt>
                <c:pt idx="6">
                  <c:v>101</c:v>
                </c:pt>
                <c:pt idx="7">
                  <c:v>113</c:v>
                </c:pt>
                <c:pt idx="8">
                  <c:v>95.8</c:v>
                </c:pt>
                <c:pt idx="9">
                  <c:v>100</c:v>
                </c:pt>
                <c:pt idx="10">
                  <c:v>9</c:v>
                </c:pt>
              </c:numCache>
            </c:numRef>
          </c:val>
          <c:extLst>
            <c:ext xmlns:c16="http://schemas.microsoft.com/office/drawing/2014/chart" uri="{C3380CC4-5D6E-409C-BE32-E72D297353CC}">
              <c16:uniqueId val="{00000000-7251-48EB-9C0C-25734851670C}"/>
            </c:ext>
          </c:extLst>
        </c:ser>
        <c:ser>
          <c:idx val="1"/>
          <c:order val="1"/>
          <c:tx>
            <c:strRef>
              <c:f>Analysis!$M$3</c:f>
              <c:strCache>
                <c:ptCount val="1"/>
                <c:pt idx="0">
                  <c:v>Profit</c:v>
                </c:pt>
              </c:strCache>
            </c:strRef>
          </c:tx>
          <c:spPr>
            <a:solidFill>
              <a:schemeClr val="accent2"/>
            </a:solidFill>
            <a:ln>
              <a:noFill/>
            </a:ln>
            <a:effectLst/>
          </c:spPr>
          <c:invertIfNegative val="0"/>
          <c:dLbls>
            <c:dLbl>
              <c:idx val="0"/>
              <c:tx>
                <c:rich>
                  <a:bodyPr/>
                  <a:lstStyle/>
                  <a:p>
                    <a:fld id="{06C8604A-C4FE-45DA-9B44-C549CFA452B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7251-48EB-9C0C-25734851670C}"/>
                </c:ext>
              </c:extLst>
            </c:dLbl>
            <c:dLbl>
              <c:idx val="1"/>
              <c:tx>
                <c:rich>
                  <a:bodyPr/>
                  <a:lstStyle/>
                  <a:p>
                    <a:fld id="{2DEDA6AB-137C-403D-9ECF-BA8F0C492C3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251-48EB-9C0C-25734851670C}"/>
                </c:ext>
              </c:extLst>
            </c:dLbl>
            <c:dLbl>
              <c:idx val="2"/>
              <c:tx>
                <c:rich>
                  <a:bodyPr/>
                  <a:lstStyle/>
                  <a:p>
                    <a:fld id="{9F239E4C-B99E-4C6F-AAD9-0010CF8930A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251-48EB-9C0C-25734851670C}"/>
                </c:ext>
              </c:extLst>
            </c:dLbl>
            <c:dLbl>
              <c:idx val="3"/>
              <c:tx>
                <c:rich>
                  <a:bodyPr/>
                  <a:lstStyle/>
                  <a:p>
                    <a:fld id="{2E9F456D-6837-4E87-8CF6-FC1C2D7F2EC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251-48EB-9C0C-25734851670C}"/>
                </c:ext>
              </c:extLst>
            </c:dLbl>
            <c:dLbl>
              <c:idx val="4"/>
              <c:tx>
                <c:rich>
                  <a:bodyPr/>
                  <a:lstStyle/>
                  <a:p>
                    <a:fld id="{45EED8F3-661F-4C2E-97D1-F31D2D09653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251-48EB-9C0C-25734851670C}"/>
                </c:ext>
              </c:extLst>
            </c:dLbl>
            <c:dLbl>
              <c:idx val="5"/>
              <c:tx>
                <c:rich>
                  <a:bodyPr/>
                  <a:lstStyle/>
                  <a:p>
                    <a:fld id="{3B9CE6D8-0403-4F60-96EF-73ED0FFABDD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251-48EB-9C0C-25734851670C}"/>
                </c:ext>
              </c:extLst>
            </c:dLbl>
            <c:dLbl>
              <c:idx val="6"/>
              <c:tx>
                <c:rich>
                  <a:bodyPr/>
                  <a:lstStyle/>
                  <a:p>
                    <a:fld id="{F93ADFAC-6AB9-4739-9E53-A70C1F29567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251-48EB-9C0C-25734851670C}"/>
                </c:ext>
              </c:extLst>
            </c:dLbl>
            <c:dLbl>
              <c:idx val="7"/>
              <c:tx>
                <c:rich>
                  <a:bodyPr/>
                  <a:lstStyle/>
                  <a:p>
                    <a:fld id="{090E158E-147A-4AB0-A17A-953ACDEE735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251-48EB-9C0C-25734851670C}"/>
                </c:ext>
              </c:extLst>
            </c:dLbl>
            <c:dLbl>
              <c:idx val="8"/>
              <c:tx>
                <c:rich>
                  <a:bodyPr/>
                  <a:lstStyle/>
                  <a:p>
                    <a:fld id="{41687C8A-73EA-4713-B0BF-20F84AAA0D7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251-48EB-9C0C-25734851670C}"/>
                </c:ext>
              </c:extLst>
            </c:dLbl>
            <c:dLbl>
              <c:idx val="9"/>
              <c:tx>
                <c:rich>
                  <a:bodyPr/>
                  <a:lstStyle/>
                  <a:p>
                    <a:fld id="{4C259BF5-CE5D-4020-BA29-E75B1DCCB88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251-48EB-9C0C-25734851670C}"/>
                </c:ext>
              </c:extLst>
            </c:dLbl>
            <c:dLbl>
              <c:idx val="10"/>
              <c:tx>
                <c:rich>
                  <a:bodyPr/>
                  <a:lstStyle/>
                  <a:p>
                    <a:fld id="{FDCF2CF8-F8DB-49BD-BF6E-41DCE191B81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251-48EB-9C0C-25734851670C}"/>
                </c:ext>
              </c:extLst>
            </c:dLbl>
            <c:dLbl>
              <c:idx val="11"/>
              <c:tx>
                <c:rich>
                  <a:bodyPr/>
                  <a:lstStyle/>
                  <a:p>
                    <a:fld id="{B6F442B2-1AB2-4A9C-AE73-61C1B200E43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251-48EB-9C0C-25734851670C}"/>
                </c:ext>
              </c:extLst>
            </c:dLbl>
            <c:spPr>
              <a:noFill/>
              <a:ln>
                <a:noFill/>
              </a:ln>
              <a:effectLst/>
            </c:spPr>
            <c:txPr>
              <a:bodyPr rot="0" spcFirstLastPara="1" vertOverflow="ellipsis" vert="horz" wrap="square" anchor="ctr" anchorCtr="1"/>
              <a:lstStyle/>
              <a:p>
                <a:pPr>
                  <a:defRPr sz="900" b="0" i="0" u="none" strike="noStrike" kern="1200" baseline="0">
                    <a:solidFill>
                      <a:schemeClr val="accent2">
                        <a:lumMod val="60000"/>
                        <a:lumOff val="40000"/>
                      </a:schemeClr>
                    </a:solidFill>
                    <a:latin typeface="Aptos Narrow" panose="020B0004020202020204" pitchFamily="34" charset="0"/>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 #,##0.00</c:formatCode>
                <c:ptCount val="12"/>
                <c:pt idx="0">
                  <c:v>14.7</c:v>
                </c:pt>
                <c:pt idx="1">
                  <c:v>15</c:v>
                </c:pt>
                <c:pt idx="2">
                  <c:v>11</c:v>
                </c:pt>
                <c:pt idx="3">
                  <c:v>230.39999999999998</c:v>
                </c:pt>
                <c:pt idx="4">
                  <c:v>18.5</c:v>
                </c:pt>
                <c:pt idx="5">
                  <c:v>25</c:v>
                </c:pt>
                <c:pt idx="6">
                  <c:v>50.5</c:v>
                </c:pt>
                <c:pt idx="7">
                  <c:v>56.5</c:v>
                </c:pt>
                <c:pt idx="8">
                  <c:v>46.8</c:v>
                </c:pt>
                <c:pt idx="9">
                  <c:v>52</c:v>
                </c:pt>
                <c:pt idx="10">
                  <c:v>4.5</c:v>
                </c:pt>
                <c:pt idx="11">
                  <c:v>42</c:v>
                </c:pt>
              </c:numCache>
            </c:numRef>
          </c:val>
          <c:extLst>
            <c:ext xmlns:c15="http://schemas.microsoft.com/office/drawing/2012/chart" uri="{02D57815-91ED-43cb-92C2-25804820EDAC}">
              <c15:datalabelsRange>
                <c15:f>Analysis!$N$4:$N$15</c15:f>
                <c15:dlblRangeCache>
                  <c:ptCount val="12"/>
                  <c:pt idx="0">
                    <c:v>49.49%</c:v>
                  </c:pt>
                  <c:pt idx="1">
                    <c:v>50.00%</c:v>
                  </c:pt>
                  <c:pt idx="2">
                    <c:v>50.00%</c:v>
                  </c:pt>
                  <c:pt idx="3">
                    <c:v>49.83%</c:v>
                  </c:pt>
                  <c:pt idx="4">
                    <c:v>50.00%</c:v>
                  </c:pt>
                  <c:pt idx="5">
                    <c:v>50.00%</c:v>
                  </c:pt>
                  <c:pt idx="6">
                    <c:v>50.00%</c:v>
                  </c:pt>
                  <c:pt idx="7">
                    <c:v>50.00%</c:v>
                  </c:pt>
                  <c:pt idx="8">
                    <c:v>48.85%</c:v>
                  </c:pt>
                  <c:pt idx="9">
                    <c:v>52.00%</c:v>
                  </c:pt>
                  <c:pt idx="10">
                    <c:v>50.00%</c:v>
                  </c:pt>
                  <c:pt idx="11">
                    <c:v>50.00%</c:v>
                  </c:pt>
                </c15:dlblRangeCache>
              </c15:datalabelsRange>
            </c:ext>
            <c:ext xmlns:c16="http://schemas.microsoft.com/office/drawing/2014/chart" uri="{C3380CC4-5D6E-409C-BE32-E72D297353CC}">
              <c16:uniqueId val="{0000000D-7251-48EB-9C0C-25734851670C}"/>
            </c:ext>
          </c:extLst>
        </c:ser>
        <c:dLbls>
          <c:showLegendKey val="0"/>
          <c:showVal val="0"/>
          <c:showCatName val="0"/>
          <c:showSerName val="0"/>
          <c:showPercent val="0"/>
          <c:showBubbleSize val="0"/>
        </c:dLbls>
        <c:gapWidth val="50"/>
        <c:overlap val="100"/>
        <c:axId val="1550337167"/>
        <c:axId val="1550329007"/>
      </c:barChart>
      <c:catAx>
        <c:axId val="1550337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2">
                    <a:lumMod val="60000"/>
                    <a:lumOff val="40000"/>
                  </a:schemeClr>
                </a:solidFill>
                <a:latin typeface="Aptos Narrow" panose="020B0004020202020204" pitchFamily="34" charset="0"/>
                <a:ea typeface="+mn-ea"/>
                <a:cs typeface="+mn-cs"/>
              </a:defRPr>
            </a:pPr>
            <a:endParaRPr lang="en-US"/>
          </a:p>
        </c:txPr>
        <c:crossAx val="1550329007"/>
        <c:crosses val="autoZero"/>
        <c:auto val="1"/>
        <c:lblAlgn val="ctr"/>
        <c:lblOffset val="100"/>
        <c:noMultiLvlLbl val="0"/>
      </c:catAx>
      <c:valAx>
        <c:axId val="1550329007"/>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lumMod val="60000"/>
                    <a:lumOff val="40000"/>
                  </a:schemeClr>
                </a:solidFill>
                <a:latin typeface="Aptos Narrow" panose="020B0004020202020204" pitchFamily="34" charset="0"/>
                <a:ea typeface="+mn-ea"/>
                <a:cs typeface="+mn-cs"/>
              </a:defRPr>
            </a:pPr>
            <a:endParaRPr lang="en-US"/>
          </a:p>
        </c:txPr>
        <c:crossAx val="1550337167"/>
        <c:crosses val="autoZero"/>
        <c:crossBetween val="between"/>
      </c:valAx>
      <c:spPr>
        <a:noFill/>
        <a:ln>
          <a:solidFill>
            <a:schemeClr val="accent1">
              <a:alpha val="89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900">
          <a:solidFill>
            <a:schemeClr val="accent2">
              <a:lumMod val="60000"/>
              <a:lumOff val="40000"/>
            </a:schemeClr>
          </a:solidFill>
          <a:latin typeface="Aptos Narrow" panose="020B00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Dashboard_Project.xlsx]Analysis!SaleType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Analysis!$AM$1</c:f>
              <c:strCache>
                <c:ptCount val="1"/>
                <c:pt idx="0">
                  <c:v>Total</c:v>
                </c:pt>
              </c:strCache>
            </c:strRef>
          </c:tx>
          <c:spPr>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c:spPr>
          <c:dPt>
            <c:idx val="0"/>
            <c:bubble3D val="0"/>
            <c:spPr>
              <a:solidFill>
                <a:schemeClr val="accent1"/>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extLst>
              <c:ext xmlns:c16="http://schemas.microsoft.com/office/drawing/2014/chart" uri="{C3380CC4-5D6E-409C-BE32-E72D297353CC}">
                <c16:uniqueId val="{00000001-ED4A-4BDE-A248-3FEC0149B465}"/>
              </c:ext>
            </c:extLst>
          </c:dPt>
          <c:dPt>
            <c:idx val="1"/>
            <c:bubble3D val="0"/>
            <c:spPr>
              <a:solidFill>
                <a:schemeClr val="accent2"/>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0" scaled="1"/>
                  <a:tileRect/>
                </a:gradFill>
              </a:ln>
              <a:effectLst/>
            </c:spPr>
            <c:extLst>
              <c:ext xmlns:c16="http://schemas.microsoft.com/office/drawing/2014/chart" uri="{C3380CC4-5D6E-409C-BE32-E72D297353CC}">
                <c16:uniqueId val="{00000003-ED4A-4BDE-A248-3FEC0149B465}"/>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D4A-4BDE-A248-3FEC0149B465}"/>
                </c:ext>
              </c:extLst>
            </c:dLbl>
            <c:dLbl>
              <c:idx val="1"/>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D4A-4BDE-A248-3FEC0149B465}"/>
                </c:ext>
              </c:extLst>
            </c:dLbl>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Analysis!$AL$2:$AL$3</c:f>
              <c:strCache>
                <c:ptCount val="2"/>
                <c:pt idx="0">
                  <c:v>Retail</c:v>
                </c:pt>
                <c:pt idx="1">
                  <c:v>Wholesale</c:v>
                </c:pt>
              </c:strCache>
            </c:strRef>
          </c:cat>
          <c:val>
            <c:numRef>
              <c:f>Analysis!$AM$2:$AM$3</c:f>
              <c:numCache>
                <c:formatCode>"₹"\ #,##0.00</c:formatCode>
                <c:ptCount val="2"/>
                <c:pt idx="0">
                  <c:v>368.5</c:v>
                </c:pt>
                <c:pt idx="1">
                  <c:v>765.4</c:v>
                </c:pt>
              </c:numCache>
            </c:numRef>
          </c:val>
          <c:extLst>
            <c:ext xmlns:c16="http://schemas.microsoft.com/office/drawing/2014/chart" uri="{C3380CC4-5D6E-409C-BE32-E72D297353CC}">
              <c16:uniqueId val="{00000007-1AF7-4430-A8A3-80A7FEEF319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Dashboard_Project.xlsx]Analysis!PaymentMode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113622246612401"/>
              <c:y val="0.12828474485214025"/>
            </c:manualLayout>
          </c:layout>
          <c:spPr>
            <a:noFill/>
            <a:ln>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1283149855292391"/>
              <c:y val="-4.5443215046285495E-3"/>
            </c:manualLayout>
          </c:layout>
          <c:spPr>
            <a:noFill/>
            <a:ln>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356-4673-8B80-F1FD653AADC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356-4673-8B80-F1FD653AADC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356-4673-8B80-F1FD653AADC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356-4673-8B80-F1FD653AADC6}"/>
              </c:ext>
            </c:extLst>
          </c:dPt>
          <c:dLbls>
            <c:dLbl>
              <c:idx val="0"/>
              <c:layout>
                <c:manualLayout>
                  <c:x val="-0.1113622246612401"/>
                  <c:y val="0.12828474485214025"/>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356-4673-8B80-F1FD653AADC6}"/>
                </c:ext>
              </c:extLst>
            </c:dLbl>
            <c:dLbl>
              <c:idx val="1"/>
              <c:layout>
                <c:manualLayout>
                  <c:x val="-0.21283149855292391"/>
                  <c:y val="-4.5443215046285495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356-4673-8B80-F1FD653AADC6}"/>
                </c:ext>
              </c:extLst>
            </c:dLbl>
            <c:spPr>
              <a:noFill/>
              <a:ln>
                <a:gradFill flip="none" rotWithShape="1">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tileRect/>
                </a:grad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Analysis!$AO$2:$AO$5</c:f>
              <c:strCache>
                <c:ptCount val="4"/>
                <c:pt idx="0">
                  <c:v>Card</c:v>
                </c:pt>
                <c:pt idx="1">
                  <c:v>Cash</c:v>
                </c:pt>
                <c:pt idx="2">
                  <c:v>Online</c:v>
                </c:pt>
                <c:pt idx="3">
                  <c:v>UPI</c:v>
                </c:pt>
              </c:strCache>
            </c:strRef>
          </c:cat>
          <c:val>
            <c:numRef>
              <c:f>Analysis!$AP$2:$AP$5</c:f>
              <c:numCache>
                <c:formatCode>"₹"\ #,##0.00</c:formatCode>
                <c:ptCount val="4"/>
                <c:pt idx="0">
                  <c:v>183</c:v>
                </c:pt>
                <c:pt idx="1">
                  <c:v>236.7</c:v>
                </c:pt>
                <c:pt idx="2">
                  <c:v>353.2</c:v>
                </c:pt>
                <c:pt idx="3">
                  <c:v>361</c:v>
                </c:pt>
              </c:numCache>
            </c:numRef>
          </c:val>
          <c:extLst>
            <c:ext xmlns:c16="http://schemas.microsoft.com/office/drawing/2014/chart" uri="{C3380CC4-5D6E-409C-BE32-E72D297353CC}">
              <c16:uniqueId val="{0000000B-2649-4760-B59A-B1F601226D6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anchor="ctr" anchorCtr="1"/>
              <a:lstStyle/>
              <a:p>
                <a:pPr>
                  <a:defRPr sz="700" b="0" i="0" u="none" strike="noStrike" kern="1200" baseline="0">
                    <a:solidFill>
                      <a:schemeClr val="accent2"/>
                    </a:solidFill>
                    <a:latin typeface="Aptos Narrow" panose="020B00040202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Analysis!$Z$3:$Z$14</c:f>
              <c:strCache>
                <c:ptCount val="12"/>
                <c:pt idx="0">
                  <c:v>Aloe Vera Gel</c:v>
                </c:pt>
                <c:pt idx="1">
                  <c:v>Ashwagandha Capsules</c:v>
                </c:pt>
                <c:pt idx="2">
                  <c:v>Black Pepper</c:v>
                </c:pt>
                <c:pt idx="3">
                  <c:v>Cardamom</c:v>
                </c:pt>
                <c:pt idx="4">
                  <c:v>Cinnamon Powder</c:v>
                </c:pt>
                <c:pt idx="5">
                  <c:v>Clove Powder</c:v>
                </c:pt>
                <c:pt idx="6">
                  <c:v>Ginger Tea</c:v>
                </c:pt>
                <c:pt idx="7">
                  <c:v>Herbal Tea</c:v>
                </c:pt>
                <c:pt idx="8">
                  <c:v>Lemon Grass Tea</c:v>
                </c:pt>
                <c:pt idx="9">
                  <c:v>Moringa Powder</c:v>
                </c:pt>
                <c:pt idx="10">
                  <c:v>Peppermint Oil</c:v>
                </c:pt>
                <c:pt idx="11">
                  <c:v>Saffron</c:v>
                </c:pt>
              </c:strCache>
            </c:strRef>
          </c:cat>
          <c:val>
            <c:numRef>
              <c:f>Analysis!$AA$3:$AA$14</c:f>
              <c:numCache>
                <c:formatCode>"₹"\ #,##0.00</c:formatCode>
                <c:ptCount val="12"/>
                <c:pt idx="0">
                  <c:v>30</c:v>
                </c:pt>
                <c:pt idx="1">
                  <c:v>100</c:v>
                </c:pt>
                <c:pt idx="2">
                  <c:v>12</c:v>
                </c:pt>
                <c:pt idx="3">
                  <c:v>54</c:v>
                </c:pt>
                <c:pt idx="4">
                  <c:v>21</c:v>
                </c:pt>
                <c:pt idx="5">
                  <c:v>9</c:v>
                </c:pt>
                <c:pt idx="6">
                  <c:v>11</c:v>
                </c:pt>
                <c:pt idx="7">
                  <c:v>29.7</c:v>
                </c:pt>
                <c:pt idx="8">
                  <c:v>39</c:v>
                </c:pt>
                <c:pt idx="9">
                  <c:v>36</c:v>
                </c:pt>
                <c:pt idx="10">
                  <c:v>22</c:v>
                </c:pt>
                <c:pt idx="11">
                  <c:v>90</c:v>
                </c:pt>
              </c:numCache>
            </c:numRef>
          </c:val>
          <c:extLst>
            <c:ext xmlns:c16="http://schemas.microsoft.com/office/drawing/2014/chart" uri="{C3380CC4-5D6E-409C-BE32-E72D297353CC}">
              <c16:uniqueId val="{00000000-E38E-48A2-92A7-37466EAE46AD}"/>
            </c:ext>
          </c:extLst>
        </c:ser>
        <c:dLbls>
          <c:showLegendKey val="0"/>
          <c:showVal val="0"/>
          <c:showCatName val="0"/>
          <c:showSerName val="0"/>
          <c:showPercent val="0"/>
          <c:showBubbleSize val="0"/>
        </c:dLbls>
        <c:gapWidth val="50"/>
        <c:axId val="853357184"/>
        <c:axId val="853358144"/>
      </c:barChart>
      <c:catAx>
        <c:axId val="85335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accent2"/>
                </a:solidFill>
                <a:latin typeface="Aptos Narrow" panose="020B0004020202020204" pitchFamily="34" charset="0"/>
                <a:ea typeface="+mn-ea"/>
                <a:cs typeface="+mn-cs"/>
              </a:defRPr>
            </a:pPr>
            <a:endParaRPr lang="en-US"/>
          </a:p>
        </c:txPr>
        <c:crossAx val="853358144"/>
        <c:crosses val="autoZero"/>
        <c:auto val="1"/>
        <c:lblAlgn val="ctr"/>
        <c:lblOffset val="100"/>
        <c:noMultiLvlLbl val="0"/>
      </c:catAx>
      <c:valAx>
        <c:axId val="853358144"/>
        <c:scaling>
          <c:orientation val="minMax"/>
        </c:scaling>
        <c:delete val="1"/>
        <c:axPos val="b"/>
        <c:numFmt formatCode="&quot;₹&quot;\ #,##0.00" sourceLinked="1"/>
        <c:majorTickMark val="none"/>
        <c:minorTickMark val="none"/>
        <c:tickLblPos val="nextTo"/>
        <c:crossAx val="8533571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700">
          <a:solidFill>
            <a:schemeClr val="accent2"/>
          </a:solidFill>
          <a:latin typeface="Aptos Narrow" panose="020B00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Dashboard_Project.xlsx]Analysis!Categorywise</c:name>
    <c:fmtId val="38"/>
  </c:pivotSource>
  <c:chart>
    <c:autoTitleDeleted val="1"/>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Analysis!$AF$1</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Analysis!$AE$2:$AE$5</c:f>
              <c:strCache>
                <c:ptCount val="4"/>
                <c:pt idx="0">
                  <c:v>Supplement</c:v>
                </c:pt>
                <c:pt idx="1">
                  <c:v>Spice</c:v>
                </c:pt>
                <c:pt idx="2">
                  <c:v>Skincare</c:v>
                </c:pt>
                <c:pt idx="3">
                  <c:v>Beverage</c:v>
                </c:pt>
              </c:strCache>
            </c:strRef>
          </c:cat>
          <c:val>
            <c:numRef>
              <c:f>Analysis!$AF$2:$AF$5</c:f>
              <c:numCache>
                <c:formatCode>"₹"\ #,##0.00</c:formatCode>
                <c:ptCount val="4"/>
                <c:pt idx="0">
                  <c:v>425.2</c:v>
                </c:pt>
                <c:pt idx="1">
                  <c:v>202</c:v>
                </c:pt>
                <c:pt idx="2">
                  <c:v>273</c:v>
                </c:pt>
                <c:pt idx="3">
                  <c:v>233.7</c:v>
                </c:pt>
              </c:numCache>
            </c:numRef>
          </c:val>
          <c:extLst>
            <c:ext xmlns:c16="http://schemas.microsoft.com/office/drawing/2014/chart" uri="{C3380CC4-5D6E-409C-BE32-E72D297353CC}">
              <c16:uniqueId val="{00000003-45E6-41AB-98A7-E9A4F3FE361B}"/>
            </c:ext>
          </c:extLst>
        </c:ser>
        <c:dLbls>
          <c:showLegendKey val="0"/>
          <c:showVal val="0"/>
          <c:showCatName val="0"/>
          <c:showSerName val="0"/>
          <c:showPercent val="0"/>
          <c:showBubbleSize val="0"/>
        </c:dLbls>
        <c:gapWidth val="65"/>
        <c:shape val="box"/>
        <c:axId val="1015651375"/>
        <c:axId val="1015651855"/>
        <c:axId val="0"/>
      </c:bar3DChart>
      <c:catAx>
        <c:axId val="101565137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accent2"/>
                </a:solidFill>
                <a:latin typeface="+mn-lt"/>
                <a:ea typeface="+mn-ea"/>
                <a:cs typeface="+mn-cs"/>
              </a:defRPr>
            </a:pPr>
            <a:endParaRPr lang="en-US"/>
          </a:p>
        </c:txPr>
        <c:crossAx val="1015651855"/>
        <c:crosses val="autoZero"/>
        <c:auto val="1"/>
        <c:lblAlgn val="ctr"/>
        <c:lblOffset val="100"/>
        <c:noMultiLvlLbl val="0"/>
      </c:catAx>
      <c:valAx>
        <c:axId val="1015651855"/>
        <c:scaling>
          <c:orientation val="minMax"/>
        </c:scaling>
        <c:delete val="0"/>
        <c:axPos val="b"/>
        <c:majorGridlines>
          <c:spPr>
            <a:ln w="9525" cap="flat" cmpd="sng" algn="ctr">
              <a:solidFill>
                <a:schemeClr val="dk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crossAx val="1015651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accent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75"/>
      <c:rotY val="0"/>
      <c:depthPercent val="100"/>
      <c:rAngAx val="0"/>
    </c:view3D>
    <c:floor>
      <c:thickness val="0"/>
      <c:spPr>
        <a:noFill/>
        <a:ln w="25400">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v> </c:v>
          </c:tx>
          <c:spPr>
            <a:solidFill>
              <a:schemeClr val="accent1"/>
            </a:solidFill>
            <a:ln w="25400">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lt1"/>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Analysis!$AI$3:$AI$5</c:f>
              <c:strCache>
                <c:ptCount val="3"/>
                <c:pt idx="0">
                  <c:v>Spice</c:v>
                </c:pt>
                <c:pt idx="1">
                  <c:v>Skincare</c:v>
                </c:pt>
                <c:pt idx="2">
                  <c:v>Beverage</c:v>
                </c:pt>
              </c:strCache>
            </c:strRef>
          </c:cat>
          <c:val>
            <c:numRef>
              <c:f>[0]!CategoryRange</c:f>
              <c:numCache>
                <c:formatCode>General</c:formatCode>
                <c:ptCount val="1"/>
                <c:pt idx="0">
                  <c:v>1</c:v>
                </c:pt>
              </c:numCache>
            </c:numRef>
          </c:val>
          <c:extLst>
            <c:ext xmlns:c16="http://schemas.microsoft.com/office/drawing/2014/chart" uri="{C3380CC4-5D6E-409C-BE32-E72D297353CC}">
              <c16:uniqueId val="{00000000-D6C3-4209-A4EB-9C52A0787FDF}"/>
            </c:ext>
          </c:extLst>
        </c:ser>
        <c:dLbls>
          <c:showLegendKey val="0"/>
          <c:showVal val="0"/>
          <c:showCatName val="1"/>
          <c:showSerName val="0"/>
          <c:showPercent val="0"/>
          <c:showBubbleSize val="0"/>
        </c:dLbls>
        <c:axId val="1015637935"/>
        <c:axId val="1015636015"/>
        <c:axId val="0"/>
      </c:area3DChart>
      <c:catAx>
        <c:axId val="10156379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15636015"/>
        <c:crosses val="autoZero"/>
        <c:auto val="1"/>
        <c:lblAlgn val="ctr"/>
        <c:lblOffset val="100"/>
        <c:noMultiLvlLbl val="0"/>
      </c:catAx>
      <c:valAx>
        <c:axId val="1015636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15637935"/>
        <c:crosses val="autoZero"/>
        <c:crossBetween val="midCat"/>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6" fmlaLink="Analysis!$Z$1" max="30" min="1" page="15"/>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8.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5.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openxmlformats.org/officeDocument/2006/relationships/chart" Target="../charts/chart4.xml"/><Relationship Id="rId8" Type="http://schemas.openxmlformats.org/officeDocument/2006/relationships/image" Target="../media/image8.svg"/></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35719</xdr:colOff>
      <xdr:row>37</xdr:row>
      <xdr:rowOff>91631</xdr:rowOff>
    </xdr:to>
    <xdr:pic>
      <xdr:nvPicPr>
        <xdr:cNvPr id="39" name="Graphic 38">
          <a:extLst>
            <a:ext uri="{FF2B5EF4-FFF2-40B4-BE49-F238E27FC236}">
              <a16:creationId xmlns:a16="http://schemas.microsoft.com/office/drawing/2014/main" id="{D698C461-A3DE-6FD1-BF53-C7005818467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12180094" cy="6699600"/>
        </a:xfrm>
        <a:prstGeom prst="rect">
          <a:avLst/>
        </a:prstGeom>
      </xdr:spPr>
    </xdr:pic>
    <xdr:clientData/>
  </xdr:twoCellAnchor>
  <xdr:twoCellAnchor>
    <xdr:from>
      <xdr:col>0</xdr:col>
      <xdr:colOff>18585</xdr:colOff>
      <xdr:row>0</xdr:row>
      <xdr:rowOff>0</xdr:rowOff>
    </xdr:from>
    <xdr:to>
      <xdr:col>20</xdr:col>
      <xdr:colOff>18585</xdr:colOff>
      <xdr:row>37</xdr:row>
      <xdr:rowOff>91440</xdr:rowOff>
    </xdr:to>
    <xdr:grpSp>
      <xdr:nvGrpSpPr>
        <xdr:cNvPr id="31" name="DARK AND COLOR MODE">
          <a:extLst>
            <a:ext uri="{FF2B5EF4-FFF2-40B4-BE49-F238E27FC236}">
              <a16:creationId xmlns:a16="http://schemas.microsoft.com/office/drawing/2014/main" id="{5A15EB8B-A235-F329-5068-D1E1F17C8828}"/>
            </a:ext>
          </a:extLst>
        </xdr:cNvPr>
        <xdr:cNvGrpSpPr/>
      </xdr:nvGrpSpPr>
      <xdr:grpSpPr>
        <a:xfrm>
          <a:off x="18585" y="0"/>
          <a:ext cx="12118554" cy="6885175"/>
          <a:chOff x="0" y="0"/>
          <a:chExt cx="12192000" cy="6858000"/>
        </a:xfrm>
      </xdr:grpSpPr>
      <xdr:sp macro="" textlink="">
        <xdr:nvSpPr>
          <xdr:cNvPr id="2" name="Rectangle: Rounded Corners 1">
            <a:extLst>
              <a:ext uri="{FF2B5EF4-FFF2-40B4-BE49-F238E27FC236}">
                <a16:creationId xmlns:a16="http://schemas.microsoft.com/office/drawing/2014/main" id="{2B78F4CA-3F87-1015-E544-0CC434003D6F}"/>
              </a:ext>
            </a:extLst>
          </xdr:cNvPr>
          <xdr:cNvSpPr/>
        </xdr:nvSpPr>
        <xdr:spPr>
          <a:xfrm>
            <a:off x="0" y="0"/>
            <a:ext cx="12192000" cy="6858000"/>
          </a:xfrm>
          <a:prstGeom prst="roundRect">
            <a:avLst>
              <a:gd name="adj" fmla="val 154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3" name="Rectangle: Rounded Corners 2">
            <a:extLst>
              <a:ext uri="{FF2B5EF4-FFF2-40B4-BE49-F238E27FC236}">
                <a16:creationId xmlns:a16="http://schemas.microsoft.com/office/drawing/2014/main" id="{9668F89A-82F7-2E6C-A008-C61D48F5F194}"/>
              </a:ext>
            </a:extLst>
          </xdr:cNvPr>
          <xdr:cNvSpPr/>
        </xdr:nvSpPr>
        <xdr:spPr>
          <a:xfrm>
            <a:off x="180000" y="180000"/>
            <a:ext cx="4824000" cy="805520"/>
          </a:xfrm>
          <a:prstGeom prst="roundRect">
            <a:avLst>
              <a:gd name="adj" fmla="val 909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754AD81B-4522-EF94-D839-9E79DA4073A1}"/>
              </a:ext>
            </a:extLst>
          </xdr:cNvPr>
          <xdr:cNvSpPr>
            <a:spLocks noChangeAspect="1"/>
          </xdr:cNvSpPr>
        </xdr:nvSpPr>
        <xdr:spPr>
          <a:xfrm>
            <a:off x="5168560" y="180000"/>
            <a:ext cx="6680540" cy="713270"/>
          </a:xfrm>
          <a:prstGeom prst="roundRect">
            <a:avLst>
              <a:gd name="adj" fmla="val 7838"/>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EE859DAF-41F1-0796-B099-3CBB12AB2D01}"/>
              </a:ext>
            </a:extLst>
          </xdr:cNvPr>
          <xdr:cNvSpPr/>
        </xdr:nvSpPr>
        <xdr:spPr>
          <a:xfrm>
            <a:off x="180000" y="1080000"/>
            <a:ext cx="1384640" cy="1226320"/>
          </a:xfrm>
          <a:prstGeom prst="roundRect">
            <a:avLst>
              <a:gd name="adj" fmla="val 1028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82A51C5B-3DC8-C94A-3CDE-2779D1324534}"/>
              </a:ext>
            </a:extLst>
          </xdr:cNvPr>
          <xdr:cNvSpPr/>
        </xdr:nvSpPr>
        <xdr:spPr>
          <a:xfrm>
            <a:off x="180000" y="2400800"/>
            <a:ext cx="1384640" cy="3126240"/>
          </a:xfrm>
          <a:prstGeom prst="roundRect">
            <a:avLst>
              <a:gd name="adj" fmla="val 83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6A9253EA-5F20-BB7B-2DD1-ADBA944595F7}"/>
              </a:ext>
            </a:extLst>
          </xdr:cNvPr>
          <xdr:cNvSpPr/>
        </xdr:nvSpPr>
        <xdr:spPr>
          <a:xfrm>
            <a:off x="180000" y="5657760"/>
            <a:ext cx="1384640" cy="1020240"/>
          </a:xfrm>
          <a:prstGeom prst="roundRect">
            <a:avLst>
              <a:gd name="adj" fmla="val 4591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1C45F8EB-63B3-E887-A09D-027ED5B7A819}"/>
              </a:ext>
            </a:extLst>
          </xdr:cNvPr>
          <xdr:cNvSpPr/>
        </xdr:nvSpPr>
        <xdr:spPr>
          <a:xfrm>
            <a:off x="1704000" y="1080000"/>
            <a:ext cx="2258400" cy="728480"/>
          </a:xfrm>
          <a:prstGeom prst="roundRect">
            <a:avLst>
              <a:gd name="adj" fmla="val 1028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4DD629E0-7363-1C4A-7F13-A3F9B918A651}"/>
              </a:ext>
            </a:extLst>
          </xdr:cNvPr>
          <xdr:cNvSpPr/>
        </xdr:nvSpPr>
        <xdr:spPr>
          <a:xfrm>
            <a:off x="4101760" y="1080000"/>
            <a:ext cx="2258400" cy="728480"/>
          </a:xfrm>
          <a:prstGeom prst="roundRect">
            <a:avLst>
              <a:gd name="adj" fmla="val 1028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1207B53E-5A9A-4352-5AF7-D265DA3A5F99}"/>
              </a:ext>
            </a:extLst>
          </xdr:cNvPr>
          <xdr:cNvSpPr/>
        </xdr:nvSpPr>
        <xdr:spPr>
          <a:xfrm>
            <a:off x="6499520" y="1080000"/>
            <a:ext cx="2258400" cy="728480"/>
          </a:xfrm>
          <a:prstGeom prst="roundRect">
            <a:avLst>
              <a:gd name="adj" fmla="val 10286"/>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106E50BA-2E53-C2FB-925E-CB0DD229EE50}"/>
              </a:ext>
            </a:extLst>
          </xdr:cNvPr>
          <xdr:cNvSpPr/>
        </xdr:nvSpPr>
        <xdr:spPr>
          <a:xfrm>
            <a:off x="1704000" y="1942080"/>
            <a:ext cx="3000080" cy="2406400"/>
          </a:xfrm>
          <a:prstGeom prst="roundRect">
            <a:avLst>
              <a:gd name="adj" fmla="val 479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45D72C35-BECF-989C-D931-C75D02E0EA8A}"/>
              </a:ext>
            </a:extLst>
          </xdr:cNvPr>
          <xdr:cNvSpPr/>
        </xdr:nvSpPr>
        <xdr:spPr>
          <a:xfrm>
            <a:off x="4907660" y="1942080"/>
            <a:ext cx="2173860" cy="2406400"/>
          </a:xfrm>
          <a:prstGeom prst="roundRect">
            <a:avLst>
              <a:gd name="adj" fmla="val 51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252A735D-1793-3F1B-961E-0A76BB3A4849}"/>
              </a:ext>
            </a:extLst>
          </xdr:cNvPr>
          <xdr:cNvSpPr/>
        </xdr:nvSpPr>
        <xdr:spPr>
          <a:xfrm>
            <a:off x="7285100" y="1942080"/>
            <a:ext cx="1472820" cy="2406400"/>
          </a:xfrm>
          <a:prstGeom prst="roundRect">
            <a:avLst>
              <a:gd name="adj" fmla="val 51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40ADB909-B261-6BC2-12C9-A4B116469AC2}"/>
              </a:ext>
            </a:extLst>
          </xdr:cNvPr>
          <xdr:cNvSpPr/>
        </xdr:nvSpPr>
        <xdr:spPr>
          <a:xfrm>
            <a:off x="7285100" y="4482080"/>
            <a:ext cx="1472820" cy="2195920"/>
          </a:xfrm>
          <a:prstGeom prst="roundRect">
            <a:avLst>
              <a:gd name="adj" fmla="val 51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72511A05-CB1E-F46C-8A9C-09D6F860983C}"/>
              </a:ext>
            </a:extLst>
          </xdr:cNvPr>
          <xdr:cNvSpPr/>
        </xdr:nvSpPr>
        <xdr:spPr>
          <a:xfrm>
            <a:off x="1704000" y="4482080"/>
            <a:ext cx="5377520" cy="2195920"/>
          </a:xfrm>
          <a:prstGeom prst="roundRect">
            <a:avLst>
              <a:gd name="adj" fmla="val 51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16" name="Group 15">
            <a:extLst>
              <a:ext uri="{FF2B5EF4-FFF2-40B4-BE49-F238E27FC236}">
                <a16:creationId xmlns:a16="http://schemas.microsoft.com/office/drawing/2014/main" id="{44501A34-0F05-D3BE-020B-729D04088BD0}"/>
              </a:ext>
            </a:extLst>
          </xdr:cNvPr>
          <xdr:cNvGrpSpPr/>
        </xdr:nvGrpSpPr>
        <xdr:grpSpPr>
          <a:xfrm>
            <a:off x="8950960" y="1110480"/>
            <a:ext cx="1496400" cy="1800000"/>
            <a:chOff x="8991600" y="1080000"/>
            <a:chExt cx="1496400" cy="1800000"/>
          </a:xfrm>
          <a:solidFill>
            <a:schemeClr val="accent6"/>
          </a:solidFill>
          <a:effectLst>
            <a:outerShdw blurRad="50800" dist="38100" dir="2700000" algn="tl" rotWithShape="0">
              <a:prstClr val="black">
                <a:alpha val="40000"/>
              </a:prstClr>
            </a:outerShdw>
          </a:effectLst>
        </xdr:grpSpPr>
        <xdr:sp macro="" textlink="">
          <xdr:nvSpPr>
            <xdr:cNvPr id="28" name="Flowchart: Off-page Connector 27">
              <a:extLst>
                <a:ext uri="{FF2B5EF4-FFF2-40B4-BE49-F238E27FC236}">
                  <a16:creationId xmlns:a16="http://schemas.microsoft.com/office/drawing/2014/main" id="{853D5352-F7A8-DB01-09BE-D19BE5C4E848}"/>
                </a:ext>
              </a:extLst>
            </xdr:cNvPr>
            <xdr:cNvSpPr/>
          </xdr:nvSpPr>
          <xdr:spPr>
            <a:xfrm>
              <a:off x="9085920" y="1080000"/>
              <a:ext cx="1287440" cy="1800000"/>
            </a:xfrm>
            <a:prstGeom prst="flowChartOffpageConnector">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u="sng"/>
            </a:p>
          </xdr:txBody>
        </xdr:sp>
        <xdr:sp macro="" textlink="">
          <xdr:nvSpPr>
            <xdr:cNvPr id="29" name="Trapezoid 28">
              <a:extLst>
                <a:ext uri="{FF2B5EF4-FFF2-40B4-BE49-F238E27FC236}">
                  <a16:creationId xmlns:a16="http://schemas.microsoft.com/office/drawing/2014/main" id="{28F61DE8-4FE9-2522-8BEE-37D8183388FB}"/>
                </a:ext>
              </a:extLst>
            </xdr:cNvPr>
            <xdr:cNvSpPr/>
          </xdr:nvSpPr>
          <xdr:spPr>
            <a:xfrm>
              <a:off x="8991600" y="1080000"/>
              <a:ext cx="1496400" cy="322080"/>
            </a:xfrm>
            <a:prstGeom prst="trapezoid">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u="sng"/>
            </a:p>
          </xdr:txBody>
        </xdr:sp>
        <xdr:sp macro="" textlink="">
          <xdr:nvSpPr>
            <xdr:cNvPr id="30" name="Flowchart: Off-page Connector 29">
              <a:extLst>
                <a:ext uri="{FF2B5EF4-FFF2-40B4-BE49-F238E27FC236}">
                  <a16:creationId xmlns:a16="http://schemas.microsoft.com/office/drawing/2014/main" id="{0AA5DB74-24C1-1FD7-1E49-179BDFB5DABF}"/>
                </a:ext>
              </a:extLst>
            </xdr:cNvPr>
            <xdr:cNvSpPr/>
          </xdr:nvSpPr>
          <xdr:spPr>
            <a:xfrm>
              <a:off x="9235780" y="1190400"/>
              <a:ext cx="987720" cy="1503360"/>
            </a:xfrm>
            <a:prstGeom prst="flowChartOffpageConnector">
              <a:avLst/>
            </a:prstGeom>
            <a:grpFill/>
            <a:ln w="19050">
              <a:solidFill>
                <a:schemeClr val="bg1"/>
              </a:solidFill>
              <a:prstDash val="dashDot"/>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u="sng">
                <a:ln w="19050">
                  <a:solidFill>
                    <a:schemeClr val="tx1"/>
                  </a:solidFill>
                  <a:prstDash val="dashDot"/>
                </a:ln>
              </a:endParaRPr>
            </a:p>
          </xdr:txBody>
        </xdr:sp>
      </xdr:grpSp>
      <xdr:grpSp>
        <xdr:nvGrpSpPr>
          <xdr:cNvPr id="17" name="Group 16">
            <a:extLst>
              <a:ext uri="{FF2B5EF4-FFF2-40B4-BE49-F238E27FC236}">
                <a16:creationId xmlns:a16="http://schemas.microsoft.com/office/drawing/2014/main" id="{771F1E3B-7E73-87B8-F22F-EA43D42B1E19}"/>
              </a:ext>
            </a:extLst>
          </xdr:cNvPr>
          <xdr:cNvGrpSpPr/>
        </xdr:nvGrpSpPr>
        <xdr:grpSpPr>
          <a:xfrm>
            <a:off x="10571480" y="1080000"/>
            <a:ext cx="1496400" cy="1800000"/>
            <a:chOff x="10622280" y="1080000"/>
            <a:chExt cx="1496400" cy="1800000"/>
          </a:xfrm>
          <a:solidFill>
            <a:schemeClr val="accent6"/>
          </a:solidFill>
          <a:effectLst>
            <a:outerShdw blurRad="50800" dist="38100" dir="2700000" algn="tl" rotWithShape="0">
              <a:prstClr val="black">
                <a:alpha val="40000"/>
              </a:prstClr>
            </a:outerShdw>
          </a:effectLst>
        </xdr:grpSpPr>
        <xdr:sp macro="" textlink="">
          <xdr:nvSpPr>
            <xdr:cNvPr id="26" name="Flowchart: Off-page Connector 25">
              <a:extLst>
                <a:ext uri="{FF2B5EF4-FFF2-40B4-BE49-F238E27FC236}">
                  <a16:creationId xmlns:a16="http://schemas.microsoft.com/office/drawing/2014/main" id="{0F12695F-1FC4-2201-5FA1-C0ED73BFE1EC}"/>
                </a:ext>
              </a:extLst>
            </xdr:cNvPr>
            <xdr:cNvSpPr/>
          </xdr:nvSpPr>
          <xdr:spPr>
            <a:xfrm>
              <a:off x="10742000" y="1080000"/>
              <a:ext cx="1256960" cy="1800000"/>
            </a:xfrm>
            <a:prstGeom prst="flowChartOffpageConnector">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Trapezoid 26">
              <a:extLst>
                <a:ext uri="{FF2B5EF4-FFF2-40B4-BE49-F238E27FC236}">
                  <a16:creationId xmlns:a16="http://schemas.microsoft.com/office/drawing/2014/main" id="{1671A35A-9AA8-8608-110E-3A4D046EAEB6}"/>
                </a:ext>
              </a:extLst>
            </xdr:cNvPr>
            <xdr:cNvSpPr/>
          </xdr:nvSpPr>
          <xdr:spPr>
            <a:xfrm>
              <a:off x="10622280" y="1080000"/>
              <a:ext cx="1496400" cy="322080"/>
            </a:xfrm>
            <a:prstGeom prst="trapezoid">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sp macro="" textlink="">
        <xdr:nvSpPr>
          <xdr:cNvPr id="18" name="Flowchart: Off-page Connector 17">
            <a:extLst>
              <a:ext uri="{FF2B5EF4-FFF2-40B4-BE49-F238E27FC236}">
                <a16:creationId xmlns:a16="http://schemas.microsoft.com/office/drawing/2014/main" id="{686D8D6D-52EE-C10C-D60D-725237B7E7B0}"/>
              </a:ext>
            </a:extLst>
          </xdr:cNvPr>
          <xdr:cNvSpPr/>
        </xdr:nvSpPr>
        <xdr:spPr>
          <a:xfrm>
            <a:off x="10825820" y="1227280"/>
            <a:ext cx="987720" cy="1503360"/>
          </a:xfrm>
          <a:prstGeom prst="flowChartOffpageConnector">
            <a:avLst/>
          </a:prstGeom>
          <a:solidFill>
            <a:srgbClr val="002060"/>
          </a:solidFill>
          <a:ln w="19050">
            <a:solidFill>
              <a:schemeClr val="bg1"/>
            </a:solidFill>
            <a:prstDash val="dashDot"/>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u="sng">
              <a:solidFill>
                <a:sysClr val="windowText" lastClr="000000"/>
              </a:solidFill>
            </a:endParaRPr>
          </a:p>
        </xdr:txBody>
      </xdr:sp>
      <xdr:sp macro="" textlink="">
        <xdr:nvSpPr>
          <xdr:cNvPr id="19" name="Rectangle: Rounded Corners 18">
            <a:extLst>
              <a:ext uri="{FF2B5EF4-FFF2-40B4-BE49-F238E27FC236}">
                <a16:creationId xmlns:a16="http://schemas.microsoft.com/office/drawing/2014/main" id="{9B50EEE1-851D-600F-BC60-1EFFCA1EB4F9}"/>
              </a:ext>
            </a:extLst>
          </xdr:cNvPr>
          <xdr:cNvSpPr/>
        </xdr:nvSpPr>
        <xdr:spPr>
          <a:xfrm>
            <a:off x="8950960" y="3139440"/>
            <a:ext cx="2997200" cy="3538560"/>
          </a:xfrm>
          <a:prstGeom prst="roundRect">
            <a:avLst>
              <a:gd name="adj" fmla="val 514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76DEEDAE-043D-158B-5F7D-F2C17613668E}"/>
              </a:ext>
            </a:extLst>
          </xdr:cNvPr>
          <xdr:cNvCxnSpPr>
            <a:cxnSpLocks/>
          </xdr:cNvCxnSpPr>
        </xdr:nvCxnSpPr>
        <xdr:spPr>
          <a:xfrm>
            <a:off x="1851951" y="2335619"/>
            <a:ext cx="2650602"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1" name="Straight Connector 20">
            <a:extLst>
              <a:ext uri="{FF2B5EF4-FFF2-40B4-BE49-F238E27FC236}">
                <a16:creationId xmlns:a16="http://schemas.microsoft.com/office/drawing/2014/main" id="{682F8131-5FF0-5493-38D5-64A335C9804F}"/>
              </a:ext>
            </a:extLst>
          </xdr:cNvPr>
          <xdr:cNvCxnSpPr>
            <a:cxnSpLocks/>
          </xdr:cNvCxnSpPr>
        </xdr:nvCxnSpPr>
        <xdr:spPr>
          <a:xfrm>
            <a:off x="5004000" y="2344727"/>
            <a:ext cx="1945838"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2" name="Straight Connector 21">
            <a:extLst>
              <a:ext uri="{FF2B5EF4-FFF2-40B4-BE49-F238E27FC236}">
                <a16:creationId xmlns:a16="http://schemas.microsoft.com/office/drawing/2014/main" id="{E741C89F-97DB-368D-6E68-A6C7E63C2260}"/>
              </a:ext>
            </a:extLst>
          </xdr:cNvPr>
          <xdr:cNvCxnSpPr>
            <a:cxnSpLocks/>
          </xdr:cNvCxnSpPr>
        </xdr:nvCxnSpPr>
        <xdr:spPr>
          <a:xfrm flipV="1">
            <a:off x="7378739" y="2335619"/>
            <a:ext cx="1255975" cy="9108"/>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3" name="Straight Connector 22">
            <a:extLst>
              <a:ext uri="{FF2B5EF4-FFF2-40B4-BE49-F238E27FC236}">
                <a16:creationId xmlns:a16="http://schemas.microsoft.com/office/drawing/2014/main" id="{17141F7F-2316-C1C5-91FF-33A868B3DC13}"/>
              </a:ext>
            </a:extLst>
          </xdr:cNvPr>
          <xdr:cNvCxnSpPr>
            <a:cxnSpLocks/>
          </xdr:cNvCxnSpPr>
        </xdr:nvCxnSpPr>
        <xdr:spPr>
          <a:xfrm>
            <a:off x="1851951" y="4872404"/>
            <a:ext cx="5097887"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8BD5D945-B56F-5A89-E6CE-01610B56052A}"/>
              </a:ext>
            </a:extLst>
          </xdr:cNvPr>
          <xdr:cNvCxnSpPr>
            <a:cxnSpLocks/>
          </xdr:cNvCxnSpPr>
        </xdr:nvCxnSpPr>
        <xdr:spPr>
          <a:xfrm>
            <a:off x="7378739" y="4872404"/>
            <a:ext cx="1255975" cy="0"/>
          </a:xfrm>
          <a:prstGeom prst="line">
            <a:avLst/>
          </a:prstGeom>
          <a:ln>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D8794D98-83DB-F698-336A-2EFF1F260D82}"/>
              </a:ext>
            </a:extLst>
          </xdr:cNvPr>
          <xdr:cNvCxnSpPr>
            <a:cxnSpLocks/>
          </xdr:cNvCxnSpPr>
        </xdr:nvCxnSpPr>
        <xdr:spPr>
          <a:xfrm>
            <a:off x="9045280" y="3554819"/>
            <a:ext cx="2668300" cy="0"/>
          </a:xfrm>
          <a:prstGeom prst="line">
            <a:avLst/>
          </a:prstGeom>
          <a:ln>
            <a:solidFill>
              <a:schemeClr val="bg2">
                <a:lumMod val="50000"/>
              </a:schemeClr>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467360</xdr:colOff>
      <xdr:row>31</xdr:row>
      <xdr:rowOff>81280</xdr:rowOff>
    </xdr:from>
    <xdr:to>
      <xdr:col>2</xdr:col>
      <xdr:colOff>6898</xdr:colOff>
      <xdr:row>35</xdr:row>
      <xdr:rowOff>107462</xdr:rowOff>
    </xdr:to>
    <xdr:pic>
      <xdr:nvPicPr>
        <xdr:cNvPr id="33" name="Graphic 32" descr="Shopping cart with solid fill">
          <a:extLst>
            <a:ext uri="{FF2B5EF4-FFF2-40B4-BE49-F238E27FC236}">
              <a16:creationId xmlns:a16="http://schemas.microsoft.com/office/drawing/2014/main" id="{170FF66F-3657-8CDC-4547-3E94A27BE47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67360" y="5835357"/>
          <a:ext cx="750923" cy="768643"/>
        </a:xfrm>
        <a:prstGeom prst="rect">
          <a:avLst/>
        </a:prstGeom>
      </xdr:spPr>
    </xdr:pic>
    <xdr:clientData/>
  </xdr:twoCellAnchor>
  <xdr:twoCellAnchor editAs="oneCell">
    <xdr:from>
      <xdr:col>15</xdr:col>
      <xdr:colOff>314960</xdr:colOff>
      <xdr:row>11</xdr:row>
      <xdr:rowOff>132080</xdr:rowOff>
    </xdr:from>
    <xdr:to>
      <xdr:col>16</xdr:col>
      <xdr:colOff>172720</xdr:colOff>
      <xdr:row>14</xdr:row>
      <xdr:rowOff>50800</xdr:rowOff>
    </xdr:to>
    <xdr:pic>
      <xdr:nvPicPr>
        <xdr:cNvPr id="35" name="Graphic 34" descr="Trophy with solid fill">
          <a:extLst>
            <a:ext uri="{FF2B5EF4-FFF2-40B4-BE49-F238E27FC236}">
              <a16:creationId xmlns:a16="http://schemas.microsoft.com/office/drawing/2014/main" id="{1FFEC88E-DBCA-7F40-50B5-72D5A0BC1037}"/>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458960" y="2143760"/>
          <a:ext cx="467360" cy="467360"/>
        </a:xfrm>
        <a:prstGeom prst="rect">
          <a:avLst/>
        </a:prstGeom>
      </xdr:spPr>
    </xdr:pic>
    <xdr:clientData/>
  </xdr:twoCellAnchor>
  <xdr:twoCellAnchor editAs="oneCell">
    <xdr:from>
      <xdr:col>9</xdr:col>
      <xdr:colOff>193040</xdr:colOff>
      <xdr:row>6</xdr:row>
      <xdr:rowOff>0</xdr:rowOff>
    </xdr:from>
    <xdr:to>
      <xdr:col>10</xdr:col>
      <xdr:colOff>254000</xdr:colOff>
      <xdr:row>9</xdr:row>
      <xdr:rowOff>121920</xdr:rowOff>
    </xdr:to>
    <xdr:pic>
      <xdr:nvPicPr>
        <xdr:cNvPr id="83" name="Graphic 82" descr="Bar graph with upward trend with solid fill">
          <a:extLst>
            <a:ext uri="{FF2B5EF4-FFF2-40B4-BE49-F238E27FC236}">
              <a16:creationId xmlns:a16="http://schemas.microsoft.com/office/drawing/2014/main" id="{E24462F9-0B35-4628-9DEF-A1AA7FBDC1F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679440" y="1097280"/>
          <a:ext cx="670560" cy="670560"/>
        </a:xfrm>
        <a:prstGeom prst="rect">
          <a:avLst/>
        </a:prstGeom>
      </xdr:spPr>
    </xdr:pic>
    <xdr:clientData/>
  </xdr:twoCellAnchor>
  <xdr:twoCellAnchor editAs="oneCell">
    <xdr:from>
      <xdr:col>0</xdr:col>
      <xdr:colOff>224693</xdr:colOff>
      <xdr:row>1</xdr:row>
      <xdr:rowOff>19636</xdr:rowOff>
    </xdr:from>
    <xdr:to>
      <xdr:col>1</xdr:col>
      <xdr:colOff>406791</xdr:colOff>
      <xdr:row>5</xdr:row>
      <xdr:rowOff>81671</xdr:rowOff>
    </xdr:to>
    <xdr:pic>
      <xdr:nvPicPr>
        <xdr:cNvPr id="84" name="Graphic 83" descr="Presentation with bar chart with solid fill">
          <a:extLst>
            <a:ext uri="{FF2B5EF4-FFF2-40B4-BE49-F238E27FC236}">
              <a16:creationId xmlns:a16="http://schemas.microsoft.com/office/drawing/2014/main" id="{D4B4D518-506F-4675-A463-8264B17036E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24693" y="205251"/>
          <a:ext cx="787790" cy="804497"/>
        </a:xfrm>
        <a:prstGeom prst="rect">
          <a:avLst/>
        </a:prstGeom>
      </xdr:spPr>
    </xdr:pic>
    <xdr:clientData/>
  </xdr:twoCellAnchor>
  <xdr:twoCellAnchor editAs="oneCell">
    <xdr:from>
      <xdr:col>5</xdr:col>
      <xdr:colOff>233680</xdr:colOff>
      <xdr:row>6</xdr:row>
      <xdr:rowOff>20320</xdr:rowOff>
    </xdr:from>
    <xdr:to>
      <xdr:col>6</xdr:col>
      <xdr:colOff>243840</xdr:colOff>
      <xdr:row>9</xdr:row>
      <xdr:rowOff>91440</xdr:rowOff>
    </xdr:to>
    <xdr:pic>
      <xdr:nvPicPr>
        <xdr:cNvPr id="85" name="Graphic 84" descr="Money with solid fill">
          <a:extLst>
            <a:ext uri="{FF2B5EF4-FFF2-40B4-BE49-F238E27FC236}">
              <a16:creationId xmlns:a16="http://schemas.microsoft.com/office/drawing/2014/main" id="{1FD90147-3334-4D9E-B1CB-41522A4A066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3281680" y="1117600"/>
          <a:ext cx="619760" cy="619760"/>
        </a:xfrm>
        <a:prstGeom prst="rect">
          <a:avLst/>
        </a:prstGeom>
      </xdr:spPr>
    </xdr:pic>
    <xdr:clientData/>
  </xdr:twoCellAnchor>
  <xdr:twoCellAnchor editAs="oneCell">
    <xdr:from>
      <xdr:col>18</xdr:col>
      <xdr:colOff>101600</xdr:colOff>
      <xdr:row>11</xdr:row>
      <xdr:rowOff>101600</xdr:rowOff>
    </xdr:from>
    <xdr:to>
      <xdr:col>18</xdr:col>
      <xdr:colOff>589280</xdr:colOff>
      <xdr:row>14</xdr:row>
      <xdr:rowOff>40640</xdr:rowOff>
    </xdr:to>
    <xdr:pic>
      <xdr:nvPicPr>
        <xdr:cNvPr id="86" name="Graphic 85" descr="Ribbon with solid fill">
          <a:extLst>
            <a:ext uri="{FF2B5EF4-FFF2-40B4-BE49-F238E27FC236}">
              <a16:creationId xmlns:a16="http://schemas.microsoft.com/office/drawing/2014/main" id="{558B0A91-56CD-4DF9-B9EA-B04BE263B771}"/>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1074400" y="2113280"/>
          <a:ext cx="487680" cy="487680"/>
        </a:xfrm>
        <a:prstGeom prst="rect">
          <a:avLst/>
        </a:prstGeom>
      </xdr:spPr>
    </xdr:pic>
    <xdr:clientData/>
  </xdr:twoCellAnchor>
  <xdr:twoCellAnchor editAs="oneCell">
    <xdr:from>
      <xdr:col>2</xdr:col>
      <xdr:colOff>598267</xdr:colOff>
      <xdr:row>24</xdr:row>
      <xdr:rowOff>109414</xdr:rowOff>
    </xdr:from>
    <xdr:to>
      <xdr:col>3</xdr:col>
      <xdr:colOff>334899</xdr:colOff>
      <xdr:row>26</xdr:row>
      <xdr:rowOff>87922</xdr:rowOff>
    </xdr:to>
    <xdr:pic>
      <xdr:nvPicPr>
        <xdr:cNvPr id="88" name="Graphic 87" descr="Daily calendar with solid fill">
          <a:extLst>
            <a:ext uri="{FF2B5EF4-FFF2-40B4-BE49-F238E27FC236}">
              <a16:creationId xmlns:a16="http://schemas.microsoft.com/office/drawing/2014/main" id="{BD015DB1-FBCB-49E3-9B3A-457FBCD3047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809652" y="4564183"/>
          <a:ext cx="342324" cy="349739"/>
        </a:xfrm>
        <a:prstGeom prst="rect">
          <a:avLst/>
        </a:prstGeom>
      </xdr:spPr>
    </xdr:pic>
    <xdr:clientData/>
  </xdr:twoCellAnchor>
  <xdr:twoCellAnchor editAs="oneCell">
    <xdr:from>
      <xdr:col>2</xdr:col>
      <xdr:colOff>534295</xdr:colOff>
      <xdr:row>10</xdr:row>
      <xdr:rowOff>150010</xdr:rowOff>
    </xdr:from>
    <xdr:to>
      <xdr:col>3</xdr:col>
      <xdr:colOff>220280</xdr:colOff>
      <xdr:row>12</xdr:row>
      <xdr:rowOff>80684</xdr:rowOff>
    </xdr:to>
    <xdr:pic>
      <xdr:nvPicPr>
        <xdr:cNvPr id="89" name="Graphic 88" descr="Clipboard with solid fill">
          <a:extLst>
            <a:ext uri="{FF2B5EF4-FFF2-40B4-BE49-F238E27FC236}">
              <a16:creationId xmlns:a16="http://schemas.microsoft.com/office/drawing/2014/main" id="{5B6E7F4F-431A-45FE-8FAB-D46EDA85C2B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753495" y="1942951"/>
          <a:ext cx="295585" cy="289262"/>
        </a:xfrm>
        <a:prstGeom prst="rect">
          <a:avLst/>
        </a:prstGeom>
      </xdr:spPr>
    </xdr:pic>
    <xdr:clientData/>
  </xdr:twoCellAnchor>
  <xdr:twoCellAnchor editAs="oneCell">
    <xdr:from>
      <xdr:col>12</xdr:col>
      <xdr:colOff>3722</xdr:colOff>
      <xdr:row>24</xdr:row>
      <xdr:rowOff>128495</xdr:rowOff>
    </xdr:from>
    <xdr:to>
      <xdr:col>12</xdr:col>
      <xdr:colOff>326138</xdr:colOff>
      <xdr:row>26</xdr:row>
      <xdr:rowOff>89648</xdr:rowOff>
    </xdr:to>
    <xdr:pic>
      <xdr:nvPicPr>
        <xdr:cNvPr id="90" name="Graphic 89" descr="Coins with solid fill">
          <a:extLst>
            <a:ext uri="{FF2B5EF4-FFF2-40B4-BE49-F238E27FC236}">
              <a16:creationId xmlns:a16="http://schemas.microsoft.com/office/drawing/2014/main" id="{DD6E9C80-9481-440E-9F29-BC5F086EEC88}"/>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7272030" y="4583264"/>
          <a:ext cx="322416" cy="332384"/>
        </a:xfrm>
        <a:prstGeom prst="rect">
          <a:avLst/>
        </a:prstGeom>
      </xdr:spPr>
    </xdr:pic>
    <xdr:clientData/>
  </xdr:twoCellAnchor>
  <xdr:twoCellAnchor editAs="oneCell">
    <xdr:from>
      <xdr:col>8</xdr:col>
      <xdr:colOff>46448</xdr:colOff>
      <xdr:row>10</xdr:row>
      <xdr:rowOff>116250</xdr:rowOff>
    </xdr:from>
    <xdr:to>
      <xdr:col>8</xdr:col>
      <xdr:colOff>381515</xdr:colOff>
      <xdr:row>12</xdr:row>
      <xdr:rowOff>80683</xdr:rowOff>
    </xdr:to>
    <xdr:pic>
      <xdr:nvPicPr>
        <xdr:cNvPr id="94" name="Graphic 93" descr="Arrow circle with solid fill">
          <a:extLst>
            <a:ext uri="{FF2B5EF4-FFF2-40B4-BE49-F238E27FC236}">
              <a16:creationId xmlns:a16="http://schemas.microsoft.com/office/drawing/2014/main" id="{4F1C8C59-9866-D118-4394-EDD500E53F9C}"/>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4923248" y="1909191"/>
          <a:ext cx="335067" cy="323021"/>
        </a:xfrm>
        <a:prstGeom prst="rect">
          <a:avLst/>
        </a:prstGeom>
      </xdr:spPr>
    </xdr:pic>
    <xdr:clientData/>
  </xdr:twoCellAnchor>
  <xdr:twoCellAnchor>
    <xdr:from>
      <xdr:col>1</xdr:col>
      <xdr:colOff>445263</xdr:colOff>
      <xdr:row>0</xdr:row>
      <xdr:rowOff>162810</xdr:rowOff>
    </xdr:from>
    <xdr:to>
      <xdr:col>8</xdr:col>
      <xdr:colOff>118534</xdr:colOff>
      <xdr:row>3</xdr:row>
      <xdr:rowOff>143933</xdr:rowOff>
    </xdr:to>
    <xdr:sp macro="" textlink="">
      <xdr:nvSpPr>
        <xdr:cNvPr id="95" name="TextBox 94">
          <a:extLst>
            <a:ext uri="{FF2B5EF4-FFF2-40B4-BE49-F238E27FC236}">
              <a16:creationId xmlns:a16="http://schemas.microsoft.com/office/drawing/2014/main" id="{48A8273A-4864-ADB5-9C48-7CF4DCEBF537}"/>
            </a:ext>
          </a:extLst>
        </xdr:cNvPr>
        <xdr:cNvSpPr txBox="1"/>
      </xdr:nvSpPr>
      <xdr:spPr>
        <a:xfrm>
          <a:off x="1054863" y="162810"/>
          <a:ext cx="3940471" cy="539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i="1" u="none">
              <a:solidFill>
                <a:schemeClr val="bg1"/>
              </a:solidFill>
            </a:rPr>
            <a:t>SALES</a:t>
          </a:r>
          <a:r>
            <a:rPr lang="en-IN" sz="2800" b="1" i="1" u="none" baseline="0">
              <a:solidFill>
                <a:schemeClr val="bg1"/>
              </a:solidFill>
            </a:rPr>
            <a:t> </a:t>
          </a:r>
          <a:r>
            <a:rPr lang="en-IN" sz="2800" b="1" i="1" u="none" baseline="0">
              <a:solidFill>
                <a:schemeClr val="bg1"/>
              </a:solidFill>
              <a:latin typeface="+mn-lt"/>
              <a:ea typeface="+mn-ea"/>
              <a:cs typeface="+mn-cs"/>
            </a:rPr>
            <a:t>DASHBOARD</a:t>
          </a:r>
        </a:p>
      </xdr:txBody>
    </xdr:sp>
    <xdr:clientData/>
  </xdr:twoCellAnchor>
  <xdr:twoCellAnchor>
    <xdr:from>
      <xdr:col>2</xdr:col>
      <xdr:colOff>576982</xdr:colOff>
      <xdr:row>7</xdr:row>
      <xdr:rowOff>25815</xdr:rowOff>
    </xdr:from>
    <xdr:to>
      <xdr:col>5</xdr:col>
      <xdr:colOff>42332</xdr:colOff>
      <xdr:row>9</xdr:row>
      <xdr:rowOff>8465</xdr:rowOff>
    </xdr:to>
    <xdr:sp macro="" textlink="Analysis!E4">
      <xdr:nvSpPr>
        <xdr:cNvPr id="98" name="TextBox 97">
          <a:extLst>
            <a:ext uri="{FF2B5EF4-FFF2-40B4-BE49-F238E27FC236}">
              <a16:creationId xmlns:a16="http://schemas.microsoft.com/office/drawing/2014/main" id="{FBE9C985-25BB-410B-9B86-B09DEFF3620E}"/>
            </a:ext>
          </a:extLst>
        </xdr:cNvPr>
        <xdr:cNvSpPr txBox="1"/>
      </xdr:nvSpPr>
      <xdr:spPr>
        <a:xfrm>
          <a:off x="1796182" y="1329682"/>
          <a:ext cx="1294150" cy="355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67225C3-CD0F-44B8-8C57-A5C9CE2AD3FB}" type="TxLink">
            <a:rPr lang="en-US" sz="2400" b="1">
              <a:solidFill>
                <a:schemeClr val="bg1"/>
              </a:solidFill>
              <a:latin typeface="+mn-lt"/>
              <a:ea typeface="+mn-ea"/>
              <a:cs typeface="+mn-cs"/>
            </a:rPr>
            <a:pPr marL="0" indent="0"/>
            <a:t>₹ 567.00</a:t>
          </a:fld>
          <a:endParaRPr lang="en-IN" sz="2400" b="1">
            <a:solidFill>
              <a:schemeClr val="bg1"/>
            </a:solidFill>
            <a:latin typeface="+mn-lt"/>
            <a:ea typeface="+mn-ea"/>
            <a:cs typeface="+mn-cs"/>
          </a:endParaRPr>
        </a:p>
      </xdr:txBody>
    </xdr:sp>
    <xdr:clientData/>
  </xdr:twoCellAnchor>
  <xdr:twoCellAnchor>
    <xdr:from>
      <xdr:col>6</xdr:col>
      <xdr:colOff>462336</xdr:colOff>
      <xdr:row>5</xdr:row>
      <xdr:rowOff>173497</xdr:rowOff>
    </xdr:from>
    <xdr:to>
      <xdr:col>8</xdr:col>
      <xdr:colOff>537286</xdr:colOff>
      <xdr:row>7</xdr:row>
      <xdr:rowOff>16933</xdr:rowOff>
    </xdr:to>
    <xdr:sp macro="" textlink="">
      <xdr:nvSpPr>
        <xdr:cNvPr id="99" name="TextBox 98">
          <a:extLst>
            <a:ext uri="{FF2B5EF4-FFF2-40B4-BE49-F238E27FC236}">
              <a16:creationId xmlns:a16="http://schemas.microsoft.com/office/drawing/2014/main" id="{EA8D0E03-5937-459E-A14E-6562587EE778}"/>
            </a:ext>
          </a:extLst>
        </xdr:cNvPr>
        <xdr:cNvSpPr txBox="1"/>
      </xdr:nvSpPr>
      <xdr:spPr>
        <a:xfrm>
          <a:off x="4119936" y="1104830"/>
          <a:ext cx="1294150" cy="215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rgbClr val="FFC000"/>
              </a:solidFill>
              <a:latin typeface="+mn-lt"/>
              <a:ea typeface="+mn-ea"/>
              <a:cs typeface="+mn-cs"/>
            </a:rPr>
            <a:t>TOTAL PROFIT</a:t>
          </a:r>
        </a:p>
      </xdr:txBody>
    </xdr:sp>
    <xdr:clientData/>
  </xdr:twoCellAnchor>
  <xdr:twoCellAnchor>
    <xdr:from>
      <xdr:col>10</xdr:col>
      <xdr:colOff>427359</xdr:colOff>
      <xdr:row>5</xdr:row>
      <xdr:rowOff>159896</xdr:rowOff>
    </xdr:from>
    <xdr:to>
      <xdr:col>12</xdr:col>
      <xdr:colOff>502310</xdr:colOff>
      <xdr:row>7</xdr:row>
      <xdr:rowOff>46081</xdr:rowOff>
    </xdr:to>
    <xdr:sp macro="" textlink="">
      <xdr:nvSpPr>
        <xdr:cNvPr id="100" name="TextBox 99">
          <a:extLst>
            <a:ext uri="{FF2B5EF4-FFF2-40B4-BE49-F238E27FC236}">
              <a16:creationId xmlns:a16="http://schemas.microsoft.com/office/drawing/2014/main" id="{A4FA377A-55D0-489E-9771-6C7B41D768C4}"/>
            </a:ext>
          </a:extLst>
        </xdr:cNvPr>
        <xdr:cNvSpPr txBox="1"/>
      </xdr:nvSpPr>
      <xdr:spPr>
        <a:xfrm>
          <a:off x="6523359" y="1091229"/>
          <a:ext cx="1294151" cy="258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rgbClr val="FFC000"/>
              </a:solidFill>
              <a:latin typeface="+mn-lt"/>
              <a:ea typeface="+mn-ea"/>
              <a:cs typeface="+mn-cs"/>
            </a:rPr>
            <a:t>PROFIT %</a:t>
          </a:r>
        </a:p>
      </xdr:txBody>
    </xdr:sp>
    <xdr:clientData/>
  </xdr:twoCellAnchor>
  <xdr:twoCellAnchor>
    <xdr:from>
      <xdr:col>3</xdr:col>
      <xdr:colOff>153869</xdr:colOff>
      <xdr:row>11</xdr:row>
      <xdr:rowOff>7495</xdr:rowOff>
    </xdr:from>
    <xdr:to>
      <xdr:col>5</xdr:col>
      <xdr:colOff>228819</xdr:colOff>
      <xdr:row>12</xdr:row>
      <xdr:rowOff>71863</xdr:rowOff>
    </xdr:to>
    <xdr:sp macro="" textlink="">
      <xdr:nvSpPr>
        <xdr:cNvPr id="101" name="TextBox 100">
          <a:extLst>
            <a:ext uri="{FF2B5EF4-FFF2-40B4-BE49-F238E27FC236}">
              <a16:creationId xmlns:a16="http://schemas.microsoft.com/office/drawing/2014/main" id="{0129E69D-33DC-4931-9FD4-F56260E4406C}"/>
            </a:ext>
          </a:extLst>
        </xdr:cNvPr>
        <xdr:cNvSpPr txBox="1"/>
      </xdr:nvSpPr>
      <xdr:spPr>
        <a:xfrm>
          <a:off x="1982669" y="1979730"/>
          <a:ext cx="1294150" cy="243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MONTHLY</a:t>
          </a:r>
        </a:p>
      </xdr:txBody>
    </xdr:sp>
    <xdr:clientData/>
  </xdr:twoCellAnchor>
  <xdr:twoCellAnchor>
    <xdr:from>
      <xdr:col>8</xdr:col>
      <xdr:colOff>331548</xdr:colOff>
      <xdr:row>10</xdr:row>
      <xdr:rowOff>173270</xdr:rowOff>
    </xdr:from>
    <xdr:to>
      <xdr:col>10</xdr:col>
      <xdr:colOff>406498</xdr:colOff>
      <xdr:row>12</xdr:row>
      <xdr:rowOff>58344</xdr:rowOff>
    </xdr:to>
    <xdr:sp macro="" textlink="">
      <xdr:nvSpPr>
        <xdr:cNvPr id="102" name="TextBox 101">
          <a:extLst>
            <a:ext uri="{FF2B5EF4-FFF2-40B4-BE49-F238E27FC236}">
              <a16:creationId xmlns:a16="http://schemas.microsoft.com/office/drawing/2014/main" id="{BEFAA5D4-D4FE-45C0-9469-08C5F667E607}"/>
            </a:ext>
          </a:extLst>
        </xdr:cNvPr>
        <xdr:cNvSpPr txBox="1"/>
      </xdr:nvSpPr>
      <xdr:spPr>
        <a:xfrm>
          <a:off x="5208348" y="1966211"/>
          <a:ext cx="1294150" cy="243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latin typeface="+mn-lt"/>
              <a:ea typeface="+mn-ea"/>
              <a:cs typeface="+mn-cs"/>
            </a:rPr>
            <a:t>PRODUCTS</a:t>
          </a:r>
        </a:p>
      </xdr:txBody>
    </xdr:sp>
    <xdr:clientData/>
  </xdr:twoCellAnchor>
  <xdr:twoCellAnchor>
    <xdr:from>
      <xdr:col>15</xdr:col>
      <xdr:colOff>96741</xdr:colOff>
      <xdr:row>6</xdr:row>
      <xdr:rowOff>107578</xdr:rowOff>
    </xdr:from>
    <xdr:to>
      <xdr:col>16</xdr:col>
      <xdr:colOff>338667</xdr:colOff>
      <xdr:row>9</xdr:row>
      <xdr:rowOff>53292</xdr:rowOff>
    </xdr:to>
    <xdr:sp macro="" textlink="">
      <xdr:nvSpPr>
        <xdr:cNvPr id="103" name="TextBox 102">
          <a:extLst>
            <a:ext uri="{FF2B5EF4-FFF2-40B4-BE49-F238E27FC236}">
              <a16:creationId xmlns:a16="http://schemas.microsoft.com/office/drawing/2014/main" id="{1838B32E-54C7-40D0-97BF-FC366DF1ACBD}"/>
            </a:ext>
          </a:extLst>
        </xdr:cNvPr>
        <xdr:cNvSpPr txBox="1"/>
      </xdr:nvSpPr>
      <xdr:spPr>
        <a:xfrm>
          <a:off x="9240741" y="1183343"/>
          <a:ext cx="851526" cy="483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baseline="0">
              <a:solidFill>
                <a:srgbClr val="FFC000"/>
              </a:solidFill>
              <a:latin typeface="+mn-lt"/>
              <a:ea typeface="+mn-ea"/>
              <a:cs typeface="+mn-cs"/>
            </a:rPr>
            <a:t>TOP</a:t>
          </a:r>
        </a:p>
        <a:p>
          <a:pPr algn="ctr"/>
          <a:r>
            <a:rPr lang="en-IN" sz="1100" b="1" baseline="0">
              <a:solidFill>
                <a:srgbClr val="FFC000"/>
              </a:solidFill>
              <a:latin typeface="+mn-lt"/>
              <a:ea typeface="+mn-ea"/>
              <a:cs typeface="+mn-cs"/>
            </a:rPr>
            <a:t> PRODUCT</a:t>
          </a:r>
        </a:p>
      </xdr:txBody>
    </xdr:sp>
    <xdr:clientData/>
  </xdr:twoCellAnchor>
  <xdr:twoCellAnchor>
    <xdr:from>
      <xdr:col>15</xdr:col>
      <xdr:colOff>79808</xdr:colOff>
      <xdr:row>8</xdr:row>
      <xdr:rowOff>125720</xdr:rowOff>
    </xdr:from>
    <xdr:to>
      <xdr:col>16</xdr:col>
      <xdr:colOff>423333</xdr:colOff>
      <xdr:row>10</xdr:row>
      <xdr:rowOff>26896</xdr:rowOff>
    </xdr:to>
    <xdr:sp macro="" textlink="">
      <xdr:nvSpPr>
        <xdr:cNvPr id="104" name="TextBox 103">
          <a:extLst>
            <a:ext uri="{FF2B5EF4-FFF2-40B4-BE49-F238E27FC236}">
              <a16:creationId xmlns:a16="http://schemas.microsoft.com/office/drawing/2014/main" id="{4D75B346-0969-4810-BC53-D9986D68A30D}"/>
            </a:ext>
          </a:extLst>
        </xdr:cNvPr>
        <xdr:cNvSpPr txBox="1"/>
      </xdr:nvSpPr>
      <xdr:spPr>
        <a:xfrm>
          <a:off x="9223808" y="1560073"/>
          <a:ext cx="953125" cy="2597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bg1"/>
              </a:solidFill>
              <a:latin typeface="+mn-lt"/>
              <a:ea typeface="+mn-ea"/>
              <a:cs typeface="+mn-cs"/>
            </a:rPr>
            <a:t>Ashwagandha</a:t>
          </a:r>
          <a:r>
            <a:rPr lang="en-US" sz="2400" b="1">
              <a:solidFill>
                <a:schemeClr val="bg1"/>
              </a:solidFill>
              <a:latin typeface="+mn-lt"/>
              <a:ea typeface="+mn-ea"/>
              <a:cs typeface="+mn-cs"/>
            </a:rPr>
            <a:t> Capsules</a:t>
          </a:r>
        </a:p>
      </xdr:txBody>
    </xdr:sp>
    <xdr:clientData/>
  </xdr:twoCellAnchor>
  <xdr:twoCellAnchor>
    <xdr:from>
      <xdr:col>15</xdr:col>
      <xdr:colOff>88276</xdr:colOff>
      <xdr:row>9</xdr:row>
      <xdr:rowOff>132689</xdr:rowOff>
    </xdr:from>
    <xdr:to>
      <xdr:col>15</xdr:col>
      <xdr:colOff>482600</xdr:colOff>
      <xdr:row>11</xdr:row>
      <xdr:rowOff>16933</xdr:rowOff>
    </xdr:to>
    <xdr:sp macro="" textlink="Analysis!X1">
      <xdr:nvSpPr>
        <xdr:cNvPr id="105" name="TextBox 104">
          <a:extLst>
            <a:ext uri="{FF2B5EF4-FFF2-40B4-BE49-F238E27FC236}">
              <a16:creationId xmlns:a16="http://schemas.microsoft.com/office/drawing/2014/main" id="{2B0CFFDD-F847-4B86-84F7-FFEA51A2C8EB}"/>
            </a:ext>
          </a:extLst>
        </xdr:cNvPr>
        <xdr:cNvSpPr txBox="1"/>
      </xdr:nvSpPr>
      <xdr:spPr>
        <a:xfrm>
          <a:off x="9232276" y="1809089"/>
          <a:ext cx="394324" cy="256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922CC81-4836-49C1-809A-60FA2680B6DE}" type="TxLink">
            <a:rPr lang="en-US" sz="1100" b="1">
              <a:solidFill>
                <a:schemeClr val="bg1"/>
              </a:solidFill>
              <a:latin typeface="+mn-lt"/>
              <a:ea typeface="+mn-ea"/>
              <a:cs typeface="+mn-cs"/>
            </a:rPr>
            <a:pPr marL="0" indent="0" algn="ctr"/>
            <a:t>5</a:t>
          </a:fld>
          <a:endParaRPr lang="en-IN" sz="1100" b="1">
            <a:solidFill>
              <a:schemeClr val="bg1"/>
            </a:solidFill>
            <a:latin typeface="+mn-lt"/>
            <a:ea typeface="+mn-ea"/>
            <a:cs typeface="+mn-cs"/>
          </a:endParaRPr>
        </a:p>
      </xdr:txBody>
    </xdr:sp>
    <xdr:clientData/>
  </xdr:twoCellAnchor>
  <xdr:twoCellAnchor>
    <xdr:from>
      <xdr:col>15</xdr:col>
      <xdr:colOff>503141</xdr:colOff>
      <xdr:row>9</xdr:row>
      <xdr:rowOff>115755</xdr:rowOff>
    </xdr:from>
    <xdr:to>
      <xdr:col>16</xdr:col>
      <xdr:colOff>465667</xdr:colOff>
      <xdr:row>11</xdr:row>
      <xdr:rowOff>8466</xdr:rowOff>
    </xdr:to>
    <xdr:sp macro="" textlink="Analysis!V1">
      <xdr:nvSpPr>
        <xdr:cNvPr id="106" name="TextBox 105">
          <a:extLst>
            <a:ext uri="{FF2B5EF4-FFF2-40B4-BE49-F238E27FC236}">
              <a16:creationId xmlns:a16="http://schemas.microsoft.com/office/drawing/2014/main" id="{6B2D92E9-CA35-48C5-BC97-49833D596C1E}"/>
            </a:ext>
          </a:extLst>
        </xdr:cNvPr>
        <xdr:cNvSpPr txBox="1"/>
      </xdr:nvSpPr>
      <xdr:spPr>
        <a:xfrm>
          <a:off x="9647141" y="1792155"/>
          <a:ext cx="572126" cy="265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D01F70D-DA93-4043-8EC2-87ADF1DE3525}" type="TxLink">
            <a:rPr lang="en-US" sz="1100" b="1">
              <a:solidFill>
                <a:schemeClr val="bg1"/>
              </a:solidFill>
              <a:latin typeface="+mn-lt"/>
              <a:ea typeface="+mn-ea"/>
              <a:cs typeface="+mn-cs"/>
            </a:rPr>
            <a:pPr marL="0" indent="0" algn="ctr"/>
            <a:t>Bag</a:t>
          </a:fld>
          <a:endParaRPr lang="en-IN" sz="1100" b="1">
            <a:solidFill>
              <a:schemeClr val="bg1"/>
            </a:solidFill>
            <a:latin typeface="+mn-lt"/>
            <a:ea typeface="+mn-ea"/>
            <a:cs typeface="+mn-cs"/>
          </a:endParaRPr>
        </a:p>
      </xdr:txBody>
    </xdr:sp>
    <xdr:clientData/>
  </xdr:twoCellAnchor>
  <xdr:twoCellAnchor>
    <xdr:from>
      <xdr:col>17</xdr:col>
      <xdr:colOff>491067</xdr:colOff>
      <xdr:row>6</xdr:row>
      <xdr:rowOff>132689</xdr:rowOff>
    </xdr:from>
    <xdr:to>
      <xdr:col>19</xdr:col>
      <xdr:colOff>220133</xdr:colOff>
      <xdr:row>9</xdr:row>
      <xdr:rowOff>101599</xdr:rowOff>
    </xdr:to>
    <xdr:sp macro="" textlink="">
      <xdr:nvSpPr>
        <xdr:cNvPr id="107" name="TextBox 106">
          <a:extLst>
            <a:ext uri="{FF2B5EF4-FFF2-40B4-BE49-F238E27FC236}">
              <a16:creationId xmlns:a16="http://schemas.microsoft.com/office/drawing/2014/main" id="{4C623711-8418-4AF7-80F3-65D4C4D1606A}"/>
            </a:ext>
          </a:extLst>
        </xdr:cNvPr>
        <xdr:cNvSpPr txBox="1"/>
      </xdr:nvSpPr>
      <xdr:spPr>
        <a:xfrm>
          <a:off x="10854267" y="1250289"/>
          <a:ext cx="948266" cy="527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baseline="0">
              <a:solidFill>
                <a:srgbClr val="FFC000"/>
              </a:solidFill>
              <a:latin typeface="+mn-lt"/>
              <a:ea typeface="+mn-ea"/>
              <a:cs typeface="+mn-cs"/>
            </a:rPr>
            <a:t>TOP </a:t>
          </a:r>
        </a:p>
        <a:p>
          <a:pPr algn="ctr"/>
          <a:r>
            <a:rPr lang="en-IN" sz="1100" b="1" baseline="0">
              <a:solidFill>
                <a:srgbClr val="FFC000"/>
              </a:solidFill>
              <a:latin typeface="+mn-lt"/>
              <a:ea typeface="+mn-ea"/>
              <a:cs typeface="+mn-cs"/>
            </a:rPr>
            <a:t>CATEGORY</a:t>
          </a:r>
        </a:p>
      </xdr:txBody>
    </xdr:sp>
    <xdr:clientData/>
  </xdr:twoCellAnchor>
  <xdr:twoCellAnchor>
    <xdr:from>
      <xdr:col>17</xdr:col>
      <xdr:colOff>477742</xdr:colOff>
      <xdr:row>10</xdr:row>
      <xdr:rowOff>31090</xdr:rowOff>
    </xdr:from>
    <xdr:to>
      <xdr:col>19</xdr:col>
      <xdr:colOff>220133</xdr:colOff>
      <xdr:row>11</xdr:row>
      <xdr:rowOff>101601</xdr:rowOff>
    </xdr:to>
    <xdr:sp macro="" textlink="Analysis!AJ1">
      <xdr:nvSpPr>
        <xdr:cNvPr id="109" name="TextBox 108">
          <a:extLst>
            <a:ext uri="{FF2B5EF4-FFF2-40B4-BE49-F238E27FC236}">
              <a16:creationId xmlns:a16="http://schemas.microsoft.com/office/drawing/2014/main" id="{D2857472-3794-4573-BBBF-74286CC9F1DD}"/>
            </a:ext>
          </a:extLst>
        </xdr:cNvPr>
        <xdr:cNvSpPr txBox="1"/>
      </xdr:nvSpPr>
      <xdr:spPr>
        <a:xfrm>
          <a:off x="10840942" y="1893757"/>
          <a:ext cx="961591" cy="256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2B8F198-1BDB-4333-8046-68C06A3E6796}" type="TxLink">
            <a:rPr lang="en-US" sz="1100" b="1">
              <a:solidFill>
                <a:schemeClr val="bg1"/>
              </a:solidFill>
              <a:latin typeface="+mn-lt"/>
              <a:ea typeface="+mn-ea"/>
              <a:cs typeface="+mn-cs"/>
            </a:rPr>
            <a:pPr marL="0" indent="0" algn="ctr"/>
            <a:t>₹ 273.00</a:t>
          </a:fld>
          <a:endParaRPr lang="en-IN" sz="1100" b="1">
            <a:solidFill>
              <a:schemeClr val="bg1"/>
            </a:solidFill>
            <a:latin typeface="+mn-lt"/>
            <a:ea typeface="+mn-ea"/>
            <a:cs typeface="+mn-cs"/>
          </a:endParaRPr>
        </a:p>
      </xdr:txBody>
    </xdr:sp>
    <xdr:clientData/>
  </xdr:twoCellAnchor>
  <xdr:twoCellAnchor>
    <xdr:from>
      <xdr:col>15</xdr:col>
      <xdr:colOff>182404</xdr:colOff>
      <xdr:row>17</xdr:row>
      <xdr:rowOff>105796</xdr:rowOff>
    </xdr:from>
    <xdr:to>
      <xdr:col>17</xdr:col>
      <xdr:colOff>257354</xdr:colOff>
      <xdr:row>18</xdr:row>
      <xdr:rowOff>170164</xdr:rowOff>
    </xdr:to>
    <xdr:sp macro="" textlink="">
      <xdr:nvSpPr>
        <xdr:cNvPr id="110" name="TextBox 109">
          <a:extLst>
            <a:ext uri="{FF2B5EF4-FFF2-40B4-BE49-F238E27FC236}">
              <a16:creationId xmlns:a16="http://schemas.microsoft.com/office/drawing/2014/main" id="{E6257BE7-AAB2-4EB2-AB27-88BE39B85BE0}"/>
            </a:ext>
          </a:extLst>
        </xdr:cNvPr>
        <xdr:cNvSpPr txBox="1"/>
      </xdr:nvSpPr>
      <xdr:spPr>
        <a:xfrm>
          <a:off x="9326404" y="3153796"/>
          <a:ext cx="1294150" cy="2436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latin typeface="+mn-lt"/>
              <a:ea typeface="+mn-ea"/>
              <a:cs typeface="+mn-cs"/>
            </a:rPr>
            <a:t>CATEGORY</a:t>
          </a:r>
        </a:p>
      </xdr:txBody>
    </xdr:sp>
    <xdr:clientData/>
  </xdr:twoCellAnchor>
  <xdr:twoCellAnchor>
    <xdr:from>
      <xdr:col>12</xdr:col>
      <xdr:colOff>280516</xdr:colOff>
      <xdr:row>24</xdr:row>
      <xdr:rowOff>166059</xdr:rowOff>
    </xdr:from>
    <xdr:to>
      <xdr:col>14</xdr:col>
      <xdr:colOff>367551</xdr:colOff>
      <xdr:row>26</xdr:row>
      <xdr:rowOff>53788</xdr:rowOff>
    </xdr:to>
    <xdr:sp macro="" textlink="">
      <xdr:nvSpPr>
        <xdr:cNvPr id="115" name="TextBox 114">
          <a:extLst>
            <a:ext uri="{FF2B5EF4-FFF2-40B4-BE49-F238E27FC236}">
              <a16:creationId xmlns:a16="http://schemas.microsoft.com/office/drawing/2014/main" id="{207AD696-6734-4A47-88B9-C15A79586C89}"/>
            </a:ext>
          </a:extLst>
        </xdr:cNvPr>
        <xdr:cNvSpPr txBox="1"/>
      </xdr:nvSpPr>
      <xdr:spPr>
        <a:xfrm>
          <a:off x="7595716" y="4469118"/>
          <a:ext cx="1306235" cy="246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mn-lt"/>
              <a:ea typeface="+mn-ea"/>
              <a:cs typeface="+mn-cs"/>
            </a:rPr>
            <a:t>PAYMENT MODE</a:t>
          </a:r>
        </a:p>
      </xdr:txBody>
    </xdr:sp>
    <xdr:clientData/>
  </xdr:twoCellAnchor>
  <xdr:twoCellAnchor>
    <xdr:from>
      <xdr:col>12</xdr:col>
      <xdr:colOff>358588</xdr:colOff>
      <xdr:row>10</xdr:row>
      <xdr:rowOff>176019</xdr:rowOff>
    </xdr:from>
    <xdr:to>
      <xdr:col>14</xdr:col>
      <xdr:colOff>235440</xdr:colOff>
      <xdr:row>12</xdr:row>
      <xdr:rowOff>89647</xdr:rowOff>
    </xdr:to>
    <xdr:sp macro="" textlink="">
      <xdr:nvSpPr>
        <xdr:cNvPr id="116" name="TextBox 115">
          <a:extLst>
            <a:ext uri="{FF2B5EF4-FFF2-40B4-BE49-F238E27FC236}">
              <a16:creationId xmlns:a16="http://schemas.microsoft.com/office/drawing/2014/main" id="{9834BB50-7FED-4ED0-A423-17B029700B1E}"/>
            </a:ext>
          </a:extLst>
        </xdr:cNvPr>
        <xdr:cNvSpPr txBox="1"/>
      </xdr:nvSpPr>
      <xdr:spPr>
        <a:xfrm>
          <a:off x="7673788" y="1968960"/>
          <a:ext cx="1096052" cy="272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a:solidFill>
                <a:schemeClr val="bg1"/>
              </a:solidFill>
              <a:latin typeface="+mn-lt"/>
              <a:ea typeface="+mn-ea"/>
              <a:cs typeface="+mn-cs"/>
            </a:rPr>
            <a:t>SALES TYPE</a:t>
          </a:r>
        </a:p>
      </xdr:txBody>
    </xdr:sp>
    <xdr:clientData/>
  </xdr:twoCellAnchor>
  <xdr:twoCellAnchor>
    <xdr:from>
      <xdr:col>3</xdr:col>
      <xdr:colOff>370165</xdr:colOff>
      <xdr:row>24</xdr:row>
      <xdr:rowOff>138667</xdr:rowOff>
    </xdr:from>
    <xdr:to>
      <xdr:col>5</xdr:col>
      <xdr:colOff>445115</xdr:colOff>
      <xdr:row>26</xdr:row>
      <xdr:rowOff>23742</xdr:rowOff>
    </xdr:to>
    <xdr:sp macro="" textlink="">
      <xdr:nvSpPr>
        <xdr:cNvPr id="117" name="TextBox 116">
          <a:extLst>
            <a:ext uri="{FF2B5EF4-FFF2-40B4-BE49-F238E27FC236}">
              <a16:creationId xmlns:a16="http://schemas.microsoft.com/office/drawing/2014/main" id="{24FC539C-66CB-4D21-A791-3F0959BDA92D}"/>
            </a:ext>
          </a:extLst>
        </xdr:cNvPr>
        <xdr:cNvSpPr txBox="1"/>
      </xdr:nvSpPr>
      <xdr:spPr>
        <a:xfrm>
          <a:off x="2198965" y="4441726"/>
          <a:ext cx="1294150" cy="243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400" b="1">
              <a:solidFill>
                <a:schemeClr val="bg1"/>
              </a:solidFill>
              <a:latin typeface="+mn-lt"/>
              <a:ea typeface="+mn-ea"/>
              <a:cs typeface="+mn-cs"/>
            </a:rPr>
            <a:t>DAILY</a:t>
          </a:r>
        </a:p>
      </xdr:txBody>
    </xdr:sp>
    <xdr:clientData/>
  </xdr:twoCellAnchor>
  <xdr:twoCellAnchor>
    <xdr:from>
      <xdr:col>2</xdr:col>
      <xdr:colOff>491342</xdr:colOff>
      <xdr:row>5</xdr:row>
      <xdr:rowOff>151011</xdr:rowOff>
    </xdr:from>
    <xdr:to>
      <xdr:col>4</xdr:col>
      <xdr:colOff>566292</xdr:colOff>
      <xdr:row>6</xdr:row>
      <xdr:rowOff>186265</xdr:rowOff>
    </xdr:to>
    <xdr:sp macro="" textlink="">
      <xdr:nvSpPr>
        <xdr:cNvPr id="118" name="TextBox 117">
          <a:extLst>
            <a:ext uri="{FF2B5EF4-FFF2-40B4-BE49-F238E27FC236}">
              <a16:creationId xmlns:a16="http://schemas.microsoft.com/office/drawing/2014/main" id="{321C0C7F-1093-498E-8B75-41736E679E4E}"/>
            </a:ext>
          </a:extLst>
        </xdr:cNvPr>
        <xdr:cNvSpPr txBox="1"/>
      </xdr:nvSpPr>
      <xdr:spPr>
        <a:xfrm>
          <a:off x="1710542" y="1082344"/>
          <a:ext cx="1294150" cy="2215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baseline="0">
              <a:solidFill>
                <a:srgbClr val="FFC000"/>
              </a:solidFill>
              <a:latin typeface="+mn-lt"/>
              <a:ea typeface="+mn-ea"/>
              <a:cs typeface="+mn-cs"/>
            </a:rPr>
            <a:t>TOTAL SALES</a:t>
          </a:r>
        </a:p>
      </xdr:txBody>
    </xdr:sp>
    <xdr:clientData/>
  </xdr:twoCellAnchor>
  <xdr:twoCellAnchor>
    <xdr:from>
      <xdr:col>6</xdr:col>
      <xdr:colOff>511191</xdr:colOff>
      <xdr:row>7</xdr:row>
      <xdr:rowOff>19292</xdr:rowOff>
    </xdr:from>
    <xdr:to>
      <xdr:col>8</xdr:col>
      <xdr:colOff>586141</xdr:colOff>
      <xdr:row>9</xdr:row>
      <xdr:rowOff>50800</xdr:rowOff>
    </xdr:to>
    <xdr:sp macro="" textlink="Analysis!E5">
      <xdr:nvSpPr>
        <xdr:cNvPr id="120" name="TextBox 119">
          <a:extLst>
            <a:ext uri="{FF2B5EF4-FFF2-40B4-BE49-F238E27FC236}">
              <a16:creationId xmlns:a16="http://schemas.microsoft.com/office/drawing/2014/main" id="{5D533156-B573-4034-8449-13782E7533C2}"/>
            </a:ext>
          </a:extLst>
        </xdr:cNvPr>
        <xdr:cNvSpPr txBox="1"/>
      </xdr:nvSpPr>
      <xdr:spPr>
        <a:xfrm>
          <a:off x="4168791" y="1323159"/>
          <a:ext cx="1294150" cy="404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061A853-4ECB-4F99-AE04-048DAEB082F4}" type="TxLink">
            <a:rPr lang="en-US" sz="2400" b="1">
              <a:solidFill>
                <a:schemeClr val="bg1"/>
              </a:solidFill>
              <a:latin typeface="+mn-lt"/>
              <a:ea typeface="+mn-ea"/>
              <a:cs typeface="+mn-cs"/>
            </a:rPr>
            <a:pPr marL="0" indent="0"/>
            <a:t>₹ 566.90</a:t>
          </a:fld>
          <a:endParaRPr lang="en-IN" sz="2400" b="1">
            <a:solidFill>
              <a:schemeClr val="bg1"/>
            </a:solidFill>
            <a:latin typeface="+mn-lt"/>
            <a:ea typeface="+mn-ea"/>
            <a:cs typeface="+mn-cs"/>
          </a:endParaRPr>
        </a:p>
      </xdr:txBody>
    </xdr:sp>
    <xdr:clientData/>
  </xdr:twoCellAnchor>
  <xdr:twoCellAnchor>
    <xdr:from>
      <xdr:col>10</xdr:col>
      <xdr:colOff>486209</xdr:colOff>
      <xdr:row>7</xdr:row>
      <xdr:rowOff>22623</xdr:rowOff>
    </xdr:from>
    <xdr:to>
      <xdr:col>12</xdr:col>
      <xdr:colOff>561159</xdr:colOff>
      <xdr:row>9</xdr:row>
      <xdr:rowOff>101600</xdr:rowOff>
    </xdr:to>
    <xdr:sp macro="" textlink="Analysis!E6">
      <xdr:nvSpPr>
        <xdr:cNvPr id="121" name="TextBox 120">
          <a:extLst>
            <a:ext uri="{FF2B5EF4-FFF2-40B4-BE49-F238E27FC236}">
              <a16:creationId xmlns:a16="http://schemas.microsoft.com/office/drawing/2014/main" id="{03F08323-E237-4154-A095-2A0FE51BEF2A}"/>
            </a:ext>
          </a:extLst>
        </xdr:cNvPr>
        <xdr:cNvSpPr txBox="1"/>
      </xdr:nvSpPr>
      <xdr:spPr>
        <a:xfrm>
          <a:off x="6582209" y="1326490"/>
          <a:ext cx="1294150" cy="45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C9E3326-CA6D-4FC6-B180-A43380BB39C8}" type="TxLink">
            <a:rPr lang="en-US" sz="2400" b="1">
              <a:solidFill>
                <a:schemeClr val="bg1"/>
              </a:solidFill>
              <a:latin typeface="+mn-lt"/>
              <a:ea typeface="+mn-ea"/>
              <a:cs typeface="+mn-cs"/>
            </a:rPr>
            <a:pPr marL="0" indent="0"/>
            <a:t>50.00%</a:t>
          </a:fld>
          <a:endParaRPr lang="en-IN" sz="2400" b="1">
            <a:solidFill>
              <a:schemeClr val="bg1"/>
            </a:solidFill>
            <a:latin typeface="+mn-lt"/>
            <a:ea typeface="+mn-ea"/>
            <a:cs typeface="+mn-cs"/>
          </a:endParaRPr>
        </a:p>
      </xdr:txBody>
    </xdr:sp>
    <xdr:clientData/>
  </xdr:twoCellAnchor>
  <xdr:twoCellAnchor>
    <xdr:from>
      <xdr:col>1</xdr:col>
      <xdr:colOff>453731</xdr:colOff>
      <xdr:row>3</xdr:row>
      <xdr:rowOff>86610</xdr:rowOff>
    </xdr:from>
    <xdr:to>
      <xdr:col>6</xdr:col>
      <xdr:colOff>125260</xdr:colOff>
      <xdr:row>4</xdr:row>
      <xdr:rowOff>167013</xdr:rowOff>
    </xdr:to>
    <xdr:sp macro="" textlink="">
      <xdr:nvSpPr>
        <xdr:cNvPr id="122" name="TextBox 121">
          <a:extLst>
            <a:ext uri="{FF2B5EF4-FFF2-40B4-BE49-F238E27FC236}">
              <a16:creationId xmlns:a16="http://schemas.microsoft.com/office/drawing/2014/main" id="{C0AC876E-5F53-446E-A7A0-87B78C9D3459}"/>
            </a:ext>
          </a:extLst>
        </xdr:cNvPr>
        <xdr:cNvSpPr txBox="1"/>
      </xdr:nvSpPr>
      <xdr:spPr>
        <a:xfrm>
          <a:off x="1059156" y="650281"/>
          <a:ext cx="2698652" cy="268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FFC000"/>
              </a:solidFill>
            </a:rPr>
            <a:t>SUPERMARKET</a:t>
          </a:r>
          <a:r>
            <a:rPr lang="en-IN" sz="1100" b="1" baseline="0">
              <a:solidFill>
                <a:srgbClr val="FFC000"/>
              </a:solidFill>
            </a:rPr>
            <a:t> SHOP</a:t>
          </a:r>
          <a:endParaRPr lang="en-IN" sz="1100" b="1" baseline="0">
            <a:solidFill>
              <a:srgbClr val="FFC000"/>
            </a:solidFill>
            <a:latin typeface="+mn-lt"/>
            <a:ea typeface="+mn-ea"/>
            <a:cs typeface="+mn-cs"/>
          </a:endParaRPr>
        </a:p>
      </xdr:txBody>
    </xdr:sp>
    <xdr:clientData/>
  </xdr:twoCellAnchor>
  <xdr:twoCellAnchor>
    <xdr:from>
      <xdr:col>15</xdr:col>
      <xdr:colOff>62873</xdr:colOff>
      <xdr:row>10</xdr:row>
      <xdr:rowOff>107288</xdr:rowOff>
    </xdr:from>
    <xdr:to>
      <xdr:col>16</xdr:col>
      <xdr:colOff>423333</xdr:colOff>
      <xdr:row>11</xdr:row>
      <xdr:rowOff>169334</xdr:rowOff>
    </xdr:to>
    <xdr:sp macro="" textlink="Analysis!W1">
      <xdr:nvSpPr>
        <xdr:cNvPr id="124" name="TextBox 123">
          <a:extLst>
            <a:ext uri="{FF2B5EF4-FFF2-40B4-BE49-F238E27FC236}">
              <a16:creationId xmlns:a16="http://schemas.microsoft.com/office/drawing/2014/main" id="{69097056-1F0A-4C99-A589-75BC45B89EFA}"/>
            </a:ext>
          </a:extLst>
        </xdr:cNvPr>
        <xdr:cNvSpPr txBox="1"/>
      </xdr:nvSpPr>
      <xdr:spPr>
        <a:xfrm>
          <a:off x="9206873" y="1969955"/>
          <a:ext cx="970060" cy="248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1785D70-B7ED-4858-AED6-2141FB6C6CD6}" type="TxLink">
            <a:rPr lang="en-US" sz="1100" b="1">
              <a:solidFill>
                <a:schemeClr val="bg1"/>
              </a:solidFill>
              <a:latin typeface="+mn-lt"/>
              <a:ea typeface="+mn-ea"/>
              <a:cs typeface="+mn-cs"/>
            </a:rPr>
            <a:pPr marL="0" indent="0" algn="ctr"/>
            <a:t>₹ 100.00</a:t>
          </a:fld>
          <a:endParaRPr lang="en-IN" sz="1100" b="1">
            <a:solidFill>
              <a:schemeClr val="bg1"/>
            </a:solidFill>
            <a:latin typeface="+mn-lt"/>
            <a:ea typeface="+mn-ea"/>
            <a:cs typeface="+mn-cs"/>
          </a:endParaRPr>
        </a:p>
      </xdr:txBody>
    </xdr:sp>
    <xdr:clientData/>
  </xdr:twoCellAnchor>
  <xdr:twoCellAnchor>
    <xdr:from>
      <xdr:col>17</xdr:col>
      <xdr:colOff>477741</xdr:colOff>
      <xdr:row>8</xdr:row>
      <xdr:rowOff>98824</xdr:rowOff>
    </xdr:from>
    <xdr:to>
      <xdr:col>19</xdr:col>
      <xdr:colOff>220133</xdr:colOff>
      <xdr:row>9</xdr:row>
      <xdr:rowOff>177800</xdr:rowOff>
    </xdr:to>
    <xdr:sp macro="" textlink="Analysis!AI1">
      <xdr:nvSpPr>
        <xdr:cNvPr id="125" name="TextBox 124">
          <a:extLst>
            <a:ext uri="{FF2B5EF4-FFF2-40B4-BE49-F238E27FC236}">
              <a16:creationId xmlns:a16="http://schemas.microsoft.com/office/drawing/2014/main" id="{CB64A2B6-C1BB-4902-9E00-CD3A9C2BBD3F}"/>
            </a:ext>
          </a:extLst>
        </xdr:cNvPr>
        <xdr:cNvSpPr txBox="1"/>
      </xdr:nvSpPr>
      <xdr:spPr>
        <a:xfrm>
          <a:off x="10840941" y="1588957"/>
          <a:ext cx="961592" cy="26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AA13257-EAE7-486B-A93F-FFDEB2CCDA17}" type="TxLink">
            <a:rPr lang="en-US" sz="1100" b="1">
              <a:solidFill>
                <a:schemeClr val="bg1"/>
              </a:solidFill>
              <a:latin typeface="+mn-lt"/>
              <a:ea typeface="+mn-ea"/>
              <a:cs typeface="+mn-cs"/>
            </a:rPr>
            <a:pPr marL="0" indent="0" algn="ctr"/>
            <a:t>Skincare</a:t>
          </a:fld>
          <a:endParaRPr lang="en-IN" sz="1100" b="1">
            <a:solidFill>
              <a:schemeClr val="bg1"/>
            </a:solidFill>
            <a:latin typeface="+mn-lt"/>
            <a:ea typeface="+mn-ea"/>
            <a:cs typeface="+mn-cs"/>
          </a:endParaRPr>
        </a:p>
      </xdr:txBody>
    </xdr:sp>
    <xdr:clientData/>
  </xdr:twoCellAnchor>
  <xdr:twoCellAnchor editAs="oneCell">
    <xdr:from>
      <xdr:col>12</xdr:col>
      <xdr:colOff>26892</xdr:colOff>
      <xdr:row>10</xdr:row>
      <xdr:rowOff>116540</xdr:rowOff>
    </xdr:from>
    <xdr:to>
      <xdr:col>12</xdr:col>
      <xdr:colOff>394445</xdr:colOff>
      <xdr:row>12</xdr:row>
      <xdr:rowOff>125505</xdr:rowOff>
    </xdr:to>
    <xdr:pic>
      <xdr:nvPicPr>
        <xdr:cNvPr id="130" name="Graphic 129" descr="Marketing with solid fill">
          <a:extLst>
            <a:ext uri="{FF2B5EF4-FFF2-40B4-BE49-F238E27FC236}">
              <a16:creationId xmlns:a16="http://schemas.microsoft.com/office/drawing/2014/main" id="{C49244D7-DF6A-8CB2-CCF3-D95631747A31}"/>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7342092" y="1909481"/>
          <a:ext cx="367553" cy="367553"/>
        </a:xfrm>
        <a:prstGeom prst="rect">
          <a:avLst/>
        </a:prstGeom>
      </xdr:spPr>
    </xdr:pic>
    <xdr:clientData/>
  </xdr:twoCellAnchor>
  <xdr:twoCellAnchor editAs="oneCell">
    <xdr:from>
      <xdr:col>14</xdr:col>
      <xdr:colOff>493059</xdr:colOff>
      <xdr:row>17</xdr:row>
      <xdr:rowOff>62752</xdr:rowOff>
    </xdr:from>
    <xdr:to>
      <xdr:col>15</xdr:col>
      <xdr:colOff>215152</xdr:colOff>
      <xdr:row>19</xdr:row>
      <xdr:rowOff>35857</xdr:rowOff>
    </xdr:to>
    <xdr:pic>
      <xdr:nvPicPr>
        <xdr:cNvPr id="132" name="Graphic 131" descr="Checklist with solid fill">
          <a:extLst>
            <a:ext uri="{FF2B5EF4-FFF2-40B4-BE49-F238E27FC236}">
              <a16:creationId xmlns:a16="http://schemas.microsoft.com/office/drawing/2014/main" id="{BEA4B77D-A7EB-145E-641E-E65F0AEB382B}"/>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9027459" y="3110752"/>
          <a:ext cx="331693" cy="331693"/>
        </a:xfrm>
        <a:prstGeom prst="rect">
          <a:avLst/>
        </a:prstGeom>
      </xdr:spPr>
    </xdr:pic>
    <xdr:clientData/>
  </xdr:twoCellAnchor>
  <xdr:twoCellAnchor editAs="oneCell">
    <xdr:from>
      <xdr:col>8</xdr:col>
      <xdr:colOff>381105</xdr:colOff>
      <xdr:row>1</xdr:row>
      <xdr:rowOff>30810</xdr:rowOff>
    </xdr:from>
    <xdr:to>
      <xdr:col>11</xdr:col>
      <xdr:colOff>421341</xdr:colOff>
      <xdr:row>4</xdr:row>
      <xdr:rowOff>107577</xdr:rowOff>
    </xdr:to>
    <mc:AlternateContent xmlns:mc="http://schemas.openxmlformats.org/markup-compatibility/2006" xmlns:a14="http://schemas.microsoft.com/office/drawing/2010/main">
      <mc:Choice Requires="a14">
        <xdr:graphicFrame macro="">
          <xdr:nvGraphicFramePr>
            <xdr:cNvPr id="141" name="SALE TYPE">
              <a:extLst>
                <a:ext uri="{FF2B5EF4-FFF2-40B4-BE49-F238E27FC236}">
                  <a16:creationId xmlns:a16="http://schemas.microsoft.com/office/drawing/2014/main" id="{BF453F2D-903C-48F7-9ABA-20630D47496B}"/>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280694" y="215969"/>
              <a:ext cx="1877582" cy="6322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546035</xdr:colOff>
      <xdr:row>1</xdr:row>
      <xdr:rowOff>37086</xdr:rowOff>
    </xdr:from>
    <xdr:to>
      <xdr:col>19</xdr:col>
      <xdr:colOff>143435</xdr:colOff>
      <xdr:row>4</xdr:row>
      <xdr:rowOff>125506</xdr:rowOff>
    </xdr:to>
    <mc:AlternateContent xmlns:mc="http://schemas.openxmlformats.org/markup-compatibility/2006" xmlns:a14="http://schemas.microsoft.com/office/drawing/2010/main">
      <mc:Choice Requires="a14">
        <xdr:graphicFrame macro="">
          <xdr:nvGraphicFramePr>
            <xdr:cNvPr id="142" name="PAYMENT MODE">
              <a:extLst>
                <a:ext uri="{FF2B5EF4-FFF2-40B4-BE49-F238E27FC236}">
                  <a16:creationId xmlns:a16="http://schemas.microsoft.com/office/drawing/2014/main" id="{2B67706A-5739-4748-A028-1F9A1E800D77}"/>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282970" y="222245"/>
              <a:ext cx="4496988" cy="6438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292399</xdr:colOff>
      <xdr:row>13</xdr:row>
      <xdr:rowOff>126178</xdr:rowOff>
    </xdr:from>
    <xdr:to>
      <xdr:col>2</xdr:col>
      <xdr:colOff>242047</xdr:colOff>
      <xdr:row>29</xdr:row>
      <xdr:rowOff>98612</xdr:rowOff>
    </xdr:to>
    <mc:AlternateContent xmlns:mc="http://schemas.openxmlformats.org/markup-compatibility/2006" xmlns:a14="http://schemas.microsoft.com/office/drawing/2010/main">
      <mc:Choice Requires="a14">
        <xdr:graphicFrame macro="">
          <xdr:nvGraphicFramePr>
            <xdr:cNvPr id="143" name="MONTH">
              <a:extLst>
                <a:ext uri="{FF2B5EF4-FFF2-40B4-BE49-F238E27FC236}">
                  <a16:creationId xmlns:a16="http://schemas.microsoft.com/office/drawing/2014/main" id="{F3271584-F665-43EF-99F6-A2DD3DEFB00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92399" y="2533243"/>
              <a:ext cx="1174545" cy="293497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291950</xdr:colOff>
      <xdr:row>6</xdr:row>
      <xdr:rowOff>44151</xdr:rowOff>
    </xdr:from>
    <xdr:to>
      <xdr:col>2</xdr:col>
      <xdr:colOff>259976</xdr:colOff>
      <xdr:row>12</xdr:row>
      <xdr:rowOff>35859</xdr:rowOff>
    </xdr:to>
    <mc:AlternateContent xmlns:mc="http://schemas.openxmlformats.org/markup-compatibility/2006" xmlns:a14="http://schemas.microsoft.com/office/drawing/2010/main">
      <mc:Choice Requires="a14">
        <xdr:graphicFrame macro="">
          <xdr:nvGraphicFramePr>
            <xdr:cNvPr id="144" name="YEAR">
              <a:extLst>
                <a:ext uri="{FF2B5EF4-FFF2-40B4-BE49-F238E27FC236}">
                  <a16:creationId xmlns:a16="http://schemas.microsoft.com/office/drawing/2014/main" id="{4BDA161C-45AD-4A90-A309-6148CFD6A28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91950" y="1155104"/>
              <a:ext cx="1192923" cy="11026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605327</xdr:colOff>
      <xdr:row>26</xdr:row>
      <xdr:rowOff>168258</xdr:rowOff>
    </xdr:from>
    <xdr:to>
      <xdr:col>11</xdr:col>
      <xdr:colOff>277738</xdr:colOff>
      <xdr:row>36</xdr:row>
      <xdr:rowOff>136061</xdr:rowOff>
    </xdr:to>
    <xdr:graphicFrame macro="">
      <xdr:nvGraphicFramePr>
        <xdr:cNvPr id="145" name="Chart 144">
          <a:extLst>
            <a:ext uri="{FF2B5EF4-FFF2-40B4-BE49-F238E27FC236}">
              <a16:creationId xmlns:a16="http://schemas.microsoft.com/office/drawing/2014/main" id="{B857E364-3140-4709-ABAE-4CB5D3D55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519954</xdr:colOff>
      <xdr:row>13</xdr:row>
      <xdr:rowOff>16543</xdr:rowOff>
    </xdr:from>
    <xdr:to>
      <xdr:col>7</xdr:col>
      <xdr:colOff>340660</xdr:colOff>
      <xdr:row>23</xdr:row>
      <xdr:rowOff>8964</xdr:rowOff>
    </xdr:to>
    <xdr:graphicFrame macro="">
      <xdr:nvGraphicFramePr>
        <xdr:cNvPr id="146" name="Chart 145">
          <a:extLst>
            <a:ext uri="{FF2B5EF4-FFF2-40B4-BE49-F238E27FC236}">
              <a16:creationId xmlns:a16="http://schemas.microsoft.com/office/drawing/2014/main" id="{1FB4C377-B9B1-42BD-94DA-C138316EA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441960</xdr:colOff>
          <xdr:row>10</xdr:row>
          <xdr:rowOff>121920</xdr:rowOff>
        </xdr:from>
        <xdr:to>
          <xdr:col>5</xdr:col>
          <xdr:colOff>83820</xdr:colOff>
          <xdr:row>11</xdr:row>
          <xdr:rowOff>182880</xdr:rowOff>
        </xdr:to>
        <xdr:sp macro="" textlink="">
          <xdr:nvSpPr>
            <xdr:cNvPr id="7172" name="Check Box 4" hidden="1">
              <a:extLst>
                <a:ext uri="{63B3BB69-23CF-44E3-9099-C40C66FF867C}">
                  <a14:compatExt spid="_x0000_s7172"/>
                </a:ext>
                <a:ext uri="{FF2B5EF4-FFF2-40B4-BE49-F238E27FC236}">
                  <a16:creationId xmlns:a16="http://schemas.microsoft.com/office/drawing/2014/main" id="{00000000-0008-0000-0200-000004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320040</xdr:colOff>
          <xdr:row>10</xdr:row>
          <xdr:rowOff>129540</xdr:rowOff>
        </xdr:from>
        <xdr:to>
          <xdr:col>5</xdr:col>
          <xdr:colOff>579120</xdr:colOff>
          <xdr:row>11</xdr:row>
          <xdr:rowOff>182880</xdr:rowOff>
        </xdr:to>
        <xdr:sp macro="" textlink="">
          <xdr:nvSpPr>
            <xdr:cNvPr id="7173" name="Check Box 5" hidden="1">
              <a:extLst>
                <a:ext uri="{63B3BB69-23CF-44E3-9099-C40C66FF867C}">
                  <a14:compatExt spid="_x0000_s7173"/>
                </a:ext>
                <a:ext uri="{FF2B5EF4-FFF2-40B4-BE49-F238E27FC236}">
                  <a16:creationId xmlns:a16="http://schemas.microsoft.com/office/drawing/2014/main" id="{00000000-0008-0000-0200-00000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10</xdr:row>
          <xdr:rowOff>129540</xdr:rowOff>
        </xdr:from>
        <xdr:to>
          <xdr:col>6</xdr:col>
          <xdr:colOff>556260</xdr:colOff>
          <xdr:row>12</xdr:row>
          <xdr:rowOff>7620</xdr:rowOff>
        </xdr:to>
        <xdr:sp macro="" textlink="">
          <xdr:nvSpPr>
            <xdr:cNvPr id="7174" name="Check Box 6" hidden="1">
              <a:extLst>
                <a:ext uri="{63B3BB69-23CF-44E3-9099-C40C66FF867C}">
                  <a14:compatExt spid="_x0000_s7174"/>
                </a:ext>
                <a:ext uri="{FF2B5EF4-FFF2-40B4-BE49-F238E27FC236}">
                  <a16:creationId xmlns:a16="http://schemas.microsoft.com/office/drawing/2014/main" id="{00000000-0008-0000-0200-00000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12</xdr:col>
      <xdr:colOff>71217</xdr:colOff>
      <xdr:row>13</xdr:row>
      <xdr:rowOff>7122</xdr:rowOff>
    </xdr:from>
    <xdr:to>
      <xdr:col>14</xdr:col>
      <xdr:colOff>142432</xdr:colOff>
      <xdr:row>23</xdr:row>
      <xdr:rowOff>14243</xdr:rowOff>
    </xdr:to>
    <xdr:graphicFrame macro="">
      <xdr:nvGraphicFramePr>
        <xdr:cNvPr id="147" name="Chart 146">
          <a:extLst>
            <a:ext uri="{FF2B5EF4-FFF2-40B4-BE49-F238E27FC236}">
              <a16:creationId xmlns:a16="http://schemas.microsoft.com/office/drawing/2014/main" id="{23A3B846-0EAE-4F60-94F5-045CDD66AF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11</xdr:col>
      <xdr:colOff>554181</xdr:colOff>
      <xdr:row>26</xdr:row>
      <xdr:rowOff>12112</xdr:rowOff>
    </xdr:from>
    <xdr:to>
      <xdr:col>14</xdr:col>
      <xdr:colOff>277091</xdr:colOff>
      <xdr:row>35</xdr:row>
      <xdr:rowOff>116720</xdr:rowOff>
    </xdr:to>
    <xdr:graphicFrame macro="">
      <xdr:nvGraphicFramePr>
        <xdr:cNvPr id="148" name="Chart 147">
          <a:extLst>
            <a:ext uri="{FF2B5EF4-FFF2-40B4-BE49-F238E27FC236}">
              <a16:creationId xmlns:a16="http://schemas.microsoft.com/office/drawing/2014/main" id="{AC55848A-D4BE-460C-9252-1DBF01B35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8</xdr:col>
      <xdr:colOff>309628</xdr:colOff>
      <xdr:row>13</xdr:row>
      <xdr:rowOff>34172</xdr:rowOff>
    </xdr:from>
    <xdr:to>
      <xdr:col>11</xdr:col>
      <xdr:colOff>323126</xdr:colOff>
      <xdr:row>23</xdr:row>
      <xdr:rowOff>53051</xdr:rowOff>
    </xdr:to>
    <xdr:graphicFrame macro="">
      <xdr:nvGraphicFramePr>
        <xdr:cNvPr id="149" name="Chart 148">
          <a:extLst>
            <a:ext uri="{FF2B5EF4-FFF2-40B4-BE49-F238E27FC236}">
              <a16:creationId xmlns:a16="http://schemas.microsoft.com/office/drawing/2014/main" id="{017BF6F5-41F4-4A71-B0BC-011E3445C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99060</xdr:colOff>
          <xdr:row>13</xdr:row>
          <xdr:rowOff>45720</xdr:rowOff>
        </xdr:from>
        <xdr:to>
          <xdr:col>8</xdr:col>
          <xdr:colOff>266700</xdr:colOff>
          <xdr:row>23</xdr:row>
          <xdr:rowOff>68580</xdr:rowOff>
        </xdr:to>
        <xdr:sp macro="" textlink="">
          <xdr:nvSpPr>
            <xdr:cNvPr id="7175" name="Scroll Bar 7" hidden="1">
              <a:extLst>
                <a:ext uri="{63B3BB69-23CF-44E3-9099-C40C66FF867C}">
                  <a14:compatExt spid="_x0000_s7175"/>
                </a:ext>
                <a:ext uri="{FF2B5EF4-FFF2-40B4-BE49-F238E27FC236}">
                  <a16:creationId xmlns:a16="http://schemas.microsoft.com/office/drawing/2014/main" id="{00000000-0008-0000-0200-000007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14</xdr:col>
      <xdr:colOff>524494</xdr:colOff>
      <xdr:row>20</xdr:row>
      <xdr:rowOff>69273</xdr:rowOff>
    </xdr:from>
    <xdr:to>
      <xdr:col>19</xdr:col>
      <xdr:colOff>277091</xdr:colOff>
      <xdr:row>36</xdr:row>
      <xdr:rowOff>69273</xdr:rowOff>
    </xdr:to>
    <xdr:graphicFrame macro="">
      <xdr:nvGraphicFramePr>
        <xdr:cNvPr id="34" name="Chart 33">
          <a:extLst>
            <a:ext uri="{FF2B5EF4-FFF2-40B4-BE49-F238E27FC236}">
              <a16:creationId xmlns:a16="http://schemas.microsoft.com/office/drawing/2014/main" id="{AD7C41FB-7BF2-4EEB-B62C-01380DB603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editAs="oneCell">
    <xdr:from>
      <xdr:col>13</xdr:col>
      <xdr:colOff>240322</xdr:colOff>
      <xdr:row>6</xdr:row>
      <xdr:rowOff>68385</xdr:rowOff>
    </xdr:from>
    <xdr:to>
      <xdr:col>14</xdr:col>
      <xdr:colOff>181708</xdr:colOff>
      <xdr:row>9</xdr:row>
      <xdr:rowOff>58617</xdr:rowOff>
    </xdr:to>
    <xdr:pic>
      <xdr:nvPicPr>
        <xdr:cNvPr id="37" name="Graphic 36" descr="Dollar with solid fill">
          <a:extLst>
            <a:ext uri="{FF2B5EF4-FFF2-40B4-BE49-F238E27FC236}">
              <a16:creationId xmlns:a16="http://schemas.microsoft.com/office/drawing/2014/main" id="{A9E4C977-7FA8-C403-80D8-E4B8F33A6211}"/>
            </a:ext>
          </a:extLst>
        </xdr:cNvPr>
        <xdr:cNvPicPr>
          <a:picLocks noChangeAspect="1"/>
        </xdr:cNvPicPr>
      </xdr:nvPicPr>
      <xdr:blipFill>
        <a:blip xmlns:r="http://schemas.openxmlformats.org/officeDocument/2006/relationships" r:embed="rId33">
          <a:extLst>
            <a:ext uri="{96DAC541-7B7A-43D3-8B79-37D633B846F1}">
              <asvg:svgBlip xmlns:asvg="http://schemas.microsoft.com/office/drawing/2016/SVG/main" r:embed="rId34"/>
            </a:ext>
          </a:extLst>
        </a:blip>
        <a:stretch>
          <a:fillRect/>
        </a:stretch>
      </xdr:blipFill>
      <xdr:spPr>
        <a:xfrm>
          <a:off x="8114322" y="1182077"/>
          <a:ext cx="547078" cy="547078"/>
        </a:xfrm>
        <a:prstGeom prst="rect">
          <a:avLst/>
        </a:prstGeom>
      </xdr:spPr>
    </xdr:pic>
    <xdr:clientData/>
  </xdr:twoCellAnchor>
  <xdr:twoCellAnchor>
    <xdr:from>
      <xdr:col>4</xdr:col>
      <xdr:colOff>577731</xdr:colOff>
      <xdr:row>10</xdr:row>
      <xdr:rowOff>125015</xdr:rowOff>
    </xdr:from>
    <xdr:to>
      <xdr:col>5</xdr:col>
      <xdr:colOff>386953</xdr:colOff>
      <xdr:row>12</xdr:row>
      <xdr:rowOff>2175</xdr:rowOff>
    </xdr:to>
    <xdr:sp macro="" textlink="">
      <xdr:nvSpPr>
        <xdr:cNvPr id="32" name="TextBox 31">
          <a:extLst>
            <a:ext uri="{FF2B5EF4-FFF2-40B4-BE49-F238E27FC236}">
              <a16:creationId xmlns:a16="http://schemas.microsoft.com/office/drawing/2014/main" id="{7DD42673-C805-4729-9132-83423F05D39F}"/>
            </a:ext>
          </a:extLst>
        </xdr:cNvPr>
        <xdr:cNvSpPr txBox="1"/>
      </xdr:nvSpPr>
      <xdr:spPr>
        <a:xfrm>
          <a:off x="3006606" y="1970484"/>
          <a:ext cx="416441" cy="246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solidFill>
              <a:latin typeface="+mn-lt"/>
              <a:ea typeface="+mn-ea"/>
              <a:cs typeface="+mn-cs"/>
            </a:rPr>
            <a:t>SALE</a:t>
          </a:r>
          <a:endParaRPr lang="en-IN" sz="1100" b="1">
            <a:solidFill>
              <a:schemeClr val="bg1"/>
            </a:solidFill>
            <a:latin typeface="+mn-lt"/>
            <a:ea typeface="+mn-ea"/>
            <a:cs typeface="+mn-cs"/>
          </a:endParaRPr>
        </a:p>
      </xdr:txBody>
    </xdr:sp>
    <xdr:clientData/>
  </xdr:twoCellAnchor>
  <xdr:twoCellAnchor>
    <xdr:from>
      <xdr:col>5</xdr:col>
      <xdr:colOff>488156</xdr:colOff>
      <xdr:row>10</xdr:row>
      <xdr:rowOff>146450</xdr:rowOff>
    </xdr:from>
    <xdr:to>
      <xdr:col>6</xdr:col>
      <xdr:colOff>422672</xdr:colOff>
      <xdr:row>12</xdr:row>
      <xdr:rowOff>23610</xdr:rowOff>
    </xdr:to>
    <xdr:sp macro="" textlink="">
      <xdr:nvSpPr>
        <xdr:cNvPr id="36" name="TextBox 35">
          <a:extLst>
            <a:ext uri="{FF2B5EF4-FFF2-40B4-BE49-F238E27FC236}">
              <a16:creationId xmlns:a16="http://schemas.microsoft.com/office/drawing/2014/main" id="{3A6F4829-A75B-427C-A33B-D1471F37E4B1}"/>
            </a:ext>
          </a:extLst>
        </xdr:cNvPr>
        <xdr:cNvSpPr txBox="1"/>
      </xdr:nvSpPr>
      <xdr:spPr>
        <a:xfrm>
          <a:off x="3524250" y="1991919"/>
          <a:ext cx="541735" cy="246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solidFill>
              <a:latin typeface="+mn-lt"/>
              <a:ea typeface="+mn-ea"/>
              <a:cs typeface="+mn-cs"/>
            </a:rPr>
            <a:t>PROFIT</a:t>
          </a:r>
        </a:p>
      </xdr:txBody>
    </xdr:sp>
    <xdr:clientData/>
  </xdr:twoCellAnchor>
  <xdr:twoCellAnchor>
    <xdr:from>
      <xdr:col>6</xdr:col>
      <xdr:colOff>424134</xdr:colOff>
      <xdr:row>10</xdr:row>
      <xdr:rowOff>148828</xdr:rowOff>
    </xdr:from>
    <xdr:to>
      <xdr:col>7</xdr:col>
      <xdr:colOff>559594</xdr:colOff>
      <xdr:row>12</xdr:row>
      <xdr:rowOff>27181</xdr:rowOff>
    </xdr:to>
    <xdr:sp macro="" textlink="">
      <xdr:nvSpPr>
        <xdr:cNvPr id="38" name="TextBox 37">
          <a:extLst>
            <a:ext uri="{FF2B5EF4-FFF2-40B4-BE49-F238E27FC236}">
              <a16:creationId xmlns:a16="http://schemas.microsoft.com/office/drawing/2014/main" id="{A479A2EA-4E91-46B4-9B14-66BEF4F675E9}"/>
            </a:ext>
          </a:extLst>
        </xdr:cNvPr>
        <xdr:cNvSpPr txBox="1"/>
      </xdr:nvSpPr>
      <xdr:spPr>
        <a:xfrm>
          <a:off x="4067447" y="1994297"/>
          <a:ext cx="742678" cy="247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chemeClr val="bg1"/>
              </a:solidFill>
              <a:latin typeface="+mn-lt"/>
              <a:ea typeface="+mn-ea"/>
              <a:cs typeface="+mn-cs"/>
            </a:rPr>
            <a:t>PROFIT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33</xdr:col>
      <xdr:colOff>335644</xdr:colOff>
      <xdr:row>9</xdr:row>
      <xdr:rowOff>2722</xdr:rowOff>
    </xdr:from>
    <xdr:to>
      <xdr:col>35</xdr:col>
      <xdr:colOff>979715</xdr:colOff>
      <xdr:row>24</xdr:row>
      <xdr:rowOff>24493</xdr:rowOff>
    </xdr:to>
    <xdr:graphicFrame macro="">
      <xdr:nvGraphicFramePr>
        <xdr:cNvPr id="9" name="Chart 8">
          <a:extLst>
            <a:ext uri="{FF2B5EF4-FFF2-40B4-BE49-F238E27FC236}">
              <a16:creationId xmlns:a16="http://schemas.microsoft.com/office/drawing/2014/main" id="{0062AD45-83F4-18F8-58A1-22E6F3221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ul Saad" refreshedDate="45761.72092349537" createdVersion="8" refreshedVersion="8" minRefreshableVersion="3" recordCount="26" xr:uid="{31E6635C-218E-49D0-9E91-1872772E793E}">
  <cacheSource type="worksheet">
    <worksheetSource name="Table1"/>
  </cacheSource>
  <cacheFields count="17">
    <cacheField name="Date" numFmtId="14">
      <sharedItems containsSemiMixedTypes="0" containsNonDate="0" containsDate="1" containsString="0" minDate="2022-04-10T00:00:00" maxDate="2025-12-15T00:00:00" count="34">
        <d v="2025-01-01T00:00:00"/>
        <d v="2025-02-01T00:00:00"/>
        <d v="2025-04-01T00:00:00"/>
        <d v="2025-05-01T00:00:00"/>
        <d v="2025-06-01T00:00:00"/>
        <d v="2025-07-01T00:00:00"/>
        <d v="2025-09-01T00:00:00"/>
        <d v="2025-10-01T00:00:00"/>
        <d v="2025-11-01T00:00:00"/>
        <d v="2025-12-01T00:00:00"/>
        <d v="2025-09-07T00:00:00"/>
        <d v="2025-07-07T00:00:00"/>
        <d v="2025-04-08T00:00:00"/>
        <d v="2025-06-08T00:00:00"/>
        <d v="2025-04-09T00:00:00"/>
        <d v="2025-05-09T00:00:00"/>
        <d v="2025-04-10T00:00:00"/>
        <d v="2022-08-10T00:00:00"/>
        <d v="2025-04-11T00:00:00"/>
        <d v="2025-08-11T00:00:00"/>
        <d v="2025-04-12T00:00:00"/>
        <d v="2025-04-13T00:00:00"/>
        <d v="2025-12-14T00:00:00"/>
        <d v="2025-03-14T00:00:00"/>
        <d v="2025-03-01T00:00:00" u="1"/>
        <d v="2022-04-10T00:00:00" u="1"/>
        <d v="2025-04-02T00:00:00" u="1"/>
        <d v="2025-04-03T00:00:00" u="1"/>
        <d v="2025-04-04T00:00:00" u="1"/>
        <d v="2025-04-05T00:00:00" u="1"/>
        <d v="2025-04-06T00:00:00" u="1"/>
        <d v="2025-04-07T00:00:00" u="1"/>
        <d v="2024-04-09T00:00:00" u="1"/>
        <d v="2025-04-14T00:00:00" u="1"/>
      </sharedItems>
      <fieldGroup par="16"/>
    </cacheField>
    <cacheField name="PRODUCT_ID" numFmtId="0">
      <sharedItems/>
    </cacheField>
    <cacheField name="QUANTITY" numFmtId="0">
      <sharedItems containsSemiMixedTypes="0" containsString="0" containsNumber="1" containsInteger="1" minValue="1" maxValue="6"/>
    </cacheField>
    <cacheField name="SALE TYPE" numFmtId="0">
      <sharedItems count="2">
        <s v="Retail"/>
        <s v="Wholesale"/>
      </sharedItems>
    </cacheField>
    <cacheField name="PAYMENT MODE" numFmtId="0">
      <sharedItems count="5">
        <s v="Cash"/>
        <s v="UPI"/>
        <s v="Online"/>
        <s v="Card"/>
        <s v="Onine" u="1"/>
      </sharedItems>
    </cacheField>
    <cacheField name="DISCOUNT %" numFmtId="9">
      <sharedItems containsSemiMixedTypes="0" containsString="0" containsNumber="1" minValue="0" maxValue="0.05"/>
    </cacheField>
    <cacheField name="PRODUCT" numFmtId="0">
      <sharedItems count="28">
        <s v="Herbal Tea"/>
        <s v="Aloe Vera Gel"/>
        <s v="Ashwagandha Capsules"/>
        <s v="Cinnamon Sticks"/>
        <s v="Moringa Powder"/>
        <s v="Ginger Tea"/>
        <s v="Brahmi Powder"/>
        <s v="Cardamom"/>
        <s v="Lavender Oil"/>
        <s v="Clove Powder"/>
        <s v="Chamomile Tea"/>
        <s v="Neem Capsules"/>
        <s v="Saffron"/>
        <s v="Tulsi Tea"/>
        <s v="Triphala Powder"/>
        <s v="Amla Capsules"/>
        <s v="Cinnamon Powder"/>
        <s v="Eucalyptus Oil"/>
        <s v="Ginseng Capsules"/>
        <s v="Sandalwood Powder"/>
        <s v="Rose Water"/>
        <s v="Peppermint Oil"/>
        <s v="Lemon Grass Tea"/>
        <s v="Mint Tea"/>
        <s v="Black Pepper"/>
        <s v="Ashwagandha Powder"/>
        <s v="Turmeric Powder" u="1"/>
        <s v="Fennel Seeds" u="1"/>
      </sharedItems>
    </cacheField>
    <cacheField name="CATEGORY" numFmtId="0">
      <sharedItems count="4">
        <s v="Beverage"/>
        <s v="Skincare"/>
        <s v="Supplement"/>
        <s v="Spice"/>
      </sharedItems>
    </cacheField>
    <cacheField name="UOM" numFmtId="0">
      <sharedItems count="5">
        <s v="Box"/>
        <s v="Bottle"/>
        <s v="Pack"/>
        <s v="Bag"/>
        <s v="Gram"/>
      </sharedItems>
    </cacheField>
    <cacheField name="BUYING PRICE" numFmtId="164">
      <sharedItems containsSemiMixedTypes="0" containsString="0" containsNumber="1" minValue="2" maxValue="15"/>
    </cacheField>
    <cacheField name="SELLING PRICE" numFmtId="164">
      <sharedItems containsSemiMixedTypes="0" containsString="0" containsNumber="1" containsInteger="1" minValue="4" maxValue="30"/>
    </cacheField>
    <cacheField name="TOTAL BUYING VALUE" numFmtId="164">
      <sharedItems containsSemiMixedTypes="0" containsString="0" containsNumber="1" minValue="4.5" maxValue="50"/>
    </cacheField>
    <cacheField name="TOTAL SELLING VALUE" numFmtId="164">
      <sharedItems containsSemiMixedTypes="0" containsString="0" containsNumber="1" minValue="9" maxValue="100"/>
    </cacheField>
    <cacheField name="DAY" numFmtId="0">
      <sharedItems containsSemiMixedTypes="0" containsString="0" containsNumber="1" containsInteger="1" minValue="1" maxValue="14" count="14">
        <n v="1"/>
        <n v="7"/>
        <n v="8"/>
        <n v="9"/>
        <n v="10"/>
        <n v="11"/>
        <n v="12"/>
        <n v="13"/>
        <n v="14"/>
        <n v="2" u="1"/>
        <n v="3" u="1"/>
        <n v="4" u="1"/>
        <n v="5" u="1"/>
        <n v="6" u="1"/>
      </sharedItems>
    </cacheField>
    <cacheField name="MONTH" numFmtId="0">
      <sharedItems containsMixedTypes="1" containsNumber="1" containsInteger="1" minValue="4" maxValue="4" count="13">
        <s v="Jan"/>
        <s v="Feb"/>
        <s v="Apr"/>
        <s v="May"/>
        <s v="Jun"/>
        <s v="Jul"/>
        <s v="Sep"/>
        <s v="Oct"/>
        <s v="Nov"/>
        <s v="Dec"/>
        <s v="Aug"/>
        <s v="Mar"/>
        <n v="4" u="1"/>
      </sharedItems>
    </cacheField>
    <cacheField name="YEAR" numFmtId="0">
      <sharedItems containsSemiMixedTypes="0" containsString="0" containsNumber="1" containsInteger="1" minValue="2022" maxValue="2025" count="3">
        <n v="2025"/>
        <n v="2022"/>
        <n v="2024" u="1"/>
      </sharedItems>
    </cacheField>
    <cacheField name="Months (Date)" numFmtId="0" databaseField="0">
      <fieldGroup base="0">
        <rangePr groupBy="months" startDate="2022-08-10T00:00:00" endDate="2025-12-15T00:00:00"/>
        <groupItems count="14">
          <s v="&lt;10-08-2022"/>
          <s v="Jan"/>
          <s v="Feb"/>
          <s v="Mar"/>
          <s v="Apr"/>
          <s v="May"/>
          <s v="Jun"/>
          <s v="Jul"/>
          <s v="Aug"/>
          <s v="Sep"/>
          <s v="Oct"/>
          <s v="Nov"/>
          <s v="Dec"/>
          <s v="&gt;15-12-2025"/>
        </groupItems>
      </fieldGroup>
    </cacheField>
  </cacheFields>
  <extLst>
    <ext xmlns:x14="http://schemas.microsoft.com/office/spreadsheetml/2009/9/main" uri="{725AE2AE-9491-48be-B2B4-4EB974FC3084}">
      <x14:pivotCacheDefinition pivotCacheId="94966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s v="PRO10122"/>
    <n v="3"/>
    <x v="0"/>
    <x v="0"/>
    <n v="0.01"/>
    <x v="0"/>
    <x v="0"/>
    <x v="0"/>
    <n v="5"/>
    <n v="10"/>
    <n v="15"/>
    <n v="29.7"/>
    <x v="0"/>
    <x v="0"/>
    <x v="0"/>
  </r>
  <r>
    <x v="1"/>
    <s v="PRO10123"/>
    <n v="2"/>
    <x v="1"/>
    <x v="1"/>
    <n v="0"/>
    <x v="1"/>
    <x v="1"/>
    <x v="1"/>
    <n v="7.5"/>
    <n v="15"/>
    <n v="15"/>
    <n v="30"/>
    <x v="0"/>
    <x v="1"/>
    <x v="0"/>
  </r>
  <r>
    <x v="2"/>
    <s v="PRO10125"/>
    <n v="5"/>
    <x v="1"/>
    <x v="2"/>
    <n v="0"/>
    <x v="2"/>
    <x v="2"/>
    <x v="1"/>
    <n v="10"/>
    <n v="20"/>
    <n v="50"/>
    <n v="100"/>
    <x v="0"/>
    <x v="2"/>
    <x v="0"/>
  </r>
  <r>
    <x v="3"/>
    <s v="PRO10126"/>
    <n v="2"/>
    <x v="0"/>
    <x v="0"/>
    <n v="0"/>
    <x v="3"/>
    <x v="3"/>
    <x v="2"/>
    <n v="4"/>
    <n v="8"/>
    <n v="8"/>
    <n v="16"/>
    <x v="0"/>
    <x v="3"/>
    <x v="0"/>
  </r>
  <r>
    <x v="4"/>
    <s v="PRO10127"/>
    <n v="3"/>
    <x v="1"/>
    <x v="1"/>
    <n v="0"/>
    <x v="4"/>
    <x v="2"/>
    <x v="2"/>
    <n v="6"/>
    <n v="12"/>
    <n v="18"/>
    <n v="36"/>
    <x v="0"/>
    <x v="4"/>
    <x v="0"/>
  </r>
  <r>
    <x v="5"/>
    <s v="PRO10128"/>
    <n v="1"/>
    <x v="0"/>
    <x v="3"/>
    <n v="0"/>
    <x v="5"/>
    <x v="0"/>
    <x v="0"/>
    <n v="5.5"/>
    <n v="11"/>
    <n v="5.5"/>
    <n v="11"/>
    <x v="0"/>
    <x v="5"/>
    <x v="0"/>
  </r>
  <r>
    <x v="2"/>
    <s v="PRO10129"/>
    <n v="5"/>
    <x v="1"/>
    <x v="2"/>
    <n v="0.02"/>
    <x v="6"/>
    <x v="2"/>
    <x v="1"/>
    <n v="8"/>
    <n v="16"/>
    <n v="40"/>
    <n v="78.400000000000006"/>
    <x v="0"/>
    <x v="2"/>
    <x v="0"/>
  </r>
  <r>
    <x v="6"/>
    <s v="PRO10130"/>
    <n v="3"/>
    <x v="0"/>
    <x v="0"/>
    <n v="0"/>
    <x v="7"/>
    <x v="3"/>
    <x v="2"/>
    <n v="9"/>
    <n v="18"/>
    <n v="27"/>
    <n v="54"/>
    <x v="0"/>
    <x v="6"/>
    <x v="0"/>
  </r>
  <r>
    <x v="7"/>
    <s v="PRO10131"/>
    <n v="4"/>
    <x v="1"/>
    <x v="1"/>
    <n v="0"/>
    <x v="8"/>
    <x v="1"/>
    <x v="1"/>
    <n v="12"/>
    <n v="25"/>
    <n v="48"/>
    <n v="100"/>
    <x v="0"/>
    <x v="7"/>
    <x v="0"/>
  </r>
  <r>
    <x v="8"/>
    <s v="PRO10132"/>
    <n v="1"/>
    <x v="0"/>
    <x v="3"/>
    <n v="0"/>
    <x v="9"/>
    <x v="3"/>
    <x v="3"/>
    <n v="4.5"/>
    <n v="9"/>
    <n v="4.5"/>
    <n v="9"/>
    <x v="0"/>
    <x v="8"/>
    <x v="0"/>
  </r>
  <r>
    <x v="9"/>
    <s v="PRO10133"/>
    <n v="6"/>
    <x v="1"/>
    <x v="0"/>
    <n v="0"/>
    <x v="10"/>
    <x v="0"/>
    <x v="0"/>
    <n v="6"/>
    <n v="12"/>
    <n v="36"/>
    <n v="72"/>
    <x v="0"/>
    <x v="9"/>
    <x v="0"/>
  </r>
  <r>
    <x v="10"/>
    <s v="PRO10134"/>
    <n v="2"/>
    <x v="0"/>
    <x v="2"/>
    <n v="0.05"/>
    <x v="11"/>
    <x v="2"/>
    <x v="1"/>
    <n v="11"/>
    <n v="22"/>
    <n v="22"/>
    <n v="41.8"/>
    <x v="1"/>
    <x v="6"/>
    <x v="0"/>
  </r>
  <r>
    <x v="11"/>
    <s v="PRO10135"/>
    <n v="3"/>
    <x v="1"/>
    <x v="1"/>
    <n v="0"/>
    <x v="12"/>
    <x v="3"/>
    <x v="4"/>
    <n v="15"/>
    <n v="30"/>
    <n v="45"/>
    <n v="90"/>
    <x v="1"/>
    <x v="5"/>
    <x v="0"/>
  </r>
  <r>
    <x v="12"/>
    <s v="PRO10136"/>
    <n v="4"/>
    <x v="0"/>
    <x v="3"/>
    <n v="0"/>
    <x v="13"/>
    <x v="0"/>
    <x v="0"/>
    <n v="4"/>
    <n v="8"/>
    <n v="16"/>
    <n v="32"/>
    <x v="2"/>
    <x v="2"/>
    <x v="0"/>
  </r>
  <r>
    <x v="13"/>
    <s v="PRO10137"/>
    <n v="1"/>
    <x v="1"/>
    <x v="2"/>
    <n v="0"/>
    <x v="14"/>
    <x v="2"/>
    <x v="3"/>
    <n v="7"/>
    <n v="14"/>
    <n v="7"/>
    <n v="14"/>
    <x v="2"/>
    <x v="4"/>
    <x v="0"/>
  </r>
  <r>
    <x v="14"/>
    <s v="PRO10138"/>
    <n v="5"/>
    <x v="0"/>
    <x v="1"/>
    <n v="0"/>
    <x v="15"/>
    <x v="2"/>
    <x v="1"/>
    <n v="6.5"/>
    <n v="13"/>
    <n v="32.5"/>
    <n v="65"/>
    <x v="3"/>
    <x v="2"/>
    <x v="0"/>
  </r>
  <r>
    <x v="15"/>
    <s v="PRO10139"/>
    <n v="3"/>
    <x v="1"/>
    <x v="0"/>
    <n v="0"/>
    <x v="16"/>
    <x v="3"/>
    <x v="2"/>
    <n v="3.5"/>
    <n v="7"/>
    <n v="10.5"/>
    <n v="21"/>
    <x v="3"/>
    <x v="3"/>
    <x v="0"/>
  </r>
  <r>
    <x v="16"/>
    <s v="PRO10140"/>
    <n v="2"/>
    <x v="0"/>
    <x v="3"/>
    <n v="0"/>
    <x v="17"/>
    <x v="1"/>
    <x v="1"/>
    <n v="9"/>
    <n v="18"/>
    <n v="18"/>
    <n v="36"/>
    <x v="4"/>
    <x v="2"/>
    <x v="0"/>
  </r>
  <r>
    <x v="17"/>
    <s v="PRO10141"/>
    <n v="4"/>
    <x v="1"/>
    <x v="2"/>
    <n v="0"/>
    <x v="18"/>
    <x v="2"/>
    <x v="1"/>
    <n v="8.5"/>
    <n v="17"/>
    <n v="34"/>
    <n v="68"/>
    <x v="4"/>
    <x v="10"/>
    <x v="1"/>
  </r>
  <r>
    <x v="18"/>
    <s v="PRO10142"/>
    <n v="2"/>
    <x v="0"/>
    <x v="1"/>
    <n v="0"/>
    <x v="19"/>
    <x v="1"/>
    <x v="2"/>
    <n v="10"/>
    <n v="20"/>
    <n v="20"/>
    <n v="40"/>
    <x v="5"/>
    <x v="2"/>
    <x v="0"/>
  </r>
  <r>
    <x v="19"/>
    <s v="PRO10143"/>
    <n v="5"/>
    <x v="1"/>
    <x v="3"/>
    <n v="0"/>
    <x v="20"/>
    <x v="1"/>
    <x v="1"/>
    <n v="4.5"/>
    <n v="9"/>
    <n v="22.5"/>
    <n v="45"/>
    <x v="5"/>
    <x v="10"/>
    <x v="0"/>
  </r>
  <r>
    <x v="20"/>
    <s v="PRO10144"/>
    <n v="1"/>
    <x v="0"/>
    <x v="0"/>
    <n v="0"/>
    <x v="21"/>
    <x v="1"/>
    <x v="1"/>
    <n v="11"/>
    <n v="22"/>
    <n v="11"/>
    <n v="22"/>
    <x v="6"/>
    <x v="2"/>
    <x v="0"/>
  </r>
  <r>
    <x v="20"/>
    <s v="PRO10145"/>
    <n v="3"/>
    <x v="1"/>
    <x v="2"/>
    <n v="0"/>
    <x v="22"/>
    <x v="0"/>
    <x v="0"/>
    <n v="6.5"/>
    <n v="13"/>
    <n v="19.5"/>
    <n v="39"/>
    <x v="6"/>
    <x v="2"/>
    <x v="0"/>
  </r>
  <r>
    <x v="21"/>
    <s v="PRO10147"/>
    <n v="5"/>
    <x v="1"/>
    <x v="3"/>
    <n v="0"/>
    <x v="23"/>
    <x v="0"/>
    <x v="0"/>
    <n v="5"/>
    <n v="10"/>
    <n v="25"/>
    <n v="50"/>
    <x v="7"/>
    <x v="2"/>
    <x v="0"/>
  </r>
  <r>
    <x v="22"/>
    <s v="PRO10148"/>
    <n v="3"/>
    <x v="0"/>
    <x v="2"/>
    <n v="0"/>
    <x v="24"/>
    <x v="3"/>
    <x v="2"/>
    <n v="2"/>
    <n v="4"/>
    <n v="6"/>
    <n v="12"/>
    <x v="8"/>
    <x v="9"/>
    <x v="0"/>
  </r>
  <r>
    <x v="23"/>
    <s v="PRO10149"/>
    <n v="2"/>
    <x v="1"/>
    <x v="0"/>
    <n v="0"/>
    <x v="25"/>
    <x v="2"/>
    <x v="3"/>
    <n v="5.5"/>
    <n v="11"/>
    <n v="11"/>
    <n v="22"/>
    <x v="8"/>
    <x v="1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BC9ADB-5D16-4217-AC08-AB489789E875}" name="ProductWise" cacheId="0" dataPosition="0" applyNumberFormats="0" applyBorderFormats="0" applyFontFormats="0" applyPatternFormats="0" applyAlignmentFormats="0" applyWidthHeightFormats="1" dataCaption="Values" updatedVersion="8" minRefreshableVersion="3" useAutoFormatting="1" pageWrap="2" rowGrandTotals="0" itemPrintTitles="1" createdVersion="8" indent="0" rowHeaderCaption="PRODUCT">
  <location ref="P3:R55" firstHeaderRow="0"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dataField="1" showAll="0"/>
    <pivotField showAll="0">
      <items count="3">
        <item x="0"/>
        <item x="1"/>
        <item t="default"/>
      </items>
    </pivotField>
    <pivotField showAll="0">
      <items count="6">
        <item x="3"/>
        <item x="0"/>
        <item m="1" x="4"/>
        <item x="2"/>
        <item x="1"/>
        <item t="default"/>
      </items>
    </pivotField>
    <pivotField numFmtId="9" showAll="0"/>
    <pivotField axis="axisRow" showAll="0" defaultSubtotal="0">
      <items count="28">
        <item x="1"/>
        <item x="15"/>
        <item x="2"/>
        <item x="25"/>
        <item x="24"/>
        <item x="6"/>
        <item x="7"/>
        <item x="10"/>
        <item x="16"/>
        <item x="3"/>
        <item x="9"/>
        <item x="17"/>
        <item sd="0" m="1" x="27"/>
        <item x="5"/>
        <item x="18"/>
        <item x="0"/>
        <item x="8"/>
        <item x="22"/>
        <item x="23"/>
        <item x="4"/>
        <item x="11"/>
        <item x="21"/>
        <item x="20"/>
        <item x="12"/>
        <item x="19"/>
        <item x="14"/>
        <item x="13"/>
        <item m="1" x="26"/>
      </items>
    </pivotField>
    <pivotField showAll="0"/>
    <pivotField axis="axisRow" outline="0" multipleItemSelectionAllowed="1" showAll="0" insertPageBreak="1" includeNewItemsInFilter="1">
      <items count="6">
        <item x="3"/>
        <item x="1"/>
        <item x="0"/>
        <item x="4"/>
        <item x="2"/>
        <item t="default"/>
      </items>
    </pivotField>
    <pivotField numFmtId="164" showAll="0"/>
    <pivotField numFmtId="164" showAll="0"/>
    <pivotField numFmtId="164" showAll="0"/>
    <pivotField dataField="1" numFmtId="164" showAll="0"/>
    <pivotField showAll="0"/>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Fields count="2">
    <field x="6"/>
    <field x="8"/>
  </rowFields>
  <rowItems count="52">
    <i>
      <x/>
    </i>
    <i r="1">
      <x v="1"/>
    </i>
    <i>
      <x v="1"/>
    </i>
    <i r="1">
      <x v="1"/>
    </i>
    <i>
      <x v="2"/>
    </i>
    <i r="1">
      <x v="1"/>
    </i>
    <i>
      <x v="3"/>
    </i>
    <i r="1">
      <x/>
    </i>
    <i>
      <x v="4"/>
    </i>
    <i r="1">
      <x v="4"/>
    </i>
    <i>
      <x v="5"/>
    </i>
    <i r="1">
      <x v="1"/>
    </i>
    <i>
      <x v="6"/>
    </i>
    <i r="1">
      <x v="4"/>
    </i>
    <i>
      <x v="7"/>
    </i>
    <i r="1">
      <x v="2"/>
    </i>
    <i>
      <x v="8"/>
    </i>
    <i r="1">
      <x v="4"/>
    </i>
    <i>
      <x v="9"/>
    </i>
    <i r="1">
      <x v="4"/>
    </i>
    <i>
      <x v="10"/>
    </i>
    <i r="1">
      <x/>
    </i>
    <i>
      <x v="11"/>
    </i>
    <i r="1">
      <x v="1"/>
    </i>
    <i>
      <x v="13"/>
    </i>
    <i r="1">
      <x v="2"/>
    </i>
    <i>
      <x v="14"/>
    </i>
    <i r="1">
      <x v="1"/>
    </i>
    <i>
      <x v="15"/>
    </i>
    <i r="1">
      <x v="2"/>
    </i>
    <i>
      <x v="16"/>
    </i>
    <i r="1">
      <x v="1"/>
    </i>
    <i>
      <x v="17"/>
    </i>
    <i r="1">
      <x v="2"/>
    </i>
    <i>
      <x v="18"/>
    </i>
    <i r="1">
      <x v="2"/>
    </i>
    <i>
      <x v="19"/>
    </i>
    <i r="1">
      <x v="4"/>
    </i>
    <i>
      <x v="20"/>
    </i>
    <i r="1">
      <x v="1"/>
    </i>
    <i>
      <x v="21"/>
    </i>
    <i r="1">
      <x v="1"/>
    </i>
    <i>
      <x v="22"/>
    </i>
    <i r="1">
      <x v="1"/>
    </i>
    <i>
      <x v="23"/>
    </i>
    <i r="1">
      <x v="3"/>
    </i>
    <i>
      <x v="24"/>
    </i>
    <i r="1">
      <x v="4"/>
    </i>
    <i>
      <x v="25"/>
    </i>
    <i r="1">
      <x/>
    </i>
    <i>
      <x v="26"/>
    </i>
    <i r="1">
      <x v="2"/>
    </i>
  </rowItems>
  <colFields count="1">
    <field x="-2"/>
  </colFields>
  <colItems count="2">
    <i>
      <x/>
    </i>
    <i i="1">
      <x v="1"/>
    </i>
  </colItems>
  <dataFields count="2">
    <dataField name="Sum of TOTAL SELLING VALUE" fld="12" baseField="0" baseItem="0" numFmtId="164"/>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B685E6-CC94-4086-A9F8-CC4EFACB7550}"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47" rowHeaderCaption="CATEGORY">
  <location ref="AE1:AF5" firstHeaderRow="1"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showAll="0">
      <items count="3">
        <item x="0"/>
        <item x="1"/>
        <item t="default"/>
      </items>
    </pivotField>
    <pivotField showAll="0">
      <items count="6">
        <item x="3"/>
        <item x="0"/>
        <item m="1" x="4"/>
        <item x="2"/>
        <item x="1"/>
        <item t="default"/>
      </items>
    </pivotField>
    <pivotField numFmtId="9" showAll="0"/>
    <pivotField showAll="0"/>
    <pivotField axis="axisRow" showAll="0" sortType="descending">
      <items count="5">
        <item x="2"/>
        <item x="3"/>
        <item x="1"/>
        <item x="0"/>
        <item t="default"/>
      </items>
    </pivotField>
    <pivotField showAll="0" includeNewItemsInFilter="1"/>
    <pivotField numFmtId="164" showAll="0"/>
    <pivotField numFmtId="164" showAll="0"/>
    <pivotField numFmtId="164" showAll="0"/>
    <pivotField dataField="1" numFmtId="164" showAll="0"/>
    <pivotField showAll="0"/>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Fields count="1">
    <field x="7"/>
  </rowFields>
  <rowItems count="4">
    <i>
      <x/>
    </i>
    <i>
      <x v="1"/>
    </i>
    <i>
      <x v="2"/>
    </i>
    <i>
      <x v="3"/>
    </i>
  </rowItems>
  <colItems count="1">
    <i/>
  </colItems>
  <dataFields count="1">
    <dataField name="Sum of TOTAL SELLING VALUE" fld="12" baseField="0" baseItem="0" numFmtId="164"/>
  </dataFields>
  <chartFormats count="3">
    <chartFormat chart="36" format="1"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E34D72D-B803-4D4C-9B76-0402F9C449E2}"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rowHeaderCaption="MONTH">
  <location ref="G3:I15" firstHeaderRow="0"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showAll="0">
      <items count="3">
        <item x="0"/>
        <item x="1"/>
        <item t="default"/>
      </items>
    </pivotField>
    <pivotField showAll="0">
      <items count="6">
        <item x="3"/>
        <item x="0"/>
        <item m="1" x="4"/>
        <item x="2"/>
        <item x="1"/>
        <item t="default"/>
      </items>
    </pivotField>
    <pivotField numFmtId="9" showAll="0"/>
    <pivotField showAll="0"/>
    <pivotField showAll="0"/>
    <pivotField showAll="0" includeNewItemsInFilter="1"/>
    <pivotField numFmtId="164" showAll="0"/>
    <pivotField numFmtId="164" showAll="0"/>
    <pivotField dataField="1" numFmtId="164" showAll="0"/>
    <pivotField dataField="1" numFmtId="164" showAll="0"/>
    <pivotField showAll="0"/>
    <pivotField axis="axisRow" showAll="0" sortType="ascending">
      <items count="14">
        <item h="1" m="1" x="12"/>
        <item x="0"/>
        <item x="1"/>
        <item x="11"/>
        <item x="2"/>
        <item x="3"/>
        <item x="4"/>
        <item x="5"/>
        <item x="10"/>
        <item x="6"/>
        <item x="7"/>
        <item x="8"/>
        <item x="9"/>
        <item t="default"/>
      </items>
    </pivotField>
    <pivotField showAll="0">
      <items count="4">
        <item x="1"/>
        <item m="1" x="2"/>
        <item x="0"/>
        <item t="default"/>
      </items>
    </pivotField>
    <pivotField showAll="0">
      <items count="15">
        <item h="1" x="0"/>
        <item x="1"/>
        <item x="2"/>
        <item x="3"/>
        <item x="4"/>
        <item x="5"/>
        <item x="6"/>
        <item x="7"/>
        <item x="8"/>
        <item x="9"/>
        <item x="10"/>
        <item x="11"/>
        <item x="12"/>
        <item h="1" x="13"/>
        <item t="default"/>
      </items>
    </pivotField>
  </pivotFields>
  <rowFields count="1">
    <field x="14"/>
  </rowFields>
  <rowItems count="12">
    <i>
      <x v="1"/>
    </i>
    <i>
      <x v="2"/>
    </i>
    <i>
      <x v="3"/>
    </i>
    <i>
      <x v="4"/>
    </i>
    <i>
      <x v="5"/>
    </i>
    <i>
      <x v="6"/>
    </i>
    <i>
      <x v="7"/>
    </i>
    <i>
      <x v="8"/>
    </i>
    <i>
      <x v="9"/>
    </i>
    <i>
      <x v="10"/>
    </i>
    <i>
      <x v="11"/>
    </i>
    <i>
      <x v="12"/>
    </i>
  </rowItems>
  <colFields count="1">
    <field x="-2"/>
  </colFields>
  <colItems count="2">
    <i>
      <x/>
    </i>
    <i i="1">
      <x v="1"/>
    </i>
  </colItems>
  <dataFields count="2">
    <dataField name="Sum of TOTAL BUYING VALUE" fld="11" baseField="0" baseItem="0" numFmtId="164"/>
    <dataField name="Sum of TOTAL SELLING VALUE"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6E64E95-18D2-46C9-85A0-8FA901701DA2}"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11" rowHeaderCaption="DAY">
  <location ref="A1:B10" firstHeaderRow="1"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showAll="0">
      <items count="3">
        <item x="0"/>
        <item x="1"/>
        <item t="default"/>
      </items>
    </pivotField>
    <pivotField showAll="0">
      <items count="6">
        <item x="3"/>
        <item x="0"/>
        <item m="1" x="4"/>
        <item x="2"/>
        <item x="1"/>
        <item t="default"/>
      </items>
    </pivotField>
    <pivotField numFmtId="9" showAll="0"/>
    <pivotField showAll="0"/>
    <pivotField showAll="0"/>
    <pivotField showAll="0" includeNewItemsInFilter="1"/>
    <pivotField numFmtId="164" showAll="0"/>
    <pivotField numFmtId="164" showAll="0"/>
    <pivotField numFmtId="164" showAll="0"/>
    <pivotField dataField="1" numFmtId="164" showAll="0"/>
    <pivotField axis="axisRow" showAll="0">
      <items count="15">
        <item x="0"/>
        <item m="1" x="9"/>
        <item m="1" x="10"/>
        <item m="1" x="11"/>
        <item m="1" x="12"/>
        <item m="1" x="13"/>
        <item x="1"/>
        <item x="2"/>
        <item x="3"/>
        <item x="4"/>
        <item x="5"/>
        <item x="6"/>
        <item x="7"/>
        <item x="8"/>
        <item t="default"/>
      </items>
    </pivotField>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Fields count="1">
    <field x="13"/>
  </rowFields>
  <rowItems count="9">
    <i>
      <x/>
    </i>
    <i>
      <x v="6"/>
    </i>
    <i>
      <x v="7"/>
    </i>
    <i>
      <x v="8"/>
    </i>
    <i>
      <x v="9"/>
    </i>
    <i>
      <x v="10"/>
    </i>
    <i>
      <x v="11"/>
    </i>
    <i>
      <x v="12"/>
    </i>
    <i>
      <x v="13"/>
    </i>
  </rowItems>
  <colItems count="1">
    <i/>
  </colItems>
  <dataFields count="1">
    <dataField name="Sum of TOTAL SELLING VALUE" fld="12" baseField="0" baseItem="0" numFmtId="164"/>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B41819-8514-4AF6-9E27-4561BCF00925}" name="SaleType"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rowHeaderCaption="SALE TYPE">
  <location ref="AL1:AM3" firstHeaderRow="1"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axis="axisRow" showAll="0">
      <items count="3">
        <item x="0"/>
        <item x="1"/>
        <item t="default"/>
      </items>
    </pivotField>
    <pivotField showAll="0">
      <items count="6">
        <item x="3"/>
        <item x="0"/>
        <item m="1" x="4"/>
        <item x="2"/>
        <item x="1"/>
        <item t="default"/>
      </items>
    </pivotField>
    <pivotField numFmtId="9" showAll="0"/>
    <pivotField showAll="0"/>
    <pivotField showAll="0"/>
    <pivotField showAll="0" includeNewItemsInFilter="1"/>
    <pivotField numFmtId="164" showAll="0"/>
    <pivotField numFmtId="164" showAll="0"/>
    <pivotField numFmtId="164" showAll="0"/>
    <pivotField dataField="1" numFmtId="164" showAll="0"/>
    <pivotField showAll="0"/>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Fields count="1">
    <field x="3"/>
  </rowFields>
  <rowItems count="2">
    <i>
      <x/>
    </i>
    <i>
      <x v="1"/>
    </i>
  </rowItems>
  <colItems count="1">
    <i/>
  </colItems>
  <dataFields count="1">
    <dataField name="Sum of TOTAL SELLING VALUE" fld="12" baseField="0" baseItem="0" numFmtId="164"/>
  </dataFields>
  <chartFormats count="3">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3" count="1" selected="0">
            <x v="0"/>
          </reference>
        </references>
      </pivotArea>
    </chartFormat>
    <chartFormat chart="7"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D91768-8548-48A9-B9C9-F01D0106F57B}" name="TotalSales" cacheId="0"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
  <location ref="D1:E2" firstHeaderRow="0" firstDataRow="1" firstDataCol="0"/>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showAll="0">
      <items count="3">
        <item x="0"/>
        <item x="1"/>
        <item t="default"/>
      </items>
    </pivotField>
    <pivotField showAll="0">
      <items count="6">
        <item x="3"/>
        <item x="0"/>
        <item m="1" x="4"/>
        <item x="2"/>
        <item x="1"/>
        <item t="default"/>
      </items>
    </pivotField>
    <pivotField numFmtId="9" showAll="0"/>
    <pivotField showAll="0"/>
    <pivotField showAll="0"/>
    <pivotField showAll="0" includeNewItemsInFilter="1"/>
    <pivotField numFmtId="164" showAll="0"/>
    <pivotField numFmtId="164" showAll="0"/>
    <pivotField dataField="1" numFmtId="164" showAll="0"/>
    <pivotField dataField="1" numFmtId="164" showAll="0"/>
    <pivotField showAll="0"/>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TOTAL SELLING VALUE" fld="12" baseField="0" baseItem="0" numFmtId="164"/>
    <dataField name="Sum of TOTAL BUYING VALUE" fld="11"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254826-6622-416D-9005-E32D1E1E1355}"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multipleFieldFilters="0" chartFormat="8" rowHeaderCaption="PAYMENT MODE">
  <location ref="AO1:AP5" firstHeaderRow="1" firstDataRow="1" firstDataCol="1"/>
  <pivotFields count="17">
    <pivotField numFmtId="14" showAll="0">
      <items count="35">
        <item x="2"/>
        <item m="1" x="26"/>
        <item m="1" x="27"/>
        <item m="1" x="28"/>
        <item m="1" x="29"/>
        <item m="1" x="30"/>
        <item m="1" x="31"/>
        <item x="12"/>
        <item x="14"/>
        <item x="16"/>
        <item x="18"/>
        <item x="20"/>
        <item x="21"/>
        <item m="1" x="33"/>
        <item x="0"/>
        <item m="1" x="32"/>
        <item m="1" x="25"/>
        <item x="1"/>
        <item m="1" x="24"/>
        <item x="3"/>
        <item x="4"/>
        <item x="5"/>
        <item x="6"/>
        <item x="7"/>
        <item x="8"/>
        <item x="9"/>
        <item x="10"/>
        <item x="11"/>
        <item x="13"/>
        <item x="15"/>
        <item x="22"/>
        <item x="23"/>
        <item x="17"/>
        <item x="19"/>
        <item t="default"/>
      </items>
    </pivotField>
    <pivotField showAll="0"/>
    <pivotField showAll="0"/>
    <pivotField showAll="0">
      <items count="3">
        <item x="0"/>
        <item x="1"/>
        <item t="default"/>
      </items>
    </pivotField>
    <pivotField axis="axisRow" showAll="0">
      <items count="6">
        <item x="3"/>
        <item x="0"/>
        <item m="1" x="4"/>
        <item x="2"/>
        <item x="1"/>
        <item t="default"/>
      </items>
    </pivotField>
    <pivotField numFmtId="9" showAll="0"/>
    <pivotField showAll="0"/>
    <pivotField showAll="0"/>
    <pivotField showAll="0" includeNewItemsInFilter="1"/>
    <pivotField numFmtId="164" showAll="0"/>
    <pivotField numFmtId="164" showAll="0"/>
    <pivotField numFmtId="164" showAll="0"/>
    <pivotField dataField="1" numFmtId="164" showAll="0"/>
    <pivotField showAll="0"/>
    <pivotField showAll="0">
      <items count="14">
        <item m="1" x="12"/>
        <item x="0"/>
        <item x="1"/>
        <item x="11"/>
        <item x="2"/>
        <item x="3"/>
        <item x="4"/>
        <item x="5"/>
        <item x="10"/>
        <item x="6"/>
        <item x="7"/>
        <item x="8"/>
        <item x="9"/>
        <item t="default"/>
      </items>
    </pivotField>
    <pivotField showAll="0">
      <items count="4">
        <item x="1"/>
        <item m="1" x="2"/>
        <item x="0"/>
        <item t="default"/>
      </items>
    </pivotField>
    <pivotField showAll="0">
      <items count="15">
        <item x="0"/>
        <item x="1"/>
        <item x="2"/>
        <item x="3"/>
        <item x="4"/>
        <item x="5"/>
        <item x="6"/>
        <item x="7"/>
        <item x="8"/>
        <item x="9"/>
        <item x="10"/>
        <item x="11"/>
        <item x="12"/>
        <item x="13"/>
        <item t="default"/>
      </items>
    </pivotField>
  </pivotFields>
  <rowFields count="1">
    <field x="4"/>
  </rowFields>
  <rowItems count="4">
    <i>
      <x/>
    </i>
    <i>
      <x v="1"/>
    </i>
    <i>
      <x v="3"/>
    </i>
    <i>
      <x v="4"/>
    </i>
  </rowItems>
  <colItems count="1">
    <i/>
  </colItems>
  <dataFields count="1">
    <dataField name="Sum of TOTAL SELLING VALUE" fld="12" baseField="0" baseItem="0" numFmtId="164"/>
  </dataFields>
  <chartFormats count="5">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4" count="1" selected="0">
            <x v="0"/>
          </reference>
        </references>
      </pivotArea>
    </chartFormat>
    <chartFormat chart="7" format="9">
      <pivotArea type="data" outline="0" fieldPosition="0">
        <references count="2">
          <reference field="4294967294" count="1" selected="0">
            <x v="0"/>
          </reference>
          <reference field="4" count="1" selected="0">
            <x v="1"/>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 chart="7" format="1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B3BC1FA-6124-425E-BBDD-FF070D2F56E3}" sourceName="SALE TYPE">
  <pivotTables>
    <pivotTable tabId="4" name="Daily"/>
    <pivotTable tabId="4" name="Categorywise"/>
    <pivotTable tabId="4" name="Monthly"/>
    <pivotTable tabId="4" name="PaymentMode"/>
    <pivotTable tabId="4" name="ProductWise"/>
    <pivotTable tabId="4" name="TotalSales"/>
  </pivotTables>
  <data>
    <tabular pivotCacheId="949661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DF309947-1BC5-4FA5-AFF6-5D1B849E2227}" sourceName="PAYMENT MODE">
  <pivotTables>
    <pivotTable tabId="4" name="Daily"/>
    <pivotTable tabId="4" name="Categorywise"/>
    <pivotTable tabId="4" name="Monthly"/>
    <pivotTable tabId="4" name="ProductWise"/>
    <pivotTable tabId="4" name="SaleType"/>
    <pivotTable tabId="4" name="TotalSales"/>
  </pivotTables>
  <data>
    <tabular pivotCacheId="94966159">
      <items count="5">
        <i x="3" s="1"/>
        <i x="0" s="1"/>
        <i x="2" s="1"/>
        <i x="1"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61A8395-4106-4C85-960B-7971061CA249}" sourceName="MONTH">
  <pivotTables>
    <pivotTable tabId="4" name="Daily"/>
    <pivotTable tabId="4" name="Categorywise"/>
    <pivotTable tabId="4" name="PaymentMode"/>
    <pivotTable tabId="4" name="ProductWise"/>
    <pivotTable tabId="4" name="SaleType"/>
    <pivotTable tabId="4" name="TotalSales"/>
  </pivotTables>
  <data>
    <tabular pivotCacheId="94966159">
      <items count="13">
        <i x="0" s="1"/>
        <i x="1" s="1"/>
        <i x="11" s="1"/>
        <i x="2" s="1"/>
        <i x="3" s="1"/>
        <i x="4" s="1"/>
        <i x="5" s="1"/>
        <i x="10" s="1"/>
        <i x="6" s="1"/>
        <i x="7" s="1"/>
        <i x="8" s="1"/>
        <i x="9" s="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62880B8-E9A2-449C-B36E-82B6D7770BEF}" sourceName="YEAR">
  <pivotTables>
    <pivotTable tabId="4" name="Daily"/>
    <pivotTable tabId="4" name="Categorywise"/>
    <pivotTable tabId="4" name="Monthly"/>
    <pivotTable tabId="4" name="PaymentMode"/>
    <pivotTable tabId="4" name="ProductWise"/>
    <pivotTable tabId="4" name="SaleType"/>
    <pivotTable tabId="4" name="TotalSales"/>
  </pivotTables>
  <data>
    <tabular pivotCacheId="94966159">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AE416E20-A519-450C-96A5-DB3B560EADF2}" cache="Slicer_SALE_TYPE" caption="SALE TYPE" columnCount="2" style="SLICER" rowHeight="234950"/>
  <slicer name="PAYMENT MODE" xr10:uid="{21E51C74-6E18-4E8F-867C-26A0747E6498}" cache="Slicer_PAYMENT_MODE" caption="PAYMENT MODE" columnCount="4" style="SLICER" rowHeight="234950"/>
  <slicer name="MONTH" xr10:uid="{DA88A27A-B056-488C-B252-91D0FAD56959}" cache="Slicer_MONTH" caption="MONTH" style="SLICER" rowHeight="234950"/>
  <slicer name="YEAR" xr10:uid="{7135A133-4DA0-4E5E-8A3D-4B4F9102F762}" cache="Slicer_YEAR" caption="YEAR"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95D1CB-97EE-405F-AB6C-DE57784D33DD}" name="Table6" displayName="Table6" ref="A1:F29" totalsRowShown="0" headerRowDxfId="12">
  <autoFilter ref="A1:F29" xr:uid="{388CCE34-EF84-4A9D-8A2F-5EFF29DDDCAD}"/>
  <tableColumns count="6">
    <tableColumn id="1" xr3:uid="{ED5940B7-BE9D-40C0-8C7C-43C5CFA37DB8}" name="PRODUCT_ID"/>
    <tableColumn id="2" xr3:uid="{319FFC68-696C-4DFD-A14B-B459D63EF165}" name="PRODUCT"/>
    <tableColumn id="3" xr3:uid="{8CEF66CD-A942-4D1F-A920-7AEF579B66BF}" name="CATEGORY"/>
    <tableColumn id="4" xr3:uid="{AD8706F6-C5C8-404C-9B8D-2BA89123DAB7}" name="UOM"/>
    <tableColumn id="5" xr3:uid="{CE13592A-153A-41DB-924C-4E37EB71084B}" name="BUYING PRICE"/>
    <tableColumn id="6" xr3:uid="{11F849C1-EFC8-4E5E-8831-159DC15E2111}" name="SELLING PRICE"/>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2A340B-82E1-4C2B-82C4-E3F2784ABAE0}" name="Table1" displayName="Table1" ref="A1:P27" totalsRowShown="0">
  <autoFilter ref="A1:P27" xr:uid="{4F2A340B-82E1-4C2B-82C4-E3F2784ABAE0}"/>
  <tableColumns count="16">
    <tableColumn id="1" xr3:uid="{59C421A9-FA42-47BE-9A66-E52F93127611}" name="Date" dataDxfId="11"/>
    <tableColumn id="2" xr3:uid="{421AC07E-AA63-4954-A0C3-FD967841E7AA}" name="PRODUCT_ID"/>
    <tableColumn id="3" xr3:uid="{7BDF57F0-0691-4055-8EDC-205716F0C34F}" name="QUANTITY"/>
    <tableColumn id="4" xr3:uid="{5911A7E0-E82A-4631-AEA9-792F9B97B8B0}" name="SALE TYPE"/>
    <tableColumn id="5" xr3:uid="{7D02C6B5-52B2-46DF-9A8C-B518D087EF47}" name="PAYMENT MODE"/>
    <tableColumn id="6" xr3:uid="{BEA2F972-B934-4122-81E2-C098C88C5FD6}" name="DISCOUNT %" dataDxfId="10"/>
    <tableColumn id="7" xr3:uid="{E3AB5D17-DCBB-45A2-AED3-A5752B7CADA2}" name="PRODUCT" dataDxfId="9">
      <calculatedColumnFormula>VLOOKUP(Table1[[#This Row],[PRODUCT_ID]], MasterData!$A$2:$F$31, 2, FALSE)</calculatedColumnFormula>
    </tableColumn>
    <tableColumn id="8" xr3:uid="{D35CD6CB-265E-44FD-AAD0-17A28AFD0FDB}" name="CATEGORY" dataDxfId="8">
      <calculatedColumnFormula>VLOOKUP(Table1[[#This Row],[PRODUCT_ID]], MasterData!$A$2:$F$31, 3, FALSE)</calculatedColumnFormula>
    </tableColumn>
    <tableColumn id="9" xr3:uid="{8C9FB598-08BF-46F9-BAF2-1EDFC55A9659}" name="UOM" dataDxfId="7">
      <calculatedColumnFormula>VLOOKUP(Table1[[#This Row],[PRODUCT_ID]], MasterData!$A$2:$F$31, 4, FALSE)</calculatedColumnFormula>
    </tableColumn>
    <tableColumn id="10" xr3:uid="{334978DC-1ED2-4C6B-8EA0-5F08B784CF31}" name="BUYING PRICE" dataDxfId="6">
      <calculatedColumnFormula>VLOOKUP(Table1[[#This Row],[PRODUCT_ID]], MasterData!$A$2:$F$31, 5, FALSE)</calculatedColumnFormula>
    </tableColumn>
    <tableColumn id="11" xr3:uid="{4E7F4C2F-04D6-4EA2-8F96-07167E504F46}" name="SELLING PRICE" dataDxfId="5">
      <calculatedColumnFormula>VLOOKUP(Table1[[#This Row],[PRODUCT_ID]], MasterData!$A$2:$F$31, 6, FALSE)</calculatedColumnFormula>
    </tableColumn>
    <tableColumn id="12" xr3:uid="{6BF276D9-9A9C-4F6C-A9C4-D8417DEF356F}" name="TOTAL BUYING VALUE" dataDxfId="4">
      <calculatedColumnFormula>Table1[[#This Row],[BUYING PRICE]]*Table1[[#This Row],[QUANTITY]]</calculatedColumnFormula>
    </tableColumn>
    <tableColumn id="13" xr3:uid="{B0004027-2A74-4B18-9F90-CB966B2ABD98}" name="TOTAL SELLING VALUE" dataDxfId="3">
      <calculatedColumnFormula>Table1[[#This Row],[SELLING PRICE]]*Table1[[#This Row],[QUANTITY]]*(1-Table1[[#This Row],[DISCOUNT %]])</calculatedColumnFormula>
    </tableColumn>
    <tableColumn id="14" xr3:uid="{ECE8C81F-E67D-4B71-B02A-71181E8765EC}" name="DAY" dataDxfId="2">
      <calculatedColumnFormula>DAY(Table1[[#This Row],[Date]])</calculatedColumnFormula>
    </tableColumn>
    <tableColumn id="15" xr3:uid="{63FF1C06-C30A-4432-8D7F-5098B5C42E7E}" name="MONTH" dataDxfId="1">
      <calculatedColumnFormula>TEXT(Table1[[#This Row],[Date]], "mmm")</calculatedColumnFormula>
    </tableColumn>
    <tableColumn id="16" xr3:uid="{8D0EFACE-AF91-4663-8A70-91FE20717085}" name="YEAR" dataDxfId="0">
      <calculatedColumnFormula>YEAR(Table1[[#This Row],[Date]])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373545"/>
      </a:dk2>
      <a:lt2>
        <a:srgbClr val="CEDBE6"/>
      </a:lt2>
      <a:accent1>
        <a:srgbClr val="C00000"/>
      </a:accent1>
      <a:accent2>
        <a:srgbClr val="FFFF00"/>
      </a:accent2>
      <a:accent3>
        <a:srgbClr val="6B9F25"/>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CE34-EF84-4A9D-8A2F-5EFF29DDDCAD}">
  <sheetPr>
    <tabColor rgb="FF00B0F0"/>
  </sheetPr>
  <dimension ref="A1:F29"/>
  <sheetViews>
    <sheetView workbookViewId="0">
      <selection activeCell="A2" sqref="A2:F29"/>
    </sheetView>
  </sheetViews>
  <sheetFormatPr defaultRowHeight="14.4" x14ac:dyDescent="0.3"/>
  <cols>
    <col min="1" max="1" width="13.21875" customWidth="1"/>
    <col min="2" max="2" width="20" bestFit="1" customWidth="1"/>
    <col min="3" max="3" width="11.77734375" customWidth="1"/>
    <col min="5" max="5" width="14.6640625" customWidth="1"/>
    <col min="6" max="6" width="14.88671875" customWidth="1"/>
  </cols>
  <sheetData>
    <row r="1" spans="1:6" x14ac:dyDescent="0.3">
      <c r="A1" s="3" t="s">
        <v>81</v>
      </c>
      <c r="B1" s="3" t="s">
        <v>73</v>
      </c>
      <c r="C1" s="3" t="s">
        <v>74</v>
      </c>
      <c r="D1" s="3" t="s">
        <v>0</v>
      </c>
      <c r="E1" s="3" t="s">
        <v>75</v>
      </c>
      <c r="F1" s="3" t="s">
        <v>76</v>
      </c>
    </row>
    <row r="2" spans="1:6" x14ac:dyDescent="0.3">
      <c r="A2" t="s">
        <v>56</v>
      </c>
      <c r="B2" t="s">
        <v>28</v>
      </c>
      <c r="C2" t="s">
        <v>60</v>
      </c>
      <c r="D2" t="s">
        <v>63</v>
      </c>
      <c r="E2">
        <v>5.5</v>
      </c>
      <c r="F2">
        <v>11</v>
      </c>
    </row>
    <row r="3" spans="1:6" x14ac:dyDescent="0.3">
      <c r="A3" t="s">
        <v>55</v>
      </c>
      <c r="B3" t="s">
        <v>27</v>
      </c>
      <c r="C3" t="s">
        <v>59</v>
      </c>
      <c r="D3" t="s">
        <v>64</v>
      </c>
      <c r="E3">
        <v>2</v>
      </c>
      <c r="F3">
        <v>4</v>
      </c>
    </row>
    <row r="4" spans="1:6" x14ac:dyDescent="0.3">
      <c r="A4" t="s">
        <v>54</v>
      </c>
      <c r="B4" t="s">
        <v>26</v>
      </c>
      <c r="C4" t="s">
        <v>57</v>
      </c>
      <c r="D4" t="s">
        <v>61</v>
      </c>
      <c r="E4">
        <v>5</v>
      </c>
      <c r="F4">
        <v>10</v>
      </c>
    </row>
    <row r="5" spans="1:6" x14ac:dyDescent="0.3">
      <c r="A5" t="s">
        <v>53</v>
      </c>
      <c r="B5" t="s">
        <v>25</v>
      </c>
      <c r="C5" t="s">
        <v>59</v>
      </c>
      <c r="D5" t="s">
        <v>64</v>
      </c>
      <c r="E5">
        <v>3</v>
      </c>
      <c r="F5">
        <v>6</v>
      </c>
    </row>
    <row r="6" spans="1:6" x14ac:dyDescent="0.3">
      <c r="A6" t="s">
        <v>52</v>
      </c>
      <c r="B6" t="s">
        <v>24</v>
      </c>
      <c r="C6" t="s">
        <v>57</v>
      </c>
      <c r="D6" t="s">
        <v>61</v>
      </c>
      <c r="E6">
        <v>6.5</v>
      </c>
      <c r="F6">
        <v>13</v>
      </c>
    </row>
    <row r="7" spans="1:6" x14ac:dyDescent="0.3">
      <c r="A7" t="s">
        <v>51</v>
      </c>
      <c r="B7" t="s">
        <v>23</v>
      </c>
      <c r="C7" t="s">
        <v>58</v>
      </c>
      <c r="D7" t="s">
        <v>62</v>
      </c>
      <c r="E7">
        <v>11</v>
      </c>
      <c r="F7">
        <v>22</v>
      </c>
    </row>
    <row r="8" spans="1:6" x14ac:dyDescent="0.3">
      <c r="A8" t="s">
        <v>50</v>
      </c>
      <c r="B8" t="s">
        <v>22</v>
      </c>
      <c r="C8" t="s">
        <v>58</v>
      </c>
      <c r="D8" t="s">
        <v>62</v>
      </c>
      <c r="E8">
        <v>4.5</v>
      </c>
      <c r="F8">
        <v>9</v>
      </c>
    </row>
    <row r="9" spans="1:6" x14ac:dyDescent="0.3">
      <c r="A9" t="s">
        <v>49</v>
      </c>
      <c r="B9" t="s">
        <v>21</v>
      </c>
      <c r="C9" t="s">
        <v>58</v>
      </c>
      <c r="D9" t="s">
        <v>64</v>
      </c>
      <c r="E9">
        <v>10</v>
      </c>
      <c r="F9">
        <v>20</v>
      </c>
    </row>
    <row r="10" spans="1:6" x14ac:dyDescent="0.3">
      <c r="A10" t="s">
        <v>48</v>
      </c>
      <c r="B10" t="s">
        <v>20</v>
      </c>
      <c r="C10" t="s">
        <v>60</v>
      </c>
      <c r="D10" t="s">
        <v>62</v>
      </c>
      <c r="E10">
        <v>8.5</v>
      </c>
      <c r="F10">
        <v>17</v>
      </c>
    </row>
    <row r="11" spans="1:6" x14ac:dyDescent="0.3">
      <c r="A11" t="s">
        <v>47</v>
      </c>
      <c r="B11" t="s">
        <v>19</v>
      </c>
      <c r="C11" t="s">
        <v>58</v>
      </c>
      <c r="D11" t="s">
        <v>62</v>
      </c>
      <c r="E11">
        <v>9</v>
      </c>
      <c r="F11">
        <v>18</v>
      </c>
    </row>
    <row r="12" spans="1:6" x14ac:dyDescent="0.3">
      <c r="A12" t="s">
        <v>46</v>
      </c>
      <c r="B12" t="s">
        <v>18</v>
      </c>
      <c r="C12" t="s">
        <v>59</v>
      </c>
      <c r="D12" t="s">
        <v>64</v>
      </c>
      <c r="E12">
        <v>3.5</v>
      </c>
      <c r="F12">
        <v>7</v>
      </c>
    </row>
    <row r="13" spans="1:6" x14ac:dyDescent="0.3">
      <c r="A13" t="s">
        <v>45</v>
      </c>
      <c r="B13" t="s">
        <v>17</v>
      </c>
      <c r="C13" t="s">
        <v>60</v>
      </c>
      <c r="D13" t="s">
        <v>62</v>
      </c>
      <c r="E13">
        <v>6.5</v>
      </c>
      <c r="F13">
        <v>13</v>
      </c>
    </row>
    <row r="14" spans="1:6" x14ac:dyDescent="0.3">
      <c r="A14" t="s">
        <v>44</v>
      </c>
      <c r="B14" t="s">
        <v>16</v>
      </c>
      <c r="C14" t="s">
        <v>60</v>
      </c>
      <c r="D14" t="s">
        <v>63</v>
      </c>
      <c r="E14">
        <v>7</v>
      </c>
      <c r="F14">
        <v>14</v>
      </c>
    </row>
    <row r="15" spans="1:6" x14ac:dyDescent="0.3">
      <c r="A15" t="s">
        <v>43</v>
      </c>
      <c r="B15" t="s">
        <v>15</v>
      </c>
      <c r="C15" t="s">
        <v>57</v>
      </c>
      <c r="D15" t="s">
        <v>61</v>
      </c>
      <c r="E15">
        <v>4</v>
      </c>
      <c r="F15">
        <v>8</v>
      </c>
    </row>
    <row r="16" spans="1:6" x14ac:dyDescent="0.3">
      <c r="A16" t="s">
        <v>42</v>
      </c>
      <c r="B16" t="s">
        <v>14</v>
      </c>
      <c r="C16" t="s">
        <v>59</v>
      </c>
      <c r="D16" t="s">
        <v>65</v>
      </c>
      <c r="E16">
        <v>15</v>
      </c>
      <c r="F16">
        <v>30</v>
      </c>
    </row>
    <row r="17" spans="1:6" x14ac:dyDescent="0.3">
      <c r="A17" t="s">
        <v>41</v>
      </c>
      <c r="B17" t="s">
        <v>13</v>
      </c>
      <c r="C17" t="s">
        <v>60</v>
      </c>
      <c r="D17" t="s">
        <v>62</v>
      </c>
      <c r="E17">
        <v>11</v>
      </c>
      <c r="F17">
        <v>22</v>
      </c>
    </row>
    <row r="18" spans="1:6" x14ac:dyDescent="0.3">
      <c r="A18" t="s">
        <v>40</v>
      </c>
      <c r="B18" t="s">
        <v>12</v>
      </c>
      <c r="C18" t="s">
        <v>57</v>
      </c>
      <c r="D18" t="s">
        <v>61</v>
      </c>
      <c r="E18">
        <v>6</v>
      </c>
      <c r="F18">
        <v>12</v>
      </c>
    </row>
    <row r="19" spans="1:6" x14ac:dyDescent="0.3">
      <c r="A19" t="s">
        <v>39</v>
      </c>
      <c r="B19" t="s">
        <v>11</v>
      </c>
      <c r="C19" t="s">
        <v>59</v>
      </c>
      <c r="D19" t="s">
        <v>63</v>
      </c>
      <c r="E19">
        <v>4.5</v>
      </c>
      <c r="F19">
        <v>9</v>
      </c>
    </row>
    <row r="20" spans="1:6" x14ac:dyDescent="0.3">
      <c r="A20" t="s">
        <v>38</v>
      </c>
      <c r="B20" t="s">
        <v>10</v>
      </c>
      <c r="C20" t="s">
        <v>58</v>
      </c>
      <c r="D20" t="s">
        <v>62</v>
      </c>
      <c r="E20">
        <v>12</v>
      </c>
      <c r="F20">
        <v>25</v>
      </c>
    </row>
    <row r="21" spans="1:6" x14ac:dyDescent="0.3">
      <c r="A21" t="s">
        <v>37</v>
      </c>
      <c r="B21" t="s">
        <v>9</v>
      </c>
      <c r="C21" t="s">
        <v>59</v>
      </c>
      <c r="D21" t="s">
        <v>64</v>
      </c>
      <c r="E21">
        <v>9</v>
      </c>
      <c r="F21">
        <v>18</v>
      </c>
    </row>
    <row r="22" spans="1:6" x14ac:dyDescent="0.3">
      <c r="A22" t="s">
        <v>36</v>
      </c>
      <c r="B22" t="s">
        <v>8</v>
      </c>
      <c r="C22" t="s">
        <v>60</v>
      </c>
      <c r="D22" t="s">
        <v>62</v>
      </c>
      <c r="E22">
        <v>8</v>
      </c>
      <c r="F22">
        <v>16</v>
      </c>
    </row>
    <row r="23" spans="1:6" x14ac:dyDescent="0.3">
      <c r="A23" t="s">
        <v>35</v>
      </c>
      <c r="B23" t="s">
        <v>7</v>
      </c>
      <c r="C23" t="s">
        <v>57</v>
      </c>
      <c r="D23" t="s">
        <v>61</v>
      </c>
      <c r="E23">
        <v>5.5</v>
      </c>
      <c r="F23">
        <v>11</v>
      </c>
    </row>
    <row r="24" spans="1:6" x14ac:dyDescent="0.3">
      <c r="A24" t="s">
        <v>34</v>
      </c>
      <c r="B24" t="s">
        <v>6</v>
      </c>
      <c r="C24" t="s">
        <v>60</v>
      </c>
      <c r="D24" t="s">
        <v>64</v>
      </c>
      <c r="E24">
        <v>6</v>
      </c>
      <c r="F24">
        <v>12</v>
      </c>
    </row>
    <row r="25" spans="1:6" x14ac:dyDescent="0.3">
      <c r="A25" t="s">
        <v>33</v>
      </c>
      <c r="B25" t="s">
        <v>5</v>
      </c>
      <c r="C25" t="s">
        <v>59</v>
      </c>
      <c r="D25" t="s">
        <v>64</v>
      </c>
      <c r="E25">
        <v>4</v>
      </c>
      <c r="F25">
        <v>8</v>
      </c>
    </row>
    <row r="26" spans="1:6" x14ac:dyDescent="0.3">
      <c r="A26" t="s">
        <v>32</v>
      </c>
      <c r="B26" t="s">
        <v>4</v>
      </c>
      <c r="C26" t="s">
        <v>60</v>
      </c>
      <c r="D26" t="s">
        <v>62</v>
      </c>
      <c r="E26">
        <v>10</v>
      </c>
      <c r="F26">
        <v>20</v>
      </c>
    </row>
    <row r="27" spans="1:6" x14ac:dyDescent="0.3">
      <c r="A27" t="s">
        <v>31</v>
      </c>
      <c r="B27" t="s">
        <v>3</v>
      </c>
      <c r="C27" t="s">
        <v>59</v>
      </c>
      <c r="D27" t="s">
        <v>63</v>
      </c>
      <c r="E27">
        <v>3</v>
      </c>
      <c r="F27">
        <v>6</v>
      </c>
    </row>
    <row r="28" spans="1:6" x14ac:dyDescent="0.3">
      <c r="A28" t="s">
        <v>30</v>
      </c>
      <c r="B28" t="s">
        <v>2</v>
      </c>
      <c r="C28" t="s">
        <v>58</v>
      </c>
      <c r="D28" t="s">
        <v>62</v>
      </c>
      <c r="E28">
        <v>7.5</v>
      </c>
      <c r="F28">
        <v>15</v>
      </c>
    </row>
    <row r="29" spans="1:6" x14ac:dyDescent="0.3">
      <c r="A29" t="s">
        <v>29</v>
      </c>
      <c r="B29" t="s">
        <v>1</v>
      </c>
      <c r="C29" t="s">
        <v>57</v>
      </c>
      <c r="D29" t="s">
        <v>61</v>
      </c>
      <c r="E29">
        <v>5</v>
      </c>
      <c r="F29">
        <v>10</v>
      </c>
    </row>
  </sheetData>
  <phoneticPr fontId="1" type="noConversion"/>
  <dataValidations count="4">
    <dataValidation type="list" allowBlank="1" showInputMessage="1" showErrorMessage="1" sqref="C2" xr:uid="{4B9BB216-A0F5-406C-88FA-A6003E6D7D1A}">
      <formula1>$C$2:$C$29</formula1>
    </dataValidation>
    <dataValidation type="list" allowBlank="1" showInputMessage="1" showErrorMessage="1" sqref="D2" xr:uid="{60EF9390-AB26-4FE5-8B65-24FCA9F3E9D5}">
      <formula1>$D$2:$D$29</formula1>
    </dataValidation>
    <dataValidation type="list" allowBlank="1" showInputMessage="1" showErrorMessage="1" sqref="E2" xr:uid="{7A4373A5-AD4A-469C-A6CA-C79CAC3DBFCD}">
      <formula1>$E$2:$E$29</formula1>
    </dataValidation>
    <dataValidation type="list" allowBlank="1" showInputMessage="1" showErrorMessage="1" sqref="F2" xr:uid="{4037042B-D0C5-445D-BC5B-E757F781FC8F}">
      <formula1>$F$2:$F$29</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5C3C-7E8A-4075-B569-F840B611A417}">
  <sheetPr>
    <tabColor rgb="FF00B050"/>
  </sheetPr>
  <dimension ref="A1:P28"/>
  <sheetViews>
    <sheetView zoomScale="78" zoomScaleNormal="155" workbookViewId="0">
      <selection activeCell="F31" sqref="F31"/>
    </sheetView>
  </sheetViews>
  <sheetFormatPr defaultRowHeight="14.4" x14ac:dyDescent="0.3"/>
  <cols>
    <col min="1" max="1" width="10.33203125" bestFit="1" customWidth="1"/>
    <col min="2" max="2" width="16.77734375" customWidth="1"/>
    <col min="3" max="3" width="17.44140625" customWidth="1"/>
    <col min="4" max="4" width="19.21875" customWidth="1"/>
    <col min="5" max="5" width="18.88671875" customWidth="1"/>
    <col min="6" max="6" width="16.5546875" customWidth="1"/>
    <col min="7" max="7" width="20" bestFit="1" customWidth="1"/>
    <col min="8" max="8" width="14.6640625" customWidth="1"/>
    <col min="9" max="9" width="9.21875" customWidth="1"/>
    <col min="10" max="10" width="15.109375" bestFit="1" customWidth="1"/>
    <col min="11" max="11" width="15.5546875" bestFit="1" customWidth="1"/>
    <col min="12" max="12" width="22" bestFit="1" customWidth="1"/>
    <col min="13" max="13" width="22.33203125" bestFit="1" customWidth="1"/>
    <col min="15" max="15" width="10" bestFit="1" customWidth="1"/>
    <col min="16" max="16" width="7.6640625" bestFit="1" customWidth="1"/>
  </cols>
  <sheetData>
    <row r="1" spans="1:16" x14ac:dyDescent="0.3">
      <c r="A1" t="s">
        <v>66</v>
      </c>
      <c r="B1" t="s">
        <v>81</v>
      </c>
      <c r="C1" t="s">
        <v>77</v>
      </c>
      <c r="D1" t="s">
        <v>78</v>
      </c>
      <c r="E1" t="s">
        <v>79</v>
      </c>
      <c r="F1" t="s">
        <v>80</v>
      </c>
      <c r="G1" s="4" t="s">
        <v>73</v>
      </c>
      <c r="H1" s="4" t="s">
        <v>74</v>
      </c>
      <c r="I1" s="4" t="s">
        <v>0</v>
      </c>
      <c r="J1" s="4" t="s">
        <v>75</v>
      </c>
      <c r="K1" s="4" t="s">
        <v>76</v>
      </c>
      <c r="L1" t="s">
        <v>82</v>
      </c>
      <c r="M1" t="s">
        <v>83</v>
      </c>
      <c r="N1" t="s">
        <v>84</v>
      </c>
      <c r="O1" s="10" t="s">
        <v>85</v>
      </c>
      <c r="P1" t="s">
        <v>86</v>
      </c>
    </row>
    <row r="2" spans="1:16" x14ac:dyDescent="0.3">
      <c r="A2" s="1">
        <v>45658</v>
      </c>
      <c r="B2" t="s">
        <v>29</v>
      </c>
      <c r="C2">
        <v>3</v>
      </c>
      <c r="D2" t="s">
        <v>67</v>
      </c>
      <c r="E2" t="s">
        <v>69</v>
      </c>
      <c r="F2" s="2">
        <v>0.01</v>
      </c>
      <c r="G2" t="str">
        <f>VLOOKUP(Table1[[#This Row],[PRODUCT_ID]], MasterData!$A$2:$F$31, 2, FALSE)</f>
        <v>Herbal Tea</v>
      </c>
      <c r="H2" t="str">
        <f>VLOOKUP(Table1[[#This Row],[PRODUCT_ID]], MasterData!$A$2:$F$31, 3, FALSE)</f>
        <v>Beverage</v>
      </c>
      <c r="I2" t="str">
        <f>VLOOKUP(Table1[[#This Row],[PRODUCT_ID]], MasterData!$A$2:$F$31, 4, FALSE)</f>
        <v>Box</v>
      </c>
      <c r="J2" s="5">
        <f>VLOOKUP(Table1[[#This Row],[PRODUCT_ID]], MasterData!$A$2:$F$31, 5, FALSE)</f>
        <v>5</v>
      </c>
      <c r="K2" s="5">
        <f>VLOOKUP(Table1[[#This Row],[PRODUCT_ID]], MasterData!$A$2:$F$31, 6, FALSE)</f>
        <v>10</v>
      </c>
      <c r="L2" s="5">
        <f>Table1[[#This Row],[BUYING PRICE]]*Table1[[#This Row],[QUANTITY]]</f>
        <v>15</v>
      </c>
      <c r="M2" s="5">
        <f>Table1[[#This Row],[SELLING PRICE]]*Table1[[#This Row],[QUANTITY]]*(1-Table1[[#This Row],[DISCOUNT %]])</f>
        <v>29.7</v>
      </c>
      <c r="N2">
        <f>DAY(Table1[[#This Row],[Date]])</f>
        <v>1</v>
      </c>
      <c r="O2" t="str">
        <f>TEXT(Table1[[#This Row],[Date]], "mmm")</f>
        <v>Jan</v>
      </c>
      <c r="P2">
        <f>YEAR(Table1[[#This Row],[Date]])</f>
        <v>2025</v>
      </c>
    </row>
    <row r="3" spans="1:16" x14ac:dyDescent="0.3">
      <c r="A3" s="1">
        <v>45689</v>
      </c>
      <c r="B3" t="s">
        <v>30</v>
      </c>
      <c r="C3">
        <v>2</v>
      </c>
      <c r="D3" t="s">
        <v>68</v>
      </c>
      <c r="E3" t="s">
        <v>70</v>
      </c>
      <c r="F3" s="2">
        <v>0</v>
      </c>
      <c r="G3" t="str">
        <f>VLOOKUP(Table1[[#This Row],[PRODUCT_ID]], MasterData!$A$2:$F$31, 2, FALSE)</f>
        <v>Aloe Vera Gel</v>
      </c>
      <c r="H3" t="str">
        <f>VLOOKUP(Table1[[#This Row],[PRODUCT_ID]], MasterData!$A$2:$F$31, 3, FALSE)</f>
        <v>Skincare</v>
      </c>
      <c r="I3" t="str">
        <f>VLOOKUP(Table1[[#This Row],[PRODUCT_ID]], MasterData!$A$2:$F$31, 4, FALSE)</f>
        <v>Bottle</v>
      </c>
      <c r="J3" s="5">
        <f>VLOOKUP(Table1[[#This Row],[PRODUCT_ID]], MasterData!$A$2:$F$31, 5, FALSE)</f>
        <v>7.5</v>
      </c>
      <c r="K3" s="5">
        <f>VLOOKUP(Table1[[#This Row],[PRODUCT_ID]], MasterData!$A$2:$F$31, 6, FALSE)</f>
        <v>15</v>
      </c>
      <c r="L3" s="5">
        <f>Table1[[#This Row],[BUYING PRICE]]*Table1[[#This Row],[QUANTITY]]</f>
        <v>15</v>
      </c>
      <c r="M3" s="5">
        <f>Table1[[#This Row],[SELLING PRICE]]*Table1[[#This Row],[QUANTITY]]*(1-Table1[[#This Row],[DISCOUNT %]])</f>
        <v>30</v>
      </c>
      <c r="N3">
        <f>DAY(Table1[[#This Row],[Date]])</f>
        <v>1</v>
      </c>
      <c r="O3" t="str">
        <f>TEXT(Table1[[#This Row],[Date]], "mmm")</f>
        <v>Feb</v>
      </c>
      <c r="P3">
        <f>YEAR(Table1[[#This Row],[Date]])</f>
        <v>2025</v>
      </c>
    </row>
    <row r="4" spans="1:16" x14ac:dyDescent="0.3">
      <c r="A4" s="1">
        <v>45748</v>
      </c>
      <c r="B4" t="s">
        <v>32</v>
      </c>
      <c r="C4">
        <v>5</v>
      </c>
      <c r="D4" t="s">
        <v>68</v>
      </c>
      <c r="E4" t="s">
        <v>72</v>
      </c>
      <c r="F4" s="2">
        <v>0</v>
      </c>
      <c r="G4" t="str">
        <f>VLOOKUP(Table1[[#This Row],[PRODUCT_ID]], MasterData!$A$2:$F$31, 2, FALSE)</f>
        <v>Ashwagandha Capsules</v>
      </c>
      <c r="H4" t="str">
        <f>VLOOKUP(Table1[[#This Row],[PRODUCT_ID]], MasterData!$A$2:$F$31, 3, FALSE)</f>
        <v>Supplement</v>
      </c>
      <c r="I4" t="str">
        <f>VLOOKUP(Table1[[#This Row],[PRODUCT_ID]], MasterData!$A$2:$F$31, 4, FALSE)</f>
        <v>Bottle</v>
      </c>
      <c r="J4" s="5">
        <f>VLOOKUP(Table1[[#This Row],[PRODUCT_ID]], MasterData!$A$2:$F$31, 5, FALSE)</f>
        <v>10</v>
      </c>
      <c r="K4" s="5">
        <f>VLOOKUP(Table1[[#This Row],[PRODUCT_ID]], MasterData!$A$2:$F$31, 6, FALSE)</f>
        <v>20</v>
      </c>
      <c r="L4" s="5">
        <f>Table1[[#This Row],[BUYING PRICE]]*Table1[[#This Row],[QUANTITY]]</f>
        <v>50</v>
      </c>
      <c r="M4" s="5">
        <f>Table1[[#This Row],[SELLING PRICE]]*Table1[[#This Row],[QUANTITY]]*(1-Table1[[#This Row],[DISCOUNT %]])</f>
        <v>100</v>
      </c>
      <c r="N4">
        <f>DAY(Table1[[#This Row],[Date]])</f>
        <v>1</v>
      </c>
      <c r="O4" t="str">
        <f>TEXT(Table1[[#This Row],[Date]], "mmm")</f>
        <v>Apr</v>
      </c>
      <c r="P4">
        <f>YEAR(Table1[[#This Row],[Date]])</f>
        <v>2025</v>
      </c>
    </row>
    <row r="5" spans="1:16" x14ac:dyDescent="0.3">
      <c r="A5" s="1">
        <v>45778</v>
      </c>
      <c r="B5" t="s">
        <v>33</v>
      </c>
      <c r="C5">
        <v>2</v>
      </c>
      <c r="D5" t="s">
        <v>67</v>
      </c>
      <c r="E5" t="s">
        <v>69</v>
      </c>
      <c r="F5" s="2">
        <v>0</v>
      </c>
      <c r="G5" t="str">
        <f>VLOOKUP(Table1[[#This Row],[PRODUCT_ID]], MasterData!$A$2:$F$31, 2, FALSE)</f>
        <v>Cinnamon Sticks</v>
      </c>
      <c r="H5" t="str">
        <f>VLOOKUP(Table1[[#This Row],[PRODUCT_ID]], MasterData!$A$2:$F$31, 3, FALSE)</f>
        <v>Spice</v>
      </c>
      <c r="I5" t="str">
        <f>VLOOKUP(Table1[[#This Row],[PRODUCT_ID]], MasterData!$A$2:$F$31, 4, FALSE)</f>
        <v>Pack</v>
      </c>
      <c r="J5" s="5">
        <f>VLOOKUP(Table1[[#This Row],[PRODUCT_ID]], MasterData!$A$2:$F$31, 5, FALSE)</f>
        <v>4</v>
      </c>
      <c r="K5" s="5">
        <f>VLOOKUP(Table1[[#This Row],[PRODUCT_ID]], MasterData!$A$2:$F$31, 6, FALSE)</f>
        <v>8</v>
      </c>
      <c r="L5" s="5">
        <f>Table1[[#This Row],[BUYING PRICE]]*Table1[[#This Row],[QUANTITY]]</f>
        <v>8</v>
      </c>
      <c r="M5" s="5">
        <f>Table1[[#This Row],[SELLING PRICE]]*Table1[[#This Row],[QUANTITY]]*(1-Table1[[#This Row],[DISCOUNT %]])</f>
        <v>16</v>
      </c>
      <c r="N5">
        <f>DAY(Table1[[#This Row],[Date]])</f>
        <v>1</v>
      </c>
      <c r="O5" t="str">
        <f>TEXT(Table1[[#This Row],[Date]], "mmm")</f>
        <v>May</v>
      </c>
      <c r="P5">
        <f>YEAR(Table1[[#This Row],[Date]])</f>
        <v>2025</v>
      </c>
    </row>
    <row r="6" spans="1:16" x14ac:dyDescent="0.3">
      <c r="A6" s="1">
        <v>45809</v>
      </c>
      <c r="B6" t="s">
        <v>34</v>
      </c>
      <c r="C6">
        <v>3</v>
      </c>
      <c r="D6" t="s">
        <v>68</v>
      </c>
      <c r="E6" t="s">
        <v>70</v>
      </c>
      <c r="F6" s="2">
        <v>0</v>
      </c>
      <c r="G6" t="str">
        <f>VLOOKUP(Table1[[#This Row],[PRODUCT_ID]], MasterData!$A$2:$F$31, 2, FALSE)</f>
        <v>Moringa Powder</v>
      </c>
      <c r="H6" t="str">
        <f>VLOOKUP(Table1[[#This Row],[PRODUCT_ID]], MasterData!$A$2:$F$31, 3, FALSE)</f>
        <v>Supplement</v>
      </c>
      <c r="I6" t="str">
        <f>VLOOKUP(Table1[[#This Row],[PRODUCT_ID]], MasterData!$A$2:$F$31, 4, FALSE)</f>
        <v>Pack</v>
      </c>
      <c r="J6" s="5">
        <f>VLOOKUP(Table1[[#This Row],[PRODUCT_ID]], MasterData!$A$2:$F$31, 5, FALSE)</f>
        <v>6</v>
      </c>
      <c r="K6" s="5">
        <f>VLOOKUP(Table1[[#This Row],[PRODUCT_ID]], MasterData!$A$2:$F$31, 6, FALSE)</f>
        <v>12</v>
      </c>
      <c r="L6" s="5">
        <f>Table1[[#This Row],[BUYING PRICE]]*Table1[[#This Row],[QUANTITY]]</f>
        <v>18</v>
      </c>
      <c r="M6" s="5">
        <f>Table1[[#This Row],[SELLING PRICE]]*Table1[[#This Row],[QUANTITY]]*(1-Table1[[#This Row],[DISCOUNT %]])</f>
        <v>36</v>
      </c>
      <c r="N6">
        <f>DAY(Table1[[#This Row],[Date]])</f>
        <v>1</v>
      </c>
      <c r="O6" t="str">
        <f>TEXT(Table1[[#This Row],[Date]], "mmm")</f>
        <v>Jun</v>
      </c>
      <c r="P6">
        <f>YEAR(Table1[[#This Row],[Date]])</f>
        <v>2025</v>
      </c>
    </row>
    <row r="7" spans="1:16" x14ac:dyDescent="0.3">
      <c r="A7" s="1">
        <v>45839</v>
      </c>
      <c r="B7" t="s">
        <v>35</v>
      </c>
      <c r="C7">
        <v>1</v>
      </c>
      <c r="D7" t="s">
        <v>67</v>
      </c>
      <c r="E7" t="s">
        <v>71</v>
      </c>
      <c r="F7" s="2">
        <v>0</v>
      </c>
      <c r="G7" t="str">
        <f>VLOOKUP(Table1[[#This Row],[PRODUCT_ID]], MasterData!$A$2:$F$31, 2, FALSE)</f>
        <v>Ginger Tea</v>
      </c>
      <c r="H7" t="str">
        <f>VLOOKUP(Table1[[#This Row],[PRODUCT_ID]], MasterData!$A$2:$F$31, 3, FALSE)</f>
        <v>Beverage</v>
      </c>
      <c r="I7" t="str">
        <f>VLOOKUP(Table1[[#This Row],[PRODUCT_ID]], MasterData!$A$2:$F$31, 4, FALSE)</f>
        <v>Box</v>
      </c>
      <c r="J7" s="5">
        <f>VLOOKUP(Table1[[#This Row],[PRODUCT_ID]], MasterData!$A$2:$F$31, 5, FALSE)</f>
        <v>5.5</v>
      </c>
      <c r="K7" s="5">
        <f>VLOOKUP(Table1[[#This Row],[PRODUCT_ID]], MasterData!$A$2:$F$31, 6, FALSE)</f>
        <v>11</v>
      </c>
      <c r="L7" s="5">
        <f>Table1[[#This Row],[BUYING PRICE]]*Table1[[#This Row],[QUANTITY]]</f>
        <v>5.5</v>
      </c>
      <c r="M7" s="5">
        <f>Table1[[#This Row],[SELLING PRICE]]*Table1[[#This Row],[QUANTITY]]*(1-Table1[[#This Row],[DISCOUNT %]])</f>
        <v>11</v>
      </c>
      <c r="N7">
        <f>DAY(Table1[[#This Row],[Date]])</f>
        <v>1</v>
      </c>
      <c r="O7" t="str">
        <f>TEXT(Table1[[#This Row],[Date]], "mmm")</f>
        <v>Jul</v>
      </c>
      <c r="P7">
        <f>YEAR(Table1[[#This Row],[Date]])</f>
        <v>2025</v>
      </c>
    </row>
    <row r="8" spans="1:16" x14ac:dyDescent="0.3">
      <c r="A8" s="1">
        <v>45748</v>
      </c>
      <c r="B8" t="s">
        <v>36</v>
      </c>
      <c r="C8">
        <v>5</v>
      </c>
      <c r="D8" t="s">
        <v>68</v>
      </c>
      <c r="E8" t="s">
        <v>72</v>
      </c>
      <c r="F8" s="2">
        <v>0.02</v>
      </c>
      <c r="G8" t="str">
        <f>VLOOKUP(Table1[[#This Row],[PRODUCT_ID]], MasterData!$A$2:$F$31, 2, FALSE)</f>
        <v>Brahmi Powder</v>
      </c>
      <c r="H8" t="str">
        <f>VLOOKUP(Table1[[#This Row],[PRODUCT_ID]], MasterData!$A$2:$F$31, 3, FALSE)</f>
        <v>Supplement</v>
      </c>
      <c r="I8" t="str">
        <f>VLOOKUP(Table1[[#This Row],[PRODUCT_ID]], MasterData!$A$2:$F$31, 4, FALSE)</f>
        <v>Bottle</v>
      </c>
      <c r="J8" s="5">
        <f>VLOOKUP(Table1[[#This Row],[PRODUCT_ID]], MasterData!$A$2:$F$31, 5, FALSE)</f>
        <v>8</v>
      </c>
      <c r="K8" s="5">
        <f>VLOOKUP(Table1[[#This Row],[PRODUCT_ID]], MasterData!$A$2:$F$31, 6, FALSE)</f>
        <v>16</v>
      </c>
      <c r="L8" s="5">
        <f>Table1[[#This Row],[BUYING PRICE]]*Table1[[#This Row],[QUANTITY]]</f>
        <v>40</v>
      </c>
      <c r="M8" s="5">
        <f>Table1[[#This Row],[SELLING PRICE]]*Table1[[#This Row],[QUANTITY]]*(1-Table1[[#This Row],[DISCOUNT %]])</f>
        <v>78.400000000000006</v>
      </c>
      <c r="N8">
        <f>DAY(Table1[[#This Row],[Date]])</f>
        <v>1</v>
      </c>
      <c r="O8" t="str">
        <f>TEXT(Table1[[#This Row],[Date]], "mmm")</f>
        <v>Apr</v>
      </c>
      <c r="P8">
        <f>YEAR(Table1[[#This Row],[Date]])</f>
        <v>2025</v>
      </c>
    </row>
    <row r="9" spans="1:16" x14ac:dyDescent="0.3">
      <c r="A9" s="1">
        <v>45901</v>
      </c>
      <c r="B9" t="s">
        <v>37</v>
      </c>
      <c r="C9">
        <v>3</v>
      </c>
      <c r="D9" t="s">
        <v>67</v>
      </c>
      <c r="E9" t="s">
        <v>69</v>
      </c>
      <c r="F9" s="2">
        <v>0</v>
      </c>
      <c r="G9" t="str">
        <f>VLOOKUP(Table1[[#This Row],[PRODUCT_ID]], MasterData!$A$2:$F$31, 2, FALSE)</f>
        <v>Cardamom</v>
      </c>
      <c r="H9" t="str">
        <f>VLOOKUP(Table1[[#This Row],[PRODUCT_ID]], MasterData!$A$2:$F$31, 3, FALSE)</f>
        <v>Spice</v>
      </c>
      <c r="I9" t="str">
        <f>VLOOKUP(Table1[[#This Row],[PRODUCT_ID]], MasterData!$A$2:$F$31, 4, FALSE)</f>
        <v>Pack</v>
      </c>
      <c r="J9" s="5">
        <f>VLOOKUP(Table1[[#This Row],[PRODUCT_ID]], MasterData!$A$2:$F$31, 5, FALSE)</f>
        <v>9</v>
      </c>
      <c r="K9" s="5">
        <f>VLOOKUP(Table1[[#This Row],[PRODUCT_ID]], MasterData!$A$2:$F$31, 6, FALSE)</f>
        <v>18</v>
      </c>
      <c r="L9" s="5">
        <f>Table1[[#This Row],[BUYING PRICE]]*Table1[[#This Row],[QUANTITY]]</f>
        <v>27</v>
      </c>
      <c r="M9" s="5">
        <f>Table1[[#This Row],[SELLING PRICE]]*Table1[[#This Row],[QUANTITY]]*(1-Table1[[#This Row],[DISCOUNT %]])</f>
        <v>54</v>
      </c>
      <c r="N9">
        <f>DAY(Table1[[#This Row],[Date]])</f>
        <v>1</v>
      </c>
      <c r="O9" t="str">
        <f>TEXT(Table1[[#This Row],[Date]], "mmm")</f>
        <v>Sep</v>
      </c>
      <c r="P9">
        <f>YEAR(Table1[[#This Row],[Date]])</f>
        <v>2025</v>
      </c>
    </row>
    <row r="10" spans="1:16" x14ac:dyDescent="0.3">
      <c r="A10" s="1">
        <v>45931</v>
      </c>
      <c r="B10" t="s">
        <v>38</v>
      </c>
      <c r="C10">
        <v>4</v>
      </c>
      <c r="D10" t="s">
        <v>68</v>
      </c>
      <c r="E10" t="s">
        <v>70</v>
      </c>
      <c r="F10" s="2">
        <v>0</v>
      </c>
      <c r="G10" t="str">
        <f>VLOOKUP(Table1[[#This Row],[PRODUCT_ID]], MasterData!$A$2:$F$31, 2, FALSE)</f>
        <v>Lavender Oil</v>
      </c>
      <c r="H10" t="str">
        <f>VLOOKUP(Table1[[#This Row],[PRODUCT_ID]], MasterData!$A$2:$F$31, 3, FALSE)</f>
        <v>Skincare</v>
      </c>
      <c r="I10" t="str">
        <f>VLOOKUP(Table1[[#This Row],[PRODUCT_ID]], MasterData!$A$2:$F$31, 4, FALSE)</f>
        <v>Bottle</v>
      </c>
      <c r="J10" s="5">
        <f>VLOOKUP(Table1[[#This Row],[PRODUCT_ID]], MasterData!$A$2:$F$31, 5, FALSE)</f>
        <v>12</v>
      </c>
      <c r="K10" s="5">
        <f>VLOOKUP(Table1[[#This Row],[PRODUCT_ID]], MasterData!$A$2:$F$31, 6, FALSE)</f>
        <v>25</v>
      </c>
      <c r="L10" s="5">
        <f>Table1[[#This Row],[BUYING PRICE]]*Table1[[#This Row],[QUANTITY]]</f>
        <v>48</v>
      </c>
      <c r="M10" s="5">
        <f>Table1[[#This Row],[SELLING PRICE]]*Table1[[#This Row],[QUANTITY]]*(1-Table1[[#This Row],[DISCOUNT %]])</f>
        <v>100</v>
      </c>
      <c r="N10">
        <f>DAY(Table1[[#This Row],[Date]])</f>
        <v>1</v>
      </c>
      <c r="O10" t="str">
        <f>TEXT(Table1[[#This Row],[Date]], "mmm")</f>
        <v>Oct</v>
      </c>
      <c r="P10">
        <f>YEAR(Table1[[#This Row],[Date]])</f>
        <v>2025</v>
      </c>
    </row>
    <row r="11" spans="1:16" x14ac:dyDescent="0.3">
      <c r="A11" s="1">
        <v>45962</v>
      </c>
      <c r="B11" t="s">
        <v>39</v>
      </c>
      <c r="C11">
        <v>1</v>
      </c>
      <c r="D11" t="s">
        <v>67</v>
      </c>
      <c r="E11" t="s">
        <v>71</v>
      </c>
      <c r="F11" s="2">
        <v>0</v>
      </c>
      <c r="G11" t="str">
        <f>VLOOKUP(Table1[[#This Row],[PRODUCT_ID]], MasterData!$A$2:$F$31, 2, FALSE)</f>
        <v>Clove Powder</v>
      </c>
      <c r="H11" t="str">
        <f>VLOOKUP(Table1[[#This Row],[PRODUCT_ID]], MasterData!$A$2:$F$31, 3, FALSE)</f>
        <v>Spice</v>
      </c>
      <c r="I11" t="str">
        <f>VLOOKUP(Table1[[#This Row],[PRODUCT_ID]], MasterData!$A$2:$F$31, 4, FALSE)</f>
        <v>Bag</v>
      </c>
      <c r="J11" s="5">
        <f>VLOOKUP(Table1[[#This Row],[PRODUCT_ID]], MasterData!$A$2:$F$31, 5, FALSE)</f>
        <v>4.5</v>
      </c>
      <c r="K11" s="5">
        <f>VLOOKUP(Table1[[#This Row],[PRODUCT_ID]], MasterData!$A$2:$F$31, 6, FALSE)</f>
        <v>9</v>
      </c>
      <c r="L11" s="5">
        <f>Table1[[#This Row],[BUYING PRICE]]*Table1[[#This Row],[QUANTITY]]</f>
        <v>4.5</v>
      </c>
      <c r="M11" s="5">
        <f>Table1[[#This Row],[SELLING PRICE]]*Table1[[#This Row],[QUANTITY]]*(1-Table1[[#This Row],[DISCOUNT %]])</f>
        <v>9</v>
      </c>
      <c r="N11">
        <f>DAY(Table1[[#This Row],[Date]])</f>
        <v>1</v>
      </c>
      <c r="O11" t="str">
        <f>TEXT(Table1[[#This Row],[Date]], "mmm")</f>
        <v>Nov</v>
      </c>
      <c r="P11">
        <f>YEAR(Table1[[#This Row],[Date]])</f>
        <v>2025</v>
      </c>
    </row>
    <row r="12" spans="1:16" x14ac:dyDescent="0.3">
      <c r="A12" s="1">
        <v>45992</v>
      </c>
      <c r="B12" t="s">
        <v>40</v>
      </c>
      <c r="C12">
        <v>6</v>
      </c>
      <c r="D12" t="s">
        <v>68</v>
      </c>
      <c r="E12" t="s">
        <v>69</v>
      </c>
      <c r="F12" s="2">
        <v>0</v>
      </c>
      <c r="G12" t="str">
        <f>VLOOKUP(Table1[[#This Row],[PRODUCT_ID]], MasterData!$A$2:$F$31, 2, FALSE)</f>
        <v>Chamomile Tea</v>
      </c>
      <c r="H12" t="str">
        <f>VLOOKUP(Table1[[#This Row],[PRODUCT_ID]], MasterData!$A$2:$F$31, 3, FALSE)</f>
        <v>Beverage</v>
      </c>
      <c r="I12" t="str">
        <f>VLOOKUP(Table1[[#This Row],[PRODUCT_ID]], MasterData!$A$2:$F$31, 4, FALSE)</f>
        <v>Box</v>
      </c>
      <c r="J12" s="5">
        <f>VLOOKUP(Table1[[#This Row],[PRODUCT_ID]], MasterData!$A$2:$F$31, 5, FALSE)</f>
        <v>6</v>
      </c>
      <c r="K12" s="5">
        <f>VLOOKUP(Table1[[#This Row],[PRODUCT_ID]], MasterData!$A$2:$F$31, 6, FALSE)</f>
        <v>12</v>
      </c>
      <c r="L12" s="5">
        <f>Table1[[#This Row],[BUYING PRICE]]*Table1[[#This Row],[QUANTITY]]</f>
        <v>36</v>
      </c>
      <c r="M12" s="5">
        <f>Table1[[#This Row],[SELLING PRICE]]*Table1[[#This Row],[QUANTITY]]*(1-Table1[[#This Row],[DISCOUNT %]])</f>
        <v>72</v>
      </c>
      <c r="N12">
        <f>DAY(Table1[[#This Row],[Date]])</f>
        <v>1</v>
      </c>
      <c r="O12" t="str">
        <f>TEXT(Table1[[#This Row],[Date]], "mmm")</f>
        <v>Dec</v>
      </c>
      <c r="P12">
        <f>YEAR(Table1[[#This Row],[Date]])</f>
        <v>2025</v>
      </c>
    </row>
    <row r="13" spans="1:16" x14ac:dyDescent="0.3">
      <c r="A13" s="1">
        <v>45907</v>
      </c>
      <c r="B13" t="s">
        <v>41</v>
      </c>
      <c r="C13">
        <v>2</v>
      </c>
      <c r="D13" t="s">
        <v>67</v>
      </c>
      <c r="E13" t="s">
        <v>72</v>
      </c>
      <c r="F13" s="2">
        <v>0.05</v>
      </c>
      <c r="G13" t="str">
        <f>VLOOKUP(Table1[[#This Row],[PRODUCT_ID]], MasterData!$A$2:$F$31, 2, FALSE)</f>
        <v>Neem Capsules</v>
      </c>
      <c r="H13" t="str">
        <f>VLOOKUP(Table1[[#This Row],[PRODUCT_ID]], MasterData!$A$2:$F$31, 3, FALSE)</f>
        <v>Supplement</v>
      </c>
      <c r="I13" t="str">
        <f>VLOOKUP(Table1[[#This Row],[PRODUCT_ID]], MasterData!$A$2:$F$31, 4, FALSE)</f>
        <v>Bottle</v>
      </c>
      <c r="J13" s="5">
        <f>VLOOKUP(Table1[[#This Row],[PRODUCT_ID]], MasterData!$A$2:$F$31, 5, FALSE)</f>
        <v>11</v>
      </c>
      <c r="K13" s="5">
        <f>VLOOKUP(Table1[[#This Row],[PRODUCT_ID]], MasterData!$A$2:$F$31, 6, FALSE)</f>
        <v>22</v>
      </c>
      <c r="L13" s="5">
        <f>Table1[[#This Row],[BUYING PRICE]]*Table1[[#This Row],[QUANTITY]]</f>
        <v>22</v>
      </c>
      <c r="M13" s="5">
        <f>Table1[[#This Row],[SELLING PRICE]]*Table1[[#This Row],[QUANTITY]]*(1-Table1[[#This Row],[DISCOUNT %]])</f>
        <v>41.8</v>
      </c>
      <c r="N13">
        <f>DAY(Table1[[#This Row],[Date]])</f>
        <v>7</v>
      </c>
      <c r="O13" t="str">
        <f>TEXT(Table1[[#This Row],[Date]], "mmm")</f>
        <v>Sep</v>
      </c>
      <c r="P13">
        <f>YEAR(Table1[[#This Row],[Date]])</f>
        <v>2025</v>
      </c>
    </row>
    <row r="14" spans="1:16" x14ac:dyDescent="0.3">
      <c r="A14" s="1">
        <v>45845</v>
      </c>
      <c r="B14" t="s">
        <v>42</v>
      </c>
      <c r="C14">
        <v>3</v>
      </c>
      <c r="D14" t="s">
        <v>68</v>
      </c>
      <c r="E14" t="s">
        <v>70</v>
      </c>
      <c r="F14" s="2">
        <v>0</v>
      </c>
      <c r="G14" t="str">
        <f>VLOOKUP(Table1[[#This Row],[PRODUCT_ID]], MasterData!$A$2:$F$31, 2, FALSE)</f>
        <v>Saffron</v>
      </c>
      <c r="H14" t="str">
        <f>VLOOKUP(Table1[[#This Row],[PRODUCT_ID]], MasterData!$A$2:$F$31, 3, FALSE)</f>
        <v>Spice</v>
      </c>
      <c r="I14" t="str">
        <f>VLOOKUP(Table1[[#This Row],[PRODUCT_ID]], MasterData!$A$2:$F$31, 4, FALSE)</f>
        <v>Gram</v>
      </c>
      <c r="J14" s="5">
        <f>VLOOKUP(Table1[[#This Row],[PRODUCT_ID]], MasterData!$A$2:$F$31, 5, FALSE)</f>
        <v>15</v>
      </c>
      <c r="K14" s="5">
        <f>VLOOKUP(Table1[[#This Row],[PRODUCT_ID]], MasterData!$A$2:$F$31, 6, FALSE)</f>
        <v>30</v>
      </c>
      <c r="L14" s="5">
        <f>Table1[[#This Row],[BUYING PRICE]]*Table1[[#This Row],[QUANTITY]]</f>
        <v>45</v>
      </c>
      <c r="M14" s="5">
        <f>Table1[[#This Row],[SELLING PRICE]]*Table1[[#This Row],[QUANTITY]]*(1-Table1[[#This Row],[DISCOUNT %]])</f>
        <v>90</v>
      </c>
      <c r="N14">
        <f>DAY(Table1[[#This Row],[Date]])</f>
        <v>7</v>
      </c>
      <c r="O14" t="str">
        <f>TEXT(Table1[[#This Row],[Date]], "mmm")</f>
        <v>Jul</v>
      </c>
      <c r="P14">
        <f>YEAR(Table1[[#This Row],[Date]])</f>
        <v>2025</v>
      </c>
    </row>
    <row r="15" spans="1:16" x14ac:dyDescent="0.3">
      <c r="A15" s="1">
        <v>45755</v>
      </c>
      <c r="B15" t="s">
        <v>43</v>
      </c>
      <c r="C15">
        <v>4</v>
      </c>
      <c r="D15" t="s">
        <v>67</v>
      </c>
      <c r="E15" t="s">
        <v>71</v>
      </c>
      <c r="F15" s="2">
        <v>0</v>
      </c>
      <c r="G15" t="str">
        <f>VLOOKUP(Table1[[#This Row],[PRODUCT_ID]], MasterData!$A$2:$F$31, 2, FALSE)</f>
        <v>Tulsi Tea</v>
      </c>
      <c r="H15" t="str">
        <f>VLOOKUP(Table1[[#This Row],[PRODUCT_ID]], MasterData!$A$2:$F$31, 3, FALSE)</f>
        <v>Beverage</v>
      </c>
      <c r="I15" t="str">
        <f>VLOOKUP(Table1[[#This Row],[PRODUCT_ID]], MasterData!$A$2:$F$31, 4, FALSE)</f>
        <v>Box</v>
      </c>
      <c r="J15" s="5">
        <f>VLOOKUP(Table1[[#This Row],[PRODUCT_ID]], MasterData!$A$2:$F$31, 5, FALSE)</f>
        <v>4</v>
      </c>
      <c r="K15" s="5">
        <f>VLOOKUP(Table1[[#This Row],[PRODUCT_ID]], MasterData!$A$2:$F$31, 6, FALSE)</f>
        <v>8</v>
      </c>
      <c r="L15" s="5">
        <f>Table1[[#This Row],[BUYING PRICE]]*Table1[[#This Row],[QUANTITY]]</f>
        <v>16</v>
      </c>
      <c r="M15" s="5">
        <f>Table1[[#This Row],[SELLING PRICE]]*Table1[[#This Row],[QUANTITY]]*(1-Table1[[#This Row],[DISCOUNT %]])</f>
        <v>32</v>
      </c>
      <c r="N15">
        <f>DAY(Table1[[#This Row],[Date]])</f>
        <v>8</v>
      </c>
      <c r="O15" t="str">
        <f>TEXT(Table1[[#This Row],[Date]], "mmm")</f>
        <v>Apr</v>
      </c>
      <c r="P15">
        <f>YEAR(Table1[[#This Row],[Date]])</f>
        <v>2025</v>
      </c>
    </row>
    <row r="16" spans="1:16" x14ac:dyDescent="0.3">
      <c r="A16" s="1">
        <v>45816</v>
      </c>
      <c r="B16" t="s">
        <v>44</v>
      </c>
      <c r="C16">
        <v>1</v>
      </c>
      <c r="D16" t="s">
        <v>68</v>
      </c>
      <c r="E16" t="s">
        <v>72</v>
      </c>
      <c r="F16" s="2">
        <v>0</v>
      </c>
      <c r="G16" t="str">
        <f>VLOOKUP(Table1[[#This Row],[PRODUCT_ID]], MasterData!$A$2:$F$31, 2, FALSE)</f>
        <v>Triphala Powder</v>
      </c>
      <c r="H16" t="str">
        <f>VLOOKUP(Table1[[#This Row],[PRODUCT_ID]], MasterData!$A$2:$F$31, 3, FALSE)</f>
        <v>Supplement</v>
      </c>
      <c r="I16" t="str">
        <f>VLOOKUP(Table1[[#This Row],[PRODUCT_ID]], MasterData!$A$2:$F$31, 4, FALSE)</f>
        <v>Bag</v>
      </c>
      <c r="J16" s="5">
        <f>VLOOKUP(Table1[[#This Row],[PRODUCT_ID]], MasterData!$A$2:$F$31, 5, FALSE)</f>
        <v>7</v>
      </c>
      <c r="K16" s="5">
        <f>VLOOKUP(Table1[[#This Row],[PRODUCT_ID]], MasterData!$A$2:$F$31, 6, FALSE)</f>
        <v>14</v>
      </c>
      <c r="L16" s="5">
        <f>Table1[[#This Row],[BUYING PRICE]]*Table1[[#This Row],[QUANTITY]]</f>
        <v>7</v>
      </c>
      <c r="M16" s="5">
        <f>Table1[[#This Row],[SELLING PRICE]]*Table1[[#This Row],[QUANTITY]]*(1-Table1[[#This Row],[DISCOUNT %]])</f>
        <v>14</v>
      </c>
      <c r="N16">
        <f>DAY(Table1[[#This Row],[Date]])</f>
        <v>8</v>
      </c>
      <c r="O16" t="str">
        <f>TEXT(Table1[[#This Row],[Date]], "mmm")</f>
        <v>Jun</v>
      </c>
      <c r="P16">
        <f>YEAR(Table1[[#This Row],[Date]])</f>
        <v>2025</v>
      </c>
    </row>
    <row r="17" spans="1:16" x14ac:dyDescent="0.3">
      <c r="A17" s="1">
        <v>45756</v>
      </c>
      <c r="B17" t="s">
        <v>45</v>
      </c>
      <c r="C17">
        <v>5</v>
      </c>
      <c r="D17" t="s">
        <v>67</v>
      </c>
      <c r="E17" t="s">
        <v>70</v>
      </c>
      <c r="F17" s="2">
        <v>0</v>
      </c>
      <c r="G17" t="str">
        <f>VLOOKUP(Table1[[#This Row],[PRODUCT_ID]], MasterData!$A$2:$F$31, 2, FALSE)</f>
        <v>Amla Capsules</v>
      </c>
      <c r="H17" t="str">
        <f>VLOOKUP(Table1[[#This Row],[PRODUCT_ID]], MasterData!$A$2:$F$31, 3, FALSE)</f>
        <v>Supplement</v>
      </c>
      <c r="I17" t="str">
        <f>VLOOKUP(Table1[[#This Row],[PRODUCT_ID]], MasterData!$A$2:$F$31, 4, FALSE)</f>
        <v>Bottle</v>
      </c>
      <c r="J17" s="5">
        <f>VLOOKUP(Table1[[#This Row],[PRODUCT_ID]], MasterData!$A$2:$F$31, 5, FALSE)</f>
        <v>6.5</v>
      </c>
      <c r="K17" s="5">
        <f>VLOOKUP(Table1[[#This Row],[PRODUCT_ID]], MasterData!$A$2:$F$31, 6, FALSE)</f>
        <v>13</v>
      </c>
      <c r="L17" s="5">
        <f>Table1[[#This Row],[BUYING PRICE]]*Table1[[#This Row],[QUANTITY]]</f>
        <v>32.5</v>
      </c>
      <c r="M17" s="5">
        <f>Table1[[#This Row],[SELLING PRICE]]*Table1[[#This Row],[QUANTITY]]*(1-Table1[[#This Row],[DISCOUNT %]])</f>
        <v>65</v>
      </c>
      <c r="N17">
        <f>DAY(Table1[[#This Row],[Date]])</f>
        <v>9</v>
      </c>
      <c r="O17" t="str">
        <f>TEXT(Table1[[#This Row],[Date]], "mmm")</f>
        <v>Apr</v>
      </c>
      <c r="P17">
        <f>YEAR(Table1[[#This Row],[Date]])</f>
        <v>2025</v>
      </c>
    </row>
    <row r="18" spans="1:16" x14ac:dyDescent="0.3">
      <c r="A18" s="1">
        <v>45786</v>
      </c>
      <c r="B18" t="s">
        <v>46</v>
      </c>
      <c r="C18">
        <v>3</v>
      </c>
      <c r="D18" t="s">
        <v>68</v>
      </c>
      <c r="E18" t="s">
        <v>69</v>
      </c>
      <c r="F18" s="2">
        <v>0</v>
      </c>
      <c r="G18" t="str">
        <f>VLOOKUP(Table1[[#This Row],[PRODUCT_ID]], MasterData!$A$2:$F$31, 2, FALSE)</f>
        <v>Cinnamon Powder</v>
      </c>
      <c r="H18" t="str">
        <f>VLOOKUP(Table1[[#This Row],[PRODUCT_ID]], MasterData!$A$2:$F$31, 3, FALSE)</f>
        <v>Spice</v>
      </c>
      <c r="I18" t="str">
        <f>VLOOKUP(Table1[[#This Row],[PRODUCT_ID]], MasterData!$A$2:$F$31, 4, FALSE)</f>
        <v>Pack</v>
      </c>
      <c r="J18" s="5">
        <f>VLOOKUP(Table1[[#This Row],[PRODUCT_ID]], MasterData!$A$2:$F$31, 5, FALSE)</f>
        <v>3.5</v>
      </c>
      <c r="K18" s="5">
        <f>VLOOKUP(Table1[[#This Row],[PRODUCT_ID]], MasterData!$A$2:$F$31, 6, FALSE)</f>
        <v>7</v>
      </c>
      <c r="L18" s="5">
        <f>Table1[[#This Row],[BUYING PRICE]]*Table1[[#This Row],[QUANTITY]]</f>
        <v>10.5</v>
      </c>
      <c r="M18" s="5">
        <f>Table1[[#This Row],[SELLING PRICE]]*Table1[[#This Row],[QUANTITY]]*(1-Table1[[#This Row],[DISCOUNT %]])</f>
        <v>21</v>
      </c>
      <c r="N18">
        <f>DAY(Table1[[#This Row],[Date]])</f>
        <v>9</v>
      </c>
      <c r="O18" t="str">
        <f>TEXT(Table1[[#This Row],[Date]], "mmm")</f>
        <v>May</v>
      </c>
      <c r="P18">
        <f>YEAR(Table1[[#This Row],[Date]])</f>
        <v>2025</v>
      </c>
    </row>
    <row r="19" spans="1:16" x14ac:dyDescent="0.3">
      <c r="A19" s="1">
        <v>45757</v>
      </c>
      <c r="B19" t="s">
        <v>47</v>
      </c>
      <c r="C19">
        <v>2</v>
      </c>
      <c r="D19" t="s">
        <v>67</v>
      </c>
      <c r="E19" t="s">
        <v>71</v>
      </c>
      <c r="F19" s="2">
        <v>0</v>
      </c>
      <c r="G19" t="str">
        <f>VLOOKUP(Table1[[#This Row],[PRODUCT_ID]], MasterData!$A$2:$F$31, 2, FALSE)</f>
        <v>Eucalyptus Oil</v>
      </c>
      <c r="H19" t="str">
        <f>VLOOKUP(Table1[[#This Row],[PRODUCT_ID]], MasterData!$A$2:$F$31, 3, FALSE)</f>
        <v>Skincare</v>
      </c>
      <c r="I19" t="str">
        <f>VLOOKUP(Table1[[#This Row],[PRODUCT_ID]], MasterData!$A$2:$F$31, 4, FALSE)</f>
        <v>Bottle</v>
      </c>
      <c r="J19" s="5">
        <f>VLOOKUP(Table1[[#This Row],[PRODUCT_ID]], MasterData!$A$2:$F$31, 5, FALSE)</f>
        <v>9</v>
      </c>
      <c r="K19" s="5">
        <f>VLOOKUP(Table1[[#This Row],[PRODUCT_ID]], MasterData!$A$2:$F$31, 6, FALSE)</f>
        <v>18</v>
      </c>
      <c r="L19" s="5">
        <f>Table1[[#This Row],[BUYING PRICE]]*Table1[[#This Row],[QUANTITY]]</f>
        <v>18</v>
      </c>
      <c r="M19" s="5">
        <f>Table1[[#This Row],[SELLING PRICE]]*Table1[[#This Row],[QUANTITY]]*(1-Table1[[#This Row],[DISCOUNT %]])</f>
        <v>36</v>
      </c>
      <c r="N19">
        <f>DAY(Table1[[#This Row],[Date]])</f>
        <v>10</v>
      </c>
      <c r="O19" t="str">
        <f>TEXT(Table1[[#This Row],[Date]], "mmm")</f>
        <v>Apr</v>
      </c>
      <c r="P19">
        <f>YEAR(Table1[[#This Row],[Date]])</f>
        <v>2025</v>
      </c>
    </row>
    <row r="20" spans="1:16" x14ac:dyDescent="0.3">
      <c r="A20" s="1">
        <v>44783</v>
      </c>
      <c r="B20" t="s">
        <v>48</v>
      </c>
      <c r="C20">
        <v>4</v>
      </c>
      <c r="D20" t="s">
        <v>68</v>
      </c>
      <c r="E20" t="s">
        <v>72</v>
      </c>
      <c r="F20" s="2">
        <v>0</v>
      </c>
      <c r="G20" t="str">
        <f>VLOOKUP(Table1[[#This Row],[PRODUCT_ID]], MasterData!$A$2:$F$31, 2, FALSE)</f>
        <v>Ginseng Capsules</v>
      </c>
      <c r="H20" t="str">
        <f>VLOOKUP(Table1[[#This Row],[PRODUCT_ID]], MasterData!$A$2:$F$31, 3, FALSE)</f>
        <v>Supplement</v>
      </c>
      <c r="I20" t="str">
        <f>VLOOKUP(Table1[[#This Row],[PRODUCT_ID]], MasterData!$A$2:$F$31, 4, FALSE)</f>
        <v>Bottle</v>
      </c>
      <c r="J20" s="5">
        <f>VLOOKUP(Table1[[#This Row],[PRODUCT_ID]], MasterData!$A$2:$F$31, 5, FALSE)</f>
        <v>8.5</v>
      </c>
      <c r="K20" s="5">
        <f>VLOOKUP(Table1[[#This Row],[PRODUCT_ID]], MasterData!$A$2:$F$31, 6, FALSE)</f>
        <v>17</v>
      </c>
      <c r="L20" s="5">
        <f>Table1[[#This Row],[BUYING PRICE]]*Table1[[#This Row],[QUANTITY]]</f>
        <v>34</v>
      </c>
      <c r="M20" s="5">
        <f>Table1[[#This Row],[SELLING PRICE]]*Table1[[#This Row],[QUANTITY]]*(1-Table1[[#This Row],[DISCOUNT %]])</f>
        <v>68</v>
      </c>
      <c r="N20">
        <f>DAY(Table1[[#This Row],[Date]])</f>
        <v>10</v>
      </c>
      <c r="O20" t="str">
        <f>TEXT(Table1[[#This Row],[Date]], "mmm")</f>
        <v>Aug</v>
      </c>
      <c r="P20">
        <f>YEAR(Table1[[#This Row],[Date]])</f>
        <v>2022</v>
      </c>
    </row>
    <row r="21" spans="1:16" x14ac:dyDescent="0.3">
      <c r="A21" s="1">
        <v>45758</v>
      </c>
      <c r="B21" t="s">
        <v>49</v>
      </c>
      <c r="C21">
        <v>2</v>
      </c>
      <c r="D21" t="s">
        <v>67</v>
      </c>
      <c r="E21" t="s">
        <v>70</v>
      </c>
      <c r="F21" s="2">
        <v>0</v>
      </c>
      <c r="G21" t="str">
        <f>VLOOKUP(Table1[[#This Row],[PRODUCT_ID]], MasterData!$A$2:$F$31, 2, FALSE)</f>
        <v>Sandalwood Powder</v>
      </c>
      <c r="H21" t="str">
        <f>VLOOKUP(Table1[[#This Row],[PRODUCT_ID]], MasterData!$A$2:$F$31, 3, FALSE)</f>
        <v>Skincare</v>
      </c>
      <c r="I21" t="str">
        <f>VLOOKUP(Table1[[#This Row],[PRODUCT_ID]], MasterData!$A$2:$F$31, 4, FALSE)</f>
        <v>Pack</v>
      </c>
      <c r="J21" s="5">
        <f>VLOOKUP(Table1[[#This Row],[PRODUCT_ID]], MasterData!$A$2:$F$31, 5, FALSE)</f>
        <v>10</v>
      </c>
      <c r="K21" s="5">
        <f>VLOOKUP(Table1[[#This Row],[PRODUCT_ID]], MasterData!$A$2:$F$31, 6, FALSE)</f>
        <v>20</v>
      </c>
      <c r="L21" s="5">
        <f>Table1[[#This Row],[BUYING PRICE]]*Table1[[#This Row],[QUANTITY]]</f>
        <v>20</v>
      </c>
      <c r="M21" s="5">
        <f>Table1[[#This Row],[SELLING PRICE]]*Table1[[#This Row],[QUANTITY]]*(1-Table1[[#This Row],[DISCOUNT %]])</f>
        <v>40</v>
      </c>
      <c r="N21">
        <f>DAY(Table1[[#This Row],[Date]])</f>
        <v>11</v>
      </c>
      <c r="O21" t="str">
        <f>TEXT(Table1[[#This Row],[Date]], "mmm")</f>
        <v>Apr</v>
      </c>
      <c r="P21">
        <f>YEAR(Table1[[#This Row],[Date]])</f>
        <v>2025</v>
      </c>
    </row>
    <row r="22" spans="1:16" x14ac:dyDescent="0.3">
      <c r="A22" s="1">
        <v>45880</v>
      </c>
      <c r="B22" t="s">
        <v>50</v>
      </c>
      <c r="C22">
        <v>5</v>
      </c>
      <c r="D22" t="s">
        <v>68</v>
      </c>
      <c r="E22" t="s">
        <v>71</v>
      </c>
      <c r="F22" s="2">
        <v>0</v>
      </c>
      <c r="G22" t="str">
        <f>VLOOKUP(Table1[[#This Row],[PRODUCT_ID]], MasterData!$A$2:$F$31, 2, FALSE)</f>
        <v>Rose Water</v>
      </c>
      <c r="H22" t="str">
        <f>VLOOKUP(Table1[[#This Row],[PRODUCT_ID]], MasterData!$A$2:$F$31, 3, FALSE)</f>
        <v>Skincare</v>
      </c>
      <c r="I22" t="str">
        <f>VLOOKUP(Table1[[#This Row],[PRODUCT_ID]], MasterData!$A$2:$F$31, 4, FALSE)</f>
        <v>Bottle</v>
      </c>
      <c r="J22" s="5">
        <f>VLOOKUP(Table1[[#This Row],[PRODUCT_ID]], MasterData!$A$2:$F$31, 5, FALSE)</f>
        <v>4.5</v>
      </c>
      <c r="K22" s="5">
        <f>VLOOKUP(Table1[[#This Row],[PRODUCT_ID]], MasterData!$A$2:$F$31, 6, FALSE)</f>
        <v>9</v>
      </c>
      <c r="L22" s="5">
        <f>Table1[[#This Row],[BUYING PRICE]]*Table1[[#This Row],[QUANTITY]]</f>
        <v>22.5</v>
      </c>
      <c r="M22" s="5">
        <f>Table1[[#This Row],[SELLING PRICE]]*Table1[[#This Row],[QUANTITY]]*(1-Table1[[#This Row],[DISCOUNT %]])</f>
        <v>45</v>
      </c>
      <c r="N22">
        <f>DAY(Table1[[#This Row],[Date]])</f>
        <v>11</v>
      </c>
      <c r="O22" t="str">
        <f>TEXT(Table1[[#This Row],[Date]], "mmm")</f>
        <v>Aug</v>
      </c>
      <c r="P22">
        <f>YEAR(Table1[[#This Row],[Date]])</f>
        <v>2025</v>
      </c>
    </row>
    <row r="23" spans="1:16" x14ac:dyDescent="0.3">
      <c r="A23" s="1">
        <v>45759</v>
      </c>
      <c r="B23" t="s">
        <v>51</v>
      </c>
      <c r="C23">
        <v>1</v>
      </c>
      <c r="D23" t="s">
        <v>67</v>
      </c>
      <c r="E23" t="s">
        <v>69</v>
      </c>
      <c r="F23" s="2">
        <v>0</v>
      </c>
      <c r="G23" t="str">
        <f>VLOOKUP(Table1[[#This Row],[PRODUCT_ID]], MasterData!$A$2:$F$31, 2, FALSE)</f>
        <v>Peppermint Oil</v>
      </c>
      <c r="H23" t="str">
        <f>VLOOKUP(Table1[[#This Row],[PRODUCT_ID]], MasterData!$A$2:$F$31, 3, FALSE)</f>
        <v>Skincare</v>
      </c>
      <c r="I23" t="str">
        <f>VLOOKUP(Table1[[#This Row],[PRODUCT_ID]], MasterData!$A$2:$F$31, 4, FALSE)</f>
        <v>Bottle</v>
      </c>
      <c r="J23" s="5">
        <f>VLOOKUP(Table1[[#This Row],[PRODUCT_ID]], MasterData!$A$2:$F$31, 5, FALSE)</f>
        <v>11</v>
      </c>
      <c r="K23" s="5">
        <f>VLOOKUP(Table1[[#This Row],[PRODUCT_ID]], MasterData!$A$2:$F$31, 6, FALSE)</f>
        <v>22</v>
      </c>
      <c r="L23" s="5">
        <f>Table1[[#This Row],[BUYING PRICE]]*Table1[[#This Row],[QUANTITY]]</f>
        <v>11</v>
      </c>
      <c r="M23" s="5">
        <f>Table1[[#This Row],[SELLING PRICE]]*Table1[[#This Row],[QUANTITY]]*(1-Table1[[#This Row],[DISCOUNT %]])</f>
        <v>22</v>
      </c>
      <c r="N23">
        <f>DAY(Table1[[#This Row],[Date]])</f>
        <v>12</v>
      </c>
      <c r="O23" t="str">
        <f>TEXT(Table1[[#This Row],[Date]], "mmm")</f>
        <v>Apr</v>
      </c>
      <c r="P23">
        <f>YEAR(Table1[[#This Row],[Date]])</f>
        <v>2025</v>
      </c>
    </row>
    <row r="24" spans="1:16" x14ac:dyDescent="0.3">
      <c r="A24" s="1">
        <v>45759</v>
      </c>
      <c r="B24" t="s">
        <v>52</v>
      </c>
      <c r="C24">
        <v>3</v>
      </c>
      <c r="D24" t="s">
        <v>68</v>
      </c>
      <c r="E24" t="s">
        <v>72</v>
      </c>
      <c r="F24" s="2">
        <v>0</v>
      </c>
      <c r="G24" t="str">
        <f>VLOOKUP(Table1[[#This Row],[PRODUCT_ID]], MasterData!$A$2:$F$31, 2, FALSE)</f>
        <v>Lemon Grass Tea</v>
      </c>
      <c r="H24" t="str">
        <f>VLOOKUP(Table1[[#This Row],[PRODUCT_ID]], MasterData!$A$2:$F$31, 3, FALSE)</f>
        <v>Beverage</v>
      </c>
      <c r="I24" t="str">
        <f>VLOOKUP(Table1[[#This Row],[PRODUCT_ID]], MasterData!$A$2:$F$31, 4, FALSE)</f>
        <v>Box</v>
      </c>
      <c r="J24" s="5">
        <f>VLOOKUP(Table1[[#This Row],[PRODUCT_ID]], MasterData!$A$2:$F$31, 5, FALSE)</f>
        <v>6.5</v>
      </c>
      <c r="K24" s="5">
        <f>VLOOKUP(Table1[[#This Row],[PRODUCT_ID]], MasterData!$A$2:$F$31, 6, FALSE)</f>
        <v>13</v>
      </c>
      <c r="L24" s="5">
        <f>Table1[[#This Row],[BUYING PRICE]]*Table1[[#This Row],[QUANTITY]]</f>
        <v>19.5</v>
      </c>
      <c r="M24" s="5">
        <f>Table1[[#This Row],[SELLING PRICE]]*Table1[[#This Row],[QUANTITY]]*(1-Table1[[#This Row],[DISCOUNT %]])</f>
        <v>39</v>
      </c>
      <c r="N24">
        <f>DAY(Table1[[#This Row],[Date]])</f>
        <v>12</v>
      </c>
      <c r="O24" t="str">
        <f>TEXT(Table1[[#This Row],[Date]], "mmm")</f>
        <v>Apr</v>
      </c>
      <c r="P24">
        <f>YEAR(Table1[[#This Row],[Date]])</f>
        <v>2025</v>
      </c>
    </row>
    <row r="25" spans="1:16" x14ac:dyDescent="0.3">
      <c r="A25" s="1">
        <v>45760</v>
      </c>
      <c r="B25" t="s">
        <v>54</v>
      </c>
      <c r="C25">
        <v>5</v>
      </c>
      <c r="D25" t="s">
        <v>68</v>
      </c>
      <c r="E25" t="s">
        <v>71</v>
      </c>
      <c r="F25" s="2">
        <v>0</v>
      </c>
      <c r="G25" t="str">
        <f>VLOOKUP(Table1[[#This Row],[PRODUCT_ID]], MasterData!$A$2:$F$31, 2, FALSE)</f>
        <v>Mint Tea</v>
      </c>
      <c r="H25" t="str">
        <f>VLOOKUP(Table1[[#This Row],[PRODUCT_ID]], MasterData!$A$2:$F$31, 3, FALSE)</f>
        <v>Beverage</v>
      </c>
      <c r="I25" t="str">
        <f>VLOOKUP(Table1[[#This Row],[PRODUCT_ID]], MasterData!$A$2:$F$31, 4, FALSE)</f>
        <v>Box</v>
      </c>
      <c r="J25" s="5">
        <f>VLOOKUP(Table1[[#This Row],[PRODUCT_ID]], MasterData!$A$2:$F$31, 5, FALSE)</f>
        <v>5</v>
      </c>
      <c r="K25" s="5">
        <f>VLOOKUP(Table1[[#This Row],[PRODUCT_ID]], MasterData!$A$2:$F$31, 6, FALSE)</f>
        <v>10</v>
      </c>
      <c r="L25" s="5">
        <f>Table1[[#This Row],[BUYING PRICE]]*Table1[[#This Row],[QUANTITY]]</f>
        <v>25</v>
      </c>
      <c r="M25" s="5">
        <f>Table1[[#This Row],[SELLING PRICE]]*Table1[[#This Row],[QUANTITY]]*(1-Table1[[#This Row],[DISCOUNT %]])</f>
        <v>50</v>
      </c>
      <c r="N25">
        <f>DAY(Table1[[#This Row],[Date]])</f>
        <v>13</v>
      </c>
      <c r="O25" t="str">
        <f>TEXT(Table1[[#This Row],[Date]], "mmm")</f>
        <v>Apr</v>
      </c>
      <c r="P25">
        <f>YEAR(Table1[[#This Row],[Date]])</f>
        <v>2025</v>
      </c>
    </row>
    <row r="26" spans="1:16" x14ac:dyDescent="0.3">
      <c r="A26" s="1">
        <v>46005</v>
      </c>
      <c r="B26" t="s">
        <v>55</v>
      </c>
      <c r="C26">
        <v>3</v>
      </c>
      <c r="D26" t="s">
        <v>67</v>
      </c>
      <c r="E26" t="s">
        <v>72</v>
      </c>
      <c r="F26" s="2">
        <v>0</v>
      </c>
      <c r="G26" t="str">
        <f>VLOOKUP(Table1[[#This Row],[PRODUCT_ID]], MasterData!$A$2:$F$31, 2, FALSE)</f>
        <v>Black Pepper</v>
      </c>
      <c r="H26" t="str">
        <f>VLOOKUP(Table1[[#This Row],[PRODUCT_ID]], MasterData!$A$2:$F$31, 3, FALSE)</f>
        <v>Spice</v>
      </c>
      <c r="I26" t="str">
        <f>VLOOKUP(Table1[[#This Row],[PRODUCT_ID]], MasterData!$A$2:$F$31, 4, FALSE)</f>
        <v>Pack</v>
      </c>
      <c r="J26" s="5">
        <f>VLOOKUP(Table1[[#This Row],[PRODUCT_ID]], MasterData!$A$2:$F$31, 5, FALSE)</f>
        <v>2</v>
      </c>
      <c r="K26" s="5">
        <f>VLOOKUP(Table1[[#This Row],[PRODUCT_ID]], MasterData!$A$2:$F$31, 6, FALSE)</f>
        <v>4</v>
      </c>
      <c r="L26" s="5">
        <f>Table1[[#This Row],[BUYING PRICE]]*Table1[[#This Row],[QUANTITY]]</f>
        <v>6</v>
      </c>
      <c r="M26" s="5">
        <f>Table1[[#This Row],[SELLING PRICE]]*Table1[[#This Row],[QUANTITY]]*(1-Table1[[#This Row],[DISCOUNT %]])</f>
        <v>12</v>
      </c>
      <c r="N26">
        <f>DAY(Table1[[#This Row],[Date]])</f>
        <v>14</v>
      </c>
      <c r="O26" t="str">
        <f>TEXT(Table1[[#This Row],[Date]], "mmm")</f>
        <v>Dec</v>
      </c>
      <c r="P26">
        <f>YEAR(Table1[[#This Row],[Date]])</f>
        <v>2025</v>
      </c>
    </row>
    <row r="27" spans="1:16" x14ac:dyDescent="0.3">
      <c r="A27" s="1">
        <v>45730</v>
      </c>
      <c r="B27" t="s">
        <v>56</v>
      </c>
      <c r="C27">
        <v>2</v>
      </c>
      <c r="D27" t="s">
        <v>68</v>
      </c>
      <c r="E27" t="s">
        <v>69</v>
      </c>
      <c r="F27" s="2">
        <v>0</v>
      </c>
      <c r="G27" t="str">
        <f>VLOOKUP(Table1[[#This Row],[PRODUCT_ID]], MasterData!$A$2:$F$31, 2, FALSE)</f>
        <v>Ashwagandha Powder</v>
      </c>
      <c r="H27" t="str">
        <f>VLOOKUP(Table1[[#This Row],[PRODUCT_ID]], MasterData!$A$2:$F$31, 3, FALSE)</f>
        <v>Supplement</v>
      </c>
      <c r="I27" t="str">
        <f>VLOOKUP(Table1[[#This Row],[PRODUCT_ID]], MasterData!$A$2:$F$31, 4, FALSE)</f>
        <v>Bag</v>
      </c>
      <c r="J27" s="5">
        <f>VLOOKUP(Table1[[#This Row],[PRODUCT_ID]], MasterData!$A$2:$F$31, 5, FALSE)</f>
        <v>5.5</v>
      </c>
      <c r="K27" s="5">
        <f>VLOOKUP(Table1[[#This Row],[PRODUCT_ID]], MasterData!$A$2:$F$31, 6, FALSE)</f>
        <v>11</v>
      </c>
      <c r="L27" s="5">
        <f>Table1[[#This Row],[BUYING PRICE]]*Table1[[#This Row],[QUANTITY]]</f>
        <v>11</v>
      </c>
      <c r="M27" s="5">
        <f>Table1[[#This Row],[SELLING PRICE]]*Table1[[#This Row],[QUANTITY]]*(1-Table1[[#This Row],[DISCOUNT %]])</f>
        <v>22</v>
      </c>
      <c r="N27">
        <f>DAY(Table1[[#This Row],[Date]])</f>
        <v>14</v>
      </c>
      <c r="O27" t="str">
        <f>TEXT(Table1[[#This Row],[Date]], "mmm")</f>
        <v>Mar</v>
      </c>
      <c r="P27">
        <f>YEAR(Table1[[#This Row],[Date]])</f>
        <v>2025</v>
      </c>
    </row>
    <row r="28" spans="1:16" x14ac:dyDescent="0.3">
      <c r="A28" s="1"/>
    </row>
  </sheetData>
  <phoneticPr fontId="1" type="noConversion"/>
  <dataValidations count="2">
    <dataValidation type="list" allowBlank="1" showInputMessage="1" showErrorMessage="1" sqref="D2" xr:uid="{93E1BD09-E55B-4465-8C09-17F4B3022F62}">
      <formula1>$D$2:$D$3</formula1>
    </dataValidation>
    <dataValidation type="list" allowBlank="1" showInputMessage="1" showErrorMessage="1" sqref="E2" xr:uid="{FEC58872-1CBF-4EBF-BB0C-57313CD239FD}">
      <formula1>$E$2:$E$4</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39DAA-4884-44CF-A4C8-C53183605E31}">
  <sheetPr>
    <tabColor rgb="FFFF0000"/>
  </sheetPr>
  <dimension ref="A1"/>
  <sheetViews>
    <sheetView tabSelected="1" zoomScale="83" zoomScaleNormal="83" workbookViewId="0">
      <selection sqref="A1:XFD1048576"/>
    </sheetView>
  </sheetViews>
  <sheetFormatPr defaultRowHeight="14.4" x14ac:dyDescent="0.3"/>
  <cols>
    <col min="1" max="16384" width="8.88671875" style="11"/>
  </cols>
  <sheetData>
    <row r="1" spans="1:1" s="11" customFormat="1" x14ac:dyDescent="0.3">
      <c r="A1" s="11" t="s">
        <v>109</v>
      </c>
    </row>
  </sheetData>
  <mergeCells count="1">
    <mergeCell ref="A1:XFD104857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2" r:id="rId3" name="Check Box 4">
              <controlPr defaultSize="0" autoFill="0" autoLine="0" autoPict="0">
                <anchor moveWithCells="1">
                  <from>
                    <xdr:col>4</xdr:col>
                    <xdr:colOff>441960</xdr:colOff>
                    <xdr:row>10</xdr:row>
                    <xdr:rowOff>121920</xdr:rowOff>
                  </from>
                  <to>
                    <xdr:col>5</xdr:col>
                    <xdr:colOff>83820</xdr:colOff>
                    <xdr:row>12</xdr:row>
                    <xdr:rowOff>0</xdr:rowOff>
                  </to>
                </anchor>
              </controlPr>
            </control>
          </mc:Choice>
        </mc:AlternateContent>
        <mc:AlternateContent xmlns:mc="http://schemas.openxmlformats.org/markup-compatibility/2006">
          <mc:Choice Requires="x14">
            <control shapeId="7173" r:id="rId4" name="Check Box 5">
              <controlPr defaultSize="0" autoFill="0" autoLine="0" autoPict="0">
                <anchor moveWithCells="1">
                  <from>
                    <xdr:col>5</xdr:col>
                    <xdr:colOff>320040</xdr:colOff>
                    <xdr:row>10</xdr:row>
                    <xdr:rowOff>129540</xdr:rowOff>
                  </from>
                  <to>
                    <xdr:col>5</xdr:col>
                    <xdr:colOff>579120</xdr:colOff>
                    <xdr:row>12</xdr:row>
                    <xdr:rowOff>0</xdr:rowOff>
                  </to>
                </anchor>
              </controlPr>
            </control>
          </mc:Choice>
        </mc:AlternateContent>
        <mc:AlternateContent xmlns:mc="http://schemas.openxmlformats.org/markup-compatibility/2006">
          <mc:Choice Requires="x14">
            <control shapeId="7174" r:id="rId5" name="Check Box 6">
              <controlPr defaultSize="0" autoFill="0" autoLine="0" autoPict="0">
                <anchor moveWithCells="1">
                  <from>
                    <xdr:col>6</xdr:col>
                    <xdr:colOff>304800</xdr:colOff>
                    <xdr:row>10</xdr:row>
                    <xdr:rowOff>129540</xdr:rowOff>
                  </from>
                  <to>
                    <xdr:col>6</xdr:col>
                    <xdr:colOff>556260</xdr:colOff>
                    <xdr:row>12</xdr:row>
                    <xdr:rowOff>7620</xdr:rowOff>
                  </to>
                </anchor>
              </controlPr>
            </control>
          </mc:Choice>
        </mc:AlternateContent>
        <mc:AlternateContent xmlns:mc="http://schemas.openxmlformats.org/markup-compatibility/2006">
          <mc:Choice Requires="x14">
            <control shapeId="7175" r:id="rId6" name="Scroll Bar 7">
              <controlPr defaultSize="0" autoPict="0">
                <anchor moveWithCells="1">
                  <from>
                    <xdr:col>8</xdr:col>
                    <xdr:colOff>99060</xdr:colOff>
                    <xdr:row>13</xdr:row>
                    <xdr:rowOff>45720</xdr:rowOff>
                  </from>
                  <to>
                    <xdr:col>8</xdr:col>
                    <xdr:colOff>266700</xdr:colOff>
                    <xdr:row>23</xdr:row>
                    <xdr:rowOff>60960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A9A9C-66A9-422D-9E43-1CC89347D249}">
  <sheetPr>
    <tabColor rgb="FF00B0F0"/>
  </sheetPr>
  <dimension ref="A1:AP55"/>
  <sheetViews>
    <sheetView zoomScale="84" zoomScaleNormal="99" workbookViewId="0">
      <selection activeCell="E2" sqref="E2"/>
    </sheetView>
  </sheetViews>
  <sheetFormatPr defaultRowHeight="14.4" x14ac:dyDescent="0.3"/>
  <cols>
    <col min="1" max="1" width="7" bestFit="1" customWidth="1"/>
    <col min="2" max="2" width="26.77734375" bestFit="1" customWidth="1"/>
    <col min="4" max="4" width="26.77734375" bestFit="1" customWidth="1"/>
    <col min="5" max="5" width="26.44140625" bestFit="1" customWidth="1"/>
    <col min="7" max="7" width="10" bestFit="1" customWidth="1"/>
    <col min="8" max="8" width="26.44140625" bestFit="1" customWidth="1"/>
    <col min="9" max="9" width="26.77734375" bestFit="1" customWidth="1"/>
    <col min="10" max="10" width="14.33203125" bestFit="1" customWidth="1"/>
    <col min="11" max="11" width="6.5546875" bestFit="1" customWidth="1"/>
    <col min="12" max="12" width="10" customWidth="1"/>
    <col min="13" max="13" width="11.88671875" customWidth="1"/>
    <col min="14" max="14" width="11.6640625" customWidth="1"/>
    <col min="15" max="15" width="8.88671875" customWidth="1"/>
    <col min="16" max="16" width="22.88671875" bestFit="1" customWidth="1"/>
    <col min="17" max="17" width="26.77734375" bestFit="1" customWidth="1"/>
    <col min="18" max="18" width="16.33203125" bestFit="1" customWidth="1"/>
    <col min="19" max="19" width="16.33203125" customWidth="1"/>
    <col min="20" max="20" width="16.88671875" bestFit="1" customWidth="1"/>
    <col min="21" max="22" width="21.33203125" bestFit="1" customWidth="1"/>
    <col min="23" max="24" width="20.88671875" bestFit="1" customWidth="1"/>
    <col min="25" max="25" width="11.109375" customWidth="1"/>
    <col min="26" max="29" width="20.88671875" customWidth="1"/>
    <col min="31" max="31" width="12.44140625" bestFit="1" customWidth="1"/>
    <col min="32" max="32" width="26.77734375" bestFit="1" customWidth="1"/>
    <col min="33" max="33" width="18.44140625" customWidth="1"/>
    <col min="34" max="34" width="10.6640625" customWidth="1"/>
    <col min="35" max="35" width="17.88671875" customWidth="1"/>
    <col min="36" max="36" width="15.44140625" customWidth="1"/>
    <col min="37" max="37" width="26.44140625" customWidth="1"/>
    <col min="38" max="38" width="11.88671875" bestFit="1" customWidth="1"/>
    <col min="39" max="39" width="26.77734375" bestFit="1" customWidth="1"/>
    <col min="40" max="40" width="6" bestFit="1" customWidth="1"/>
    <col min="41" max="41" width="17.5546875" bestFit="1" customWidth="1"/>
    <col min="42" max="42" width="26.77734375" bestFit="1" customWidth="1"/>
    <col min="43" max="62" width="7" bestFit="1" customWidth="1"/>
    <col min="63" max="63" width="8" bestFit="1" customWidth="1"/>
    <col min="64" max="64" width="10.77734375" bestFit="1" customWidth="1"/>
  </cols>
  <sheetData>
    <row r="1" spans="1:42" x14ac:dyDescent="0.3">
      <c r="A1" s="6" t="s">
        <v>84</v>
      </c>
      <c r="B1" t="s">
        <v>87</v>
      </c>
      <c r="D1" t="s">
        <v>87</v>
      </c>
      <c r="E1" t="s">
        <v>88</v>
      </c>
      <c r="U1" t="str">
        <f>VLOOKUP(1, T1:X28,2,0)</f>
        <v>Ashwagandha Capsules</v>
      </c>
      <c r="V1" t="str">
        <f>VLOOKUP(1, T1:X28,3,0)</f>
        <v>Bag</v>
      </c>
      <c r="W1" s="5">
        <f>VLOOKUP(1, T1:X28,4,0)</f>
        <v>100</v>
      </c>
      <c r="X1">
        <f>VLOOKUP(1, T1:X28,5,0)</f>
        <v>5</v>
      </c>
      <c r="Z1">
        <v>1</v>
      </c>
      <c r="AA1">
        <f>COUNT(R:R)</f>
        <v>26</v>
      </c>
      <c r="AB1">
        <f>MIN(Z1:AA1)</f>
        <v>1</v>
      </c>
      <c r="AE1" s="6" t="s">
        <v>74</v>
      </c>
      <c r="AF1" t="s">
        <v>87</v>
      </c>
      <c r="AI1" t="str">
        <f ca="1">VLOOKUP(1,$AH:$AJ,2,0)</f>
        <v>Skincare</v>
      </c>
      <c r="AJ1" s="5">
        <f ca="1">VLOOKUP(1,$AH:$AJ,3,0)</f>
        <v>273</v>
      </c>
      <c r="AL1" s="6" t="s">
        <v>78</v>
      </c>
      <c r="AM1" t="s">
        <v>87</v>
      </c>
      <c r="AO1" s="6" t="s">
        <v>79</v>
      </c>
      <c r="AP1" t="s">
        <v>87</v>
      </c>
    </row>
    <row r="2" spans="1:42" x14ac:dyDescent="0.3">
      <c r="A2" s="7">
        <v>1</v>
      </c>
      <c r="B2" s="5">
        <v>536.1</v>
      </c>
      <c r="D2" s="5">
        <v>1133.9000000000001</v>
      </c>
      <c r="E2" s="5">
        <v>567</v>
      </c>
      <c r="L2" t="b">
        <v>1</v>
      </c>
      <c r="M2" t="b">
        <v>1</v>
      </c>
      <c r="N2" t="b">
        <v>1</v>
      </c>
      <c r="AE2" s="7" t="s">
        <v>60</v>
      </c>
      <c r="AF2" s="5">
        <v>425.2</v>
      </c>
      <c r="AG2" s="5"/>
      <c r="AL2" s="7" t="s">
        <v>67</v>
      </c>
      <c r="AM2" s="5">
        <v>368.5</v>
      </c>
      <c r="AO2" s="7" t="s">
        <v>71</v>
      </c>
      <c r="AP2" s="5">
        <v>183</v>
      </c>
    </row>
    <row r="3" spans="1:42" x14ac:dyDescent="0.3">
      <c r="A3" s="7">
        <v>7</v>
      </c>
      <c r="B3" s="5">
        <v>131.80000000000001</v>
      </c>
      <c r="G3" s="6" t="s">
        <v>85</v>
      </c>
      <c r="H3" t="s">
        <v>88</v>
      </c>
      <c r="I3" t="s">
        <v>87</v>
      </c>
      <c r="K3" t="s">
        <v>93</v>
      </c>
      <c r="L3" t="s">
        <v>94</v>
      </c>
      <c r="M3" t="s">
        <v>95</v>
      </c>
      <c r="N3" t="s">
        <v>96</v>
      </c>
      <c r="P3" s="6" t="s">
        <v>73</v>
      </c>
      <c r="Q3" t="s">
        <v>87</v>
      </c>
      <c r="R3" t="s">
        <v>89</v>
      </c>
      <c r="T3" cm="1">
        <f t="array" ref="T3:T28">RANK(W3:W28,W3:W28)</f>
        <v>17</v>
      </c>
      <c r="U3" t="str" cm="1">
        <f t="array" ref="U3">INDEX($P$4:$P$100, ROW(A1)*2-1)</f>
        <v>Aloe Vera Gel</v>
      </c>
      <c r="V3" t="str" cm="1">
        <f t="array" ref="V3">INDEX($P$4:$P$59, ROW(A2)*2-0)</f>
        <v>Bottle</v>
      </c>
      <c r="W3" s="5" cm="1">
        <f t="array" ref="W3">INDEX($Q$4:$Q$100, ROW(A2)*2-2)</f>
        <v>30</v>
      </c>
      <c r="X3" cm="1">
        <f t="array" ref="X3">INDEX($R$4:$R$100, ROW(A2)*2-2)</f>
        <v>2</v>
      </c>
      <c r="Z3" t="str" cm="1">
        <f t="array" ref="Z3">INDEX($U$3:$U$28, $Z$1 + (ROW(A1)-1)*2)</f>
        <v>Aloe Vera Gel</v>
      </c>
      <c r="AA3" s="5" cm="1">
        <f t="array" ref="AA3">INDEX($W$3:$W$28, $Z$1 + (ROW(A1)-1)*2)</f>
        <v>30</v>
      </c>
      <c r="AB3" s="5"/>
      <c r="AC3" s="5"/>
      <c r="AE3" s="7" t="s">
        <v>59</v>
      </c>
      <c r="AF3" s="5">
        <v>202</v>
      </c>
      <c r="AG3" s="5"/>
      <c r="AH3">
        <f ca="1">RANK(AJ3, AJ3:AJ5)</f>
        <v>3</v>
      </c>
      <c r="AI3" s="5" t="str" cm="1">
        <f t="array" aca="1" ref="AI3" ca="1">INDEX(OFFSET($AE$2, 1, 0, COUNT(AF:AF), 1), ROW(A1))</f>
        <v>Spice</v>
      </c>
      <c r="AJ3" s="5" cm="1">
        <f t="array" aca="1" ref="AJ3" ca="1">INDEX(OFFSET($AF$2, 1, 0, COUNT(AF:AF), 1), ROW(A1))</f>
        <v>202</v>
      </c>
      <c r="AL3" s="7" t="s">
        <v>68</v>
      </c>
      <c r="AM3" s="5">
        <v>765.4</v>
      </c>
      <c r="AO3" s="7" t="s">
        <v>69</v>
      </c>
      <c r="AP3" s="5">
        <v>236.7</v>
      </c>
    </row>
    <row r="4" spans="1:42" x14ac:dyDescent="0.3">
      <c r="A4" s="7">
        <v>8</v>
      </c>
      <c r="B4" s="5">
        <v>46</v>
      </c>
      <c r="D4" t="s">
        <v>90</v>
      </c>
      <c r="E4" s="5">
        <f>GETPIVOTDATA("Sum of TOTAL BUYING VALUE",$D$1)</f>
        <v>567</v>
      </c>
      <c r="G4" s="7" t="s">
        <v>98</v>
      </c>
      <c r="H4" s="5">
        <v>15</v>
      </c>
      <c r="I4" s="5">
        <v>29.7</v>
      </c>
      <c r="K4" s="7" t="s">
        <v>98</v>
      </c>
      <c r="L4" s="5">
        <f>IF($L$2=TRUE,VLOOKUP(K4,G4:I15,3,0),NA())</f>
        <v>29.7</v>
      </c>
      <c r="M4" s="5">
        <f>IF($M$2=TRUE,VLOOKUP(K4,G4:I4,3,0)-VLOOKUP(K4,G4:I4,2,0),NA())</f>
        <v>14.7</v>
      </c>
      <c r="N4" s="9">
        <f>IF($N$2=TRUE,M4/VLOOKUP(K4,G4:I4,3,0),"")</f>
        <v>0.49494949494949492</v>
      </c>
      <c r="P4" s="7" t="s">
        <v>2</v>
      </c>
      <c r="Q4" s="5"/>
      <c r="T4">
        <v>7</v>
      </c>
      <c r="U4" t="str" cm="1">
        <f t="array" ref="U4">INDEX($P$4:$P$100, ROW(A2)*2-1)</f>
        <v>Amla Capsules</v>
      </c>
      <c r="V4" t="str" cm="1">
        <f t="array" ref="V4">INDEX($P$4:$P$59, ROW(A3)*2-0)</f>
        <v>Bottle</v>
      </c>
      <c r="W4" s="5" cm="1">
        <f t="array" ref="W4">INDEX($Q$4:$Q$100, ROW(A3)*2-2)</f>
        <v>65</v>
      </c>
      <c r="X4" cm="1">
        <f t="array" ref="X4">INDEX($R$4:$R$100, ROW(A3)*2-2)</f>
        <v>5</v>
      </c>
      <c r="Z4" t="str" cm="1">
        <f t="array" ref="Z4">INDEX($U$3:$U$28, $Z$1 + (ROW(A2)-1)*2)</f>
        <v>Ashwagandha Capsules</v>
      </c>
      <c r="AA4" s="5" cm="1">
        <f t="array" ref="AA4">INDEX($W$3:$W$28, $Z$1 + (ROW(A2)-1)*2)</f>
        <v>100</v>
      </c>
      <c r="AB4" s="5"/>
      <c r="AC4" s="5"/>
      <c r="AE4" s="7" t="s">
        <v>58</v>
      </c>
      <c r="AF4" s="5">
        <v>273</v>
      </c>
      <c r="AG4" s="5"/>
      <c r="AH4">
        <f ca="1">RANK(AJ4, AJ4:AJ6)</f>
        <v>1</v>
      </c>
      <c r="AI4" s="5" t="str" cm="1">
        <f t="array" aca="1" ref="AI4" ca="1">INDEX(OFFSET($AE$2, 1, 0, COUNT(AF:AF), 1), ROW(A2))</f>
        <v>Skincare</v>
      </c>
      <c r="AJ4" s="5" cm="1">
        <f t="array" aca="1" ref="AJ4" ca="1">INDEX(OFFSET($AF$2, 1, 0, COUNT(AF:AF), 1), ROW(A2))</f>
        <v>273</v>
      </c>
      <c r="AO4" s="7" t="s">
        <v>72</v>
      </c>
      <c r="AP4" s="5">
        <v>353.2</v>
      </c>
    </row>
    <row r="5" spans="1:42" x14ac:dyDescent="0.3">
      <c r="A5" s="7">
        <v>9</v>
      </c>
      <c r="B5" s="5">
        <v>86</v>
      </c>
      <c r="D5" t="s">
        <v>91</v>
      </c>
      <c r="E5" s="5">
        <f>GETPIVOTDATA("Sum of TOTAL SELLING VALUE",$D$1)-GETPIVOTDATA("Sum of TOTAL BUYING VALUE",$D$1)</f>
        <v>566.90000000000009</v>
      </c>
      <c r="G5" s="7" t="s">
        <v>99</v>
      </c>
      <c r="H5" s="5">
        <v>15</v>
      </c>
      <c r="I5" s="5">
        <v>30</v>
      </c>
      <c r="K5" s="7" t="s">
        <v>99</v>
      </c>
      <c r="L5" s="5">
        <f t="shared" ref="L5:L15" si="0">IF($L$2=TRUE,VLOOKUP(K5,G5:I16,3,0),NA())</f>
        <v>30</v>
      </c>
      <c r="M5" s="5">
        <f>IF($M$2=TRUE,VLOOKUP(K5,G5:I5,3,0)-VLOOKUP(K5,G5:I5,2,0),NA())</f>
        <v>15</v>
      </c>
      <c r="N5" s="9">
        <f t="shared" ref="N5:N15" si="1">IF($N$2=TRUE,M5/VLOOKUP(K5,G5:I5,3,0),"")</f>
        <v>0.5</v>
      </c>
      <c r="P5" s="8" t="s">
        <v>62</v>
      </c>
      <c r="Q5" s="5">
        <v>30</v>
      </c>
      <c r="R5">
        <v>2</v>
      </c>
      <c r="T5">
        <v>1</v>
      </c>
      <c r="U5" t="str" cm="1">
        <f t="array" ref="U5">INDEX($P$4:$P$100, ROW(A3)*2-1)</f>
        <v>Ashwagandha Capsules</v>
      </c>
      <c r="V5" t="str" cm="1">
        <f t="array" ref="V5">INDEX($P$4:$P$59, ROW(A4)*2-0)</f>
        <v>Bag</v>
      </c>
      <c r="W5" s="5" cm="1">
        <f t="array" ref="W5">INDEX($Q$4:$Q$100, ROW(A4)*2-2)</f>
        <v>100</v>
      </c>
      <c r="X5" cm="1">
        <f t="array" ref="X5">INDEX($R$4:$R$100, ROW(A4)*2-2)</f>
        <v>5</v>
      </c>
      <c r="Z5" t="str" cm="1">
        <f t="array" ref="Z5">INDEX($U$3:$U$28, $Z$1 + (ROW(A3)-1)*2)</f>
        <v>Black Pepper</v>
      </c>
      <c r="AA5" s="5" cm="1">
        <f t="array" ref="AA5">INDEX($W$3:$W$28, $Z$1 + (ROW(A3)-1)*2)</f>
        <v>12</v>
      </c>
      <c r="AB5" s="5"/>
      <c r="AC5" s="5"/>
      <c r="AE5" s="7" t="s">
        <v>57</v>
      </c>
      <c r="AF5" s="5">
        <v>233.7</v>
      </c>
      <c r="AG5" s="5"/>
      <c r="AH5">
        <f ca="1">RANK(AJ5, AJ5:AJ7)</f>
        <v>1</v>
      </c>
      <c r="AI5" s="5" t="str" cm="1">
        <f t="array" aca="1" ref="AI5" ca="1">INDEX(OFFSET($AE$2, 1, 0, COUNT(AF:AF), 1), ROW(A3))</f>
        <v>Beverage</v>
      </c>
      <c r="AJ5" s="5" cm="1">
        <f t="array" aca="1" ref="AJ5" ca="1">INDEX(OFFSET($AF$2, 1, 0, COUNT(AF:AF), 1), ROW(A3))</f>
        <v>233.7</v>
      </c>
      <c r="AO5" s="7" t="s">
        <v>70</v>
      </c>
      <c r="AP5" s="5">
        <v>361</v>
      </c>
    </row>
    <row r="6" spans="1:42" x14ac:dyDescent="0.3">
      <c r="A6" s="7">
        <v>10</v>
      </c>
      <c r="B6" s="5">
        <v>104</v>
      </c>
      <c r="D6" t="s">
        <v>92</v>
      </c>
      <c r="E6" s="9">
        <f>E5/GETPIVOTDATA("Sum of TOTAL SELLING VALUE",$D$1)</f>
        <v>0.49995590440074084</v>
      </c>
      <c r="G6" s="7" t="s">
        <v>100</v>
      </c>
      <c r="H6" s="5">
        <v>11</v>
      </c>
      <c r="I6" s="5">
        <v>22</v>
      </c>
      <c r="K6" s="7" t="s">
        <v>100</v>
      </c>
      <c r="L6" s="5">
        <f t="shared" si="0"/>
        <v>22</v>
      </c>
      <c r="M6" s="5">
        <f t="shared" ref="M6:M15" si="2">IF($M$2=TRUE,VLOOKUP(K6,G6:I6,3,0)-VLOOKUP(K6,G6:I6,2,0),NA())</f>
        <v>11</v>
      </c>
      <c r="N6" s="9">
        <f t="shared" si="1"/>
        <v>0.5</v>
      </c>
      <c r="P6" s="7" t="s">
        <v>17</v>
      </c>
      <c r="Q6" s="5"/>
      <c r="T6">
        <v>19</v>
      </c>
      <c r="U6" t="str" cm="1">
        <f t="array" ref="U6">INDEX($P$4:$P$100, ROW(A4)*2-1)</f>
        <v>Ashwagandha Powder</v>
      </c>
      <c r="V6" t="str" cm="1">
        <f t="array" ref="V6">INDEX($P$4:$P$59, ROW(A5)*2-0)</f>
        <v>Pack</v>
      </c>
      <c r="W6" s="5" cm="1">
        <f t="array" ref="W6">INDEX($Q$4:$Q$100, ROW(A5)*2-2)</f>
        <v>22</v>
      </c>
      <c r="X6" cm="1">
        <f t="array" ref="X6">INDEX($R$4:$R$100, ROW(A5)*2-2)</f>
        <v>2</v>
      </c>
      <c r="Z6" t="str" cm="1">
        <f t="array" ref="Z6">INDEX($U$3:$U$28, $Z$1 + (ROW(A4)-1)*2)</f>
        <v>Cardamom</v>
      </c>
      <c r="AA6" s="5" cm="1">
        <f t="array" ref="AA6">INDEX($W$3:$W$28, $Z$1 + (ROW(A4)-1)*2)</f>
        <v>54</v>
      </c>
      <c r="AB6" s="5"/>
      <c r="AC6" s="5"/>
      <c r="AI6" s="5"/>
    </row>
    <row r="7" spans="1:42" x14ac:dyDescent="0.3">
      <c r="A7" s="7">
        <v>11</v>
      </c>
      <c r="B7" s="5">
        <v>85</v>
      </c>
      <c r="G7" s="7" t="s">
        <v>97</v>
      </c>
      <c r="H7" s="5">
        <v>232</v>
      </c>
      <c r="I7" s="5">
        <v>462.4</v>
      </c>
      <c r="K7" s="7" t="s">
        <v>97</v>
      </c>
      <c r="L7" s="5">
        <f t="shared" si="0"/>
        <v>462.4</v>
      </c>
      <c r="M7" s="5">
        <f t="shared" si="2"/>
        <v>230.39999999999998</v>
      </c>
      <c r="N7" s="9">
        <f t="shared" si="1"/>
        <v>0.4982698961937716</v>
      </c>
      <c r="P7" s="8" t="s">
        <v>62</v>
      </c>
      <c r="Q7" s="5">
        <v>65</v>
      </c>
      <c r="R7">
        <v>5</v>
      </c>
      <c r="T7">
        <v>24</v>
      </c>
      <c r="U7" t="str" cm="1">
        <f t="array" ref="U7">INDEX($P$4:$P$100, ROW(A5)*2-1)</f>
        <v>Black Pepper</v>
      </c>
      <c r="V7" t="str" cm="1">
        <f t="array" ref="V7">INDEX($P$4:$P$59, ROW(A6)*2-0)</f>
        <v>Bottle</v>
      </c>
      <c r="W7" s="5" cm="1">
        <f t="array" ref="W7">INDEX($Q$4:$Q$100, ROW(A6)*2-2)</f>
        <v>12</v>
      </c>
      <c r="X7" cm="1">
        <f t="array" ref="X7">INDEX($R$4:$R$100, ROW(A6)*2-2)</f>
        <v>3</v>
      </c>
      <c r="Z7" t="str" cm="1">
        <f t="array" ref="Z7">INDEX($U$3:$U$28, $Z$1 + (ROW(A5)-1)*2)</f>
        <v>Cinnamon Powder</v>
      </c>
      <c r="AA7" s="5" cm="1">
        <f t="array" ref="AA7">INDEX($W$3:$W$28, $Z$1 + (ROW(A5)-1)*2)</f>
        <v>21</v>
      </c>
      <c r="AB7" s="5"/>
      <c r="AC7" s="5"/>
      <c r="AI7" s="5"/>
    </row>
    <row r="8" spans="1:42" x14ac:dyDescent="0.3">
      <c r="A8" s="7">
        <v>12</v>
      </c>
      <c r="B8" s="5">
        <v>61</v>
      </c>
      <c r="G8" s="7" t="s">
        <v>101</v>
      </c>
      <c r="H8" s="5">
        <v>18.5</v>
      </c>
      <c r="I8" s="5">
        <v>37</v>
      </c>
      <c r="K8" s="7" t="s">
        <v>101</v>
      </c>
      <c r="L8" s="5">
        <f t="shared" si="0"/>
        <v>37</v>
      </c>
      <c r="M8" s="5">
        <f t="shared" si="2"/>
        <v>18.5</v>
      </c>
      <c r="N8" s="9">
        <f t="shared" si="1"/>
        <v>0.5</v>
      </c>
      <c r="P8" s="7" t="s">
        <v>4</v>
      </c>
      <c r="Q8" s="5"/>
      <c r="T8">
        <v>4</v>
      </c>
      <c r="U8" t="str" cm="1">
        <f t="array" ref="U8">INDEX($P$4:$P$100, ROW(A6)*2-1)</f>
        <v>Brahmi Powder</v>
      </c>
      <c r="V8" t="str" cm="1">
        <f t="array" ref="V8">INDEX($P$4:$P$59, ROW(A7)*2-0)</f>
        <v>Pack</v>
      </c>
      <c r="W8" s="5" cm="1">
        <f t="array" ref="W8">INDEX($Q$4:$Q$100, ROW(A7)*2-2)</f>
        <v>78.400000000000006</v>
      </c>
      <c r="X8" cm="1">
        <f t="array" ref="X8">INDEX($R$4:$R$100, ROW(A7)*2-2)</f>
        <v>5</v>
      </c>
      <c r="Z8" t="str" cm="1">
        <f t="array" ref="Z8">INDEX($U$3:$U$28, $Z$1 + (ROW(A6)-1)*2)</f>
        <v>Clove Powder</v>
      </c>
      <c r="AA8" s="5" cm="1">
        <f t="array" ref="AA8">INDEX($W$3:$W$28, $Z$1 + (ROW(A6)-1)*2)</f>
        <v>9</v>
      </c>
      <c r="AB8" s="5"/>
      <c r="AC8" s="5"/>
      <c r="AI8" s="5"/>
    </row>
    <row r="9" spans="1:42" x14ac:dyDescent="0.3">
      <c r="A9" s="7">
        <v>13</v>
      </c>
      <c r="B9" s="5">
        <v>50</v>
      </c>
      <c r="G9" s="7" t="s">
        <v>102</v>
      </c>
      <c r="H9" s="5">
        <v>25</v>
      </c>
      <c r="I9" s="5">
        <v>50</v>
      </c>
      <c r="K9" s="7" t="s">
        <v>102</v>
      </c>
      <c r="L9" s="5">
        <f t="shared" si="0"/>
        <v>50</v>
      </c>
      <c r="M9" s="5">
        <f t="shared" si="2"/>
        <v>25</v>
      </c>
      <c r="N9" s="9">
        <f t="shared" si="1"/>
        <v>0.5</v>
      </c>
      <c r="P9" s="8" t="s">
        <v>62</v>
      </c>
      <c r="Q9" s="5">
        <v>100</v>
      </c>
      <c r="R9">
        <v>5</v>
      </c>
      <c r="T9">
        <v>8</v>
      </c>
      <c r="U9" t="str" cm="1">
        <f t="array" ref="U9">INDEX($P$4:$P$100, ROW(A7)*2-1)</f>
        <v>Cardamom</v>
      </c>
      <c r="V9" t="str" cm="1">
        <f t="array" ref="V9">INDEX($P$4:$P$59, ROW(A8)*2-0)</f>
        <v>Box</v>
      </c>
      <c r="W9" s="5" cm="1">
        <f t="array" ref="W9">INDEX($Q$4:$Q$100, ROW(A8)*2-2)</f>
        <v>54</v>
      </c>
      <c r="X9" cm="1">
        <f t="array" ref="X9">INDEX($R$4:$R$100, ROW(A8)*2-2)</f>
        <v>3</v>
      </c>
      <c r="Z9" t="str" cm="1">
        <f t="array" ref="Z9">INDEX($U$3:$U$28, $Z$1 + (ROW(A7)-1)*2)</f>
        <v>Ginger Tea</v>
      </c>
      <c r="AA9" s="5" cm="1">
        <f t="array" ref="AA9">INDEX($W$3:$W$28, $Z$1 + (ROW(A7)-1)*2)</f>
        <v>11</v>
      </c>
      <c r="AB9" s="5"/>
      <c r="AC9" s="5"/>
      <c r="AI9" s="5"/>
    </row>
    <row r="10" spans="1:42" x14ac:dyDescent="0.3">
      <c r="A10" s="7">
        <v>14</v>
      </c>
      <c r="B10" s="5">
        <v>34</v>
      </c>
      <c r="G10" s="7" t="s">
        <v>103</v>
      </c>
      <c r="H10" s="5">
        <v>50.5</v>
      </c>
      <c r="I10" s="5">
        <v>101</v>
      </c>
      <c r="K10" s="7" t="s">
        <v>103</v>
      </c>
      <c r="L10" s="5">
        <f t="shared" si="0"/>
        <v>101</v>
      </c>
      <c r="M10" s="5">
        <f t="shared" si="2"/>
        <v>50.5</v>
      </c>
      <c r="N10" s="9">
        <f t="shared" si="1"/>
        <v>0.5</v>
      </c>
      <c r="P10" s="7" t="s">
        <v>28</v>
      </c>
      <c r="Q10" s="5"/>
      <c r="T10">
        <v>5</v>
      </c>
      <c r="U10" t="str" cm="1">
        <f t="array" ref="U10">INDEX($P$4:$P$100, ROW(A8)*2-1)</f>
        <v>Chamomile Tea</v>
      </c>
      <c r="V10" t="str" cm="1">
        <f t="array" ref="V10">INDEX($P$4:$P$59, ROW(A9)*2-0)</f>
        <v>Pack</v>
      </c>
      <c r="W10" s="5" cm="1">
        <f t="array" ref="W10">INDEX($Q$4:$Q$100, ROW(A9)*2-2)</f>
        <v>72</v>
      </c>
      <c r="X10" cm="1">
        <f t="array" ref="X10">INDEX($R$4:$R$100, ROW(A9)*2-2)</f>
        <v>6</v>
      </c>
      <c r="Z10" t="str" cm="1">
        <f t="array" ref="Z10">INDEX($U$3:$U$28, $Z$1 + (ROW(A8)-1)*2)</f>
        <v>Herbal Tea</v>
      </c>
      <c r="AA10" s="5" cm="1">
        <f t="array" ref="AA10">INDEX($W$3:$W$28, $Z$1 + (ROW(A8)-1)*2)</f>
        <v>29.7</v>
      </c>
      <c r="AB10" s="5"/>
      <c r="AC10" s="5"/>
      <c r="AI10" s="5"/>
    </row>
    <row r="11" spans="1:42" x14ac:dyDescent="0.3">
      <c r="G11" s="7" t="s">
        <v>108</v>
      </c>
      <c r="H11" s="5">
        <v>56.5</v>
      </c>
      <c r="I11" s="5">
        <v>113</v>
      </c>
      <c r="K11" s="7" t="s">
        <v>108</v>
      </c>
      <c r="L11" s="5">
        <f t="shared" si="0"/>
        <v>113</v>
      </c>
      <c r="M11" s="5">
        <f t="shared" si="2"/>
        <v>56.5</v>
      </c>
      <c r="N11" s="9">
        <f t="shared" si="1"/>
        <v>0.5</v>
      </c>
      <c r="P11" s="8" t="s">
        <v>63</v>
      </c>
      <c r="Q11" s="5">
        <v>22</v>
      </c>
      <c r="R11">
        <v>2</v>
      </c>
      <c r="T11">
        <v>21</v>
      </c>
      <c r="U11" t="str" cm="1">
        <f t="array" ref="U11">INDEX($P$4:$P$100, ROW(A9)*2-1)</f>
        <v>Cinnamon Powder</v>
      </c>
      <c r="V11" t="str" cm="1">
        <f t="array" ref="V11">INDEX($P$4:$P$59, ROW(A10)*2-0)</f>
        <v>Pack</v>
      </c>
      <c r="W11" s="5" cm="1">
        <f t="array" ref="W11">INDEX($Q$4:$Q$100, ROW(A10)*2-2)</f>
        <v>21</v>
      </c>
      <c r="X11" cm="1">
        <f t="array" ref="X11">INDEX($R$4:$R$100, ROW(A10)*2-2)</f>
        <v>3</v>
      </c>
      <c r="Z11" t="str" cm="1">
        <f t="array" ref="Z11">INDEX($U$3:$U$28, $Z$1 + (ROW(A9)-1)*2)</f>
        <v>Lemon Grass Tea</v>
      </c>
      <c r="AA11" s="5" cm="1">
        <f t="array" ref="AA11">INDEX($W$3:$W$28, $Z$1 + (ROW(A9)-1)*2)</f>
        <v>39</v>
      </c>
      <c r="AB11" s="5"/>
      <c r="AC11" s="5"/>
      <c r="AI11" s="5"/>
    </row>
    <row r="12" spans="1:42" x14ac:dyDescent="0.3">
      <c r="G12" s="7" t="s">
        <v>104</v>
      </c>
      <c r="H12" s="5">
        <v>49</v>
      </c>
      <c r="I12" s="5">
        <v>95.8</v>
      </c>
      <c r="K12" s="7" t="s">
        <v>104</v>
      </c>
      <c r="L12" s="5">
        <f t="shared" si="0"/>
        <v>95.8</v>
      </c>
      <c r="M12" s="5">
        <f t="shared" si="2"/>
        <v>46.8</v>
      </c>
      <c r="N12" s="9">
        <f t="shared" si="1"/>
        <v>0.48851774530271397</v>
      </c>
      <c r="P12" s="7" t="s">
        <v>27</v>
      </c>
      <c r="Q12" s="5"/>
      <c r="T12">
        <v>22</v>
      </c>
      <c r="U12" t="str" cm="1">
        <f t="array" ref="U12">INDEX($P$4:$P$100, ROW(A10)*2-1)</f>
        <v>Cinnamon Sticks</v>
      </c>
      <c r="V12" t="str" cm="1">
        <f t="array" ref="V12">INDEX($P$4:$P$59, ROW(A11)*2-0)</f>
        <v>Bag</v>
      </c>
      <c r="W12" s="5" cm="1">
        <f t="array" ref="W12">INDEX($Q$4:$Q$100, ROW(A11)*2-2)</f>
        <v>16</v>
      </c>
      <c r="X12" cm="1">
        <f t="array" ref="X12">INDEX($R$4:$R$100, ROW(A11)*2-2)</f>
        <v>2</v>
      </c>
      <c r="Z12" t="str" cm="1">
        <f t="array" ref="Z12">INDEX($U$3:$U$28, $Z$1 + (ROW(A10)-1)*2)</f>
        <v>Moringa Powder</v>
      </c>
      <c r="AA12" s="5" cm="1">
        <f t="array" ref="AA12">INDEX($W$3:$W$28, $Z$1 + (ROW(A10)-1)*2)</f>
        <v>36</v>
      </c>
      <c r="AB12" s="5"/>
      <c r="AC12" s="5"/>
    </row>
    <row r="13" spans="1:42" x14ac:dyDescent="0.3">
      <c r="G13" s="7" t="s">
        <v>105</v>
      </c>
      <c r="H13" s="5">
        <v>48</v>
      </c>
      <c r="I13" s="5">
        <v>100</v>
      </c>
      <c r="K13" s="7" t="s">
        <v>105</v>
      </c>
      <c r="L13" s="5">
        <f t="shared" si="0"/>
        <v>100</v>
      </c>
      <c r="M13" s="5">
        <f t="shared" si="2"/>
        <v>52</v>
      </c>
      <c r="N13" s="9">
        <f t="shared" si="1"/>
        <v>0.52</v>
      </c>
      <c r="P13" s="8" t="s">
        <v>64</v>
      </c>
      <c r="Q13" s="5">
        <v>12</v>
      </c>
      <c r="R13">
        <v>3</v>
      </c>
      <c r="T13">
        <v>26</v>
      </c>
      <c r="U13" t="str" cm="1">
        <f t="array" ref="U13">INDEX($P$4:$P$100, ROW(A11)*2-1)</f>
        <v>Clove Powder</v>
      </c>
      <c r="V13" t="str" cm="1">
        <f t="array" ref="V13">INDEX($P$4:$P$59, ROW(A12)*2-0)</f>
        <v>Bottle</v>
      </c>
      <c r="W13" s="5" cm="1">
        <f t="array" ref="W13">INDEX($Q$4:$Q$100, ROW(A12)*2-2)</f>
        <v>9</v>
      </c>
      <c r="X13" cm="1">
        <f t="array" ref="X13">INDEX($R$4:$R$100, ROW(A12)*2-2)</f>
        <v>1</v>
      </c>
      <c r="Z13" t="str" cm="1">
        <f t="array" ref="Z13">INDEX($U$3:$U$28, $Z$1 + (ROW(A11)-1)*2)</f>
        <v>Peppermint Oil</v>
      </c>
      <c r="AA13" s="5" cm="1">
        <f t="array" ref="AA13">INDEX($W$3:$W$28, $Z$1 + (ROW(A11)-1)*2)</f>
        <v>22</v>
      </c>
      <c r="AB13" s="5"/>
      <c r="AC13" s="5"/>
    </row>
    <row r="14" spans="1:42" x14ac:dyDescent="0.3">
      <c r="G14" s="7" t="s">
        <v>106</v>
      </c>
      <c r="H14" s="5">
        <v>4.5</v>
      </c>
      <c r="I14" s="5">
        <v>9</v>
      </c>
      <c r="K14" s="7" t="s">
        <v>106</v>
      </c>
      <c r="L14" s="5">
        <f t="shared" si="0"/>
        <v>9</v>
      </c>
      <c r="M14" s="5">
        <f t="shared" si="2"/>
        <v>4.5</v>
      </c>
      <c r="N14" s="9">
        <f t="shared" si="1"/>
        <v>0.5</v>
      </c>
      <c r="P14" s="7" t="s">
        <v>8</v>
      </c>
      <c r="Q14" s="5"/>
      <c r="T14">
        <v>14</v>
      </c>
      <c r="U14" t="str" cm="1">
        <f t="array" ref="U14">INDEX($P$4:$P$100, ROW(A12)*2-1)</f>
        <v>Eucalyptus Oil</v>
      </c>
      <c r="V14" t="str" cm="1">
        <f t="array" ref="V14">INDEX($P$4:$P$59, ROW(A13)*2-0)</f>
        <v>Box</v>
      </c>
      <c r="W14" s="5" cm="1">
        <f t="array" ref="W14">INDEX($Q$4:$Q$100, ROW(A13)*2-2)</f>
        <v>36</v>
      </c>
      <c r="X14" cm="1">
        <f t="array" ref="X14">INDEX($R$4:$R$100, ROW(A13)*2-2)</f>
        <v>2</v>
      </c>
      <c r="Z14" t="str" cm="1">
        <f t="array" ref="Z14">INDEX($U$3:$U$28, $Z$1 + (ROW(A12)-1)*2)</f>
        <v>Saffron</v>
      </c>
      <c r="AA14" s="5" cm="1">
        <f t="array" ref="AA14">INDEX($W$3:$W$28, $Z$1 + (ROW(A12)-1)*2)</f>
        <v>90</v>
      </c>
      <c r="AB14" s="5"/>
      <c r="AC14" s="5"/>
    </row>
    <row r="15" spans="1:42" x14ac:dyDescent="0.3">
      <c r="G15" s="7" t="s">
        <v>107</v>
      </c>
      <c r="H15" s="5">
        <v>42</v>
      </c>
      <c r="I15" s="5">
        <v>84</v>
      </c>
      <c r="K15" s="7" t="s">
        <v>107</v>
      </c>
      <c r="L15" s="5">
        <f t="shared" si="0"/>
        <v>84</v>
      </c>
      <c r="M15" s="5">
        <f t="shared" si="2"/>
        <v>42</v>
      </c>
      <c r="N15" s="9">
        <f t="shared" si="1"/>
        <v>0.5</v>
      </c>
      <c r="P15" s="8" t="s">
        <v>62</v>
      </c>
      <c r="Q15" s="5">
        <v>78.400000000000006</v>
      </c>
      <c r="R15">
        <v>5</v>
      </c>
      <c r="T15">
        <v>25</v>
      </c>
      <c r="U15" t="str" cm="1">
        <f t="array" ref="U15">INDEX($P$4:$P$100, ROW(A13)*2-1)</f>
        <v>Ginger Tea</v>
      </c>
      <c r="V15" t="str" cm="1">
        <f t="array" ref="V15">INDEX($P$4:$P$59, ROW(A14)*2-0)</f>
        <v>Bottle</v>
      </c>
      <c r="W15" s="5" cm="1">
        <f t="array" ref="W15">INDEX($Q$4:$Q$100, ROW(A14)*2-2)</f>
        <v>11</v>
      </c>
      <c r="X15" cm="1">
        <f t="array" ref="X15">INDEX($R$4:$R$100, ROW(A14)*2-2)</f>
        <v>1</v>
      </c>
      <c r="Z15" t="str" cm="1">
        <f t="array" ref="Z15">INDEX($U$3:$U$28, $Z$1 + (ROW(A13)-1)*2)</f>
        <v>Triphala Powder</v>
      </c>
      <c r="AA15" s="5" cm="1">
        <f t="array" ref="AA15">INDEX($W$3:$W$28, $Z$1 + (ROW(A13)-1)*2)</f>
        <v>14</v>
      </c>
      <c r="AB15" s="5"/>
      <c r="AC15" s="5"/>
    </row>
    <row r="16" spans="1:42" x14ac:dyDescent="0.3">
      <c r="P16" s="7" t="s">
        <v>9</v>
      </c>
      <c r="Q16" s="5"/>
      <c r="T16">
        <v>6</v>
      </c>
      <c r="U16" t="str" cm="1">
        <f t="array" ref="U16">INDEX($P$4:$P$100, ROW(A14)*2-1)</f>
        <v>Ginseng Capsules</v>
      </c>
      <c r="V16" t="str" cm="1">
        <f t="array" ref="V16">INDEX($P$4:$P$59, ROW(A15)*2-0)</f>
        <v>Box</v>
      </c>
      <c r="W16" s="5" cm="1">
        <f t="array" ref="W16">INDEX($Q$4:$Q$100, ROW(A15)*2-2)</f>
        <v>68</v>
      </c>
      <c r="X16" cm="1">
        <f t="array" ref="X16">INDEX($R$4:$R$100, ROW(A15)*2-2)</f>
        <v>4</v>
      </c>
    </row>
    <row r="17" spans="16:24" x14ac:dyDescent="0.3">
      <c r="P17" s="8" t="s">
        <v>64</v>
      </c>
      <c r="Q17" s="5">
        <v>54</v>
      </c>
      <c r="R17">
        <v>3</v>
      </c>
      <c r="T17">
        <v>18</v>
      </c>
      <c r="U17" t="str" cm="1">
        <f t="array" ref="U17">INDEX($P$4:$P$100, ROW(A15)*2-1)</f>
        <v>Herbal Tea</v>
      </c>
      <c r="V17" t="str" cm="1">
        <f t="array" ref="V17">INDEX($P$4:$P$59, ROW(A16)*2-0)</f>
        <v>Bottle</v>
      </c>
      <c r="W17" s="5" cm="1">
        <f t="array" ref="W17">INDEX($Q$4:$Q$100, ROW(A16)*2-2)</f>
        <v>29.7</v>
      </c>
      <c r="X17" cm="1">
        <f t="array" ref="X17">INDEX($R$4:$R$100, ROW(A16)*2-2)</f>
        <v>3</v>
      </c>
    </row>
    <row r="18" spans="16:24" x14ac:dyDescent="0.3">
      <c r="P18" s="7" t="s">
        <v>12</v>
      </c>
      <c r="Q18" s="5"/>
      <c r="T18">
        <v>1</v>
      </c>
      <c r="U18" t="str" cm="1">
        <f t="array" ref="U18">INDEX($P$4:$P$100, ROW(A16)*2-1)</f>
        <v>Lavender Oil</v>
      </c>
      <c r="V18" t="str" cm="1">
        <f t="array" ref="V18">INDEX($P$4:$P$59, ROW(A17)*2-0)</f>
        <v>Box</v>
      </c>
      <c r="W18" s="5" cm="1">
        <f t="array" ref="W18">INDEX($Q$4:$Q$100, ROW(A17)*2-2)</f>
        <v>100</v>
      </c>
      <c r="X18" cm="1">
        <f t="array" ref="X18">INDEX($R$4:$R$100, ROW(A17)*2-2)</f>
        <v>4</v>
      </c>
    </row>
    <row r="19" spans="16:24" x14ac:dyDescent="0.3">
      <c r="P19" s="8" t="s">
        <v>61</v>
      </c>
      <c r="Q19" s="5">
        <v>72</v>
      </c>
      <c r="R19">
        <v>6</v>
      </c>
      <c r="T19">
        <v>13</v>
      </c>
      <c r="U19" t="str" cm="1">
        <f t="array" ref="U19">INDEX($P$4:$P$100, ROW(A17)*2-1)</f>
        <v>Lemon Grass Tea</v>
      </c>
      <c r="V19" t="str" cm="1">
        <f t="array" ref="V19">INDEX($P$4:$P$59, ROW(A18)*2-0)</f>
        <v>Box</v>
      </c>
      <c r="W19" s="5" cm="1">
        <f t="array" ref="W19">INDEX($Q$4:$Q$100, ROW(A18)*2-2)</f>
        <v>39</v>
      </c>
      <c r="X19" cm="1">
        <f t="array" ref="X19">INDEX($R$4:$R$100, ROW(A18)*2-2)</f>
        <v>3</v>
      </c>
    </row>
    <row r="20" spans="16:24" x14ac:dyDescent="0.3">
      <c r="P20" s="7" t="s">
        <v>18</v>
      </c>
      <c r="Q20" s="5"/>
      <c r="T20">
        <v>9</v>
      </c>
      <c r="U20" t="str" cm="1">
        <f t="array" ref="U20">INDEX($P$4:$P$100, ROW(A18)*2-1)</f>
        <v>Mint Tea</v>
      </c>
      <c r="V20" t="str" cm="1">
        <f t="array" ref="V20">INDEX($P$4:$P$59, ROW(A19)*2-0)</f>
        <v>Pack</v>
      </c>
      <c r="W20" s="5" cm="1">
        <f t="array" ref="W20">INDEX($Q$4:$Q$100, ROW(A19)*2-2)</f>
        <v>50</v>
      </c>
      <c r="X20" cm="1">
        <f t="array" ref="X20">INDEX($R$4:$R$100, ROW(A19)*2-2)</f>
        <v>5</v>
      </c>
    </row>
    <row r="21" spans="16:24" x14ac:dyDescent="0.3">
      <c r="P21" s="8" t="s">
        <v>64</v>
      </c>
      <c r="Q21" s="5">
        <v>21</v>
      </c>
      <c r="R21">
        <v>3</v>
      </c>
      <c r="T21">
        <v>14</v>
      </c>
      <c r="U21" t="str" cm="1">
        <f t="array" ref="U21">INDEX($P$4:$P$100, ROW(A19)*2-1)</f>
        <v>Moringa Powder</v>
      </c>
      <c r="V21" t="str" cm="1">
        <f t="array" ref="V21">INDEX($P$4:$P$59, ROW(A20)*2-0)</f>
        <v>Bottle</v>
      </c>
      <c r="W21" s="5" cm="1">
        <f t="array" ref="W21">INDEX($Q$4:$Q$100, ROW(A20)*2-2)</f>
        <v>36</v>
      </c>
      <c r="X21" cm="1">
        <f t="array" ref="X21">INDEX($R$4:$R$100, ROW(A20)*2-2)</f>
        <v>3</v>
      </c>
    </row>
    <row r="22" spans="16:24" x14ac:dyDescent="0.3">
      <c r="P22" s="7" t="s">
        <v>5</v>
      </c>
      <c r="Q22" s="5"/>
      <c r="T22">
        <v>11</v>
      </c>
      <c r="U22" t="str" cm="1">
        <f t="array" ref="U22">INDEX($P$4:$P$100, ROW(A20)*2-1)</f>
        <v>Neem Capsules</v>
      </c>
      <c r="V22" t="str" cm="1">
        <f t="array" ref="V22">INDEX($P$4:$P$59, ROW(A21)*2-0)</f>
        <v>Bottle</v>
      </c>
      <c r="W22" s="5" cm="1">
        <f t="array" ref="W22">INDEX($Q$4:$Q$100, ROW(A21)*2-2)</f>
        <v>41.8</v>
      </c>
      <c r="X22" cm="1">
        <f t="array" ref="X22">INDEX($R$4:$R$100, ROW(A21)*2-2)</f>
        <v>2</v>
      </c>
    </row>
    <row r="23" spans="16:24" x14ac:dyDescent="0.3">
      <c r="P23" s="8" t="s">
        <v>64</v>
      </c>
      <c r="Q23" s="5">
        <v>16</v>
      </c>
      <c r="R23">
        <v>2</v>
      </c>
      <c r="T23">
        <v>19</v>
      </c>
      <c r="U23" t="str" cm="1">
        <f t="array" ref="U23">INDEX($P$4:$P$100, ROW(A21)*2-1)</f>
        <v>Peppermint Oil</v>
      </c>
      <c r="V23" t="str" cm="1">
        <f t="array" ref="V23">INDEX($P$4:$P$59, ROW(A22)*2-0)</f>
        <v>Bottle</v>
      </c>
      <c r="W23" s="5" cm="1">
        <f t="array" ref="W23">INDEX($Q$4:$Q$100, ROW(A22)*2-2)</f>
        <v>22</v>
      </c>
      <c r="X23" cm="1">
        <f t="array" ref="X23">INDEX($R$4:$R$100, ROW(A22)*2-2)</f>
        <v>1</v>
      </c>
    </row>
    <row r="24" spans="16:24" x14ac:dyDescent="0.3">
      <c r="P24" s="7" t="s">
        <v>11</v>
      </c>
      <c r="Q24" s="5"/>
      <c r="T24">
        <v>10</v>
      </c>
      <c r="U24" t="str" cm="1">
        <f t="array" ref="U24">INDEX($P$4:$P$100, ROW(A22)*2-1)</f>
        <v>Rose Water</v>
      </c>
      <c r="V24" t="str" cm="1">
        <f t="array" ref="V24">INDEX($P$4:$P$59, ROW(A23)*2-0)</f>
        <v>Gram</v>
      </c>
      <c r="W24" s="5" cm="1">
        <f t="array" ref="W24">INDEX($Q$4:$Q$100, ROW(A23)*2-2)</f>
        <v>45</v>
      </c>
      <c r="X24" cm="1">
        <f t="array" ref="X24">INDEX($R$4:$R$100, ROW(A23)*2-2)</f>
        <v>5</v>
      </c>
    </row>
    <row r="25" spans="16:24" x14ac:dyDescent="0.3">
      <c r="P25" s="8" t="s">
        <v>63</v>
      </c>
      <c r="Q25" s="5">
        <v>9</v>
      </c>
      <c r="R25">
        <v>1</v>
      </c>
      <c r="T25">
        <v>3</v>
      </c>
      <c r="U25" t="str" cm="1">
        <f t="array" ref="U25">INDEX($P$4:$P$100, ROW(A23)*2-1)</f>
        <v>Saffron</v>
      </c>
      <c r="V25" t="str" cm="1">
        <f t="array" ref="V25">INDEX($P$4:$P$59, ROW(A24)*2-0)</f>
        <v>Pack</v>
      </c>
      <c r="W25" s="5" cm="1">
        <f t="array" ref="W25">INDEX($Q$4:$Q$100, ROW(A24)*2-2)</f>
        <v>90</v>
      </c>
      <c r="X25" cm="1">
        <f t="array" ref="X25">INDEX($R$4:$R$100, ROW(A24)*2-2)</f>
        <v>3</v>
      </c>
    </row>
    <row r="26" spans="16:24" x14ac:dyDescent="0.3">
      <c r="P26" s="7" t="s">
        <v>19</v>
      </c>
      <c r="Q26" s="5"/>
      <c r="T26">
        <v>12</v>
      </c>
      <c r="U26" t="str" cm="1">
        <f t="array" ref="U26">INDEX($P$4:$P$100, ROW(A24)*2-1)</f>
        <v>Sandalwood Powder</v>
      </c>
      <c r="V26" t="str" cm="1">
        <f t="array" ref="V26">INDEX($P$4:$P$59, ROW(A25)*2-0)</f>
        <v>Bag</v>
      </c>
      <c r="W26" s="5" cm="1">
        <f t="array" ref="W26">INDEX($Q$4:$Q$100, ROW(A25)*2-2)</f>
        <v>40</v>
      </c>
      <c r="X26" cm="1">
        <f t="array" ref="X26">INDEX($R$4:$R$100, ROW(A25)*2-2)</f>
        <v>2</v>
      </c>
    </row>
    <row r="27" spans="16:24" x14ac:dyDescent="0.3">
      <c r="P27" s="8" t="s">
        <v>62</v>
      </c>
      <c r="Q27" s="5">
        <v>36</v>
      </c>
      <c r="R27">
        <v>2</v>
      </c>
      <c r="T27">
        <v>23</v>
      </c>
      <c r="U27" t="str" cm="1">
        <f t="array" ref="U27">INDEX($P$4:$P$100, ROW(A25)*2-1)</f>
        <v>Triphala Powder</v>
      </c>
      <c r="V27" t="str" cm="1">
        <f t="array" ref="V27">INDEX($P$4:$P$59, ROW(A26)*2-0)</f>
        <v>Box</v>
      </c>
      <c r="W27" s="5" cm="1">
        <f t="array" ref="W27">INDEX($Q$4:$Q$100, ROW(A26)*2-2)</f>
        <v>14</v>
      </c>
      <c r="X27" cm="1">
        <f t="array" ref="X27">INDEX($R$4:$R$100, ROW(A26)*2-2)</f>
        <v>1</v>
      </c>
    </row>
    <row r="28" spans="16:24" x14ac:dyDescent="0.3">
      <c r="P28" s="7" t="s">
        <v>7</v>
      </c>
      <c r="Q28" s="5"/>
      <c r="T28">
        <v>16</v>
      </c>
      <c r="U28" t="str" cm="1">
        <f t="array" ref="U28">INDEX($P$4:$P$100, ROW(A26)*2-1)</f>
        <v>Tulsi Tea</v>
      </c>
      <c r="V28" cm="1">
        <f t="array" ref="V28">INDEX($P$4:$P$59, ROW(A27)*2-0)</f>
        <v>0</v>
      </c>
      <c r="W28" s="5" cm="1">
        <f t="array" ref="W28">INDEX($Q$4:$Q$100, ROW(A27)*2-2)</f>
        <v>32</v>
      </c>
      <c r="X28" cm="1">
        <f t="array" ref="X28">INDEX($R$4:$R$100, ROW(A27)*2-2)</f>
        <v>4</v>
      </c>
    </row>
    <row r="29" spans="16:24" x14ac:dyDescent="0.3">
      <c r="P29" s="8" t="s">
        <v>61</v>
      </c>
      <c r="Q29" s="5">
        <v>11</v>
      </c>
      <c r="R29">
        <v>1</v>
      </c>
    </row>
    <row r="30" spans="16:24" x14ac:dyDescent="0.3">
      <c r="P30" s="7" t="s">
        <v>20</v>
      </c>
      <c r="Q30" s="5"/>
    </row>
    <row r="31" spans="16:24" x14ac:dyDescent="0.3">
      <c r="P31" s="8" t="s">
        <v>62</v>
      </c>
      <c r="Q31" s="5">
        <v>68</v>
      </c>
      <c r="R31">
        <v>4</v>
      </c>
    </row>
    <row r="32" spans="16:24" x14ac:dyDescent="0.3">
      <c r="P32" s="7" t="s">
        <v>1</v>
      </c>
      <c r="Q32" s="5"/>
    </row>
    <row r="33" spans="16:18" x14ac:dyDescent="0.3">
      <c r="P33" s="8" t="s">
        <v>61</v>
      </c>
      <c r="Q33" s="5">
        <v>29.7</v>
      </c>
      <c r="R33">
        <v>3</v>
      </c>
    </row>
    <row r="34" spans="16:18" x14ac:dyDescent="0.3">
      <c r="P34" s="7" t="s">
        <v>10</v>
      </c>
      <c r="Q34" s="5"/>
    </row>
    <row r="35" spans="16:18" x14ac:dyDescent="0.3">
      <c r="P35" s="8" t="s">
        <v>62</v>
      </c>
      <c r="Q35" s="5">
        <v>100</v>
      </c>
      <c r="R35">
        <v>4</v>
      </c>
    </row>
    <row r="36" spans="16:18" x14ac:dyDescent="0.3">
      <c r="P36" s="7" t="s">
        <v>24</v>
      </c>
      <c r="Q36" s="5"/>
    </row>
    <row r="37" spans="16:18" x14ac:dyDescent="0.3">
      <c r="P37" s="8" t="s">
        <v>61</v>
      </c>
      <c r="Q37" s="5">
        <v>39</v>
      </c>
      <c r="R37">
        <v>3</v>
      </c>
    </row>
    <row r="38" spans="16:18" x14ac:dyDescent="0.3">
      <c r="P38" s="7" t="s">
        <v>26</v>
      </c>
      <c r="Q38" s="5"/>
    </row>
    <row r="39" spans="16:18" x14ac:dyDescent="0.3">
      <c r="P39" s="8" t="s">
        <v>61</v>
      </c>
      <c r="Q39" s="5">
        <v>50</v>
      </c>
      <c r="R39">
        <v>5</v>
      </c>
    </row>
    <row r="40" spans="16:18" x14ac:dyDescent="0.3">
      <c r="P40" s="7" t="s">
        <v>6</v>
      </c>
      <c r="Q40" s="5"/>
    </row>
    <row r="41" spans="16:18" x14ac:dyDescent="0.3">
      <c r="P41" s="8" t="s">
        <v>64</v>
      </c>
      <c r="Q41" s="5">
        <v>36</v>
      </c>
      <c r="R41">
        <v>3</v>
      </c>
    </row>
    <row r="42" spans="16:18" x14ac:dyDescent="0.3">
      <c r="P42" s="7" t="s">
        <v>13</v>
      </c>
      <c r="Q42" s="5"/>
    </row>
    <row r="43" spans="16:18" x14ac:dyDescent="0.3">
      <c r="P43" s="8" t="s">
        <v>62</v>
      </c>
      <c r="Q43" s="5">
        <v>41.8</v>
      </c>
      <c r="R43">
        <v>2</v>
      </c>
    </row>
    <row r="44" spans="16:18" x14ac:dyDescent="0.3">
      <c r="P44" s="7" t="s">
        <v>23</v>
      </c>
      <c r="Q44" s="5"/>
    </row>
    <row r="45" spans="16:18" x14ac:dyDescent="0.3">
      <c r="P45" s="8" t="s">
        <v>62</v>
      </c>
      <c r="Q45" s="5">
        <v>22</v>
      </c>
      <c r="R45">
        <v>1</v>
      </c>
    </row>
    <row r="46" spans="16:18" x14ac:dyDescent="0.3">
      <c r="P46" s="7" t="s">
        <v>22</v>
      </c>
      <c r="Q46" s="5"/>
    </row>
    <row r="47" spans="16:18" x14ac:dyDescent="0.3">
      <c r="P47" s="8" t="s">
        <v>62</v>
      </c>
      <c r="Q47" s="5">
        <v>45</v>
      </c>
      <c r="R47">
        <v>5</v>
      </c>
    </row>
    <row r="48" spans="16:18" x14ac:dyDescent="0.3">
      <c r="P48" s="7" t="s">
        <v>14</v>
      </c>
      <c r="Q48" s="5"/>
    </row>
    <row r="49" spans="16:18" x14ac:dyDescent="0.3">
      <c r="P49" s="8" t="s">
        <v>65</v>
      </c>
      <c r="Q49" s="5">
        <v>90</v>
      </c>
      <c r="R49">
        <v>3</v>
      </c>
    </row>
    <row r="50" spans="16:18" x14ac:dyDescent="0.3">
      <c r="P50" s="7" t="s">
        <v>21</v>
      </c>
      <c r="Q50" s="5"/>
    </row>
    <row r="51" spans="16:18" x14ac:dyDescent="0.3">
      <c r="P51" s="8" t="s">
        <v>64</v>
      </c>
      <c r="Q51" s="5">
        <v>40</v>
      </c>
      <c r="R51">
        <v>2</v>
      </c>
    </row>
    <row r="52" spans="16:18" x14ac:dyDescent="0.3">
      <c r="P52" s="7" t="s">
        <v>16</v>
      </c>
      <c r="Q52" s="5"/>
    </row>
    <row r="53" spans="16:18" x14ac:dyDescent="0.3">
      <c r="P53" s="8" t="s">
        <v>63</v>
      </c>
      <c r="Q53" s="5">
        <v>14</v>
      </c>
      <c r="R53">
        <v>1</v>
      </c>
    </row>
    <row r="54" spans="16:18" x14ac:dyDescent="0.3">
      <c r="P54" s="7" t="s">
        <v>15</v>
      </c>
      <c r="Q54" s="5"/>
    </row>
    <row r="55" spans="16:18" x14ac:dyDescent="0.3">
      <c r="P55" s="8" t="s">
        <v>61</v>
      </c>
      <c r="Q55" s="5">
        <v>32</v>
      </c>
      <c r="R55">
        <v>4</v>
      </c>
    </row>
  </sheetData>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MasterData</vt:lpstr>
      <vt:lpstr>Input Data</vt:lpstr>
      <vt:lpstr>Dashboard</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Abul Saad</dc:creator>
  <cp:lastModifiedBy>Abul Saad</cp:lastModifiedBy>
  <dcterms:created xsi:type="dcterms:W3CDTF">2025-04-12T06:12:19Z</dcterms:created>
  <dcterms:modified xsi:type="dcterms:W3CDTF">2025-04-16T05:14:36Z</dcterms:modified>
</cp:coreProperties>
</file>