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Objects="placeholders" updateLinks="always" codeName="ThisWorkbook"/>
  <mc:AlternateContent xmlns:mc="http://schemas.openxmlformats.org/markup-compatibility/2006">
    <mc:Choice Requires="x15">
      <x15ac:absPath xmlns:x15ac="http://schemas.microsoft.com/office/spreadsheetml/2010/11/ac" url="D:\Dropbox\Documents\AOLCC\Admission Outline\"/>
    </mc:Choice>
  </mc:AlternateContent>
  <xr:revisionPtr revIDLastSave="0" documentId="13_ncr:1_{908B7064-3A98-4363-8EED-9087538E7385}" xr6:coauthVersionLast="47" xr6:coauthVersionMax="47" xr10:uidLastSave="{00000000-0000-0000-0000-000000000000}"/>
  <bookViews>
    <workbookView xWindow="-108" yWindow="-108" windowWidth="23256" windowHeight="12576" tabRatio="824" firstSheet="3" activeTab="3" xr2:uid="{00000000-000D-0000-FFFF-FFFF00000000}"/>
  </bookViews>
  <sheets>
    <sheet name="Update Log" sheetId="78" r:id="rId1"/>
    <sheet name="Franchise Info" sheetId="47" r:id="rId2"/>
    <sheet name="Course Table" sheetId="48" r:id="rId3"/>
    <sheet name="Outline Info" sheetId="32" r:id="rId4"/>
    <sheet name="Student Info" sheetId="58" r:id="rId5"/>
    <sheet name="Outline Admin" sheetId="71" r:id="rId6"/>
    <sheet name="EndDate" sheetId="37" state="hidden" r:id="rId7"/>
    <sheet name="ClosedDays" sheetId="38" state="hidden" r:id="rId8"/>
    <sheet name="Outline Student" sheetId="44" r:id="rId9"/>
    <sheet name="Contract-Long" sheetId="51" r:id="rId10"/>
    <sheet name="ProgOutline" sheetId="73" state="hidden" r:id="rId11"/>
    <sheet name="WorkExp" sheetId="74" state="hidden" r:id="rId12"/>
    <sheet name="Student Record" sheetId="50" r:id="rId13"/>
    <sheet name="Attendance Agreement" sheetId="60" r:id="rId14"/>
    <sheet name="Dispute Policy" sheetId="75" r:id="rId15"/>
    <sheet name="Statement of Rights" sheetId="79" r:id="rId16"/>
    <sheet name="Misconduct Policy" sheetId="80" r:id="rId17"/>
    <sheet name="Referral" sheetId="62" r:id="rId18"/>
    <sheet name="LoanObligation" sheetId="59" r:id="rId19"/>
    <sheet name="OrientationList" sheetId="54" r:id="rId20"/>
    <sheet name="WelcomeSign" sheetId="72" r:id="rId21"/>
    <sheet name="Contract-Short" sheetId="57" r:id="rId22"/>
    <sheet name="File Checklist" sheetId="52" r:id="rId23"/>
    <sheet name="WC-Checklist" sheetId="55" r:id="rId24"/>
    <sheet name="Handbook Form" sheetId="66" r:id="rId25"/>
    <sheet name="Parking+Time" sheetId="68" r:id="rId26"/>
    <sheet name="Internet Usage" sheetId="61" r:id="rId27"/>
    <sheet name="Consent to Release" sheetId="63" r:id="rId28"/>
    <sheet name="IT Agreement" sheetId="70" r:id="rId29"/>
    <sheet name="CRC Form" sheetId="77" r:id="rId30"/>
    <sheet name="Virtual Form" sheetId="76" r:id="rId31"/>
    <sheet name="SL Budget Worksheet" sheetId="69" r:id="rId32"/>
    <sheet name="SL Budget Form" sheetId="67" r:id="rId33"/>
  </sheets>
  <externalReferences>
    <externalReference r:id="rId34"/>
  </externalReferences>
  <definedNames>
    <definedName name="_xlnm._FilterDatabase" localSheetId="2" hidden="1">'Course Table'!$A$1:$M$301</definedName>
    <definedName name="_xlnm._FilterDatabase" localSheetId="1" hidden="1">'Franchise Info'!$A$14:$A$16</definedName>
    <definedName name="Amount" localSheetId="7">#REF!</definedName>
    <definedName name="Amount">'Course Table'!$D$1</definedName>
    <definedName name="BO">'Contract-Long'!$BS$33</definedName>
    <definedName name="Code" localSheetId="7">#REF!</definedName>
    <definedName name="Code">'Course Table'!$A$2</definedName>
    <definedName name="Course_Table">'Course Table'!$A$2:$G$167</definedName>
    <definedName name="Description" localSheetId="7">#REF!</definedName>
    <definedName name="Description">'Course Table'!$B$1</definedName>
    <definedName name="Hours" localSheetId="7">#REF!</definedName>
    <definedName name="OLE_LINK1" localSheetId="22">'File Checklist'!$A$1</definedName>
    <definedName name="OLE_LINK2" localSheetId="22">'File Checklist'!$A$7</definedName>
    <definedName name="_xlnm.Print_Area" localSheetId="9">'Contract-Long'!$A$1:$BS$59</definedName>
    <definedName name="_xlnm.Print_Area" localSheetId="21">'Contract-Short'!$A$1:$AV$55</definedName>
    <definedName name="_xlnm.Print_Area" localSheetId="2">'Course Table'!$A$1:$E$300</definedName>
    <definedName name="_xlnm.Print_Area" localSheetId="14">'Dispute Policy'!$A$1:$L$81</definedName>
    <definedName name="_xlnm.Print_Area" localSheetId="28">'IT Agreement'!$A$1:$L$35</definedName>
    <definedName name="_xlnm.Print_Area" localSheetId="16">'Misconduct Policy'!$A$1:$AQ$81</definedName>
    <definedName name="_xlnm.Print_Area" localSheetId="5">'Outline Admin'!$A$1:$F$59</definedName>
    <definedName name="_xlnm.Print_Area" localSheetId="8">'Outline Student'!$A$1:$F$59</definedName>
    <definedName name="_xlnm.Print_Area" localSheetId="17">Referral!$A$1:$K$49</definedName>
    <definedName name="_xlnm.Print_Area" localSheetId="31">'SL Budget Worksheet'!$A$1:$AI$48</definedName>
    <definedName name="_xlnm.Print_Area" localSheetId="15">'Statement of Rights'!$A$1:$L$81</definedName>
    <definedName name="_xlnm.Print_Area" localSheetId="12">'Student Record'!$A$1:$W$53</definedName>
    <definedName name="_xlnm.Print_Area" localSheetId="23">'WC-Checklist'!$A$1:$WZH$45</definedName>
    <definedName name="_xlnm.Print_Titles" localSheetId="2">'Course Table'!$1:$1</definedName>
  </definedNames>
  <calcPr calcId="181029"/>
</workbook>
</file>

<file path=xl/calcChain.xml><?xml version="1.0" encoding="utf-8"?>
<calcChain xmlns="http://schemas.openxmlformats.org/spreadsheetml/2006/main">
  <c r="AB14" i="80" l="1"/>
  <c r="AB13" i="80"/>
  <c r="N14" i="80"/>
  <c r="N13" i="80"/>
  <c r="N14" i="79"/>
  <c r="N13" i="79"/>
  <c r="O29" i="57" l="1"/>
  <c r="L29" i="57"/>
  <c r="J29" i="57"/>
  <c r="N27" i="51"/>
  <c r="L27" i="51"/>
  <c r="J27" i="51"/>
  <c r="S19" i="32"/>
  <c r="B11" i="55" l="1"/>
  <c r="A50" i="73"/>
  <c r="A48" i="73"/>
  <c r="S18" i="32"/>
  <c r="M19" i="32"/>
  <c r="M18" i="32"/>
  <c r="A31" i="73"/>
  <c r="A49" i="73" l="1"/>
  <c r="A47" i="73"/>
  <c r="A46" i="73"/>
  <c r="A45" i="73"/>
  <c r="A44" i="73"/>
  <c r="A43" i="73"/>
  <c r="A42" i="73"/>
  <c r="A41" i="73"/>
  <c r="A40" i="73"/>
  <c r="A39" i="73"/>
  <c r="A38" i="73"/>
  <c r="A37" i="73"/>
  <c r="A32" i="73"/>
  <c r="A36" i="73"/>
  <c r="A6" i="74"/>
  <c r="A7" i="74"/>
  <c r="A35" i="73"/>
  <c r="F2" i="74"/>
  <c r="F3" i="74"/>
  <c r="F4" i="74"/>
  <c r="C4" i="74"/>
  <c r="F5" i="74"/>
  <c r="C5" i="74"/>
  <c r="A34" i="73"/>
  <c r="A33" i="73"/>
  <c r="A30" i="73"/>
  <c r="A29" i="73"/>
  <c r="A28" i="73"/>
  <c r="A27" i="73"/>
  <c r="A26" i="73"/>
  <c r="A25" i="73"/>
  <c r="A24" i="73"/>
  <c r="A23" i="73"/>
  <c r="A22" i="73"/>
  <c r="A21" i="73"/>
  <c r="A20" i="73"/>
  <c r="A19" i="73"/>
  <c r="A18" i="73"/>
  <c r="A5" i="74"/>
  <c r="A17" i="73"/>
  <c r="A4" i="74"/>
  <c r="A3" i="74"/>
  <c r="A2" i="74"/>
  <c r="A16" i="73"/>
  <c r="A15" i="73"/>
  <c r="A14" i="73"/>
  <c r="A13" i="73"/>
  <c r="A12" i="73"/>
  <c r="A10" i="73"/>
  <c r="A11" i="73"/>
  <c r="A9" i="73"/>
  <c r="A8" i="73"/>
  <c r="A7" i="73" l="1"/>
  <c r="A5" i="73"/>
  <c r="A6" i="73" l="1"/>
  <c r="A4" i="73"/>
  <c r="A3" i="73"/>
  <c r="A2" i="73"/>
  <c r="B3" i="47" l="1"/>
  <c r="BQ50" i="51" s="1"/>
  <c r="S24" i="32"/>
  <c r="M24" i="32"/>
  <c r="S6" i="38"/>
  <c r="K13" i="32" l="1"/>
  <c r="E13" i="32"/>
  <c r="K22" i="32"/>
  <c r="E22" i="32"/>
  <c r="S16" i="32"/>
  <c r="M16" i="32"/>
  <c r="S15" i="32"/>
  <c r="M15" i="32"/>
  <c r="S23" i="32"/>
  <c r="M23" i="32"/>
  <c r="S13" i="32"/>
  <c r="M13" i="32"/>
  <c r="K24" i="32"/>
  <c r="E24" i="32"/>
  <c r="S25" i="38" l="1"/>
  <c r="S26" i="38"/>
  <c r="S24" i="38"/>
  <c r="S9" i="38"/>
  <c r="S10" i="38"/>
  <c r="S8" i="38"/>
  <c r="S5" i="38"/>
  <c r="S7" i="38"/>
  <c r="S29" i="32"/>
  <c r="S28" i="32"/>
  <c r="S27" i="32"/>
  <c r="S26" i="32"/>
  <c r="M29" i="32"/>
  <c r="M28" i="32"/>
  <c r="M27" i="32"/>
  <c r="K27" i="32"/>
  <c r="K26" i="32"/>
  <c r="M26" i="32"/>
  <c r="K25" i="32"/>
  <c r="S20" i="32"/>
  <c r="E27" i="32"/>
  <c r="E26" i="32"/>
  <c r="E25" i="32"/>
  <c r="K23" i="32"/>
  <c r="E23" i="32"/>
  <c r="S22" i="32"/>
  <c r="M22" i="32"/>
  <c r="S21" i="32"/>
  <c r="M21" i="32"/>
  <c r="K21" i="32"/>
  <c r="E21" i="32"/>
  <c r="K20" i="32"/>
  <c r="E20" i="32"/>
  <c r="K19" i="32"/>
  <c r="E19" i="32"/>
  <c r="K18" i="32"/>
  <c r="E18" i="32"/>
  <c r="S17" i="32"/>
  <c r="M17" i="32"/>
  <c r="K17" i="32"/>
  <c r="E17" i="32"/>
  <c r="K16" i="32"/>
  <c r="E16" i="32"/>
  <c r="K15" i="32"/>
  <c r="E15" i="32"/>
  <c r="S14" i="32"/>
  <c r="M14" i="32"/>
  <c r="K14" i="32"/>
  <c r="E14" i="32"/>
  <c r="S12" i="32"/>
  <c r="M12" i="32"/>
  <c r="K12" i="32"/>
  <c r="E12" i="32"/>
  <c r="S11" i="32"/>
  <c r="M11" i="32"/>
  <c r="K11" i="32"/>
  <c r="E11" i="32"/>
  <c r="S10" i="32"/>
  <c r="M10" i="32"/>
  <c r="K10" i="32"/>
  <c r="E10" i="32"/>
  <c r="S9" i="32"/>
  <c r="M9" i="32"/>
  <c r="K9" i="32"/>
  <c r="E9" i="32"/>
  <c r="S8" i="32"/>
  <c r="M8" i="32"/>
  <c r="K8" i="32"/>
  <c r="E8" i="32"/>
  <c r="S7" i="32"/>
  <c r="M7" i="32"/>
  <c r="K7" i="32"/>
  <c r="E7" i="32"/>
  <c r="S6" i="32"/>
  <c r="M6" i="32"/>
  <c r="S5" i="32"/>
  <c r="M5" i="32"/>
  <c r="S4" i="32"/>
  <c r="M4" i="32"/>
  <c r="K6" i="32"/>
  <c r="K5" i="32"/>
  <c r="K4" i="32"/>
  <c r="E6" i="32"/>
  <c r="E5" i="32"/>
  <c r="E4" i="32"/>
  <c r="S3" i="38" l="1"/>
  <c r="S22" i="38"/>
  <c r="M20" i="32" l="1"/>
  <c r="N47" i="51" l="1"/>
  <c r="I47" i="51"/>
  <c r="F47" i="51"/>
  <c r="C7" i="74"/>
  <c r="C6" i="74"/>
  <c r="C3" i="74"/>
  <c r="C2" i="74"/>
  <c r="F46" i="71" l="1"/>
  <c r="F47" i="71"/>
  <c r="F48" i="71"/>
  <c r="F49" i="71"/>
  <c r="F50" i="71"/>
  <c r="F51" i="71"/>
  <c r="F52" i="71"/>
  <c r="F53" i="71"/>
  <c r="A42" i="50" l="1"/>
  <c r="C42" i="50"/>
  <c r="A43" i="50"/>
  <c r="C43" i="50"/>
  <c r="A44" i="50"/>
  <c r="C44" i="50"/>
  <c r="A45" i="50"/>
  <c r="C45" i="50"/>
  <c r="DV45" i="50"/>
  <c r="AC40" i="50"/>
  <c r="DV44" i="50"/>
  <c r="AC44" i="50"/>
  <c r="DR44" i="50" s="1"/>
  <c r="DV43" i="50"/>
  <c r="AC41" i="50"/>
  <c r="DV42" i="50"/>
  <c r="AC39" i="50"/>
  <c r="AK44" i="50" l="1"/>
  <c r="AL44" i="50"/>
  <c r="AN44" i="50" s="1"/>
  <c r="BA44" i="50" s="1"/>
  <c r="AW44" i="50" s="1"/>
  <c r="AZ44" i="50" l="1"/>
  <c r="AV44" i="50" s="1"/>
  <c r="AM44" i="50"/>
  <c r="AX44" i="50"/>
  <c r="AT44" i="50" s="1"/>
  <c r="AY44" i="50"/>
  <c r="AU44" i="50" s="1"/>
  <c r="C11" i="77" l="1"/>
  <c r="N16" i="77"/>
  <c r="N15" i="77"/>
  <c r="C37" i="76" l="1"/>
  <c r="C34" i="76"/>
  <c r="N14" i="76"/>
  <c r="N13" i="76"/>
  <c r="D52" i="50"/>
  <c r="A52" i="50"/>
  <c r="I35" i="51" l="1"/>
  <c r="G35" i="51"/>
  <c r="L32" i="51"/>
  <c r="I32" i="51"/>
  <c r="G32" i="51"/>
  <c r="N31" i="51"/>
  <c r="L31" i="51"/>
  <c r="F24" i="51"/>
  <c r="F22" i="51"/>
  <c r="C8" i="71" l="1"/>
  <c r="C9" i="71"/>
  <c r="C10" i="71"/>
  <c r="C11" i="71"/>
  <c r="C12" i="71"/>
  <c r="C13" i="71"/>
  <c r="C14" i="71"/>
  <c r="C15" i="71"/>
  <c r="C16" i="71"/>
  <c r="C17" i="71"/>
  <c r="C18" i="71"/>
  <c r="C19" i="71"/>
  <c r="C20" i="71"/>
  <c r="C21" i="71"/>
  <c r="C22" i="71"/>
  <c r="C23" i="71"/>
  <c r="C24" i="71"/>
  <c r="C25" i="71"/>
  <c r="C26" i="71"/>
  <c r="C27" i="71"/>
  <c r="C28" i="71"/>
  <c r="C29" i="71"/>
  <c r="C30" i="71"/>
  <c r="C31" i="71"/>
  <c r="C32" i="71"/>
  <c r="C33" i="71"/>
  <c r="C34" i="71"/>
  <c r="C35" i="71"/>
  <c r="C36" i="71"/>
  <c r="C37" i="71"/>
  <c r="C38" i="71"/>
  <c r="C39" i="71"/>
  <c r="C40" i="71"/>
  <c r="C41" i="71"/>
  <c r="C42" i="71"/>
  <c r="C43" i="71"/>
  <c r="C44" i="71"/>
  <c r="C45" i="71"/>
  <c r="C46" i="71"/>
  <c r="C47" i="71"/>
  <c r="C48" i="71"/>
  <c r="C49" i="71"/>
  <c r="C50" i="71"/>
  <c r="C51" i="71"/>
  <c r="C52" i="71"/>
  <c r="C53" i="71"/>
  <c r="C7" i="71"/>
  <c r="D7" i="71" l="1"/>
  <c r="E7" i="71"/>
  <c r="H7" i="71"/>
  <c r="K7" i="71" s="1"/>
  <c r="I7" i="71"/>
  <c r="L7" i="71"/>
  <c r="N14" i="75" l="1"/>
  <c r="N13" i="75"/>
  <c r="A8" i="44" l="1"/>
  <c r="A9" i="44"/>
  <c r="A20" i="57" l="1"/>
  <c r="A17" i="57"/>
  <c r="K11" i="57"/>
  <c r="A17" i="51"/>
  <c r="A15" i="51"/>
  <c r="K11" i="51"/>
  <c r="F21" i="51" l="1"/>
  <c r="D24" i="51"/>
  <c r="K22" i="51"/>
  <c r="D22" i="51"/>
  <c r="F31" i="70" l="1"/>
  <c r="J27" i="52"/>
  <c r="AB57" i="51" l="1"/>
  <c r="AA57" i="51" s="1"/>
  <c r="Q41" i="51" a="1"/>
  <c r="Q41" i="51" s="1"/>
  <c r="Q40" i="51" a="1"/>
  <c r="Q40" i="51" s="1"/>
  <c r="V40" i="51" s="1"/>
  <c r="Q42" i="51" a="1"/>
  <c r="Q42" i="51" s="1"/>
  <c r="V42" i="51" s="1"/>
  <c r="R42" i="51" l="1"/>
  <c r="R40" i="51"/>
  <c r="W57" i="51"/>
  <c r="V41" i="51"/>
  <c r="R41" i="51"/>
  <c r="AF36" i="51"/>
  <c r="AF35" i="51"/>
  <c r="AE47" i="51"/>
  <c r="AI47" i="51"/>
  <c r="AE48" i="51"/>
  <c r="AI48" i="51"/>
  <c r="AE49" i="51"/>
  <c r="AI49" i="51"/>
  <c r="AE50" i="51"/>
  <c r="AI50" i="51"/>
  <c r="AE51" i="51"/>
  <c r="AI51" i="51"/>
  <c r="AE52" i="51"/>
  <c r="AI52" i="51"/>
  <c r="AE53" i="51"/>
  <c r="AI53" i="51"/>
  <c r="AE54" i="51"/>
  <c r="AI54" i="51"/>
  <c r="AE55" i="51"/>
  <c r="AI55" i="51"/>
  <c r="AE56" i="51"/>
  <c r="AI56" i="51"/>
  <c r="F7" i="74"/>
  <c r="F6" i="74"/>
  <c r="AB56" i="51" l="1" a="1"/>
  <c r="AB56" i="51" s="1"/>
  <c r="AB55" i="51" a="1"/>
  <c r="AB55" i="51" s="1"/>
  <c r="AB54" i="51" a="1"/>
  <c r="AB54" i="51" s="1"/>
  <c r="AB53" i="51" a="1"/>
  <c r="AB53" i="51" s="1"/>
  <c r="AB52" i="51" a="1"/>
  <c r="AB52" i="51" s="1"/>
  <c r="AB51" i="51" a="1"/>
  <c r="AB51" i="51" s="1"/>
  <c r="AB50" i="51" a="1"/>
  <c r="AB50" i="51" s="1"/>
  <c r="AB49" i="51" a="1"/>
  <c r="AB49" i="51" s="1"/>
  <c r="AB48" i="51" a="1"/>
  <c r="AB48" i="51" s="1"/>
  <c r="AB47" i="51" a="1"/>
  <c r="AB47" i="51" s="1"/>
  <c r="AB46" i="51" a="1"/>
  <c r="AB46" i="51" s="1"/>
  <c r="AB45" i="51" a="1"/>
  <c r="AB45" i="51" s="1"/>
  <c r="AB44" i="51" a="1"/>
  <c r="AB44" i="51" s="1"/>
  <c r="AB43" i="51" a="1"/>
  <c r="AB43" i="51" s="1"/>
  <c r="AB42" i="51" a="1"/>
  <c r="AB42" i="51" s="1"/>
  <c r="AB41" i="51" a="1"/>
  <c r="AB41" i="51" s="1"/>
  <c r="AB40" i="51" a="1"/>
  <c r="AB40" i="51" s="1"/>
  <c r="Q57" i="51" a="1"/>
  <c r="Q57" i="51" s="1"/>
  <c r="Q56" i="51" a="1"/>
  <c r="Q56" i="51" s="1"/>
  <c r="Q55" i="51" a="1"/>
  <c r="Q55" i="51" s="1"/>
  <c r="Q54" i="51" a="1"/>
  <c r="Q54" i="51" s="1"/>
  <c r="Q53" i="51" a="1"/>
  <c r="Q53" i="51" s="1"/>
  <c r="Q52" i="51" a="1"/>
  <c r="Q52" i="51" s="1"/>
  <c r="Q51" i="51" a="1"/>
  <c r="Q51" i="51" s="1"/>
  <c r="Q50" i="51" a="1"/>
  <c r="Q50" i="51" s="1"/>
  <c r="Q49" i="51" a="1"/>
  <c r="Q49" i="51" s="1"/>
  <c r="Q48" i="51" a="1"/>
  <c r="Q48" i="51" s="1"/>
  <c r="Q47" i="51" a="1"/>
  <c r="Q47" i="51" s="1"/>
  <c r="Q46" i="51" a="1"/>
  <c r="Q46" i="51" s="1"/>
  <c r="Q45" i="51" a="1"/>
  <c r="Q45" i="51" s="1"/>
  <c r="Q44" i="51" a="1"/>
  <c r="Q44" i="51" s="1"/>
  <c r="Q43" i="51" a="1"/>
  <c r="Q43" i="51" s="1"/>
  <c r="AL1" i="51"/>
  <c r="V43" i="51" l="1"/>
  <c r="R43" i="51"/>
  <c r="V47" i="51"/>
  <c r="R47" i="51"/>
  <c r="V51" i="51"/>
  <c r="R51" i="51"/>
  <c r="V55" i="51"/>
  <c r="R55" i="51"/>
  <c r="R44" i="51"/>
  <c r="V44" i="51"/>
  <c r="R48" i="51"/>
  <c r="V48" i="51"/>
  <c r="R52" i="51"/>
  <c r="V52" i="51"/>
  <c r="R56" i="51"/>
  <c r="V56" i="51"/>
  <c r="V45" i="51"/>
  <c r="R45" i="51"/>
  <c r="V49" i="51"/>
  <c r="R49" i="51"/>
  <c r="V53" i="51"/>
  <c r="R53" i="51"/>
  <c r="V57" i="51"/>
  <c r="R57" i="51"/>
  <c r="W39" i="51"/>
  <c r="V46" i="51"/>
  <c r="R46" i="51"/>
  <c r="V50" i="51"/>
  <c r="R50" i="51"/>
  <c r="V54" i="51"/>
  <c r="R54" i="51"/>
  <c r="W40" i="51"/>
  <c r="AA40" i="51"/>
  <c r="AA42" i="51"/>
  <c r="W42" i="51"/>
  <c r="W52" i="51"/>
  <c r="AA52" i="51"/>
  <c r="W51" i="51"/>
  <c r="AA51" i="51"/>
  <c r="W50" i="51"/>
  <c r="AA50" i="51"/>
  <c r="AA49" i="51"/>
  <c r="W49" i="51"/>
  <c r="W48" i="51"/>
  <c r="AA48" i="51"/>
  <c r="W47" i="51"/>
  <c r="AA47" i="51"/>
  <c r="W46" i="51"/>
  <c r="AA46" i="51"/>
  <c r="AA45" i="51"/>
  <c r="W45" i="51"/>
  <c r="W44" i="51"/>
  <c r="AA44" i="51"/>
  <c r="W43" i="51"/>
  <c r="AA43" i="51"/>
  <c r="W41" i="51"/>
  <c r="AA41" i="51"/>
  <c r="AA39" i="51"/>
  <c r="W56" i="51"/>
  <c r="AA56" i="51"/>
  <c r="W55" i="51"/>
  <c r="AA55" i="51"/>
  <c r="AA54" i="51"/>
  <c r="W54" i="51"/>
  <c r="W53" i="51"/>
  <c r="AA53" i="51"/>
  <c r="I45" i="51" l="1"/>
  <c r="F45" i="51"/>
  <c r="N13" i="63" l="1"/>
  <c r="N14" i="63"/>
  <c r="G32" i="60"/>
  <c r="K27" i="52" l="1"/>
  <c r="A1" i="72" l="1"/>
  <c r="F26" i="57" l="1"/>
  <c r="D26" i="57"/>
  <c r="D21" i="51"/>
  <c r="N14" i="52" l="1"/>
  <c r="N14" i="55"/>
  <c r="N14" i="59"/>
  <c r="N14" i="60"/>
  <c r="N14" i="66"/>
  <c r="N14" i="68"/>
  <c r="N14" i="61"/>
  <c r="N14" i="62"/>
  <c r="N14" i="69"/>
  <c r="N14" i="67"/>
  <c r="N13" i="52"/>
  <c r="N13" i="55"/>
  <c r="N13" i="59"/>
  <c r="N13" i="60"/>
  <c r="N13" i="66"/>
  <c r="N13" i="68"/>
  <c r="N13" i="61"/>
  <c r="N13" i="62"/>
  <c r="N13" i="69"/>
  <c r="N13" i="67"/>
  <c r="H8" i="60" l="1"/>
  <c r="H8" i="52"/>
  <c r="E48" i="57"/>
  <c r="B5" i="50"/>
  <c r="A55" i="44"/>
  <c r="A54" i="44"/>
  <c r="B53" i="44"/>
  <c r="A53" i="44"/>
  <c r="B52" i="44"/>
  <c r="A52" i="44"/>
  <c r="B51" i="44"/>
  <c r="A51" i="44"/>
  <c r="B50" i="44"/>
  <c r="A50" i="44"/>
  <c r="B49" i="44"/>
  <c r="A49" i="44"/>
  <c r="B48" i="44"/>
  <c r="A48" i="44"/>
  <c r="B47" i="44"/>
  <c r="A47" i="44"/>
  <c r="B46" i="44"/>
  <c r="A46" i="44"/>
  <c r="B45" i="44"/>
  <c r="A45" i="44"/>
  <c r="B44" i="44"/>
  <c r="A44" i="44"/>
  <c r="B43" i="44"/>
  <c r="A43" i="44"/>
  <c r="B42" i="44"/>
  <c r="A42" i="44"/>
  <c r="B41" i="44"/>
  <c r="A41" i="44"/>
  <c r="B40" i="44"/>
  <c r="A40" i="44"/>
  <c r="B39" i="44"/>
  <c r="A39" i="44"/>
  <c r="B38" i="44"/>
  <c r="A38" i="44"/>
  <c r="B37" i="44"/>
  <c r="A37" i="44"/>
  <c r="B36" i="44"/>
  <c r="A36" i="44"/>
  <c r="B35" i="44"/>
  <c r="A35" i="44"/>
  <c r="B34" i="44"/>
  <c r="A34" i="44"/>
  <c r="B33" i="44"/>
  <c r="A33" i="44"/>
  <c r="B32" i="44"/>
  <c r="A32" i="44"/>
  <c r="B31" i="44"/>
  <c r="A31" i="44"/>
  <c r="B30" i="44"/>
  <c r="A30" i="44"/>
  <c r="B29" i="44"/>
  <c r="A29" i="44"/>
  <c r="B28" i="44"/>
  <c r="A28" i="44"/>
  <c r="B27" i="44"/>
  <c r="A27" i="44"/>
  <c r="B26" i="44"/>
  <c r="A26" i="44"/>
  <c r="B25" i="44"/>
  <c r="A25" i="44"/>
  <c r="B24" i="44"/>
  <c r="A24" i="44"/>
  <c r="B23" i="44"/>
  <c r="A23" i="44"/>
  <c r="B22" i="44"/>
  <c r="A22" i="44"/>
  <c r="B21" i="44"/>
  <c r="A21" i="44"/>
  <c r="B20" i="44"/>
  <c r="A20" i="44"/>
  <c r="B19" i="44"/>
  <c r="A19" i="44"/>
  <c r="B18" i="44"/>
  <c r="A18" i="44"/>
  <c r="B17" i="44"/>
  <c r="A17" i="44"/>
  <c r="B16" i="44"/>
  <c r="A16" i="44"/>
  <c r="B15" i="44"/>
  <c r="A15" i="44"/>
  <c r="B14" i="44"/>
  <c r="A14" i="44"/>
  <c r="B13" i="44"/>
  <c r="A13" i="44"/>
  <c r="B12" i="44"/>
  <c r="A12" i="44"/>
  <c r="B11" i="44"/>
  <c r="A11" i="44"/>
  <c r="B10" i="44"/>
  <c r="A10" i="44"/>
  <c r="B9" i="44"/>
  <c r="B8" i="44"/>
  <c r="B7" i="44"/>
  <c r="A7" i="44"/>
  <c r="A5" i="44"/>
  <c r="D58" i="71"/>
  <c r="L53" i="71"/>
  <c r="K53" i="71"/>
  <c r="J53" i="71"/>
  <c r="I53" i="71"/>
  <c r="H53" i="71"/>
  <c r="G53" i="71"/>
  <c r="E53" i="71"/>
  <c r="E53" i="44" s="1"/>
  <c r="D53" i="71"/>
  <c r="D53" i="44" s="1"/>
  <c r="C53" i="44"/>
  <c r="L52" i="71"/>
  <c r="K52" i="71"/>
  <c r="J52" i="71"/>
  <c r="I52" i="71"/>
  <c r="H52" i="71"/>
  <c r="G52" i="71"/>
  <c r="E52" i="71"/>
  <c r="E52" i="44" s="1"/>
  <c r="D52" i="71"/>
  <c r="D52" i="44" s="1"/>
  <c r="C52" i="44"/>
  <c r="L51" i="71"/>
  <c r="K51" i="71"/>
  <c r="J51" i="71"/>
  <c r="I51" i="71"/>
  <c r="H51" i="71"/>
  <c r="G51" i="71"/>
  <c r="E51" i="71"/>
  <c r="E51" i="44" s="1"/>
  <c r="D51" i="71"/>
  <c r="D51" i="44" s="1"/>
  <c r="C51" i="44"/>
  <c r="L50" i="71"/>
  <c r="K50" i="71"/>
  <c r="J50" i="71"/>
  <c r="I50" i="71"/>
  <c r="H50" i="71"/>
  <c r="G50" i="71"/>
  <c r="E50" i="71"/>
  <c r="E50" i="44" s="1"/>
  <c r="D50" i="71"/>
  <c r="D50" i="44" s="1"/>
  <c r="C50" i="44"/>
  <c r="L49" i="71"/>
  <c r="I49" i="71"/>
  <c r="H49" i="71"/>
  <c r="E49" i="71"/>
  <c r="D49" i="71"/>
  <c r="D49" i="44" s="1"/>
  <c r="C49" i="44"/>
  <c r="L48" i="71"/>
  <c r="K48" i="71"/>
  <c r="J48" i="71"/>
  <c r="I48" i="71"/>
  <c r="H48" i="71"/>
  <c r="G48" i="71"/>
  <c r="E48" i="71"/>
  <c r="E48" i="44" s="1"/>
  <c r="D48" i="71"/>
  <c r="D48" i="44" s="1"/>
  <c r="C48" i="44"/>
  <c r="L47" i="71"/>
  <c r="K47" i="71"/>
  <c r="J47" i="71"/>
  <c r="I47" i="71"/>
  <c r="H47" i="71"/>
  <c r="G47" i="71"/>
  <c r="E47" i="71"/>
  <c r="E47" i="44" s="1"/>
  <c r="D47" i="71"/>
  <c r="D47" i="44" s="1"/>
  <c r="C47" i="44"/>
  <c r="L46" i="71"/>
  <c r="K46" i="71"/>
  <c r="J46" i="71"/>
  <c r="I46" i="71"/>
  <c r="H46" i="71"/>
  <c r="G46" i="71"/>
  <c r="E46" i="71"/>
  <c r="E46" i="44" s="1"/>
  <c r="D46" i="71"/>
  <c r="D46" i="44" s="1"/>
  <c r="C46" i="44"/>
  <c r="L45" i="71"/>
  <c r="I45" i="71"/>
  <c r="H45" i="71"/>
  <c r="E45" i="71"/>
  <c r="E45" i="44" s="1"/>
  <c r="D45" i="71"/>
  <c r="D45" i="44" s="1"/>
  <c r="C45" i="44"/>
  <c r="L44" i="71"/>
  <c r="I44" i="71"/>
  <c r="H44" i="71"/>
  <c r="E44" i="71"/>
  <c r="E44" i="44" s="1"/>
  <c r="D44" i="71"/>
  <c r="D44" i="44" s="1"/>
  <c r="C44" i="44"/>
  <c r="L43" i="71"/>
  <c r="I43" i="71"/>
  <c r="H43" i="71"/>
  <c r="E43" i="71"/>
  <c r="E43" i="44" s="1"/>
  <c r="D43" i="71"/>
  <c r="D43" i="44" s="1"/>
  <c r="C43" i="44"/>
  <c r="L42" i="71"/>
  <c r="I42" i="71"/>
  <c r="H42" i="71"/>
  <c r="E42" i="71"/>
  <c r="E42" i="44" s="1"/>
  <c r="D42" i="71"/>
  <c r="D42" i="44" s="1"/>
  <c r="C42" i="44"/>
  <c r="L41" i="71"/>
  <c r="I41" i="71"/>
  <c r="H41" i="71"/>
  <c r="E41" i="71"/>
  <c r="E41" i="44" s="1"/>
  <c r="D41" i="71"/>
  <c r="D41" i="44" s="1"/>
  <c r="C41" i="44"/>
  <c r="L40" i="71"/>
  <c r="I40" i="71"/>
  <c r="H40" i="71"/>
  <c r="E40" i="71"/>
  <c r="E40" i="44" s="1"/>
  <c r="D40" i="71"/>
  <c r="D40" i="44" s="1"/>
  <c r="C40" i="44"/>
  <c r="L39" i="71"/>
  <c r="I39" i="71"/>
  <c r="H39" i="71"/>
  <c r="E39" i="71"/>
  <c r="E39" i="44" s="1"/>
  <c r="D39" i="71"/>
  <c r="D39" i="44" s="1"/>
  <c r="C39" i="44"/>
  <c r="L38" i="71"/>
  <c r="I38" i="71"/>
  <c r="H38" i="71"/>
  <c r="E38" i="71"/>
  <c r="E38" i="44" s="1"/>
  <c r="D38" i="71"/>
  <c r="D38" i="44" s="1"/>
  <c r="C38" i="44"/>
  <c r="L37" i="71"/>
  <c r="I37" i="71"/>
  <c r="H37" i="71"/>
  <c r="E37" i="71"/>
  <c r="E37" i="44" s="1"/>
  <c r="D37" i="71"/>
  <c r="D37" i="44" s="1"/>
  <c r="C37" i="44"/>
  <c r="L36" i="71"/>
  <c r="I36" i="71"/>
  <c r="H36" i="71"/>
  <c r="E36" i="71"/>
  <c r="D36" i="71"/>
  <c r="D36" i="44" s="1"/>
  <c r="C36" i="44"/>
  <c r="L35" i="71"/>
  <c r="I35" i="71"/>
  <c r="H35" i="71"/>
  <c r="E35" i="71"/>
  <c r="E35" i="44" s="1"/>
  <c r="D35" i="71"/>
  <c r="D35" i="44" s="1"/>
  <c r="C35" i="44"/>
  <c r="L34" i="71"/>
  <c r="I34" i="71"/>
  <c r="H34" i="71"/>
  <c r="E34" i="71"/>
  <c r="D34" i="71"/>
  <c r="D34" i="44" s="1"/>
  <c r="C34" i="44"/>
  <c r="L33" i="71"/>
  <c r="I33" i="71"/>
  <c r="H33" i="71"/>
  <c r="E33" i="71"/>
  <c r="E33" i="44" s="1"/>
  <c r="D33" i="71"/>
  <c r="D33" i="44" s="1"/>
  <c r="L32" i="71"/>
  <c r="I32" i="71"/>
  <c r="H32" i="71"/>
  <c r="E32" i="71"/>
  <c r="E32" i="44" s="1"/>
  <c r="D32" i="71"/>
  <c r="D32" i="44" s="1"/>
  <c r="C32" i="44"/>
  <c r="L31" i="71"/>
  <c r="I31" i="71"/>
  <c r="H31" i="71"/>
  <c r="E31" i="71"/>
  <c r="D31" i="71"/>
  <c r="D31" i="44" s="1"/>
  <c r="L30" i="71"/>
  <c r="I30" i="71"/>
  <c r="H30" i="71"/>
  <c r="E30" i="71"/>
  <c r="D30" i="71"/>
  <c r="D30" i="44" s="1"/>
  <c r="C30" i="44"/>
  <c r="L29" i="71"/>
  <c r="I29" i="71"/>
  <c r="H29" i="71"/>
  <c r="E29" i="71"/>
  <c r="E29" i="44" s="1"/>
  <c r="D29" i="71"/>
  <c r="D29" i="44" s="1"/>
  <c r="L28" i="71"/>
  <c r="I28" i="71"/>
  <c r="H28" i="71"/>
  <c r="E28" i="71"/>
  <c r="E28" i="44" s="1"/>
  <c r="D28" i="71"/>
  <c r="D28" i="44" s="1"/>
  <c r="L27" i="71"/>
  <c r="I27" i="71"/>
  <c r="H27" i="71"/>
  <c r="E27" i="71"/>
  <c r="E27" i="44" s="1"/>
  <c r="D27" i="71"/>
  <c r="D27" i="44" s="1"/>
  <c r="L26" i="71"/>
  <c r="I26" i="71"/>
  <c r="H26" i="71"/>
  <c r="E26" i="71"/>
  <c r="E26" i="44" s="1"/>
  <c r="D26" i="71"/>
  <c r="D26" i="44" s="1"/>
  <c r="L25" i="71"/>
  <c r="I25" i="71"/>
  <c r="H25" i="71"/>
  <c r="E25" i="71"/>
  <c r="D25" i="71"/>
  <c r="D25" i="44" s="1"/>
  <c r="L24" i="71"/>
  <c r="I24" i="71"/>
  <c r="H24" i="71"/>
  <c r="E24" i="71"/>
  <c r="E24" i="44" s="1"/>
  <c r="D24" i="71"/>
  <c r="D24" i="44" s="1"/>
  <c r="L23" i="71"/>
  <c r="I23" i="71"/>
  <c r="H23" i="71"/>
  <c r="E23" i="71"/>
  <c r="E23" i="44" s="1"/>
  <c r="D23" i="71"/>
  <c r="D23" i="44" s="1"/>
  <c r="L22" i="71"/>
  <c r="I22" i="71"/>
  <c r="H22" i="71"/>
  <c r="E22" i="71"/>
  <c r="E22" i="44" s="1"/>
  <c r="D22" i="71"/>
  <c r="D22" i="44" s="1"/>
  <c r="C22" i="44"/>
  <c r="L21" i="71"/>
  <c r="I21" i="71"/>
  <c r="H21" i="71"/>
  <c r="E21" i="71"/>
  <c r="E21" i="44" s="1"/>
  <c r="D21" i="71"/>
  <c r="D21" i="44" s="1"/>
  <c r="C21" i="44"/>
  <c r="L20" i="71"/>
  <c r="I20" i="71"/>
  <c r="H20" i="71"/>
  <c r="E20" i="71"/>
  <c r="E20" i="44" s="1"/>
  <c r="D20" i="71"/>
  <c r="D20" i="44" s="1"/>
  <c r="L19" i="71"/>
  <c r="I19" i="71"/>
  <c r="H19" i="71"/>
  <c r="E19" i="71"/>
  <c r="E19" i="44" s="1"/>
  <c r="D19" i="71"/>
  <c r="D19" i="44" s="1"/>
  <c r="C19" i="44"/>
  <c r="L18" i="71"/>
  <c r="I18" i="71"/>
  <c r="H18" i="71"/>
  <c r="E18" i="71"/>
  <c r="E18" i="44" s="1"/>
  <c r="D18" i="71"/>
  <c r="D18" i="44" s="1"/>
  <c r="C18" i="44"/>
  <c r="L17" i="71"/>
  <c r="I17" i="71"/>
  <c r="H17" i="71"/>
  <c r="E17" i="71"/>
  <c r="E17" i="44" s="1"/>
  <c r="D17" i="71"/>
  <c r="D17" i="44" s="1"/>
  <c r="C17" i="44"/>
  <c r="L16" i="71"/>
  <c r="I16" i="71"/>
  <c r="H16" i="71"/>
  <c r="E16" i="71"/>
  <c r="E16" i="44" s="1"/>
  <c r="D16" i="71"/>
  <c r="D16" i="44" s="1"/>
  <c r="C16" i="44"/>
  <c r="L15" i="71"/>
  <c r="I15" i="71"/>
  <c r="H15" i="71"/>
  <c r="E15" i="71"/>
  <c r="E15" i="44" s="1"/>
  <c r="D15" i="71"/>
  <c r="D15" i="44" s="1"/>
  <c r="C15" i="44"/>
  <c r="L14" i="71"/>
  <c r="I14" i="71"/>
  <c r="H14" i="71"/>
  <c r="E14" i="71"/>
  <c r="E14" i="44" s="1"/>
  <c r="D14" i="71"/>
  <c r="D14" i="44" s="1"/>
  <c r="L13" i="71"/>
  <c r="I13" i="71"/>
  <c r="H13" i="71"/>
  <c r="E13" i="71"/>
  <c r="D13" i="71"/>
  <c r="D13" i="44" s="1"/>
  <c r="L12" i="71"/>
  <c r="I12" i="71"/>
  <c r="H12" i="71"/>
  <c r="E12" i="71"/>
  <c r="E12" i="44" s="1"/>
  <c r="D12" i="71"/>
  <c r="D12" i="44" s="1"/>
  <c r="L11" i="71"/>
  <c r="I11" i="71"/>
  <c r="H11" i="71"/>
  <c r="E11" i="71"/>
  <c r="E11" i="44" s="1"/>
  <c r="D11" i="71"/>
  <c r="D11" i="44" s="1"/>
  <c r="L10" i="71"/>
  <c r="I10" i="71"/>
  <c r="H10" i="71"/>
  <c r="E10" i="71"/>
  <c r="E10" i="44" s="1"/>
  <c r="D10" i="71"/>
  <c r="D10" i="44" s="1"/>
  <c r="L9" i="71"/>
  <c r="I9" i="71"/>
  <c r="H9" i="71"/>
  <c r="E9" i="71"/>
  <c r="E9" i="44" s="1"/>
  <c r="D9" i="71"/>
  <c r="D9" i="44" s="1"/>
  <c r="L8" i="71"/>
  <c r="I8" i="71"/>
  <c r="H8" i="71"/>
  <c r="E8" i="71"/>
  <c r="D8" i="71"/>
  <c r="D8" i="44" s="1"/>
  <c r="D7" i="44"/>
  <c r="C4" i="71"/>
  <c r="A4" i="71"/>
  <c r="A4" i="44" s="1"/>
  <c r="E3" i="71"/>
  <c r="E3" i="44" s="1"/>
  <c r="C3" i="71"/>
  <c r="H58" i="71" l="1"/>
  <c r="J44" i="71"/>
  <c r="F44" i="71" s="1"/>
  <c r="K49" i="71"/>
  <c r="E49" i="44"/>
  <c r="H56" i="71"/>
  <c r="B5" i="37" s="1"/>
  <c r="J49" i="71"/>
  <c r="E13" i="44"/>
  <c r="K45" i="71"/>
  <c r="E34" i="44"/>
  <c r="K44" i="71"/>
  <c r="E30" i="44"/>
  <c r="J45" i="71"/>
  <c r="F45" i="71" s="1"/>
  <c r="E25" i="44"/>
  <c r="E8" i="44"/>
  <c r="J7" i="71"/>
  <c r="F7" i="71" s="1"/>
  <c r="K43" i="71"/>
  <c r="K42" i="71"/>
  <c r="K41" i="71"/>
  <c r="J42" i="71"/>
  <c r="F42" i="71" s="1"/>
  <c r="J43" i="71"/>
  <c r="F43" i="71" s="1"/>
  <c r="J41" i="71"/>
  <c r="F41" i="71" s="1"/>
  <c r="K58" i="52"/>
  <c r="J58" i="52"/>
  <c r="K57" i="52"/>
  <c r="J57" i="52"/>
  <c r="K31" i="52"/>
  <c r="J31" i="52"/>
  <c r="K32" i="52"/>
  <c r="J32" i="52"/>
  <c r="K30" i="52"/>
  <c r="J30" i="52"/>
  <c r="E31" i="44"/>
  <c r="K37" i="71"/>
  <c r="K39" i="71"/>
  <c r="K40" i="71"/>
  <c r="E36" i="44"/>
  <c r="E7" i="44"/>
  <c r="K38" i="71"/>
  <c r="K35" i="71"/>
  <c r="K36" i="71"/>
  <c r="J37" i="71"/>
  <c r="F37" i="71" s="1"/>
  <c r="J38" i="71"/>
  <c r="F38" i="71" s="1"/>
  <c r="J39" i="71"/>
  <c r="F39" i="71" s="1"/>
  <c r="J40" i="71"/>
  <c r="F40" i="71" s="1"/>
  <c r="K33" i="71"/>
  <c r="K34" i="71"/>
  <c r="J35" i="71"/>
  <c r="F35" i="71" s="1"/>
  <c r="J36" i="71"/>
  <c r="F36" i="71" s="1"/>
  <c r="K31" i="71"/>
  <c r="K32" i="71"/>
  <c r="K26" i="71"/>
  <c r="K28" i="71"/>
  <c r="K16" i="71"/>
  <c r="K8" i="71"/>
  <c r="K10" i="71"/>
  <c r="J16" i="71"/>
  <c r="F16" i="71" s="1"/>
  <c r="K17" i="71"/>
  <c r="K18" i="71"/>
  <c r="K19" i="71"/>
  <c r="K20" i="71"/>
  <c r="K21" i="71"/>
  <c r="K22" i="71"/>
  <c r="K23" i="71"/>
  <c r="K24" i="71"/>
  <c r="K25" i="71"/>
  <c r="J26" i="71"/>
  <c r="F26" i="71" s="1"/>
  <c r="K27" i="71"/>
  <c r="J28" i="71"/>
  <c r="F28" i="71" s="1"/>
  <c r="K29" i="71"/>
  <c r="K30" i="71"/>
  <c r="J31" i="71"/>
  <c r="F31" i="71" s="1"/>
  <c r="J32" i="71"/>
  <c r="F32" i="71" s="1"/>
  <c r="J33" i="71"/>
  <c r="F33" i="71" s="1"/>
  <c r="J34" i="71"/>
  <c r="F34" i="71" s="1"/>
  <c r="K9" i="71"/>
  <c r="K11" i="71"/>
  <c r="K12" i="71"/>
  <c r="K13" i="71"/>
  <c r="K14" i="71"/>
  <c r="K15" i="71"/>
  <c r="J8" i="71"/>
  <c r="F8" i="71" s="1"/>
  <c r="J11" i="71"/>
  <c r="F11" i="71" s="1"/>
  <c r="J12" i="71"/>
  <c r="F12" i="71" s="1"/>
  <c r="J13" i="71"/>
  <c r="F13" i="71" s="1"/>
  <c r="J14" i="71"/>
  <c r="F14" i="71" s="1"/>
  <c r="J15" i="71"/>
  <c r="F15" i="71" s="1"/>
  <c r="J17" i="71"/>
  <c r="F17" i="71" s="1"/>
  <c r="J18" i="71"/>
  <c r="F18" i="71" s="1"/>
  <c r="J19" i="71"/>
  <c r="F19" i="71" s="1"/>
  <c r="J20" i="71"/>
  <c r="F20" i="71" s="1"/>
  <c r="J21" i="71"/>
  <c r="F21" i="71" s="1"/>
  <c r="J22" i="71"/>
  <c r="F22" i="71" s="1"/>
  <c r="J23" i="71"/>
  <c r="F23" i="71" s="1"/>
  <c r="J24" i="71"/>
  <c r="F24" i="71" s="1"/>
  <c r="J25" i="71"/>
  <c r="F25" i="71" s="1"/>
  <c r="J27" i="71"/>
  <c r="F27" i="71" s="1"/>
  <c r="J29" i="71"/>
  <c r="F29" i="71" s="1"/>
  <c r="J30" i="71"/>
  <c r="F30" i="71" s="1"/>
  <c r="J9" i="71"/>
  <c r="F9" i="71" s="1"/>
  <c r="J10" i="71"/>
  <c r="F10" i="71" s="1"/>
  <c r="E9" i="60"/>
  <c r="K26" i="70"/>
  <c r="G44" i="71" l="1"/>
  <c r="O47" i="57"/>
  <c r="O44" i="57"/>
  <c r="O46" i="57"/>
  <c r="AK33" i="51"/>
  <c r="AK30" i="51"/>
  <c r="AK32" i="51"/>
  <c r="G49" i="71"/>
  <c r="H57" i="71"/>
  <c r="G45" i="71"/>
  <c r="G7" i="71"/>
  <c r="G41" i="71"/>
  <c r="G43" i="71"/>
  <c r="G42" i="71"/>
  <c r="G40" i="71"/>
  <c r="G38" i="71"/>
  <c r="G39" i="71"/>
  <c r="G37" i="71"/>
  <c r="G36" i="71"/>
  <c r="G35" i="71"/>
  <c r="G33" i="71"/>
  <c r="G31" i="71"/>
  <c r="G34" i="71"/>
  <c r="G32" i="71"/>
  <c r="G28" i="71"/>
  <c r="G16" i="71"/>
  <c r="G22" i="71"/>
  <c r="R35" i="57"/>
  <c r="Y35" i="57"/>
  <c r="G26" i="71" l="1"/>
  <c r="G24" i="71"/>
  <c r="G12" i="71"/>
  <c r="G21" i="71"/>
  <c r="G20" i="71"/>
  <c r="G15" i="71"/>
  <c r="G29" i="71"/>
  <c r="G11" i="71"/>
  <c r="G18" i="71"/>
  <c r="G30" i="71"/>
  <c r="G10" i="71"/>
  <c r="G9" i="71"/>
  <c r="G8" i="71"/>
  <c r="G17" i="71"/>
  <c r="G25" i="71"/>
  <c r="G23" i="71"/>
  <c r="G19" i="71"/>
  <c r="G14" i="71"/>
  <c r="G27" i="71"/>
  <c r="D12" i="52" l="1"/>
  <c r="B19" i="32"/>
  <c r="C5" i="47"/>
  <c r="A58" i="71" s="1"/>
  <c r="A58" i="44" s="1"/>
  <c r="C4" i="47"/>
  <c r="A57" i="71" s="1"/>
  <c r="A57" i="44" s="1"/>
  <c r="C3" i="47"/>
  <c r="A56" i="71" s="1"/>
  <c r="A56" i="44" s="1"/>
  <c r="E4" i="47"/>
  <c r="C15" i="32" s="1"/>
  <c r="AK35" i="51" l="1"/>
  <c r="C23" i="44"/>
  <c r="Q52" i="50"/>
  <c r="A53" i="50" l="1"/>
  <c r="B10" i="52" l="1"/>
  <c r="B8" i="52"/>
  <c r="H6" i="52"/>
  <c r="F34" i="52" s="1"/>
  <c r="B6" i="52"/>
  <c r="AA1" i="51"/>
  <c r="K41" i="51"/>
  <c r="G26" i="51"/>
  <c r="D26" i="51"/>
  <c r="B26" i="51"/>
  <c r="A19" i="51"/>
  <c r="M13" i="51"/>
  <c r="F13" i="51"/>
  <c r="A13" i="51"/>
  <c r="K37" i="57"/>
  <c r="G28" i="57"/>
  <c r="D28" i="57"/>
  <c r="B28" i="57"/>
  <c r="M14" i="57"/>
  <c r="A11" i="51"/>
  <c r="P1" i="51"/>
  <c r="C33" i="44" l="1"/>
  <c r="A11" i="57" l="1"/>
  <c r="R46" i="57" l="1"/>
  <c r="Y46" i="57"/>
  <c r="M23" i="57"/>
  <c r="E23" i="57"/>
  <c r="A23" i="57"/>
  <c r="M19" i="51"/>
  <c r="E19" i="51"/>
  <c r="G14" i="57"/>
  <c r="A14" i="57"/>
  <c r="C11" i="44"/>
  <c r="C14" i="44"/>
  <c r="C12" i="44"/>
  <c r="C31" i="44"/>
  <c r="BR1" i="51"/>
  <c r="AW1" i="51"/>
  <c r="E2" i="69"/>
  <c r="F38" i="69"/>
  <c r="F35" i="69"/>
  <c r="F31" i="69"/>
  <c r="F26" i="69"/>
  <c r="F21" i="69"/>
  <c r="F18" i="69"/>
  <c r="F11" i="69"/>
  <c r="C9" i="67"/>
  <c r="E23" i="66"/>
  <c r="AU1" i="57"/>
  <c r="BH1" i="51"/>
  <c r="AL1" i="57"/>
  <c r="P1" i="57"/>
  <c r="AA1" i="57"/>
  <c r="C9" i="63"/>
  <c r="C20" i="61"/>
  <c r="C12" i="60"/>
  <c r="O27" i="59"/>
  <c r="P24" i="59"/>
  <c r="O19" i="59"/>
  <c r="B35" i="32"/>
  <c r="C9" i="55"/>
  <c r="J2" i="54"/>
  <c r="J1" i="54"/>
  <c r="K42" i="52"/>
  <c r="B2" i="37"/>
  <c r="B4" i="37"/>
  <c r="B6" i="37"/>
  <c r="Q1" i="50"/>
  <c r="V2" i="50"/>
  <c r="B3" i="50"/>
  <c r="J3" i="50"/>
  <c r="V3" i="50"/>
  <c r="D7" i="50" s="1"/>
  <c r="B4" i="50"/>
  <c r="A7" i="50"/>
  <c r="C7" i="50"/>
  <c r="AC31" i="50"/>
  <c r="DV7" i="50"/>
  <c r="A8" i="50"/>
  <c r="C8" i="50"/>
  <c r="AC24" i="50"/>
  <c r="DV8" i="50"/>
  <c r="A9" i="50"/>
  <c r="C9" i="50"/>
  <c r="AC43" i="50"/>
  <c r="DV9" i="50"/>
  <c r="A10" i="50"/>
  <c r="C10" i="50"/>
  <c r="AC14" i="50"/>
  <c r="DV10" i="50"/>
  <c r="A11" i="50"/>
  <c r="C11" i="50"/>
  <c r="AC29" i="50"/>
  <c r="DV11" i="50"/>
  <c r="A12" i="50"/>
  <c r="C12" i="50"/>
  <c r="AC46" i="50"/>
  <c r="DV12" i="50"/>
  <c r="A13" i="50"/>
  <c r="C13" i="50"/>
  <c r="AC12" i="50"/>
  <c r="DV13" i="50"/>
  <c r="A14" i="50"/>
  <c r="C14" i="50"/>
  <c r="AC22" i="50"/>
  <c r="DV14" i="50"/>
  <c r="A15" i="50"/>
  <c r="C15" i="50"/>
  <c r="AC20" i="50"/>
  <c r="DV15" i="50"/>
  <c r="A16" i="50"/>
  <c r="C16" i="50"/>
  <c r="AC16" i="50"/>
  <c r="DV16" i="50"/>
  <c r="A17" i="50"/>
  <c r="C17" i="50"/>
  <c r="AC18" i="50"/>
  <c r="DV17" i="50"/>
  <c r="A18" i="50"/>
  <c r="C18" i="50"/>
  <c r="AC23" i="50"/>
  <c r="DV18" i="50"/>
  <c r="A19" i="50"/>
  <c r="C19" i="50"/>
  <c r="AC8" i="50"/>
  <c r="DV19" i="50"/>
  <c r="A20" i="50"/>
  <c r="C20" i="50"/>
  <c r="AC9" i="50"/>
  <c r="DV20" i="50"/>
  <c r="A21" i="50"/>
  <c r="C21" i="50"/>
  <c r="AC25" i="50"/>
  <c r="DV21" i="50"/>
  <c r="A22" i="50"/>
  <c r="C22" i="50"/>
  <c r="AC11" i="50"/>
  <c r="DV22" i="50"/>
  <c r="A23" i="50"/>
  <c r="C23" i="50"/>
  <c r="AC35" i="50"/>
  <c r="DV23" i="50"/>
  <c r="A24" i="50"/>
  <c r="C24" i="50"/>
  <c r="AC38" i="50"/>
  <c r="DV24" i="50"/>
  <c r="A25" i="50"/>
  <c r="C25" i="50"/>
  <c r="AC19" i="50"/>
  <c r="DV25" i="50"/>
  <c r="A26" i="50"/>
  <c r="C26" i="50"/>
  <c r="AC36" i="50"/>
  <c r="DV26" i="50"/>
  <c r="A27" i="50"/>
  <c r="C27" i="50"/>
  <c r="AC28" i="50"/>
  <c r="DV27" i="50"/>
  <c r="A28" i="50"/>
  <c r="C28" i="50"/>
  <c r="AC13" i="50"/>
  <c r="DV28" i="50"/>
  <c r="A29" i="50"/>
  <c r="C29" i="50"/>
  <c r="AC27" i="50"/>
  <c r="DV29" i="50"/>
  <c r="A30" i="50"/>
  <c r="C30" i="50"/>
  <c r="AC33" i="50"/>
  <c r="DV30" i="50"/>
  <c r="A31" i="50"/>
  <c r="C31" i="50"/>
  <c r="AC32" i="50"/>
  <c r="DV31" i="50"/>
  <c r="A32" i="50"/>
  <c r="C32" i="50"/>
  <c r="AC17" i="50"/>
  <c r="DV32" i="50"/>
  <c r="A33" i="50"/>
  <c r="C33" i="50"/>
  <c r="AC30" i="50"/>
  <c r="DV33" i="50"/>
  <c r="A34" i="50"/>
  <c r="C34" i="50"/>
  <c r="AC10" i="50"/>
  <c r="DV34" i="50"/>
  <c r="A35" i="50"/>
  <c r="C35" i="50"/>
  <c r="AC34" i="50"/>
  <c r="DV35" i="50"/>
  <c r="A36" i="50"/>
  <c r="C36" i="50"/>
  <c r="AC7" i="50"/>
  <c r="DV36" i="50"/>
  <c r="A37" i="50"/>
  <c r="C37" i="50"/>
  <c r="AC45" i="50"/>
  <c r="DV37" i="50"/>
  <c r="A38" i="50"/>
  <c r="C38" i="50"/>
  <c r="AC21" i="50"/>
  <c r="DV38" i="50"/>
  <c r="A39" i="50"/>
  <c r="C39" i="50"/>
  <c r="AC26" i="50"/>
  <c r="DV39" i="50"/>
  <c r="A40" i="50"/>
  <c r="C40" i="50"/>
  <c r="AC37" i="50"/>
  <c r="DV40" i="50"/>
  <c r="A41" i="50"/>
  <c r="C41" i="50"/>
  <c r="AC15" i="50"/>
  <c r="DV41" i="50"/>
  <c r="AC47" i="50"/>
  <c r="DV46" i="50"/>
  <c r="AC42" i="50"/>
  <c r="DV47" i="50"/>
  <c r="C3" i="44"/>
  <c r="C4" i="44"/>
  <c r="D58" i="44"/>
  <c r="C11" i="32"/>
  <c r="C33" i="32"/>
  <c r="C9" i="44"/>
  <c r="C10" i="44"/>
  <c r="D292" i="48"/>
  <c r="D293" i="48"/>
  <c r="E3" i="47"/>
  <c r="B14" i="32" s="1"/>
  <c r="B4" i="47"/>
  <c r="E5" i="47"/>
  <c r="B15" i="32" s="1"/>
  <c r="B6" i="47"/>
  <c r="B7" i="47"/>
  <c r="B8" i="47"/>
  <c r="C8" i="47"/>
  <c r="B9" i="47"/>
  <c r="C9" i="47"/>
  <c r="E9" i="47"/>
  <c r="B10" i="47"/>
  <c r="D10" i="47"/>
  <c r="K41" i="52"/>
  <c r="K64" i="52"/>
  <c r="K65" i="52"/>
  <c r="K66" i="52"/>
  <c r="J41" i="52"/>
  <c r="J64" i="52"/>
  <c r="J65" i="52"/>
  <c r="J66" i="52"/>
  <c r="J42" i="52"/>
  <c r="H5" i="79" l="1"/>
  <c r="H4" i="80"/>
  <c r="H3" i="80"/>
  <c r="H5" i="80"/>
  <c r="H4" i="79"/>
  <c r="H3" i="79"/>
  <c r="V5" i="80"/>
  <c r="V3" i="80"/>
  <c r="V4" i="80"/>
  <c r="V1" i="80"/>
  <c r="H2" i="79"/>
  <c r="V2" i="80"/>
  <c r="H2" i="80"/>
  <c r="H1" i="79"/>
  <c r="H1" i="80"/>
  <c r="C9" i="68"/>
  <c r="DR47" i="50"/>
  <c r="AK43" i="50"/>
  <c r="DR43" i="50"/>
  <c r="AL43" i="50"/>
  <c r="AN43" i="50" s="1"/>
  <c r="AL45" i="50"/>
  <c r="DR45" i="50"/>
  <c r="AK45" i="50"/>
  <c r="AK42" i="50"/>
  <c r="DR42" i="50"/>
  <c r="AL42" i="50"/>
  <c r="AN42" i="50" s="1"/>
  <c r="AL40" i="50"/>
  <c r="AN40" i="50" s="1"/>
  <c r="AL39" i="50"/>
  <c r="AN39" i="50" s="1"/>
  <c r="AX39" i="50" s="1"/>
  <c r="AT39" i="50" s="1"/>
  <c r="AL37" i="50"/>
  <c r="AN37" i="50" s="1"/>
  <c r="AY37" i="50" s="1"/>
  <c r="AU37" i="50" s="1"/>
  <c r="G5" i="77"/>
  <c r="G4" i="77"/>
  <c r="G3" i="77"/>
  <c r="H5" i="76"/>
  <c r="H4" i="76"/>
  <c r="H3" i="76"/>
  <c r="G1" i="77"/>
  <c r="G2" i="77"/>
  <c r="H1" i="76"/>
  <c r="H2" i="76"/>
  <c r="G23" i="68"/>
  <c r="G21" i="68"/>
  <c r="A5" i="57"/>
  <c r="H3" i="75"/>
  <c r="H4" i="75"/>
  <c r="H5" i="75"/>
  <c r="H2" i="75"/>
  <c r="H1" i="75"/>
  <c r="G25" i="68"/>
  <c r="H5" i="66"/>
  <c r="A5" i="51"/>
  <c r="DR34" i="50"/>
  <c r="DR31" i="50"/>
  <c r="C27" i="44"/>
  <c r="C28" i="44"/>
  <c r="C26" i="44"/>
  <c r="C25" i="44"/>
  <c r="C29" i="44"/>
  <c r="C24" i="44"/>
  <c r="C20" i="44"/>
  <c r="C13" i="44"/>
  <c r="C8" i="44"/>
  <c r="C7" i="44"/>
  <c r="E2" i="37"/>
  <c r="D1" i="71"/>
  <c r="A59" i="71"/>
  <c r="C2" i="71"/>
  <c r="A2" i="71"/>
  <c r="G13" i="71"/>
  <c r="I9" i="63"/>
  <c r="D1" i="44"/>
  <c r="N21" i="59"/>
  <c r="G22" i="68"/>
  <c r="G2" i="61"/>
  <c r="DR38" i="50"/>
  <c r="AK33" i="50"/>
  <c r="AL32" i="50"/>
  <c r="AN32" i="50" s="1"/>
  <c r="AY32" i="50" s="1"/>
  <c r="AU32" i="50" s="1"/>
  <c r="G24" i="68"/>
  <c r="H2" i="60"/>
  <c r="H1" i="68"/>
  <c r="AL36" i="50"/>
  <c r="AN36" i="50" s="1"/>
  <c r="AZ36" i="50" s="1"/>
  <c r="AV36" i="50" s="1"/>
  <c r="H4" i="70"/>
  <c r="H5" i="70"/>
  <c r="H3" i="70"/>
  <c r="H1" i="63"/>
  <c r="H2" i="70"/>
  <c r="H1" i="70"/>
  <c r="DR40" i="50"/>
  <c r="AK9" i="50"/>
  <c r="AK11" i="50"/>
  <c r="AK29" i="50"/>
  <c r="AL14" i="50"/>
  <c r="AN14" i="50" s="1"/>
  <c r="AL27" i="50"/>
  <c r="AN27" i="50" s="1"/>
  <c r="H4" i="63"/>
  <c r="F2" i="37"/>
  <c r="H1" i="59"/>
  <c r="H1" i="66"/>
  <c r="H2" i="63"/>
  <c r="H1" i="60"/>
  <c r="AK47" i="50"/>
  <c r="H4" i="67"/>
  <c r="G5" i="55"/>
  <c r="G20" i="68"/>
  <c r="AK30" i="50"/>
  <c r="DR10" i="50"/>
  <c r="DR22" i="50"/>
  <c r="DR17" i="50"/>
  <c r="AL11" i="50"/>
  <c r="AN11" i="50" s="1"/>
  <c r="BA11" i="50" s="1"/>
  <c r="AW11" i="50" s="1"/>
  <c r="AK13" i="50"/>
  <c r="DR8" i="50"/>
  <c r="AK16" i="50"/>
  <c r="DR28" i="50"/>
  <c r="DR20" i="50"/>
  <c r="AL19" i="50"/>
  <c r="AN19" i="50" s="1"/>
  <c r="DR23" i="50"/>
  <c r="AK26" i="50"/>
  <c r="AL24" i="50"/>
  <c r="AN24" i="50" s="1"/>
  <c r="AM24" i="50" s="1"/>
  <c r="AK19" i="50"/>
  <c r="DR26" i="50"/>
  <c r="AK32" i="50"/>
  <c r="DR39" i="50"/>
  <c r="AL8" i="50"/>
  <c r="AN8" i="50" s="1"/>
  <c r="AM8" i="50" s="1"/>
  <c r="AL12" i="50"/>
  <c r="AN12" i="50" s="1"/>
  <c r="AX12" i="50" s="1"/>
  <c r="AT12" i="50" s="1"/>
  <c r="AK40" i="50"/>
  <c r="AL10" i="50"/>
  <c r="AN10" i="50" s="1"/>
  <c r="AL33" i="50"/>
  <c r="AN33" i="50" s="1"/>
  <c r="AL30" i="50"/>
  <c r="AN30" i="50" s="1"/>
  <c r="AM30" i="50" s="1"/>
  <c r="AL28" i="50"/>
  <c r="AN28" i="50" s="1"/>
  <c r="AZ28" i="50" s="1"/>
  <c r="AV28" i="50" s="1"/>
  <c r="AL47" i="50"/>
  <c r="AN47" i="50" s="1"/>
  <c r="BA47" i="50" s="1"/>
  <c r="AW47" i="50" s="1"/>
  <c r="AL22" i="50"/>
  <c r="AN22" i="50" s="1"/>
  <c r="BA22" i="50" s="1"/>
  <c r="AW22" i="50" s="1"/>
  <c r="AL34" i="50"/>
  <c r="AN34" i="50" s="1"/>
  <c r="AM34" i="50" s="1"/>
  <c r="DR9" i="50"/>
  <c r="AK23" i="50"/>
  <c r="AL13" i="50"/>
  <c r="AN13" i="50" s="1"/>
  <c r="AX13" i="50" s="1"/>
  <c r="AT13" i="50" s="1"/>
  <c r="DR16" i="50"/>
  <c r="DR41" i="50"/>
  <c r="AL23" i="50"/>
  <c r="AN23" i="50" s="1"/>
  <c r="AZ23" i="50" s="1"/>
  <c r="AV23" i="50" s="1"/>
  <c r="AL15" i="50"/>
  <c r="AN15" i="50" s="1"/>
  <c r="AX15" i="50" s="1"/>
  <c r="AT15" i="50" s="1"/>
  <c r="AK12" i="50"/>
  <c r="AK18" i="50"/>
  <c r="AL18" i="50"/>
  <c r="AN18" i="50" s="1"/>
  <c r="AL25" i="50"/>
  <c r="AN25" i="50" s="1"/>
  <c r="AZ25" i="50" s="1"/>
  <c r="AV25" i="50" s="1"/>
  <c r="DR21" i="50"/>
  <c r="AL16" i="50"/>
  <c r="AN16" i="50" s="1"/>
  <c r="AX16" i="50" s="1"/>
  <c r="AT16" i="50" s="1"/>
  <c r="AK25" i="50"/>
  <c r="AL7" i="50"/>
  <c r="AN7" i="50" s="1"/>
  <c r="AK8" i="50"/>
  <c r="Y8" i="50"/>
  <c r="AL41" i="50"/>
  <c r="AN41" i="50" s="1"/>
  <c r="AM41" i="50" s="1"/>
  <c r="AK46" i="50"/>
  <c r="AK38" i="50"/>
  <c r="DR12" i="50"/>
  <c r="BS4" i="50"/>
  <c r="AL29" i="50"/>
  <c r="AN29" i="50" s="1"/>
  <c r="AX29" i="50" s="1"/>
  <c r="AT29" i="50" s="1"/>
  <c r="AL9" i="50"/>
  <c r="AN9" i="50" s="1"/>
  <c r="DR25" i="50"/>
  <c r="DR19" i="50"/>
  <c r="AK35" i="50"/>
  <c r="AK10" i="50"/>
  <c r="DR46" i="50"/>
  <c r="AL21" i="50"/>
  <c r="AN21" i="50" s="1"/>
  <c r="AZ21" i="50" s="1"/>
  <c r="AV21" i="50" s="1"/>
  <c r="DR24" i="50"/>
  <c r="AK15" i="50"/>
  <c r="DR7" i="50"/>
  <c r="DR30" i="50"/>
  <c r="AL20" i="50"/>
  <c r="AN20" i="50" s="1"/>
  <c r="AK28" i="50"/>
  <c r="AK7" i="50"/>
  <c r="DR36" i="50"/>
  <c r="AK41" i="50"/>
  <c r="AK39" i="50"/>
  <c r="DR37" i="50"/>
  <c r="DR33" i="50"/>
  <c r="DR27" i="50"/>
  <c r="DR18" i="50"/>
  <c r="AK20" i="50"/>
  <c r="A2" i="44"/>
  <c r="S1" i="59"/>
  <c r="A7" i="57"/>
  <c r="A6" i="51"/>
  <c r="A6" i="57"/>
  <c r="A7" i="51"/>
  <c r="P2" i="51"/>
  <c r="P2" i="57"/>
  <c r="A8" i="57"/>
  <c r="A9" i="57"/>
  <c r="A8" i="51"/>
  <c r="A9" i="51"/>
  <c r="CJ4" i="50"/>
  <c r="AK22" i="50"/>
  <c r="AL26" i="50"/>
  <c r="AN26" i="50" s="1"/>
  <c r="AZ26" i="50" s="1"/>
  <c r="AV26" i="50" s="1"/>
  <c r="DR32" i="50"/>
  <c r="AL35" i="50"/>
  <c r="AN35" i="50" s="1"/>
  <c r="AZ35" i="50" s="1"/>
  <c r="AV35" i="50" s="1"/>
  <c r="DR35" i="50"/>
  <c r="AK34" i="50"/>
  <c r="AK31" i="50"/>
  <c r="DR29" i="50"/>
  <c r="AK37" i="50"/>
  <c r="AL38" i="50"/>
  <c r="AN38" i="50" s="1"/>
  <c r="AZ38" i="50" s="1"/>
  <c r="AV38" i="50" s="1"/>
  <c r="AL46" i="50"/>
  <c r="AN46" i="50" s="1"/>
  <c r="DR11" i="50"/>
  <c r="AK36" i="50"/>
  <c r="DR14" i="50"/>
  <c r="AL31" i="50"/>
  <c r="AN31" i="50" s="1"/>
  <c r="AL17" i="50"/>
  <c r="AN17" i="50" s="1"/>
  <c r="AY17" i="50" s="1"/>
  <c r="AU17" i="50" s="1"/>
  <c r="AK17" i="50"/>
  <c r="DR15" i="50"/>
  <c r="Y9" i="50"/>
  <c r="H4" i="59"/>
  <c r="G4" i="61"/>
  <c r="H5" i="68"/>
  <c r="H3" i="63"/>
  <c r="H4" i="60"/>
  <c r="H5" i="59"/>
  <c r="W6" i="50"/>
  <c r="S4" i="59"/>
  <c r="G3" i="55"/>
  <c r="AK27" i="50"/>
  <c r="AK24" i="50"/>
  <c r="AK14" i="50"/>
  <c r="DR13" i="50"/>
  <c r="AK21" i="50"/>
  <c r="G4" i="55"/>
  <c r="G5" i="61"/>
  <c r="H3" i="66"/>
  <c r="H5" i="67"/>
  <c r="H3" i="68"/>
  <c r="S3" i="59"/>
  <c r="S5" i="59"/>
  <c r="A59" i="44"/>
  <c r="G3" i="61"/>
  <c r="H3" i="60"/>
  <c r="H4" i="68"/>
  <c r="H4" i="66"/>
  <c r="H3" i="67"/>
  <c r="H5" i="63"/>
  <c r="H5" i="60"/>
  <c r="H3" i="59"/>
  <c r="G2" i="55"/>
  <c r="H2" i="68"/>
  <c r="H2" i="66"/>
  <c r="H1" i="67"/>
  <c r="G1" i="61"/>
  <c r="D2" i="50"/>
  <c r="C2" i="44"/>
  <c r="G1" i="55"/>
  <c r="S2" i="59"/>
  <c r="H2" i="67"/>
  <c r="H2" i="59"/>
  <c r="AZ37" i="50" l="1"/>
  <c r="AV37" i="50" s="1"/>
  <c r="AZ39" i="50"/>
  <c r="AV39" i="50" s="1"/>
  <c r="AX37" i="50"/>
  <c r="AT37" i="50" s="1"/>
  <c r="AM39" i="50"/>
  <c r="AY39" i="50"/>
  <c r="AU39" i="50" s="1"/>
  <c r="BA39" i="50"/>
  <c r="AW39" i="50" s="1"/>
  <c r="AN45" i="50"/>
  <c r="AZ45" i="50" s="1"/>
  <c r="AV45" i="50" s="1"/>
  <c r="W45" i="50"/>
  <c r="AM43" i="50"/>
  <c r="AX43" i="50"/>
  <c r="AT43" i="50" s="1"/>
  <c r="BA43" i="50"/>
  <c r="AW43" i="50" s="1"/>
  <c r="AZ43" i="50"/>
  <c r="AV43" i="50" s="1"/>
  <c r="AY43" i="50"/>
  <c r="AU43" i="50" s="1"/>
  <c r="BA42" i="50"/>
  <c r="AW42" i="50" s="1"/>
  <c r="AX42" i="50"/>
  <c r="AT42" i="50" s="1"/>
  <c r="AM42" i="50"/>
  <c r="AZ42" i="50"/>
  <c r="AV42" i="50" s="1"/>
  <c r="AY42" i="50"/>
  <c r="AU42" i="50" s="1"/>
  <c r="BA7" i="50"/>
  <c r="AW7" i="50" s="1"/>
  <c r="AO42" i="50"/>
  <c r="AO44" i="50"/>
  <c r="AO43" i="50"/>
  <c r="AM37" i="50"/>
  <c r="BA37" i="50"/>
  <c r="AW37" i="50" s="1"/>
  <c r="O48" i="57"/>
  <c r="AK36" i="51"/>
  <c r="O43" i="57"/>
  <c r="AK28" i="51"/>
  <c r="H55" i="71"/>
  <c r="F57" i="71" s="1"/>
  <c r="A33" i="57"/>
  <c r="A37" i="51"/>
  <c r="AY36" i="50"/>
  <c r="AU36" i="50" s="1"/>
  <c r="BA36" i="50"/>
  <c r="AW36" i="50" s="1"/>
  <c r="AM36" i="50"/>
  <c r="AX36" i="50"/>
  <c r="AT36" i="50" s="1"/>
  <c r="AX24" i="50"/>
  <c r="AT24" i="50" s="1"/>
  <c r="BA34" i="50"/>
  <c r="AW34" i="50" s="1"/>
  <c r="AM11" i="50"/>
  <c r="AY11" i="50"/>
  <c r="AU11" i="50" s="1"/>
  <c r="AY24" i="50"/>
  <c r="AU24" i="50" s="1"/>
  <c r="AO11" i="50"/>
  <c r="AX11" i="50"/>
  <c r="AT11" i="50" s="1"/>
  <c r="AO10" i="50"/>
  <c r="AZ24" i="50"/>
  <c r="AV24" i="50" s="1"/>
  <c r="BA24" i="50"/>
  <c r="AW24" i="50" s="1"/>
  <c r="AY23" i="50"/>
  <c r="AU23" i="50" s="1"/>
  <c r="AX21" i="50"/>
  <c r="AT21" i="50" s="1"/>
  <c r="AO13" i="50"/>
  <c r="AY29" i="50"/>
  <c r="AU29" i="50" s="1"/>
  <c r="AY21" i="50"/>
  <c r="AU21" i="50" s="1"/>
  <c r="BA21" i="50"/>
  <c r="AW21" i="50" s="1"/>
  <c r="AZ34" i="50"/>
  <c r="AV34" i="50" s="1"/>
  <c r="BA13" i="50"/>
  <c r="AW13" i="50" s="1"/>
  <c r="AZ13" i="50"/>
  <c r="AV13" i="50" s="1"/>
  <c r="BA8" i="50"/>
  <c r="AW8" i="50" s="1"/>
  <c r="AO8" i="50"/>
  <c r="AZ32" i="50"/>
  <c r="AV32" i="50" s="1"/>
  <c r="AY38" i="50"/>
  <c r="AU38" i="50" s="1"/>
  <c r="AY22" i="50"/>
  <c r="AU22" i="50" s="1"/>
  <c r="BA12" i="50"/>
  <c r="AW12" i="50" s="1"/>
  <c r="AY12" i="50"/>
  <c r="AU12" i="50" s="1"/>
  <c r="AZ7" i="50"/>
  <c r="AV7" i="50" s="1"/>
  <c r="AO29" i="50"/>
  <c r="AX17" i="50"/>
  <c r="AT17" i="50" s="1"/>
  <c r="AY28" i="50"/>
  <c r="AU28" i="50" s="1"/>
  <c r="BA28" i="50"/>
  <c r="AW28" i="50" s="1"/>
  <c r="AM28" i="50"/>
  <c r="AM21" i="50"/>
  <c r="AY34" i="50"/>
  <c r="AU34" i="50" s="1"/>
  <c r="AX34" i="50"/>
  <c r="AT34" i="50" s="1"/>
  <c r="BA38" i="50"/>
  <c r="AW38" i="50" s="1"/>
  <c r="AX32" i="50"/>
  <c r="AT32" i="50" s="1"/>
  <c r="AM13" i="50"/>
  <c r="AY13" i="50"/>
  <c r="AU13" i="50" s="1"/>
  <c r="AZ29" i="50"/>
  <c r="AV29" i="50" s="1"/>
  <c r="BA29" i="50"/>
  <c r="AW29" i="50" s="1"/>
  <c r="AX26" i="50"/>
  <c r="AT26" i="50" s="1"/>
  <c r="AX28" i="50"/>
  <c r="AT28" i="50" s="1"/>
  <c r="BA25" i="50"/>
  <c r="AW25" i="50" s="1"/>
  <c r="AY25" i="50"/>
  <c r="AU25" i="50" s="1"/>
  <c r="AX10" i="50"/>
  <c r="AT10" i="50" s="1"/>
  <c r="AZ22" i="50"/>
  <c r="AV22" i="50" s="1"/>
  <c r="AM22" i="50"/>
  <c r="AX38" i="50"/>
  <c r="AT38" i="50" s="1"/>
  <c r="AM10" i="50"/>
  <c r="AM12" i="50"/>
  <c r="AM25" i="50"/>
  <c r="AY35" i="50"/>
  <c r="AU35" i="50" s="1"/>
  <c r="BA35" i="50"/>
  <c r="AW35" i="50" s="1"/>
  <c r="AZ12" i="50"/>
  <c r="AV12" i="50" s="1"/>
  <c r="AL6" i="50"/>
  <c r="AY7" i="50"/>
  <c r="AU7" i="50" s="1"/>
  <c r="AX22" i="50"/>
  <c r="AT22" i="50" s="1"/>
  <c r="AM29" i="50"/>
  <c r="BA32" i="50"/>
  <c r="AW32" i="50" s="1"/>
  <c r="AM32" i="50"/>
  <c r="AM26" i="50"/>
  <c r="AO9" i="50"/>
  <c r="BA9" i="50"/>
  <c r="AW9" i="50" s="1"/>
  <c r="AM17" i="50"/>
  <c r="BA26" i="50"/>
  <c r="AW26" i="50" s="1"/>
  <c r="AM38" i="50"/>
  <c r="AL4" i="50"/>
  <c r="AX25" i="50"/>
  <c r="AT25" i="50" s="1"/>
  <c r="AM35" i="50"/>
  <c r="AX7" i="50"/>
  <c r="AT7" i="50" s="1"/>
  <c r="AX35" i="50"/>
  <c r="AT35" i="50" s="1"/>
  <c r="AY26" i="50"/>
  <c r="AU26" i="50" s="1"/>
  <c r="AZ47" i="50"/>
  <c r="AV47" i="50" s="1"/>
  <c r="BA23" i="50"/>
  <c r="AW23" i="50" s="1"/>
  <c r="AX23" i="50"/>
  <c r="AT23" i="50" s="1"/>
  <c r="AM23" i="50"/>
  <c r="AO7" i="50"/>
  <c r="AM7" i="50"/>
  <c r="AO34" i="50"/>
  <c r="AO32" i="50"/>
  <c r="AO38" i="50"/>
  <c r="AO37" i="50"/>
  <c r="AO39" i="50"/>
  <c r="AO36" i="50"/>
  <c r="AO30" i="50"/>
  <c r="AO35" i="50"/>
  <c r="Y10" i="50"/>
  <c r="Y11" i="50" s="1"/>
  <c r="Y12" i="50" s="1"/>
  <c r="AZ17" i="50"/>
  <c r="AV17" i="50" s="1"/>
  <c r="BA17" i="50"/>
  <c r="AW17" i="50" s="1"/>
  <c r="AO12" i="50"/>
  <c r="AO23" i="50"/>
  <c r="AM9" i="50"/>
  <c r="BA15" i="50"/>
  <c r="AW15" i="50" s="1"/>
  <c r="AZ30" i="50"/>
  <c r="AV30" i="50" s="1"/>
  <c r="BA30" i="50"/>
  <c r="AW30" i="50" s="1"/>
  <c r="AY47" i="50"/>
  <c r="AU47" i="50" s="1"/>
  <c r="AO47" i="50"/>
  <c r="AO17" i="50"/>
  <c r="AO25" i="50"/>
  <c r="AO26" i="50"/>
  <c r="AO21" i="50"/>
  <c r="AY30" i="50"/>
  <c r="AU30" i="50" s="1"/>
  <c r="AY15" i="50"/>
  <c r="AU15" i="50" s="1"/>
  <c r="AM47" i="50"/>
  <c r="AO24" i="50"/>
  <c r="AO22" i="50"/>
  <c r="AX30" i="50"/>
  <c r="AT30" i="50" s="1"/>
  <c r="AX47" i="50"/>
  <c r="AT47" i="50" s="1"/>
  <c r="AO28" i="50"/>
  <c r="AX14" i="50"/>
  <c r="AT14" i="50" s="1"/>
  <c r="AY14" i="50"/>
  <c r="AU14" i="50" s="1"/>
  <c r="AM14" i="50"/>
  <c r="AY16" i="50"/>
  <c r="AU16" i="50" s="1"/>
  <c r="AM16" i="50"/>
  <c r="BA16" i="50"/>
  <c r="AW16" i="50" s="1"/>
  <c r="AY41" i="50"/>
  <c r="AU41" i="50" s="1"/>
  <c r="AX41" i="50"/>
  <c r="AT41" i="50" s="1"/>
  <c r="AO41" i="50"/>
  <c r="BA41" i="50"/>
  <c r="AW41" i="50" s="1"/>
  <c r="AO14" i="50"/>
  <c r="AZ14" i="50"/>
  <c r="AV14" i="50" s="1"/>
  <c r="AZ16" i="50"/>
  <c r="AV16" i="50" s="1"/>
  <c r="AO16" i="50"/>
  <c r="AZ41" i="50"/>
  <c r="AV41" i="50" s="1"/>
  <c r="AX31" i="50"/>
  <c r="AT31" i="50" s="1"/>
  <c r="AM31" i="50"/>
  <c r="BA31" i="50"/>
  <c r="AW31" i="50" s="1"/>
  <c r="AZ31" i="50"/>
  <c r="AV31" i="50" s="1"/>
  <c r="AO31" i="50"/>
  <c r="AY31" i="50"/>
  <c r="AU31" i="50" s="1"/>
  <c r="AO15" i="50"/>
  <c r="AZ15" i="50"/>
  <c r="AV15" i="50" s="1"/>
  <c r="AM15" i="50"/>
  <c r="AO33" i="50"/>
  <c r="AZ33" i="50"/>
  <c r="AV33" i="50" s="1"/>
  <c r="AX33" i="50"/>
  <c r="AT33" i="50" s="1"/>
  <c r="BA33" i="50"/>
  <c r="AW33" i="50" s="1"/>
  <c r="AM33" i="50"/>
  <c r="AY33" i="50"/>
  <c r="AU33" i="50" s="1"/>
  <c r="AX18" i="50"/>
  <c r="AT18" i="50" s="1"/>
  <c r="AZ18" i="50"/>
  <c r="AV18" i="50" s="1"/>
  <c r="AO18" i="50"/>
  <c r="BA18" i="50"/>
  <c r="AW18" i="50" s="1"/>
  <c r="AY18" i="50"/>
  <c r="AU18" i="50" s="1"/>
  <c r="AM18" i="50"/>
  <c r="AZ27" i="50"/>
  <c r="AV27" i="50" s="1"/>
  <c r="AX27" i="50"/>
  <c r="AT27" i="50" s="1"/>
  <c r="BA27" i="50"/>
  <c r="AW27" i="50" s="1"/>
  <c r="AO27" i="50"/>
  <c r="AY27" i="50"/>
  <c r="AU27" i="50" s="1"/>
  <c r="AM27" i="50"/>
  <c r="BA19" i="50"/>
  <c r="AW19" i="50" s="1"/>
  <c r="AZ19" i="50"/>
  <c r="AV19" i="50" s="1"/>
  <c r="AM19" i="50"/>
  <c r="AO19" i="50"/>
  <c r="AY19" i="50"/>
  <c r="AU19" i="50" s="1"/>
  <c r="AX19" i="50"/>
  <c r="AT19" i="50" s="1"/>
  <c r="AO20" i="50"/>
  <c r="AM20" i="50"/>
  <c r="AY20" i="50"/>
  <c r="AU20" i="50" s="1"/>
  <c r="AZ20" i="50"/>
  <c r="AV20" i="50" s="1"/>
  <c r="AX20" i="50"/>
  <c r="AT20" i="50" s="1"/>
  <c r="BA20" i="50"/>
  <c r="AW20" i="50" s="1"/>
  <c r="AZ40" i="50"/>
  <c r="AV40" i="50" s="1"/>
  <c r="AM40" i="50"/>
  <c r="AO40" i="50"/>
  <c r="AY40" i="50"/>
  <c r="AU40" i="50" s="1"/>
  <c r="AX40" i="50"/>
  <c r="AT40" i="50" s="1"/>
  <c r="BA40" i="50"/>
  <c r="AW40" i="50" s="1"/>
  <c r="BA46" i="50"/>
  <c r="AW46" i="50" s="1"/>
  <c r="AY46" i="50"/>
  <c r="AU46" i="50" s="1"/>
  <c r="AM46" i="50"/>
  <c r="AX46" i="50"/>
  <c r="AT46" i="50" s="1"/>
  <c r="AZ46" i="50"/>
  <c r="AV46" i="50" s="1"/>
  <c r="AO46" i="50"/>
  <c r="BO31" i="51" l="1"/>
  <c r="BO32" i="51"/>
  <c r="R6" i="51"/>
  <c r="R5" i="51"/>
  <c r="R4" i="51"/>
  <c r="R8" i="51"/>
  <c r="R9" i="51"/>
  <c r="R7" i="51"/>
  <c r="AN4" i="50"/>
  <c r="AN6" i="50"/>
  <c r="AM45" i="50"/>
  <c r="AM6" i="50" s="1"/>
  <c r="AM4" i="50" s="1"/>
  <c r="AL5" i="50" s="1"/>
  <c r="AO45" i="50"/>
  <c r="AY45" i="50"/>
  <c r="AU45" i="50" s="1"/>
  <c r="BA45" i="50"/>
  <c r="AW45" i="50" s="1"/>
  <c r="AX45" i="50"/>
  <c r="AT45" i="50" s="1"/>
  <c r="O49" i="57"/>
  <c r="O42" i="57" s="1"/>
  <c r="AC17" i="51"/>
  <c r="AC15" i="51"/>
  <c r="AC13" i="51"/>
  <c r="AC4" i="51"/>
  <c r="T21" i="51"/>
  <c r="T12" i="51"/>
  <c r="T36" i="51"/>
  <c r="AC11" i="51"/>
  <c r="T34" i="51"/>
  <c r="Y13" i="50"/>
  <c r="AN5" i="50" l="1"/>
  <c r="Z47" i="50"/>
  <c r="Z42" i="50"/>
  <c r="Z45" i="50"/>
  <c r="Z43" i="50"/>
  <c r="Z44" i="50"/>
  <c r="Z34" i="50"/>
  <c r="AK38" i="51"/>
  <c r="AK27" i="51" s="1"/>
  <c r="V5" i="50"/>
  <c r="F57" i="44"/>
  <c r="C42" i="69"/>
  <c r="A33" i="32"/>
  <c r="B12" i="52"/>
  <c r="K61" i="52" s="1"/>
  <c r="Z33" i="50"/>
  <c r="Z36" i="50"/>
  <c r="Z38" i="50"/>
  <c r="Z39" i="50"/>
  <c r="Z41" i="50"/>
  <c r="Z37" i="50"/>
  <c r="Z32" i="50"/>
  <c r="Z35" i="50"/>
  <c r="Z40" i="50"/>
  <c r="Z46" i="50"/>
  <c r="AM5" i="50"/>
  <c r="Z28" i="50" s="1"/>
  <c r="Y14" i="50"/>
  <c r="Z7" i="50" l="1"/>
  <c r="AA7" i="50" s="1"/>
  <c r="AB7" i="50" s="1"/>
  <c r="Z31" i="50"/>
  <c r="Z30" i="50"/>
  <c r="Z8" i="50"/>
  <c r="AA8" i="50" s="1"/>
  <c r="AB8" i="50" s="1"/>
  <c r="Z26" i="50"/>
  <c r="J61" i="52"/>
  <c r="Z24" i="50"/>
  <c r="Z25" i="50"/>
  <c r="Z22" i="50"/>
  <c r="Z15" i="50"/>
  <c r="Z18" i="50"/>
  <c r="Z16" i="50"/>
  <c r="Z23" i="50"/>
  <c r="Z21" i="50"/>
  <c r="Z20" i="50"/>
  <c r="Z14" i="50"/>
  <c r="AA14" i="50" s="1"/>
  <c r="AB14" i="50" s="1"/>
  <c r="Z19" i="50"/>
  <c r="Z27" i="50"/>
  <c r="Z13" i="50"/>
  <c r="AA13" i="50" s="1"/>
  <c r="AB13" i="50" s="1"/>
  <c r="Z29" i="50"/>
  <c r="Z12" i="50"/>
  <c r="AA12" i="50" s="1"/>
  <c r="AB12" i="50" s="1"/>
  <c r="Z9" i="50"/>
  <c r="AA9" i="50" s="1"/>
  <c r="AB9" i="50" s="1"/>
  <c r="Y15" i="50"/>
  <c r="Y16" i="50" s="1"/>
  <c r="Y17" i="50" s="1"/>
  <c r="Z11" i="50"/>
  <c r="AA11" i="50" s="1"/>
  <c r="AB11" i="50" s="1"/>
  <c r="Z10" i="50"/>
  <c r="Z17" i="50"/>
  <c r="AA15" i="50" l="1"/>
  <c r="AB15" i="50" s="1"/>
  <c r="AA16" i="50"/>
  <c r="AB16" i="50" s="1"/>
  <c r="AA10" i="50"/>
  <c r="Z4" i="50"/>
  <c r="Y18" i="50"/>
  <c r="AA18" i="50" s="1"/>
  <c r="AB18" i="50" s="1"/>
  <c r="AA17" i="50"/>
  <c r="AB17" i="50" s="1"/>
  <c r="Y19" i="50" l="1"/>
  <c r="AB10" i="50"/>
  <c r="AA19" i="50" l="1"/>
  <c r="Y20" i="50"/>
  <c r="AB19" i="50" l="1"/>
  <c r="AA20" i="50"/>
  <c r="AB20" i="50" s="1"/>
  <c r="Y21" i="50"/>
  <c r="AA21" i="50" l="1"/>
  <c r="Y22" i="50"/>
  <c r="AA22" i="50" l="1"/>
  <c r="AB22" i="50" s="1"/>
  <c r="Y23" i="50"/>
  <c r="AB21" i="50"/>
  <c r="AA23" i="50" l="1"/>
  <c r="Y24" i="50"/>
  <c r="AA24" i="50" l="1"/>
  <c r="AB24" i="50" s="1"/>
  <c r="Y25" i="50"/>
  <c r="AB23" i="50"/>
  <c r="AA25" i="50" l="1"/>
  <c r="Y26" i="50"/>
  <c r="AA26" i="50" l="1"/>
  <c r="AB26" i="50" s="1"/>
  <c r="Y27" i="50"/>
  <c r="AB25" i="50"/>
  <c r="AA27" i="50" l="1"/>
  <c r="AB27" i="50" s="1"/>
  <c r="Y28" i="50"/>
  <c r="AA28" i="50" l="1"/>
  <c r="AB28" i="50" s="1"/>
  <c r="Y29" i="50"/>
  <c r="Y30" i="50" l="1"/>
  <c r="AA29" i="50"/>
  <c r="AB29" i="50" l="1"/>
  <c r="Y31" i="50"/>
  <c r="AA30" i="50"/>
  <c r="AB30" i="50" s="1"/>
  <c r="AA31" i="50" l="1"/>
  <c r="AB31" i="50" s="1"/>
  <c r="Y32" i="50"/>
  <c r="AA32" i="50" l="1"/>
  <c r="Y33" i="50"/>
  <c r="Y34" i="50" s="1"/>
  <c r="AA34" i="50" s="1"/>
  <c r="AB34" i="50" s="1"/>
  <c r="AA33" i="50" l="1"/>
  <c r="AB33" i="50" s="1"/>
  <c r="Y35" i="50"/>
  <c r="AB32" i="50"/>
  <c r="Y36" i="50" l="1"/>
  <c r="AA35" i="50"/>
  <c r="AB35" i="50" l="1"/>
  <c r="AA36" i="50"/>
  <c r="AB36" i="50" s="1"/>
  <c r="Y37" i="50"/>
  <c r="AA37" i="50" l="1"/>
  <c r="AB37" i="50" s="1"/>
  <c r="Y38" i="50"/>
  <c r="AA38" i="50" l="1"/>
  <c r="AB38" i="50" s="1"/>
  <c r="Y39" i="50"/>
  <c r="Y40" i="50" l="1"/>
  <c r="AA39" i="50"/>
  <c r="AB39" i="50" s="1"/>
  <c r="Y41" i="50" l="1"/>
  <c r="Y42" i="50" s="1"/>
  <c r="AA40" i="50"/>
  <c r="AB40" i="50" s="1"/>
  <c r="Y43" i="50" l="1"/>
  <c r="AA42" i="50"/>
  <c r="AB42" i="50" s="1"/>
  <c r="AA41" i="50"/>
  <c r="AB41" i="50" s="1"/>
  <c r="Y46" i="50"/>
  <c r="AA43" i="50" l="1"/>
  <c r="AB43" i="50" s="1"/>
  <c r="Y44" i="50"/>
  <c r="AA46" i="50"/>
  <c r="AB46" i="50" s="1"/>
  <c r="Y47" i="50"/>
  <c r="AA47" i="50" s="1"/>
  <c r="AA44" i="50" l="1"/>
  <c r="AB44" i="50" s="1"/>
  <c r="Y45" i="50"/>
  <c r="AA45" i="50" s="1"/>
  <c r="AB45" i="50" s="1"/>
  <c r="AB47" i="50"/>
  <c r="AA4" i="50" l="1"/>
  <c r="AB4" i="50"/>
  <c r="A41" i="51" l="1"/>
  <c r="A37" i="57"/>
  <c r="H59" i="71"/>
  <c r="C55" i="71" s="1"/>
  <c r="B3" i="37"/>
  <c r="B7" i="37" s="1"/>
  <c r="B8" i="37" s="1"/>
  <c r="C55" i="44" l="1"/>
  <c r="E8" i="37"/>
  <c r="D4" i="38"/>
  <c r="C4" i="38"/>
  <c r="E4" i="38"/>
  <c r="E5" i="38" l="1"/>
  <c r="E6" i="38" s="1"/>
  <c r="E7" i="38" s="1"/>
  <c r="E8" i="38" s="1"/>
  <c r="E9" i="38" s="1"/>
  <c r="E10" i="38" s="1"/>
  <c r="E11" i="38" s="1"/>
  <c r="E12" i="38" s="1"/>
  <c r="E13" i="38" s="1"/>
  <c r="E14" i="38" s="1"/>
  <c r="E15" i="38" s="1"/>
  <c r="E16" i="38" s="1"/>
  <c r="E17" i="38" s="1"/>
  <c r="E18" i="38" s="1"/>
  <c r="E19" i="38" s="1"/>
  <c r="E20" i="38" s="1"/>
  <c r="E21" i="38" s="1"/>
  <c r="E22" i="38" s="1"/>
  <c r="E23" i="38" s="1"/>
  <c r="E24" i="38" s="1"/>
  <c r="E25" i="38" s="1"/>
  <c r="E26" i="38" s="1"/>
  <c r="E27" i="38" s="1"/>
  <c r="E28" i="38" s="1"/>
  <c r="E29" i="38" s="1"/>
  <c r="E30" i="38" s="1"/>
  <c r="E31" i="38" s="1"/>
  <c r="E32" i="38" s="1"/>
  <c r="C5" i="38"/>
  <c r="C6" i="38" s="1"/>
  <c r="C7" i="38" s="1"/>
  <c r="C8" i="38" s="1"/>
  <c r="C9" i="38" s="1"/>
  <c r="C10" i="38" s="1"/>
  <c r="C11" i="38" s="1"/>
  <c r="C12" i="38" s="1"/>
  <c r="C13" i="38" s="1"/>
  <c r="C14" i="38" s="1"/>
  <c r="C15" i="38" s="1"/>
  <c r="C16" i="38" s="1"/>
  <c r="C17" i="38" s="1"/>
  <c r="C18" i="38" s="1"/>
  <c r="C19" i="38" s="1"/>
  <c r="C20" i="38" s="1"/>
  <c r="C21" i="38" s="1"/>
  <c r="C22" i="38" s="1"/>
  <c r="C23" i="38" s="1"/>
  <c r="C24" i="38" s="1"/>
  <c r="C25" i="38" s="1"/>
  <c r="C26" i="38" s="1"/>
  <c r="C27" i="38" s="1"/>
  <c r="C28" i="38" s="1"/>
  <c r="C29" i="38" s="1"/>
  <c r="C30" i="38" s="1"/>
  <c r="C31" i="38" s="1"/>
  <c r="C32" i="38" s="1"/>
  <c r="C33"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K4" i="38"/>
  <c r="D33" i="38" l="1"/>
  <c r="E33" i="38"/>
  <c r="G4" i="38"/>
  <c r="K5" i="38"/>
  <c r="K6" i="38" s="1"/>
  <c r="K7" i="38" s="1"/>
  <c r="K8" i="38" s="1"/>
  <c r="K9" i="38" s="1"/>
  <c r="K10" i="38" s="1"/>
  <c r="K11" i="38" s="1"/>
  <c r="K12" i="38" s="1"/>
  <c r="K13" i="38" s="1"/>
  <c r="K14" i="38" s="1"/>
  <c r="K15" i="38" s="1"/>
  <c r="K16" i="38" s="1"/>
  <c r="K17" i="38" s="1"/>
  <c r="K18" i="38" s="1"/>
  <c r="K19" i="38" s="1"/>
  <c r="G5" i="38" l="1"/>
  <c r="G6" i="38" s="1"/>
  <c r="G7" i="38" s="1"/>
  <c r="G8" i="38" s="1"/>
  <c r="G9" i="38" s="1"/>
  <c r="G10" i="38" s="1"/>
  <c r="G11" i="38" s="1"/>
  <c r="G12" i="38" s="1"/>
  <c r="G13" i="38" s="1"/>
  <c r="G14" i="38" s="1"/>
  <c r="G15" i="38" s="1"/>
  <c r="G16" i="38" s="1"/>
  <c r="G17" i="38" s="1"/>
  <c r="G18" i="38" s="1"/>
  <c r="G19" i="38" s="1"/>
  <c r="G20" i="38" s="1"/>
  <c r="G21" i="38" s="1"/>
  <c r="G22" i="38" s="1"/>
  <c r="G23" i="38" s="1"/>
  <c r="G24" i="38" s="1"/>
  <c r="G25" i="38" s="1"/>
  <c r="G26" i="38" s="1"/>
  <c r="G27" i="38" s="1"/>
  <c r="G28" i="38" s="1"/>
  <c r="G29" i="38" s="1"/>
  <c r="G30" i="38" s="1"/>
  <c r="G31" i="38" s="1"/>
  <c r="G32" i="38" s="1"/>
  <c r="K20" i="38"/>
  <c r="K21" i="38" s="1"/>
  <c r="K22" i="38" s="1"/>
  <c r="K23" i="38" s="1"/>
  <c r="K24" i="38" s="1"/>
  <c r="K25" i="38" s="1"/>
  <c r="K26" i="38" s="1"/>
  <c r="K27" i="38" s="1"/>
  <c r="K28" i="38" s="1"/>
  <c r="K29" i="38" s="1"/>
  <c r="K30" i="38" s="1"/>
  <c r="K31" i="38" s="1"/>
  <c r="K32" i="38" s="1"/>
  <c r="K33" i="38" l="1"/>
  <c r="G33" i="38"/>
  <c r="O4" i="38"/>
  <c r="O5" i="38" l="1"/>
  <c r="O6" i="38" s="1"/>
  <c r="O7" i="38" s="1"/>
  <c r="O8" i="38" s="1"/>
  <c r="O9" i="38" s="1"/>
  <c r="O10" i="38" s="1"/>
  <c r="O11" i="38" s="1"/>
  <c r="O12" i="38" s="1"/>
  <c r="O13" i="38" s="1"/>
  <c r="O14" i="38" s="1"/>
  <c r="O15" i="38" s="1"/>
  <c r="O16" i="38" s="1"/>
  <c r="O17" i="38" s="1"/>
  <c r="O18" i="38" s="1"/>
  <c r="O19" i="38" s="1"/>
  <c r="O20" i="38" s="1"/>
  <c r="O21" i="38" s="1"/>
  <c r="O22" i="38" s="1"/>
  <c r="O23" i="38" s="1"/>
  <c r="O24" i="38" s="1"/>
  <c r="O25" i="38" s="1"/>
  <c r="O26" i="38" s="1"/>
  <c r="O27" i="38" s="1"/>
  <c r="O28" i="38" s="1"/>
  <c r="O29" i="38" s="1"/>
  <c r="O30" i="38" s="1"/>
  <c r="O31" i="38" s="1"/>
  <c r="O32" i="38" s="1"/>
  <c r="O33" i="38" l="1"/>
  <c r="C34" i="38" s="1"/>
  <c r="C8" i="37" l="1"/>
  <c r="D8" i="37" s="1"/>
  <c r="B9" i="37" s="1"/>
  <c r="L4" i="38" l="1"/>
  <c r="L5" i="38" s="1"/>
  <c r="L6" i="38" s="1"/>
  <c r="L7" i="38" s="1"/>
  <c r="L8" i="38" s="1"/>
  <c r="L9" i="38" s="1"/>
  <c r="L10" i="38" s="1"/>
  <c r="L11" i="38" s="1"/>
  <c r="L12" i="38" s="1"/>
  <c r="L13" i="38" s="1"/>
  <c r="L14" i="38" s="1"/>
  <c r="L15" i="38" s="1"/>
  <c r="L16" i="38" s="1"/>
  <c r="L17" i="38" s="1"/>
  <c r="L18" i="38" s="1"/>
  <c r="L19" i="38" s="1"/>
  <c r="L20" i="38" s="1"/>
  <c r="L21" i="38" s="1"/>
  <c r="L22" i="38" s="1"/>
  <c r="L23" i="38" s="1"/>
  <c r="L24" i="38" s="1"/>
  <c r="L25" i="38" s="1"/>
  <c r="L26" i="38" s="1"/>
  <c r="L27" i="38" s="1"/>
  <c r="L28" i="38" s="1"/>
  <c r="L29" i="38" s="1"/>
  <c r="L30" i="38" s="1"/>
  <c r="L31" i="38" s="1"/>
  <c r="L32" i="38" s="1"/>
  <c r="P4" i="38"/>
  <c r="P5" i="38" s="1"/>
  <c r="P6" i="38" s="1"/>
  <c r="P7" i="38" s="1"/>
  <c r="P8" i="38" s="1"/>
  <c r="P9" i="38" s="1"/>
  <c r="P10" i="38" s="1"/>
  <c r="P11" i="38" s="1"/>
  <c r="P12" i="38" s="1"/>
  <c r="P13" i="38" s="1"/>
  <c r="P14" i="38" s="1"/>
  <c r="P15" i="38" s="1"/>
  <c r="P16" i="38" s="1"/>
  <c r="P17" i="38" s="1"/>
  <c r="P18" i="38" s="1"/>
  <c r="P19" i="38" s="1"/>
  <c r="P20" i="38" s="1"/>
  <c r="P21" i="38" s="1"/>
  <c r="P22" i="38" s="1"/>
  <c r="P23" i="38" s="1"/>
  <c r="P24" i="38" s="1"/>
  <c r="P25" i="38" s="1"/>
  <c r="P26" i="38" s="1"/>
  <c r="P27" i="38" s="1"/>
  <c r="P28" i="38" s="1"/>
  <c r="P29" i="38" s="1"/>
  <c r="P30" i="38" s="1"/>
  <c r="P31" i="38" s="1"/>
  <c r="P32" i="38" s="1"/>
  <c r="H4" i="38"/>
  <c r="H5" i="38" s="1"/>
  <c r="H6" i="38" s="1"/>
  <c r="H7" i="38" s="1"/>
  <c r="H8" i="38" s="1"/>
  <c r="H9" i="38" s="1"/>
  <c r="H10" i="38" s="1"/>
  <c r="H11" i="38" s="1"/>
  <c r="H12" i="38" s="1"/>
  <c r="H13" i="38" s="1"/>
  <c r="H14" i="38" s="1"/>
  <c r="H15" i="38" s="1"/>
  <c r="H16" i="38" s="1"/>
  <c r="H17" i="38" s="1"/>
  <c r="H18" i="38" s="1"/>
  <c r="H19" i="38" s="1"/>
  <c r="H20" i="38" s="1"/>
  <c r="H21" i="38" s="1"/>
  <c r="H22" i="38" s="1"/>
  <c r="H23" i="38" s="1"/>
  <c r="H24" i="38" s="1"/>
  <c r="H25" i="38" s="1"/>
  <c r="H26" i="38" s="1"/>
  <c r="H27" i="38" s="1"/>
  <c r="H28" i="38" s="1"/>
  <c r="H29" i="38" s="1"/>
  <c r="H30" i="38" s="1"/>
  <c r="H31" i="38" s="1"/>
  <c r="H32" i="38" s="1"/>
  <c r="L33" i="38" l="1"/>
  <c r="P33" i="38"/>
  <c r="H33" i="38"/>
  <c r="C35" i="38" l="1"/>
  <c r="C9" i="37" s="1"/>
  <c r="D9" i="37" s="1"/>
  <c r="B10" i="37" s="1"/>
  <c r="M4" i="38" l="1"/>
  <c r="I4" i="38"/>
  <c r="I5" i="38" s="1"/>
  <c r="I6" i="38" s="1"/>
  <c r="I7" i="38" s="1"/>
  <c r="I8" i="38" s="1"/>
  <c r="I9" i="38" s="1"/>
  <c r="I10" i="38" s="1"/>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Q4" i="38"/>
  <c r="Q5" i="38" s="1"/>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M5" i="38" l="1"/>
  <c r="M6" i="38" s="1"/>
  <c r="M7" i="38" s="1"/>
  <c r="M8" i="38" s="1"/>
  <c r="M9" i="38" s="1"/>
  <c r="M10" i="38" s="1"/>
  <c r="M11" i="38" s="1"/>
  <c r="M12" i="38" s="1"/>
  <c r="M13" i="38" s="1"/>
  <c r="M14" i="38" s="1"/>
  <c r="M15" i="38" s="1"/>
  <c r="M16" i="38" s="1"/>
  <c r="M17" i="38" s="1"/>
  <c r="M18" i="38" s="1"/>
  <c r="M19" i="38" s="1"/>
  <c r="M20" i="38" s="1"/>
  <c r="M21" i="38" s="1"/>
  <c r="M22" i="38" s="1"/>
  <c r="M23" i="38" s="1"/>
  <c r="M24" i="38" s="1"/>
  <c r="M25" i="38" s="1"/>
  <c r="M26" i="38" s="1"/>
  <c r="M27" i="38" s="1"/>
  <c r="M28" i="38" s="1"/>
  <c r="M29" i="38" s="1"/>
  <c r="M30" i="38" s="1"/>
  <c r="M31" i="38" s="1"/>
  <c r="M32" i="38" s="1"/>
  <c r="I33" i="38"/>
  <c r="Q33" i="38"/>
  <c r="M33" i="38" l="1"/>
  <c r="C36" i="38" s="1"/>
  <c r="C10" i="37" s="1"/>
  <c r="D10" i="37" s="1"/>
  <c r="B11" i="37" s="1"/>
  <c r="E11" i="37" s="1"/>
  <c r="F11" i="37" l="1"/>
  <c r="B12" i="37" s="1"/>
  <c r="F12" i="37" l="1"/>
  <c r="B13" i="37"/>
  <c r="E41" i="51" s="1"/>
  <c r="E4" i="71"/>
  <c r="E4" i="44" s="1"/>
  <c r="E12" i="37"/>
  <c r="H60" i="71" l="1"/>
  <c r="C6" i="32"/>
  <c r="O37" i="57" s="1"/>
  <c r="D10" i="69"/>
  <c r="H61" i="71"/>
  <c r="H62" i="71" s="1"/>
  <c r="F56" i="71" s="1"/>
  <c r="F56" i="44" s="1"/>
  <c r="E37" i="57"/>
  <c r="V4" i="50" l="1"/>
  <c r="O41" i="51"/>
  <c r="E10" i="52"/>
  <c r="C56" i="71"/>
  <c r="C56" i="44" s="1"/>
  <c r="F10" i="69"/>
  <c r="F41" i="69"/>
  <c r="C3" i="69" s="1"/>
  <c r="C4" i="69" s="1"/>
  <c r="AZ8" i="50"/>
  <c r="AV8" i="50" s="1"/>
  <c r="AX8" i="50"/>
  <c r="AB3" i="50" l="1"/>
  <c r="BB7" i="50"/>
  <c r="BC7" i="50" s="1"/>
  <c r="BD7" i="50" s="1"/>
  <c r="BE7" i="50" s="1"/>
  <c r="BF7" i="50" s="1"/>
  <c r="BG7" i="50" s="1"/>
  <c r="BH7" i="50" s="1"/>
  <c r="BI7" i="50" s="1"/>
  <c r="BJ7" i="50" s="1"/>
  <c r="BK7" i="50" s="1"/>
  <c r="BL7" i="50" s="1"/>
  <c r="BM7" i="50" s="1"/>
  <c r="BN7" i="50" s="1"/>
  <c r="BO7" i="50" s="1"/>
  <c r="BP7" i="50" s="1"/>
  <c r="BQ7" i="50" s="1"/>
  <c r="BR7" i="50" s="1"/>
  <c r="BS7" i="50" s="1"/>
  <c r="BT7" i="50" s="1"/>
  <c r="BU7" i="50" s="1"/>
  <c r="BV7" i="50" s="1"/>
  <c r="BW7" i="50" s="1"/>
  <c r="BX7" i="50" s="1"/>
  <c r="BY7" i="50" s="1"/>
  <c r="BZ7" i="50" s="1"/>
  <c r="CA7" i="50" s="1"/>
  <c r="CB7" i="50" s="1"/>
  <c r="CC7" i="50" s="1"/>
  <c r="CD7" i="50" s="1"/>
  <c r="CE7" i="50" s="1"/>
  <c r="CF7" i="50" s="1"/>
  <c r="CG7" i="50" s="1"/>
  <c r="CH7" i="50" s="1"/>
  <c r="CI7" i="50" s="1"/>
  <c r="CJ7" i="50" s="1"/>
  <c r="CK7" i="50" s="1"/>
  <c r="CL7" i="50" s="1"/>
  <c r="CM7" i="50" s="1"/>
  <c r="CN7" i="50" s="1"/>
  <c r="CO7" i="50" s="1"/>
  <c r="CP7" i="50" s="1"/>
  <c r="CQ7" i="50" s="1"/>
  <c r="CR7" i="50" s="1"/>
  <c r="CS7" i="50" s="1"/>
  <c r="CT7" i="50" s="1"/>
  <c r="CU7" i="50" s="1"/>
  <c r="CV7" i="50" s="1"/>
  <c r="CW7" i="50" s="1"/>
  <c r="CX7" i="50" s="1"/>
  <c r="CY7" i="50" s="1"/>
  <c r="C5" i="69"/>
  <c r="E5" i="69" s="1"/>
  <c r="G5" i="69" s="1"/>
  <c r="G7" i="69" s="1"/>
  <c r="C6" i="69"/>
  <c r="E6" i="69" s="1"/>
  <c r="G6" i="69" s="1"/>
  <c r="G8" i="69" s="1"/>
  <c r="AT8" i="50"/>
  <c r="DA7" i="50" l="1"/>
  <c r="DB7" i="50" s="1"/>
  <c r="DC7" i="50" s="1"/>
  <c r="DD7" i="50" s="1"/>
  <c r="DE7" i="50" s="1"/>
  <c r="DF7" i="50" s="1"/>
  <c r="DG7" i="50" s="1"/>
  <c r="DH7" i="50" s="1"/>
  <c r="DI7" i="50" s="1"/>
  <c r="DJ7" i="50" s="1"/>
  <c r="DK7" i="50" s="1"/>
  <c r="DL7" i="50" s="1"/>
  <c r="DM7" i="50" s="1"/>
  <c r="DN7" i="50" s="1"/>
  <c r="DO7" i="50" s="1"/>
  <c r="DP7" i="50" s="1"/>
  <c r="CZ7" i="50"/>
  <c r="B7" i="50" s="1"/>
  <c r="AY9" i="50"/>
  <c r="I7" i="50" l="1"/>
  <c r="D8" i="50" s="1"/>
  <c r="DQ7" i="50"/>
  <c r="BB8" i="50" s="1"/>
  <c r="BC8" i="50" s="1"/>
  <c r="BD8" i="50" s="1"/>
  <c r="BE8" i="50" s="1"/>
  <c r="BF8" i="50" s="1"/>
  <c r="BG8" i="50" s="1"/>
  <c r="BH8" i="50" s="1"/>
  <c r="BI8" i="50" s="1"/>
  <c r="BJ8" i="50" s="1"/>
  <c r="BK8" i="50" s="1"/>
  <c r="BL8" i="50" s="1"/>
  <c r="BM8" i="50" s="1"/>
  <c r="BN8" i="50" s="1"/>
  <c r="BO8" i="50" s="1"/>
  <c r="BP8" i="50" s="1"/>
  <c r="BQ8" i="50" s="1"/>
  <c r="AY8" i="50"/>
  <c r="AU8" i="50" s="1"/>
  <c r="AU9" i="50"/>
  <c r="DS7" i="50" l="1"/>
  <c r="DU7" i="50" s="1"/>
  <c r="DW7" i="50" s="1"/>
  <c r="DX7" i="50" s="1"/>
  <c r="S7" i="50" s="1"/>
  <c r="T7" i="50" s="1"/>
  <c r="BR8" i="50"/>
  <c r="BS8" i="50" s="1"/>
  <c r="BT8" i="50" s="1"/>
  <c r="BU8" i="50" s="1"/>
  <c r="BV8" i="50" s="1"/>
  <c r="BW8" i="50" s="1"/>
  <c r="BX8" i="50" s="1"/>
  <c r="BY8" i="50" s="1"/>
  <c r="BZ8" i="50" s="1"/>
  <c r="CA8" i="50" s="1"/>
  <c r="CB8" i="50" s="1"/>
  <c r="CC8" i="50" s="1"/>
  <c r="CD8" i="50" s="1"/>
  <c r="CE8" i="50" s="1"/>
  <c r="CF8" i="50" s="1"/>
  <c r="CG8" i="50" s="1"/>
  <c r="CH8" i="50" s="1"/>
  <c r="CI8" i="50" s="1"/>
  <c r="CJ8" i="50" s="1"/>
  <c r="CK8" i="50" s="1"/>
  <c r="CL8" i="50" s="1"/>
  <c r="CM8" i="50" s="1"/>
  <c r="CN8" i="50" s="1"/>
  <c r="CO8" i="50" s="1"/>
  <c r="CP8" i="50" s="1"/>
  <c r="CQ8" i="50" s="1"/>
  <c r="CR8" i="50" s="1"/>
  <c r="CS8" i="50" s="1"/>
  <c r="CT8" i="50" s="1"/>
  <c r="CU8" i="50" s="1"/>
  <c r="CV8" i="50" s="1"/>
  <c r="CW8" i="50" s="1"/>
  <c r="CX8" i="50" s="1"/>
  <c r="CY8" i="50" s="1"/>
  <c r="DA8" i="50" s="1"/>
  <c r="DB8" i="50" s="1"/>
  <c r="DC8" i="50" s="1"/>
  <c r="DD8" i="50" s="1"/>
  <c r="DE8" i="50" s="1"/>
  <c r="DF8" i="50" s="1"/>
  <c r="DG8" i="50" s="1"/>
  <c r="DH8" i="50" s="1"/>
  <c r="DI8" i="50" s="1"/>
  <c r="DJ8" i="50" s="1"/>
  <c r="DK8" i="50" s="1"/>
  <c r="DL8" i="50" s="1"/>
  <c r="DM8" i="50" s="1"/>
  <c r="DN8" i="50" s="1"/>
  <c r="DO8" i="50" s="1"/>
  <c r="DP8" i="50" s="1"/>
  <c r="AX9" i="50"/>
  <c r="AT9" i="50" s="1"/>
  <c r="AT6" i="50" s="1"/>
  <c r="AZ9" i="50"/>
  <c r="AV9" i="50" s="1"/>
  <c r="BA10" i="50"/>
  <c r="AW10" i="50" s="1"/>
  <c r="DT7" i="50" l="1"/>
  <c r="AX6" i="50"/>
  <c r="AP46" i="50" s="1"/>
  <c r="I8" i="50"/>
  <c r="DS8" i="50" s="1"/>
  <c r="DU8" i="50" s="1"/>
  <c r="DW8" i="50" s="1"/>
  <c r="DX8" i="50" s="1"/>
  <c r="S8" i="50" s="1"/>
  <c r="T8" i="50" s="1"/>
  <c r="DQ8" i="50"/>
  <c r="CZ8" i="50"/>
  <c r="B8" i="50" s="1"/>
  <c r="AZ10" i="50"/>
  <c r="AV10" i="50" s="1"/>
  <c r="AP8" i="50" l="1"/>
  <c r="AP7" i="50"/>
  <c r="AP47" i="50"/>
  <c r="DT8" i="50"/>
  <c r="D9" i="50"/>
  <c r="BB9" i="50"/>
  <c r="BC9" i="50" s="1"/>
  <c r="BD9" i="50" s="1"/>
  <c r="BE9" i="50" s="1"/>
  <c r="BF9" i="50" s="1"/>
  <c r="BG9" i="50" s="1"/>
  <c r="BH9" i="50" s="1"/>
  <c r="BI9" i="50" s="1"/>
  <c r="BJ9" i="50" s="1"/>
  <c r="BK9" i="50" s="1"/>
  <c r="BL9" i="50" s="1"/>
  <c r="BM9" i="50" s="1"/>
  <c r="BN9" i="50" s="1"/>
  <c r="BO9" i="50" s="1"/>
  <c r="BP9" i="50" s="1"/>
  <c r="BQ9" i="50" s="1"/>
  <c r="BR9" i="50" s="1"/>
  <c r="BS9" i="50" s="1"/>
  <c r="BT9" i="50" s="1"/>
  <c r="BU9" i="50" s="1"/>
  <c r="BV9" i="50" s="1"/>
  <c r="BW9" i="50" s="1"/>
  <c r="BX9" i="50" s="1"/>
  <c r="BY9" i="50" s="1"/>
  <c r="BZ9" i="50" s="1"/>
  <c r="CA9" i="50" s="1"/>
  <c r="CB9" i="50" s="1"/>
  <c r="CC9" i="50" s="1"/>
  <c r="CD9" i="50" s="1"/>
  <c r="CE9" i="50" s="1"/>
  <c r="CF9" i="50" s="1"/>
  <c r="CG9" i="50" s="1"/>
  <c r="CH9" i="50" s="1"/>
  <c r="CI9" i="50" s="1"/>
  <c r="CJ9" i="50" s="1"/>
  <c r="CK9" i="50" s="1"/>
  <c r="CL9" i="50" s="1"/>
  <c r="CM9" i="50" s="1"/>
  <c r="CN9" i="50" s="1"/>
  <c r="CO9" i="50" s="1"/>
  <c r="CP9" i="50" s="1"/>
  <c r="CQ9" i="50" s="1"/>
  <c r="CR9" i="50" s="1"/>
  <c r="CS9" i="50" s="1"/>
  <c r="CT9" i="50" s="1"/>
  <c r="CU9" i="50" s="1"/>
  <c r="CV9" i="50" s="1"/>
  <c r="CW9" i="50" s="1"/>
  <c r="CX9" i="50" s="1"/>
  <c r="CY9" i="50" s="1"/>
  <c r="DA9" i="50" s="1"/>
  <c r="DB9" i="50" s="1"/>
  <c r="DC9" i="50" s="1"/>
  <c r="DD9" i="50" s="1"/>
  <c r="DE9" i="50" s="1"/>
  <c r="DF9" i="50" s="1"/>
  <c r="DG9" i="50" s="1"/>
  <c r="DH9" i="50" s="1"/>
  <c r="DI9" i="50" s="1"/>
  <c r="DJ9" i="50" s="1"/>
  <c r="DK9" i="50" s="1"/>
  <c r="DL9" i="50" s="1"/>
  <c r="DM9" i="50" s="1"/>
  <c r="DN9" i="50" s="1"/>
  <c r="DO9" i="50" s="1"/>
  <c r="DP9" i="50" s="1"/>
  <c r="AP9" i="50" l="1"/>
  <c r="CZ9" i="50"/>
  <c r="B9" i="50" s="1"/>
  <c r="I9" i="50"/>
  <c r="DQ9" i="50"/>
  <c r="BB10" i="50" s="1"/>
  <c r="BC10" i="50" s="1"/>
  <c r="BD10" i="50" s="1"/>
  <c r="BE10" i="50" s="1"/>
  <c r="BF10" i="50" s="1"/>
  <c r="BG10" i="50" s="1"/>
  <c r="BH10" i="50" s="1"/>
  <c r="BI10" i="50" s="1"/>
  <c r="BJ10" i="50" s="1"/>
  <c r="BK10" i="50" s="1"/>
  <c r="BL10" i="50" s="1"/>
  <c r="BM10" i="50" s="1"/>
  <c r="BN10" i="50" s="1"/>
  <c r="BO10" i="50" s="1"/>
  <c r="BP10" i="50" s="1"/>
  <c r="BQ10" i="50" s="1"/>
  <c r="DS9" i="50" l="1"/>
  <c r="D10" i="50"/>
  <c r="AY10" i="50" l="1"/>
  <c r="AP10" i="50"/>
  <c r="BR10" i="50"/>
  <c r="BS10" i="50" s="1"/>
  <c r="BT10" i="50" s="1"/>
  <c r="BU10" i="50" s="1"/>
  <c r="BV10" i="50" s="1"/>
  <c r="BW10" i="50" s="1"/>
  <c r="BX10" i="50" s="1"/>
  <c r="BY10" i="50" s="1"/>
  <c r="BZ10" i="50" s="1"/>
  <c r="CA10" i="50" s="1"/>
  <c r="CB10" i="50" s="1"/>
  <c r="CC10" i="50" s="1"/>
  <c r="CD10" i="50" s="1"/>
  <c r="CE10" i="50" s="1"/>
  <c r="CF10" i="50" s="1"/>
  <c r="CG10" i="50" s="1"/>
  <c r="CH10" i="50" s="1"/>
  <c r="CI10" i="50" s="1"/>
  <c r="CJ10" i="50" s="1"/>
  <c r="CK10" i="50" s="1"/>
  <c r="CL10" i="50" s="1"/>
  <c r="CM10" i="50" s="1"/>
  <c r="CN10" i="50" s="1"/>
  <c r="CO10" i="50" s="1"/>
  <c r="CP10" i="50" s="1"/>
  <c r="CQ10" i="50" s="1"/>
  <c r="CR10" i="50" s="1"/>
  <c r="CS10" i="50" s="1"/>
  <c r="CT10" i="50" s="1"/>
  <c r="CU10" i="50" s="1"/>
  <c r="CV10" i="50" s="1"/>
  <c r="CW10" i="50" s="1"/>
  <c r="CX10" i="50" s="1"/>
  <c r="CY10" i="50" s="1"/>
  <c r="CZ10" i="50" s="1"/>
  <c r="B10" i="50" s="1"/>
  <c r="DU9" i="50"/>
  <c r="DW9" i="50" s="1"/>
  <c r="DX9" i="50" s="1"/>
  <c r="S9" i="50" s="1"/>
  <c r="T9" i="50" s="1"/>
  <c r="DT9" i="50"/>
  <c r="DA10" i="50" l="1"/>
  <c r="DB10" i="50" s="1"/>
  <c r="DC10" i="50" s="1"/>
  <c r="DD10" i="50" s="1"/>
  <c r="DE10" i="50" s="1"/>
  <c r="DF10" i="50" s="1"/>
  <c r="DG10" i="50" s="1"/>
  <c r="DH10" i="50" s="1"/>
  <c r="DI10" i="50" s="1"/>
  <c r="DJ10" i="50" s="1"/>
  <c r="DK10" i="50" s="1"/>
  <c r="DL10" i="50" s="1"/>
  <c r="DM10" i="50" s="1"/>
  <c r="DN10" i="50" s="1"/>
  <c r="DO10" i="50" s="1"/>
  <c r="DP10" i="50" s="1"/>
  <c r="AU10" i="50"/>
  <c r="AU6" i="50" s="1"/>
  <c r="AY6" i="50"/>
  <c r="AQ10" i="50" l="1"/>
  <c r="AQ7" i="50"/>
  <c r="AQ8" i="50"/>
  <c r="AQ9" i="50"/>
  <c r="AQ46" i="50"/>
  <c r="AQ47" i="50"/>
  <c r="I10" i="50"/>
  <c r="DQ10" i="50"/>
  <c r="BB11" i="50" s="1"/>
  <c r="BC11" i="50" s="1"/>
  <c r="BD11" i="50" s="1"/>
  <c r="BE11" i="50" s="1"/>
  <c r="BF11" i="50" s="1"/>
  <c r="BG11" i="50" s="1"/>
  <c r="BH11" i="50" s="1"/>
  <c r="BI11" i="50" s="1"/>
  <c r="BJ11" i="50" s="1"/>
  <c r="BK11" i="50" s="1"/>
  <c r="BL11" i="50" s="1"/>
  <c r="BM11" i="50" s="1"/>
  <c r="BN11" i="50" s="1"/>
  <c r="BO11" i="50" s="1"/>
  <c r="BP11" i="50" s="1"/>
  <c r="BQ11" i="50" s="1"/>
  <c r="D11" i="50" l="1"/>
  <c r="DS10" i="50"/>
  <c r="AZ11" i="50" l="1"/>
  <c r="BR11" i="50"/>
  <c r="BS11" i="50" s="1"/>
  <c r="BT11" i="50" s="1"/>
  <c r="BU11" i="50" s="1"/>
  <c r="BV11" i="50" s="1"/>
  <c r="BW11" i="50" s="1"/>
  <c r="BX11" i="50" s="1"/>
  <c r="BY11" i="50" s="1"/>
  <c r="BZ11" i="50" s="1"/>
  <c r="CA11" i="50" s="1"/>
  <c r="CB11" i="50" s="1"/>
  <c r="CC11" i="50" s="1"/>
  <c r="CD11" i="50" s="1"/>
  <c r="CE11" i="50" s="1"/>
  <c r="CF11" i="50" s="1"/>
  <c r="CG11" i="50" s="1"/>
  <c r="CH11" i="50" s="1"/>
  <c r="CI11" i="50" s="1"/>
  <c r="CJ11" i="50" s="1"/>
  <c r="CK11" i="50" s="1"/>
  <c r="CL11" i="50" s="1"/>
  <c r="CM11" i="50" s="1"/>
  <c r="CN11" i="50" s="1"/>
  <c r="CO11" i="50" s="1"/>
  <c r="CP11" i="50" s="1"/>
  <c r="CQ11" i="50" s="1"/>
  <c r="CR11" i="50" s="1"/>
  <c r="CS11" i="50" s="1"/>
  <c r="CT11" i="50" s="1"/>
  <c r="CU11" i="50" s="1"/>
  <c r="CV11" i="50" s="1"/>
  <c r="CW11" i="50" s="1"/>
  <c r="CX11" i="50" s="1"/>
  <c r="CY11" i="50" s="1"/>
  <c r="AP11" i="50"/>
  <c r="AQ11" i="50"/>
  <c r="DT10" i="50"/>
  <c r="DU10" i="50"/>
  <c r="DW10" i="50" s="1"/>
  <c r="DX10" i="50" s="1"/>
  <c r="S10" i="50" s="1"/>
  <c r="T10" i="50" s="1"/>
  <c r="DA11" i="50" l="1"/>
  <c r="DB11" i="50" s="1"/>
  <c r="DC11" i="50" s="1"/>
  <c r="DD11" i="50" s="1"/>
  <c r="DE11" i="50" s="1"/>
  <c r="DF11" i="50" s="1"/>
  <c r="DG11" i="50" s="1"/>
  <c r="DH11" i="50" s="1"/>
  <c r="DI11" i="50" s="1"/>
  <c r="DJ11" i="50" s="1"/>
  <c r="DK11" i="50" s="1"/>
  <c r="DL11" i="50" s="1"/>
  <c r="DM11" i="50" s="1"/>
  <c r="DN11" i="50" s="1"/>
  <c r="DO11" i="50" s="1"/>
  <c r="DP11" i="50" s="1"/>
  <c r="CZ11" i="50"/>
  <c r="B11" i="50" s="1"/>
  <c r="AV11" i="50"/>
  <c r="AV6" i="50" s="1"/>
  <c r="AZ6" i="50"/>
  <c r="AR47" i="50" l="1"/>
  <c r="AR11" i="50"/>
  <c r="AR9" i="50"/>
  <c r="AR8" i="50"/>
  <c r="AR7" i="50"/>
  <c r="AR10" i="50"/>
  <c r="AR46" i="50"/>
  <c r="I11" i="50"/>
  <c r="DQ11" i="50"/>
  <c r="BB12" i="50" s="1"/>
  <c r="BC12" i="50" s="1"/>
  <c r="BD12" i="50" s="1"/>
  <c r="BE12" i="50" s="1"/>
  <c r="BF12" i="50" s="1"/>
  <c r="BG12" i="50" s="1"/>
  <c r="BH12" i="50" s="1"/>
  <c r="BI12" i="50" s="1"/>
  <c r="BJ12" i="50" s="1"/>
  <c r="BK12" i="50" s="1"/>
  <c r="BL12" i="50" s="1"/>
  <c r="BM12" i="50" s="1"/>
  <c r="BN12" i="50" s="1"/>
  <c r="BO12" i="50" s="1"/>
  <c r="BP12" i="50" s="1"/>
  <c r="BQ12" i="50" s="1"/>
  <c r="D12" i="50" l="1"/>
  <c r="DS11" i="50"/>
  <c r="BR12" i="50" l="1"/>
  <c r="BS12" i="50" s="1"/>
  <c r="BT12" i="50" s="1"/>
  <c r="BU12" i="50" s="1"/>
  <c r="BV12" i="50" s="1"/>
  <c r="BW12" i="50" s="1"/>
  <c r="BX12" i="50" s="1"/>
  <c r="BY12" i="50" s="1"/>
  <c r="BZ12" i="50" s="1"/>
  <c r="CA12" i="50" s="1"/>
  <c r="CB12" i="50" s="1"/>
  <c r="CC12" i="50" s="1"/>
  <c r="CD12" i="50" s="1"/>
  <c r="CE12" i="50" s="1"/>
  <c r="CF12" i="50" s="1"/>
  <c r="CG12" i="50" s="1"/>
  <c r="CH12" i="50" s="1"/>
  <c r="CI12" i="50" s="1"/>
  <c r="CJ12" i="50" s="1"/>
  <c r="CK12" i="50" s="1"/>
  <c r="CL12" i="50" s="1"/>
  <c r="CM12" i="50" s="1"/>
  <c r="CN12" i="50" s="1"/>
  <c r="CO12" i="50" s="1"/>
  <c r="CP12" i="50" s="1"/>
  <c r="CQ12" i="50" s="1"/>
  <c r="CR12" i="50" s="1"/>
  <c r="CS12" i="50" s="1"/>
  <c r="CT12" i="50" s="1"/>
  <c r="CU12" i="50" s="1"/>
  <c r="CV12" i="50" s="1"/>
  <c r="CW12" i="50" s="1"/>
  <c r="CX12" i="50" s="1"/>
  <c r="CY12" i="50" s="1"/>
  <c r="DA12" i="50" s="1"/>
  <c r="DB12" i="50" s="1"/>
  <c r="DC12" i="50" s="1"/>
  <c r="DD12" i="50" s="1"/>
  <c r="DE12" i="50" s="1"/>
  <c r="DF12" i="50" s="1"/>
  <c r="DG12" i="50" s="1"/>
  <c r="DH12" i="50" s="1"/>
  <c r="DI12" i="50" s="1"/>
  <c r="DJ12" i="50" s="1"/>
  <c r="DK12" i="50" s="1"/>
  <c r="DL12" i="50" s="1"/>
  <c r="DM12" i="50" s="1"/>
  <c r="DN12" i="50" s="1"/>
  <c r="DO12" i="50" s="1"/>
  <c r="DP12" i="50" s="1"/>
  <c r="AR12" i="50"/>
  <c r="AP12" i="50"/>
  <c r="AQ12" i="50"/>
  <c r="DT11" i="50"/>
  <c r="DU11" i="50"/>
  <c r="DW11" i="50" s="1"/>
  <c r="DX11" i="50" s="1"/>
  <c r="S11" i="50" s="1"/>
  <c r="T11" i="50" s="1"/>
  <c r="DQ12" i="50" l="1"/>
  <c r="BB13" i="50" s="1"/>
  <c r="BC13" i="50" s="1"/>
  <c r="BD13" i="50" s="1"/>
  <c r="BE13" i="50" s="1"/>
  <c r="BF13" i="50" s="1"/>
  <c r="BG13" i="50" s="1"/>
  <c r="BH13" i="50" s="1"/>
  <c r="BI13" i="50" s="1"/>
  <c r="BJ13" i="50" s="1"/>
  <c r="BK13" i="50" s="1"/>
  <c r="BL13" i="50" s="1"/>
  <c r="BM13" i="50" s="1"/>
  <c r="BN13" i="50" s="1"/>
  <c r="BO13" i="50" s="1"/>
  <c r="BP13" i="50" s="1"/>
  <c r="BQ13" i="50" s="1"/>
  <c r="I12" i="50"/>
  <c r="CZ12" i="50"/>
  <c r="B12" i="50" s="1"/>
  <c r="DS12" i="50" l="1"/>
  <c r="D13" i="50"/>
  <c r="BA14" i="50"/>
  <c r="AP13" i="50" l="1"/>
  <c r="BR13" i="50"/>
  <c r="BS13" i="50" s="1"/>
  <c r="BT13" i="50" s="1"/>
  <c r="BU13" i="50" s="1"/>
  <c r="BV13" i="50" s="1"/>
  <c r="BW13" i="50" s="1"/>
  <c r="BX13" i="50" s="1"/>
  <c r="BY13" i="50" s="1"/>
  <c r="BZ13" i="50" s="1"/>
  <c r="CA13" i="50" s="1"/>
  <c r="CB13" i="50" s="1"/>
  <c r="CC13" i="50" s="1"/>
  <c r="CD13" i="50" s="1"/>
  <c r="CE13" i="50" s="1"/>
  <c r="CF13" i="50" s="1"/>
  <c r="CG13" i="50" s="1"/>
  <c r="CH13" i="50" s="1"/>
  <c r="CI13" i="50" s="1"/>
  <c r="CJ13" i="50" s="1"/>
  <c r="CK13" i="50" s="1"/>
  <c r="CL13" i="50" s="1"/>
  <c r="CM13" i="50" s="1"/>
  <c r="CN13" i="50" s="1"/>
  <c r="CO13" i="50" s="1"/>
  <c r="CP13" i="50" s="1"/>
  <c r="CQ13" i="50" s="1"/>
  <c r="CR13" i="50" s="1"/>
  <c r="CS13" i="50" s="1"/>
  <c r="CT13" i="50" s="1"/>
  <c r="CU13" i="50" s="1"/>
  <c r="CV13" i="50" s="1"/>
  <c r="CW13" i="50" s="1"/>
  <c r="CX13" i="50" s="1"/>
  <c r="CY13" i="50" s="1"/>
  <c r="CZ13" i="50" s="1"/>
  <c r="B13" i="50" s="1"/>
  <c r="AQ13" i="50"/>
  <c r="AR13" i="50"/>
  <c r="DU12" i="50"/>
  <c r="DW12" i="50" s="1"/>
  <c r="DX12" i="50" s="1"/>
  <c r="S12" i="50" s="1"/>
  <c r="T12" i="50" s="1"/>
  <c r="DT12" i="50"/>
  <c r="AW14" i="50"/>
  <c r="AW6" i="50" s="1"/>
  <c r="BA6" i="50"/>
  <c r="DA13" i="50" l="1"/>
  <c r="DB13" i="50" s="1"/>
  <c r="DC13" i="50" s="1"/>
  <c r="DD13" i="50" s="1"/>
  <c r="DE13" i="50" s="1"/>
  <c r="DF13" i="50" s="1"/>
  <c r="DG13" i="50" s="1"/>
  <c r="DH13" i="50" s="1"/>
  <c r="DI13" i="50" s="1"/>
  <c r="DJ13" i="50" s="1"/>
  <c r="DK13" i="50" s="1"/>
  <c r="DL13" i="50" s="1"/>
  <c r="DM13" i="50" s="1"/>
  <c r="DN13" i="50" s="1"/>
  <c r="DO13" i="50" s="1"/>
  <c r="DP13" i="50" s="1"/>
  <c r="AS7" i="50"/>
  <c r="W7" i="50" s="1"/>
  <c r="AS47" i="50"/>
  <c r="AS10" i="50"/>
  <c r="W10" i="50" s="1"/>
  <c r="AS8" i="50"/>
  <c r="W8" i="50" s="1"/>
  <c r="AS9" i="50"/>
  <c r="W9" i="50" s="1"/>
  <c r="AS46" i="50"/>
  <c r="AS11" i="50"/>
  <c r="W11" i="50" s="1"/>
  <c r="AS12" i="50"/>
  <c r="W12" i="50" s="1"/>
  <c r="AS13" i="50"/>
  <c r="W13" i="50" s="1"/>
  <c r="DQ13" i="50" l="1"/>
  <c r="BB14" i="50" s="1"/>
  <c r="BC14" i="50" s="1"/>
  <c r="BD14" i="50" s="1"/>
  <c r="BE14" i="50" s="1"/>
  <c r="BF14" i="50" s="1"/>
  <c r="BG14" i="50" s="1"/>
  <c r="BH14" i="50" s="1"/>
  <c r="BI14" i="50" s="1"/>
  <c r="BJ14" i="50" s="1"/>
  <c r="BK14" i="50" s="1"/>
  <c r="BL14" i="50" s="1"/>
  <c r="BM14" i="50" s="1"/>
  <c r="BN14" i="50" s="1"/>
  <c r="BO14" i="50" s="1"/>
  <c r="BP14" i="50" s="1"/>
  <c r="BQ14" i="50" s="1"/>
  <c r="I13" i="50"/>
  <c r="D14" i="50" l="1"/>
  <c r="DS13" i="50"/>
  <c r="W14" i="50"/>
  <c r="DU13" i="50" l="1"/>
  <c r="DW13" i="50" s="1"/>
  <c r="DX13" i="50" s="1"/>
  <c r="S13" i="50" s="1"/>
  <c r="T13" i="50" s="1"/>
  <c r="DT13" i="50"/>
  <c r="AS14" i="50"/>
  <c r="BR14" i="50"/>
  <c r="BS14" i="50" s="1"/>
  <c r="BT14" i="50" s="1"/>
  <c r="BU14" i="50" s="1"/>
  <c r="BV14" i="50" s="1"/>
  <c r="BW14" i="50" s="1"/>
  <c r="BX14" i="50" s="1"/>
  <c r="BY14" i="50" s="1"/>
  <c r="BZ14" i="50" s="1"/>
  <c r="CA14" i="50" s="1"/>
  <c r="CB14" i="50" s="1"/>
  <c r="CC14" i="50" s="1"/>
  <c r="CD14" i="50" s="1"/>
  <c r="CE14" i="50" s="1"/>
  <c r="CF14" i="50" s="1"/>
  <c r="CG14" i="50" s="1"/>
  <c r="CH14" i="50" s="1"/>
  <c r="CI14" i="50" s="1"/>
  <c r="CJ14" i="50" s="1"/>
  <c r="CK14" i="50" s="1"/>
  <c r="CL14" i="50" s="1"/>
  <c r="CM14" i="50" s="1"/>
  <c r="CN14" i="50" s="1"/>
  <c r="CO14" i="50" s="1"/>
  <c r="CP14" i="50" s="1"/>
  <c r="CQ14" i="50" s="1"/>
  <c r="CR14" i="50" s="1"/>
  <c r="CS14" i="50" s="1"/>
  <c r="CT14" i="50" s="1"/>
  <c r="CU14" i="50" s="1"/>
  <c r="CV14" i="50" s="1"/>
  <c r="CW14" i="50" s="1"/>
  <c r="CX14" i="50" s="1"/>
  <c r="CY14" i="50" s="1"/>
  <c r="DA14" i="50" s="1"/>
  <c r="DB14" i="50" s="1"/>
  <c r="DC14" i="50" s="1"/>
  <c r="DD14" i="50" s="1"/>
  <c r="DE14" i="50" s="1"/>
  <c r="DF14" i="50" s="1"/>
  <c r="DG14" i="50" s="1"/>
  <c r="DH14" i="50" s="1"/>
  <c r="DI14" i="50" s="1"/>
  <c r="DJ14" i="50" s="1"/>
  <c r="DK14" i="50" s="1"/>
  <c r="DL14" i="50" s="1"/>
  <c r="DM14" i="50" s="1"/>
  <c r="DN14" i="50" s="1"/>
  <c r="DO14" i="50" s="1"/>
  <c r="DP14" i="50" s="1"/>
  <c r="AP14" i="50"/>
  <c r="AR14" i="50"/>
  <c r="AQ14" i="50"/>
  <c r="I14" i="50" l="1"/>
  <c r="D15" i="50" s="1"/>
  <c r="DQ14" i="50"/>
  <c r="BB15" i="50" s="1"/>
  <c r="BC15" i="50" s="1"/>
  <c r="BD15" i="50" s="1"/>
  <c r="BE15" i="50" s="1"/>
  <c r="BF15" i="50" s="1"/>
  <c r="BG15" i="50" s="1"/>
  <c r="BH15" i="50" s="1"/>
  <c r="BI15" i="50" s="1"/>
  <c r="BJ15" i="50" s="1"/>
  <c r="BK15" i="50" s="1"/>
  <c r="BL15" i="50" s="1"/>
  <c r="BM15" i="50" s="1"/>
  <c r="BN15" i="50" s="1"/>
  <c r="BO15" i="50" s="1"/>
  <c r="BP15" i="50" s="1"/>
  <c r="BQ15" i="50" s="1"/>
  <c r="CZ14" i="50"/>
  <c r="B14" i="50" s="1"/>
  <c r="DS14" i="50" l="1"/>
  <c r="DT14" i="50" s="1"/>
  <c r="AP15" i="50"/>
  <c r="BR15" i="50"/>
  <c r="BS15" i="50" s="1"/>
  <c r="BT15" i="50" s="1"/>
  <c r="BU15" i="50" s="1"/>
  <c r="BV15" i="50" s="1"/>
  <c r="BW15" i="50" s="1"/>
  <c r="BX15" i="50" s="1"/>
  <c r="BY15" i="50" s="1"/>
  <c r="BZ15" i="50" s="1"/>
  <c r="CA15" i="50" s="1"/>
  <c r="CB15" i="50" s="1"/>
  <c r="CC15" i="50" s="1"/>
  <c r="CD15" i="50" s="1"/>
  <c r="CE15" i="50" s="1"/>
  <c r="CF15" i="50" s="1"/>
  <c r="CG15" i="50" s="1"/>
  <c r="CH15" i="50" s="1"/>
  <c r="CI15" i="50" s="1"/>
  <c r="CJ15" i="50" s="1"/>
  <c r="CK15" i="50" s="1"/>
  <c r="CL15" i="50" s="1"/>
  <c r="CM15" i="50" s="1"/>
  <c r="CN15" i="50" s="1"/>
  <c r="CO15" i="50" s="1"/>
  <c r="CP15" i="50" s="1"/>
  <c r="CQ15" i="50" s="1"/>
  <c r="CR15" i="50" s="1"/>
  <c r="CS15" i="50" s="1"/>
  <c r="CT15" i="50" s="1"/>
  <c r="CU15" i="50" s="1"/>
  <c r="CV15" i="50" s="1"/>
  <c r="CW15" i="50" s="1"/>
  <c r="CX15" i="50" s="1"/>
  <c r="CY15" i="50" s="1"/>
  <c r="AS15" i="50"/>
  <c r="AR15" i="50"/>
  <c r="AQ15" i="50"/>
  <c r="DU14" i="50" l="1"/>
  <c r="DW14" i="50" s="1"/>
  <c r="DX14" i="50" s="1"/>
  <c r="S14" i="50" s="1"/>
  <c r="T14" i="50" s="1"/>
  <c r="W15" i="50"/>
  <c r="DA15" i="50"/>
  <c r="DB15" i="50" s="1"/>
  <c r="DC15" i="50" s="1"/>
  <c r="DD15" i="50" s="1"/>
  <c r="DE15" i="50" s="1"/>
  <c r="DF15" i="50" s="1"/>
  <c r="DG15" i="50" s="1"/>
  <c r="DH15" i="50" s="1"/>
  <c r="DI15" i="50" s="1"/>
  <c r="DJ15" i="50" s="1"/>
  <c r="DK15" i="50" s="1"/>
  <c r="DL15" i="50" s="1"/>
  <c r="DM15" i="50" s="1"/>
  <c r="DN15" i="50" s="1"/>
  <c r="DO15" i="50" s="1"/>
  <c r="DP15" i="50" s="1"/>
  <c r="CZ15" i="50"/>
  <c r="B15" i="50" s="1"/>
  <c r="I15" i="50" l="1"/>
  <c r="DQ15" i="50"/>
  <c r="BB16" i="50" s="1"/>
  <c r="BC16" i="50" s="1"/>
  <c r="BD16" i="50" s="1"/>
  <c r="BE16" i="50" s="1"/>
  <c r="BF16" i="50" s="1"/>
  <c r="BG16" i="50" s="1"/>
  <c r="BH16" i="50" s="1"/>
  <c r="BI16" i="50" s="1"/>
  <c r="BJ16" i="50" s="1"/>
  <c r="BK16" i="50" s="1"/>
  <c r="BL16" i="50" s="1"/>
  <c r="BM16" i="50" s="1"/>
  <c r="BN16" i="50" s="1"/>
  <c r="BO16" i="50" s="1"/>
  <c r="BP16" i="50" s="1"/>
  <c r="BQ16" i="50" s="1"/>
  <c r="D16" i="50" l="1"/>
  <c r="DS15" i="50"/>
  <c r="DU15" i="50" l="1"/>
  <c r="DW15" i="50" s="1"/>
  <c r="DX15" i="50" s="1"/>
  <c r="S15" i="50" s="1"/>
  <c r="T15" i="50" s="1"/>
  <c r="DT15" i="50"/>
  <c r="AS16" i="50"/>
  <c r="BR16" i="50"/>
  <c r="BS16" i="50" s="1"/>
  <c r="BT16" i="50" s="1"/>
  <c r="BU16" i="50" s="1"/>
  <c r="BV16" i="50" s="1"/>
  <c r="BW16" i="50" s="1"/>
  <c r="BX16" i="50" s="1"/>
  <c r="BY16" i="50" s="1"/>
  <c r="BZ16" i="50" s="1"/>
  <c r="CA16" i="50" s="1"/>
  <c r="CB16" i="50" s="1"/>
  <c r="CC16" i="50" s="1"/>
  <c r="CD16" i="50" s="1"/>
  <c r="CE16" i="50" s="1"/>
  <c r="CF16" i="50" s="1"/>
  <c r="CG16" i="50" s="1"/>
  <c r="CH16" i="50" s="1"/>
  <c r="CI16" i="50" s="1"/>
  <c r="CJ16" i="50" s="1"/>
  <c r="CK16" i="50" s="1"/>
  <c r="CL16" i="50" s="1"/>
  <c r="CM16" i="50" s="1"/>
  <c r="CN16" i="50" s="1"/>
  <c r="CO16" i="50" s="1"/>
  <c r="CP16" i="50" s="1"/>
  <c r="CQ16" i="50" s="1"/>
  <c r="CR16" i="50" s="1"/>
  <c r="CS16" i="50" s="1"/>
  <c r="CT16" i="50" s="1"/>
  <c r="CU16" i="50" s="1"/>
  <c r="CV16" i="50" s="1"/>
  <c r="CW16" i="50" s="1"/>
  <c r="CX16" i="50" s="1"/>
  <c r="CY16" i="50" s="1"/>
  <c r="CZ16" i="50" s="1"/>
  <c r="B16" i="50" s="1"/>
  <c r="AP16" i="50"/>
  <c r="AQ16" i="50"/>
  <c r="AR16" i="50"/>
  <c r="W16" i="50" l="1"/>
  <c r="DA16" i="50"/>
  <c r="DB16" i="50" s="1"/>
  <c r="DC16" i="50" s="1"/>
  <c r="DD16" i="50" s="1"/>
  <c r="DE16" i="50" s="1"/>
  <c r="DF16" i="50" s="1"/>
  <c r="DG16" i="50" s="1"/>
  <c r="DH16" i="50" s="1"/>
  <c r="DI16" i="50" s="1"/>
  <c r="DJ16" i="50" s="1"/>
  <c r="DK16" i="50" s="1"/>
  <c r="DL16" i="50" s="1"/>
  <c r="DM16" i="50" s="1"/>
  <c r="DN16" i="50" s="1"/>
  <c r="DO16" i="50" s="1"/>
  <c r="DP16" i="50" s="1"/>
  <c r="DQ16" i="50" l="1"/>
  <c r="BB17" i="50" s="1"/>
  <c r="BC17" i="50" s="1"/>
  <c r="BD17" i="50" s="1"/>
  <c r="BE17" i="50" s="1"/>
  <c r="BF17" i="50" s="1"/>
  <c r="BG17" i="50" s="1"/>
  <c r="BH17" i="50" s="1"/>
  <c r="BI17" i="50" s="1"/>
  <c r="BJ17" i="50" s="1"/>
  <c r="BK17" i="50" s="1"/>
  <c r="BL17" i="50" s="1"/>
  <c r="BM17" i="50" s="1"/>
  <c r="BN17" i="50" s="1"/>
  <c r="BO17" i="50" s="1"/>
  <c r="BP17" i="50" s="1"/>
  <c r="BQ17" i="50" s="1"/>
  <c r="I16" i="50"/>
  <c r="D17" i="50" l="1"/>
  <c r="DS16" i="50"/>
  <c r="DT16" i="50" l="1"/>
  <c r="DU16" i="50"/>
  <c r="DW16" i="50" s="1"/>
  <c r="DX16" i="50" s="1"/>
  <c r="S16" i="50" s="1"/>
  <c r="T16" i="50" s="1"/>
  <c r="AP17" i="50"/>
  <c r="AR17" i="50"/>
  <c r="BR17" i="50"/>
  <c r="BS17" i="50" s="1"/>
  <c r="BT17" i="50" s="1"/>
  <c r="BU17" i="50" s="1"/>
  <c r="BV17" i="50" s="1"/>
  <c r="BW17" i="50" s="1"/>
  <c r="BX17" i="50" s="1"/>
  <c r="BY17" i="50" s="1"/>
  <c r="BZ17" i="50" s="1"/>
  <c r="CA17" i="50" s="1"/>
  <c r="CB17" i="50" s="1"/>
  <c r="CC17" i="50" s="1"/>
  <c r="CD17" i="50" s="1"/>
  <c r="CE17" i="50" s="1"/>
  <c r="CF17" i="50" s="1"/>
  <c r="CG17" i="50" s="1"/>
  <c r="CH17" i="50" s="1"/>
  <c r="CI17" i="50" s="1"/>
  <c r="CJ17" i="50" s="1"/>
  <c r="CK17" i="50" s="1"/>
  <c r="CL17" i="50" s="1"/>
  <c r="CM17" i="50" s="1"/>
  <c r="CN17" i="50" s="1"/>
  <c r="CO17" i="50" s="1"/>
  <c r="CP17" i="50" s="1"/>
  <c r="CQ17" i="50" s="1"/>
  <c r="CR17" i="50" s="1"/>
  <c r="CS17" i="50" s="1"/>
  <c r="CT17" i="50" s="1"/>
  <c r="CU17" i="50" s="1"/>
  <c r="CV17" i="50" s="1"/>
  <c r="CW17" i="50" s="1"/>
  <c r="CX17" i="50" s="1"/>
  <c r="CY17" i="50" s="1"/>
  <c r="AQ17" i="50"/>
  <c r="AS17" i="50"/>
  <c r="W17" i="50" l="1"/>
  <c r="CZ17" i="50"/>
  <c r="B17" i="50" s="1"/>
  <c r="DA17" i="50"/>
  <c r="DB17" i="50" s="1"/>
  <c r="DC17" i="50" s="1"/>
  <c r="DD17" i="50" s="1"/>
  <c r="DE17" i="50" s="1"/>
  <c r="DF17" i="50" s="1"/>
  <c r="DG17" i="50" s="1"/>
  <c r="DH17" i="50" s="1"/>
  <c r="DI17" i="50" s="1"/>
  <c r="DJ17" i="50" s="1"/>
  <c r="DK17" i="50" s="1"/>
  <c r="DL17" i="50" s="1"/>
  <c r="DM17" i="50" s="1"/>
  <c r="DN17" i="50" s="1"/>
  <c r="DO17" i="50" s="1"/>
  <c r="DP17" i="50" s="1"/>
  <c r="DQ17" i="50" l="1"/>
  <c r="BB18" i="50" s="1"/>
  <c r="BC18" i="50" s="1"/>
  <c r="BD18" i="50" s="1"/>
  <c r="BE18" i="50" s="1"/>
  <c r="BF18" i="50" s="1"/>
  <c r="BG18" i="50" s="1"/>
  <c r="BH18" i="50" s="1"/>
  <c r="BI18" i="50" s="1"/>
  <c r="BJ18" i="50" s="1"/>
  <c r="BK18" i="50" s="1"/>
  <c r="BL18" i="50" s="1"/>
  <c r="BM18" i="50" s="1"/>
  <c r="BN18" i="50" s="1"/>
  <c r="BO18" i="50" s="1"/>
  <c r="BP18" i="50" s="1"/>
  <c r="BQ18" i="50" s="1"/>
  <c r="I17" i="50"/>
  <c r="D18" i="50" l="1"/>
  <c r="DS17" i="50"/>
  <c r="DU17" i="50" l="1"/>
  <c r="DW17" i="50" s="1"/>
  <c r="DX17" i="50" s="1"/>
  <c r="S17" i="50" s="1"/>
  <c r="T17" i="50" s="1"/>
  <c r="DT17" i="50"/>
  <c r="AS18" i="50"/>
  <c r="BR18" i="50"/>
  <c r="BS18" i="50" s="1"/>
  <c r="BT18" i="50" s="1"/>
  <c r="BU18" i="50" s="1"/>
  <c r="BV18" i="50" s="1"/>
  <c r="BW18" i="50" s="1"/>
  <c r="BX18" i="50" s="1"/>
  <c r="BY18" i="50" s="1"/>
  <c r="BZ18" i="50" s="1"/>
  <c r="CA18" i="50" s="1"/>
  <c r="CB18" i="50" s="1"/>
  <c r="CC18" i="50" s="1"/>
  <c r="CD18" i="50" s="1"/>
  <c r="CE18" i="50" s="1"/>
  <c r="CF18" i="50" s="1"/>
  <c r="CG18" i="50" s="1"/>
  <c r="CH18" i="50" s="1"/>
  <c r="CI18" i="50" s="1"/>
  <c r="CJ18" i="50" s="1"/>
  <c r="CK18" i="50" s="1"/>
  <c r="CL18" i="50" s="1"/>
  <c r="CM18" i="50" s="1"/>
  <c r="CN18" i="50" s="1"/>
  <c r="CO18" i="50" s="1"/>
  <c r="CP18" i="50" s="1"/>
  <c r="CQ18" i="50" s="1"/>
  <c r="CR18" i="50" s="1"/>
  <c r="CS18" i="50" s="1"/>
  <c r="CT18" i="50" s="1"/>
  <c r="CU18" i="50" s="1"/>
  <c r="CV18" i="50" s="1"/>
  <c r="CW18" i="50" s="1"/>
  <c r="CX18" i="50" s="1"/>
  <c r="CY18" i="50" s="1"/>
  <c r="AR18" i="50"/>
  <c r="AQ18" i="50"/>
  <c r="AP18" i="50"/>
  <c r="W18" i="50" l="1"/>
  <c r="DA18" i="50"/>
  <c r="DB18" i="50" s="1"/>
  <c r="DC18" i="50" s="1"/>
  <c r="DD18" i="50" s="1"/>
  <c r="DE18" i="50" s="1"/>
  <c r="DF18" i="50" s="1"/>
  <c r="DG18" i="50" s="1"/>
  <c r="DH18" i="50" s="1"/>
  <c r="DI18" i="50" s="1"/>
  <c r="DJ18" i="50" s="1"/>
  <c r="DK18" i="50" s="1"/>
  <c r="DL18" i="50" s="1"/>
  <c r="DM18" i="50" s="1"/>
  <c r="DN18" i="50" s="1"/>
  <c r="DO18" i="50" s="1"/>
  <c r="DP18" i="50" s="1"/>
  <c r="CZ18" i="50"/>
  <c r="B18" i="50" s="1"/>
  <c r="I18" i="50" l="1"/>
  <c r="DQ18" i="50"/>
  <c r="BB19" i="50" s="1"/>
  <c r="BC19" i="50" s="1"/>
  <c r="BD19" i="50" s="1"/>
  <c r="BE19" i="50" s="1"/>
  <c r="BF19" i="50" s="1"/>
  <c r="BG19" i="50" s="1"/>
  <c r="BH19" i="50" s="1"/>
  <c r="BI19" i="50" s="1"/>
  <c r="BJ19" i="50" s="1"/>
  <c r="BK19" i="50" s="1"/>
  <c r="BL19" i="50" s="1"/>
  <c r="BM19" i="50" s="1"/>
  <c r="BN19" i="50" s="1"/>
  <c r="BO19" i="50" s="1"/>
  <c r="BP19" i="50" s="1"/>
  <c r="BQ19" i="50" s="1"/>
  <c r="D19" i="50" l="1"/>
  <c r="DS18" i="50"/>
  <c r="DU18" i="50" l="1"/>
  <c r="DW18" i="50" s="1"/>
  <c r="DX18" i="50" s="1"/>
  <c r="S18" i="50" s="1"/>
  <c r="T18" i="50" s="1"/>
  <c r="DT18" i="50"/>
  <c r="AS19" i="50"/>
  <c r="BR19" i="50"/>
  <c r="BS19" i="50" s="1"/>
  <c r="BT19" i="50" s="1"/>
  <c r="BU19" i="50" s="1"/>
  <c r="BV19" i="50" s="1"/>
  <c r="BW19" i="50" s="1"/>
  <c r="BX19" i="50" s="1"/>
  <c r="BY19" i="50" s="1"/>
  <c r="BZ19" i="50" s="1"/>
  <c r="CA19" i="50" s="1"/>
  <c r="CB19" i="50" s="1"/>
  <c r="CC19" i="50" s="1"/>
  <c r="CD19" i="50" s="1"/>
  <c r="CE19" i="50" s="1"/>
  <c r="CF19" i="50" s="1"/>
  <c r="CG19" i="50" s="1"/>
  <c r="CH19" i="50" s="1"/>
  <c r="CI19" i="50" s="1"/>
  <c r="CJ19" i="50" s="1"/>
  <c r="CK19" i="50" s="1"/>
  <c r="CL19" i="50" s="1"/>
  <c r="CM19" i="50" s="1"/>
  <c r="CN19" i="50" s="1"/>
  <c r="CO19" i="50" s="1"/>
  <c r="CP19" i="50" s="1"/>
  <c r="CQ19" i="50" s="1"/>
  <c r="CR19" i="50" s="1"/>
  <c r="CS19" i="50" s="1"/>
  <c r="CT19" i="50" s="1"/>
  <c r="CU19" i="50" s="1"/>
  <c r="CV19" i="50" s="1"/>
  <c r="CW19" i="50" s="1"/>
  <c r="CX19" i="50" s="1"/>
  <c r="CY19" i="50" s="1"/>
  <c r="AP19" i="50"/>
  <c r="AR19" i="50"/>
  <c r="AQ19" i="50"/>
  <c r="W19" i="50" l="1"/>
  <c r="DA19" i="50"/>
  <c r="DB19" i="50" s="1"/>
  <c r="DC19" i="50" s="1"/>
  <c r="DD19" i="50" s="1"/>
  <c r="DE19" i="50" s="1"/>
  <c r="DF19" i="50" s="1"/>
  <c r="DG19" i="50" s="1"/>
  <c r="DH19" i="50" s="1"/>
  <c r="DI19" i="50" s="1"/>
  <c r="DJ19" i="50" s="1"/>
  <c r="DK19" i="50" s="1"/>
  <c r="DL19" i="50" s="1"/>
  <c r="DM19" i="50" s="1"/>
  <c r="DN19" i="50" s="1"/>
  <c r="DO19" i="50" s="1"/>
  <c r="DP19" i="50" s="1"/>
  <c r="CZ19" i="50"/>
  <c r="B19" i="50" s="1"/>
  <c r="DQ19" i="50" l="1"/>
  <c r="BB20" i="50" s="1"/>
  <c r="BC20" i="50" s="1"/>
  <c r="BD20" i="50" s="1"/>
  <c r="BE20" i="50" s="1"/>
  <c r="BF20" i="50" s="1"/>
  <c r="BG20" i="50" s="1"/>
  <c r="BH20" i="50" s="1"/>
  <c r="BI20" i="50" s="1"/>
  <c r="BJ20" i="50" s="1"/>
  <c r="BK20" i="50" s="1"/>
  <c r="BL20" i="50" s="1"/>
  <c r="BM20" i="50" s="1"/>
  <c r="BN20" i="50" s="1"/>
  <c r="BO20" i="50" s="1"/>
  <c r="BP20" i="50" s="1"/>
  <c r="BQ20" i="50" s="1"/>
  <c r="I19" i="50"/>
  <c r="D20" i="50" l="1"/>
  <c r="DS19" i="50"/>
  <c r="DT19" i="50" l="1"/>
  <c r="DU19" i="50"/>
  <c r="DW19" i="50" s="1"/>
  <c r="DX19" i="50" s="1"/>
  <c r="S19" i="50" s="1"/>
  <c r="T19" i="50" s="1"/>
  <c r="AQ20" i="50"/>
  <c r="AR20" i="50"/>
  <c r="AP20" i="50"/>
  <c r="AS20" i="50"/>
  <c r="BR20" i="50"/>
  <c r="BS20" i="50" s="1"/>
  <c r="BT20" i="50" s="1"/>
  <c r="BU20" i="50" s="1"/>
  <c r="BV20" i="50" s="1"/>
  <c r="BW20" i="50" s="1"/>
  <c r="BX20" i="50" s="1"/>
  <c r="BY20" i="50" s="1"/>
  <c r="BZ20" i="50" s="1"/>
  <c r="CA20" i="50" s="1"/>
  <c r="CB20" i="50" s="1"/>
  <c r="CC20" i="50" s="1"/>
  <c r="CD20" i="50" s="1"/>
  <c r="CE20" i="50" s="1"/>
  <c r="CF20" i="50" s="1"/>
  <c r="CG20" i="50" s="1"/>
  <c r="CH20" i="50" s="1"/>
  <c r="CI20" i="50" s="1"/>
  <c r="CJ20" i="50" s="1"/>
  <c r="CK20" i="50" s="1"/>
  <c r="CL20" i="50" s="1"/>
  <c r="CM20" i="50" s="1"/>
  <c r="CN20" i="50" s="1"/>
  <c r="CO20" i="50" s="1"/>
  <c r="CP20" i="50" s="1"/>
  <c r="CQ20" i="50" s="1"/>
  <c r="CR20" i="50" s="1"/>
  <c r="CS20" i="50" s="1"/>
  <c r="CT20" i="50" s="1"/>
  <c r="CU20" i="50" s="1"/>
  <c r="CV20" i="50" s="1"/>
  <c r="CW20" i="50" s="1"/>
  <c r="CX20" i="50" s="1"/>
  <c r="CY20" i="50" s="1"/>
  <c r="W20" i="50" l="1"/>
  <c r="DA20" i="50"/>
  <c r="DB20" i="50" s="1"/>
  <c r="DC20" i="50" s="1"/>
  <c r="DD20" i="50" s="1"/>
  <c r="DE20" i="50" s="1"/>
  <c r="DF20" i="50" s="1"/>
  <c r="DG20" i="50" s="1"/>
  <c r="DH20" i="50" s="1"/>
  <c r="DI20" i="50" s="1"/>
  <c r="DJ20" i="50" s="1"/>
  <c r="DK20" i="50" s="1"/>
  <c r="DL20" i="50" s="1"/>
  <c r="DM20" i="50" s="1"/>
  <c r="DN20" i="50" s="1"/>
  <c r="DO20" i="50" s="1"/>
  <c r="DP20" i="50" s="1"/>
  <c r="CZ20" i="50"/>
  <c r="B20" i="50" s="1"/>
  <c r="I20" i="50" l="1"/>
  <c r="DQ20" i="50"/>
  <c r="BB21" i="50" s="1"/>
  <c r="BC21" i="50" s="1"/>
  <c r="BD21" i="50" s="1"/>
  <c r="BE21" i="50" s="1"/>
  <c r="BF21" i="50" s="1"/>
  <c r="BG21" i="50" s="1"/>
  <c r="BH21" i="50" s="1"/>
  <c r="BI21" i="50" s="1"/>
  <c r="BJ21" i="50" s="1"/>
  <c r="BK21" i="50" s="1"/>
  <c r="BL21" i="50" s="1"/>
  <c r="BM21" i="50" s="1"/>
  <c r="BN21" i="50" s="1"/>
  <c r="BO21" i="50" s="1"/>
  <c r="BP21" i="50" s="1"/>
  <c r="BQ21" i="50" s="1"/>
  <c r="D21" i="50" l="1"/>
  <c r="DS20" i="50"/>
  <c r="DT20" i="50" l="1"/>
  <c r="DU20" i="50"/>
  <c r="DW20" i="50" s="1"/>
  <c r="DX20" i="50" s="1"/>
  <c r="S20" i="50" s="1"/>
  <c r="T20" i="50" s="1"/>
  <c r="AS21" i="50"/>
  <c r="BR21" i="50"/>
  <c r="BS21" i="50" s="1"/>
  <c r="BT21" i="50" s="1"/>
  <c r="BU21" i="50" s="1"/>
  <c r="BV21" i="50" s="1"/>
  <c r="BW21" i="50" s="1"/>
  <c r="BX21" i="50" s="1"/>
  <c r="BY21" i="50" s="1"/>
  <c r="BZ21" i="50" s="1"/>
  <c r="CA21" i="50" s="1"/>
  <c r="CB21" i="50" s="1"/>
  <c r="CC21" i="50" s="1"/>
  <c r="CD21" i="50" s="1"/>
  <c r="CE21" i="50" s="1"/>
  <c r="CF21" i="50" s="1"/>
  <c r="CG21" i="50" s="1"/>
  <c r="CH21" i="50" s="1"/>
  <c r="CI21" i="50" s="1"/>
  <c r="CJ21" i="50" s="1"/>
  <c r="CK21" i="50" s="1"/>
  <c r="CL21" i="50" s="1"/>
  <c r="CM21" i="50" s="1"/>
  <c r="CN21" i="50" s="1"/>
  <c r="CO21" i="50" s="1"/>
  <c r="CP21" i="50" s="1"/>
  <c r="CQ21" i="50" s="1"/>
  <c r="CR21" i="50" s="1"/>
  <c r="CS21" i="50" s="1"/>
  <c r="CT21" i="50" s="1"/>
  <c r="CU21" i="50" s="1"/>
  <c r="CV21" i="50" s="1"/>
  <c r="CW21" i="50" s="1"/>
  <c r="CX21" i="50" s="1"/>
  <c r="CY21" i="50" s="1"/>
  <c r="AP21" i="50"/>
  <c r="AQ21" i="50"/>
  <c r="AR21" i="50"/>
  <c r="W21" i="50" l="1"/>
  <c r="DA21" i="50"/>
  <c r="DB21" i="50" s="1"/>
  <c r="DC21" i="50" s="1"/>
  <c r="DD21" i="50" s="1"/>
  <c r="DE21" i="50" s="1"/>
  <c r="DF21" i="50" s="1"/>
  <c r="DG21" i="50" s="1"/>
  <c r="DH21" i="50" s="1"/>
  <c r="DI21" i="50" s="1"/>
  <c r="DJ21" i="50" s="1"/>
  <c r="DK21" i="50" s="1"/>
  <c r="DL21" i="50" s="1"/>
  <c r="DM21" i="50" s="1"/>
  <c r="DN21" i="50" s="1"/>
  <c r="DO21" i="50" s="1"/>
  <c r="DP21" i="50" s="1"/>
  <c r="CZ21" i="50"/>
  <c r="B21" i="50" s="1"/>
  <c r="I21" i="50" l="1"/>
  <c r="DQ21" i="50"/>
  <c r="BB22" i="50" s="1"/>
  <c r="BC22" i="50" s="1"/>
  <c r="BD22" i="50" s="1"/>
  <c r="BE22" i="50" s="1"/>
  <c r="BF22" i="50" s="1"/>
  <c r="BG22" i="50" s="1"/>
  <c r="BH22" i="50" s="1"/>
  <c r="BI22" i="50" s="1"/>
  <c r="BJ22" i="50" s="1"/>
  <c r="BK22" i="50" s="1"/>
  <c r="BL22" i="50" s="1"/>
  <c r="BM22" i="50" s="1"/>
  <c r="BN22" i="50" s="1"/>
  <c r="BO22" i="50" s="1"/>
  <c r="BP22" i="50" s="1"/>
  <c r="BQ22" i="50" s="1"/>
  <c r="D22" i="50" l="1"/>
  <c r="DS21" i="50"/>
  <c r="DT21" i="50" l="1"/>
  <c r="DU21" i="50"/>
  <c r="DW21" i="50" s="1"/>
  <c r="DX21" i="50" s="1"/>
  <c r="S21" i="50" s="1"/>
  <c r="T21" i="50" s="1"/>
  <c r="AP22" i="50"/>
  <c r="BR22" i="50"/>
  <c r="BS22" i="50" s="1"/>
  <c r="BT22" i="50" s="1"/>
  <c r="BU22" i="50" s="1"/>
  <c r="BV22" i="50" s="1"/>
  <c r="BW22" i="50" s="1"/>
  <c r="BX22" i="50" s="1"/>
  <c r="BY22" i="50" s="1"/>
  <c r="BZ22" i="50" s="1"/>
  <c r="CA22" i="50" s="1"/>
  <c r="CB22" i="50" s="1"/>
  <c r="CC22" i="50" s="1"/>
  <c r="CD22" i="50" s="1"/>
  <c r="CE22" i="50" s="1"/>
  <c r="CF22" i="50" s="1"/>
  <c r="CG22" i="50" s="1"/>
  <c r="CH22" i="50" s="1"/>
  <c r="CI22" i="50" s="1"/>
  <c r="CJ22" i="50" s="1"/>
  <c r="CK22" i="50" s="1"/>
  <c r="CL22" i="50" s="1"/>
  <c r="CM22" i="50" s="1"/>
  <c r="CN22" i="50" s="1"/>
  <c r="CO22" i="50" s="1"/>
  <c r="CP22" i="50" s="1"/>
  <c r="CQ22" i="50" s="1"/>
  <c r="CR22" i="50" s="1"/>
  <c r="CS22" i="50" s="1"/>
  <c r="CT22" i="50" s="1"/>
  <c r="CU22" i="50" s="1"/>
  <c r="CV22" i="50" s="1"/>
  <c r="CW22" i="50" s="1"/>
  <c r="CX22" i="50" s="1"/>
  <c r="CY22" i="50" s="1"/>
  <c r="AS22" i="50"/>
  <c r="AQ22" i="50"/>
  <c r="AR22" i="50"/>
  <c r="W22" i="50" l="1"/>
  <c r="DA22" i="50"/>
  <c r="DB22" i="50" s="1"/>
  <c r="DC22" i="50" s="1"/>
  <c r="DD22" i="50" s="1"/>
  <c r="DE22" i="50" s="1"/>
  <c r="DF22" i="50" s="1"/>
  <c r="DG22" i="50" s="1"/>
  <c r="DH22" i="50" s="1"/>
  <c r="DI22" i="50" s="1"/>
  <c r="DJ22" i="50" s="1"/>
  <c r="DK22" i="50" s="1"/>
  <c r="DL22" i="50" s="1"/>
  <c r="DM22" i="50" s="1"/>
  <c r="DN22" i="50" s="1"/>
  <c r="DO22" i="50" s="1"/>
  <c r="DP22" i="50" s="1"/>
  <c r="I22" i="50" s="1"/>
  <c r="D23" i="50" s="1"/>
  <c r="CZ22" i="50"/>
  <c r="B22" i="50" s="1"/>
  <c r="DQ22" i="50" l="1"/>
  <c r="BB23" i="50" s="1"/>
  <c r="BC23" i="50" s="1"/>
  <c r="BD23" i="50" s="1"/>
  <c r="BE23" i="50" s="1"/>
  <c r="BF23" i="50" s="1"/>
  <c r="BG23" i="50" s="1"/>
  <c r="BH23" i="50" s="1"/>
  <c r="BI23" i="50" s="1"/>
  <c r="BJ23" i="50" s="1"/>
  <c r="BK23" i="50" s="1"/>
  <c r="BL23" i="50" s="1"/>
  <c r="BM23" i="50" s="1"/>
  <c r="BN23" i="50" s="1"/>
  <c r="BO23" i="50" s="1"/>
  <c r="BP23" i="50" s="1"/>
  <c r="BQ23" i="50" s="1"/>
  <c r="BR23" i="50" s="1"/>
  <c r="BS23" i="50" s="1"/>
  <c r="BT23" i="50" s="1"/>
  <c r="BU23" i="50" s="1"/>
  <c r="BV23" i="50" s="1"/>
  <c r="BW23" i="50" s="1"/>
  <c r="BX23" i="50" s="1"/>
  <c r="BY23" i="50" s="1"/>
  <c r="BZ23" i="50" s="1"/>
  <c r="CA23" i="50" s="1"/>
  <c r="CB23" i="50" s="1"/>
  <c r="CC23" i="50" s="1"/>
  <c r="CD23" i="50" s="1"/>
  <c r="CE23" i="50" s="1"/>
  <c r="CF23" i="50" s="1"/>
  <c r="CG23" i="50" s="1"/>
  <c r="CH23" i="50" s="1"/>
  <c r="CI23" i="50" s="1"/>
  <c r="CJ23" i="50" s="1"/>
  <c r="CK23" i="50" s="1"/>
  <c r="CL23" i="50" s="1"/>
  <c r="CM23" i="50" s="1"/>
  <c r="CN23" i="50" s="1"/>
  <c r="CO23" i="50" s="1"/>
  <c r="CP23" i="50" s="1"/>
  <c r="CQ23" i="50" s="1"/>
  <c r="CR23" i="50" s="1"/>
  <c r="CS23" i="50" s="1"/>
  <c r="CT23" i="50" s="1"/>
  <c r="CU23" i="50" s="1"/>
  <c r="CV23" i="50" s="1"/>
  <c r="CW23" i="50" s="1"/>
  <c r="CX23" i="50" s="1"/>
  <c r="CY23" i="50" s="1"/>
  <c r="DS22" i="50"/>
  <c r="DU22" i="50" s="1"/>
  <c r="DW22" i="50" s="1"/>
  <c r="DX22" i="50" s="1"/>
  <c r="S22" i="50" s="1"/>
  <c r="T22" i="50" s="1"/>
  <c r="AQ23" i="50"/>
  <c r="AR23" i="50"/>
  <c r="AP23" i="50"/>
  <c r="AS23" i="50"/>
  <c r="DT22" i="50" l="1"/>
  <c r="W23" i="50"/>
  <c r="CZ23" i="50"/>
  <c r="B23" i="50" s="1"/>
  <c r="DA23" i="50"/>
  <c r="DB23" i="50" s="1"/>
  <c r="DC23" i="50" s="1"/>
  <c r="DD23" i="50" s="1"/>
  <c r="DE23" i="50" s="1"/>
  <c r="DF23" i="50" s="1"/>
  <c r="DG23" i="50" s="1"/>
  <c r="DH23" i="50" s="1"/>
  <c r="DI23" i="50" s="1"/>
  <c r="DJ23" i="50" s="1"/>
  <c r="DK23" i="50" s="1"/>
  <c r="DL23" i="50" s="1"/>
  <c r="DM23" i="50" s="1"/>
  <c r="DN23" i="50" s="1"/>
  <c r="DO23" i="50" s="1"/>
  <c r="DP23" i="50" s="1"/>
  <c r="DQ23" i="50" l="1"/>
  <c r="I23" i="50"/>
  <c r="D24" i="50" s="1"/>
  <c r="BB24" i="50" l="1"/>
  <c r="BC24" i="50" s="1"/>
  <c r="BD24" i="50" s="1"/>
  <c r="BE24" i="50" s="1"/>
  <c r="BF24" i="50" s="1"/>
  <c r="BG24" i="50" s="1"/>
  <c r="BH24" i="50" s="1"/>
  <c r="BI24" i="50" s="1"/>
  <c r="BJ24" i="50" s="1"/>
  <c r="BK24" i="50" s="1"/>
  <c r="BL24" i="50" s="1"/>
  <c r="BM24" i="50" s="1"/>
  <c r="BN24" i="50" s="1"/>
  <c r="BO24" i="50" s="1"/>
  <c r="BP24" i="50" s="1"/>
  <c r="BQ24" i="50" s="1"/>
  <c r="DS23" i="50"/>
  <c r="DT23" i="50" l="1"/>
  <c r="DU23" i="50"/>
  <c r="DW23" i="50" s="1"/>
  <c r="DX23" i="50" s="1"/>
  <c r="S23" i="50" s="1"/>
  <c r="T23" i="50" s="1"/>
  <c r="AS24" i="50"/>
  <c r="AP24" i="50"/>
  <c r="AR24" i="50"/>
  <c r="AQ24" i="50"/>
  <c r="BR24" i="50"/>
  <c r="BS24" i="50" s="1"/>
  <c r="BT24" i="50" s="1"/>
  <c r="BU24" i="50" s="1"/>
  <c r="BV24" i="50" s="1"/>
  <c r="BW24" i="50" s="1"/>
  <c r="BX24" i="50" s="1"/>
  <c r="BY24" i="50" s="1"/>
  <c r="BZ24" i="50" s="1"/>
  <c r="CA24" i="50" s="1"/>
  <c r="CB24" i="50" s="1"/>
  <c r="CC24" i="50" s="1"/>
  <c r="CD24" i="50" s="1"/>
  <c r="CE24" i="50" s="1"/>
  <c r="CF24" i="50" s="1"/>
  <c r="CG24" i="50" s="1"/>
  <c r="CH24" i="50" s="1"/>
  <c r="CI24" i="50" s="1"/>
  <c r="CJ24" i="50" s="1"/>
  <c r="CK24" i="50" s="1"/>
  <c r="CL24" i="50" s="1"/>
  <c r="CM24" i="50" s="1"/>
  <c r="CN24" i="50" s="1"/>
  <c r="CO24" i="50" s="1"/>
  <c r="CP24" i="50" s="1"/>
  <c r="CQ24" i="50" s="1"/>
  <c r="CR24" i="50" s="1"/>
  <c r="CS24" i="50" s="1"/>
  <c r="CT24" i="50" s="1"/>
  <c r="CU24" i="50" s="1"/>
  <c r="CV24" i="50" s="1"/>
  <c r="CW24" i="50" s="1"/>
  <c r="CX24" i="50" s="1"/>
  <c r="CY24" i="50" s="1"/>
  <c r="W24" i="50" l="1"/>
  <c r="DA24" i="50"/>
  <c r="DB24" i="50" s="1"/>
  <c r="DC24" i="50" s="1"/>
  <c r="DD24" i="50" s="1"/>
  <c r="DE24" i="50" s="1"/>
  <c r="DF24" i="50" s="1"/>
  <c r="DG24" i="50" s="1"/>
  <c r="DH24" i="50" s="1"/>
  <c r="DI24" i="50" s="1"/>
  <c r="DJ24" i="50" s="1"/>
  <c r="DK24" i="50" s="1"/>
  <c r="DL24" i="50" s="1"/>
  <c r="DM24" i="50" s="1"/>
  <c r="DN24" i="50" s="1"/>
  <c r="DO24" i="50" s="1"/>
  <c r="DP24" i="50" s="1"/>
  <c r="CZ24" i="50"/>
  <c r="B24" i="50" s="1"/>
  <c r="DQ24" i="50" l="1"/>
  <c r="I24" i="50"/>
  <c r="D25" i="50" s="1"/>
  <c r="BB25" i="50" l="1"/>
  <c r="BC25" i="50" s="1"/>
  <c r="BD25" i="50" s="1"/>
  <c r="BE25" i="50" s="1"/>
  <c r="BF25" i="50" s="1"/>
  <c r="BG25" i="50" s="1"/>
  <c r="BH25" i="50" s="1"/>
  <c r="BI25" i="50" s="1"/>
  <c r="BJ25" i="50" s="1"/>
  <c r="BK25" i="50" s="1"/>
  <c r="BL25" i="50" s="1"/>
  <c r="BM25" i="50" s="1"/>
  <c r="BN25" i="50" s="1"/>
  <c r="BO25" i="50" s="1"/>
  <c r="BP25" i="50" s="1"/>
  <c r="BQ25" i="50" s="1"/>
  <c r="DS24" i="50"/>
  <c r="DT24" i="50" l="1"/>
  <c r="DU24" i="50"/>
  <c r="DW24" i="50" s="1"/>
  <c r="DX24" i="50" s="1"/>
  <c r="S24" i="50" s="1"/>
  <c r="T24" i="50" s="1"/>
  <c r="AS25" i="50"/>
  <c r="AP25" i="50"/>
  <c r="AR25" i="50"/>
  <c r="AQ25" i="50"/>
  <c r="BR25" i="50"/>
  <c r="BS25" i="50" s="1"/>
  <c r="BT25" i="50" s="1"/>
  <c r="BU25" i="50" s="1"/>
  <c r="BV25" i="50" s="1"/>
  <c r="BW25" i="50" s="1"/>
  <c r="BX25" i="50" s="1"/>
  <c r="BY25" i="50" s="1"/>
  <c r="BZ25" i="50" s="1"/>
  <c r="CA25" i="50" s="1"/>
  <c r="CB25" i="50" s="1"/>
  <c r="CC25" i="50" s="1"/>
  <c r="CD25" i="50" s="1"/>
  <c r="CE25" i="50" s="1"/>
  <c r="CF25" i="50" s="1"/>
  <c r="CG25" i="50" s="1"/>
  <c r="CH25" i="50" s="1"/>
  <c r="CI25" i="50" s="1"/>
  <c r="CJ25" i="50" s="1"/>
  <c r="CK25" i="50" s="1"/>
  <c r="CL25" i="50" s="1"/>
  <c r="CM25" i="50" s="1"/>
  <c r="CN25" i="50" s="1"/>
  <c r="CO25" i="50" s="1"/>
  <c r="CP25" i="50" s="1"/>
  <c r="CQ25" i="50" s="1"/>
  <c r="CR25" i="50" s="1"/>
  <c r="CS25" i="50" s="1"/>
  <c r="CT25" i="50" s="1"/>
  <c r="CU25" i="50" s="1"/>
  <c r="CV25" i="50" s="1"/>
  <c r="CW25" i="50" s="1"/>
  <c r="CX25" i="50" s="1"/>
  <c r="CY25" i="50" s="1"/>
  <c r="W25" i="50" l="1"/>
  <c r="CZ25" i="50"/>
  <c r="B25" i="50" s="1"/>
  <c r="DA25" i="50"/>
  <c r="DB25" i="50" s="1"/>
  <c r="DC25" i="50" s="1"/>
  <c r="DD25" i="50" s="1"/>
  <c r="DE25" i="50" s="1"/>
  <c r="DF25" i="50" s="1"/>
  <c r="DG25" i="50" s="1"/>
  <c r="DH25" i="50" s="1"/>
  <c r="DI25" i="50" s="1"/>
  <c r="DJ25" i="50" s="1"/>
  <c r="DK25" i="50" s="1"/>
  <c r="DL25" i="50" s="1"/>
  <c r="DM25" i="50" s="1"/>
  <c r="DN25" i="50" s="1"/>
  <c r="DO25" i="50" s="1"/>
  <c r="DP25" i="50" s="1"/>
  <c r="DQ25" i="50" l="1"/>
  <c r="I25" i="50"/>
  <c r="D26" i="50" s="1"/>
  <c r="BB26" i="50" l="1"/>
  <c r="BC26" i="50" s="1"/>
  <c r="BD26" i="50" s="1"/>
  <c r="BE26" i="50" s="1"/>
  <c r="BF26" i="50" s="1"/>
  <c r="BG26" i="50" s="1"/>
  <c r="BH26" i="50" s="1"/>
  <c r="BI26" i="50" s="1"/>
  <c r="BJ26" i="50" s="1"/>
  <c r="BK26" i="50" s="1"/>
  <c r="BL26" i="50" s="1"/>
  <c r="BM26" i="50" s="1"/>
  <c r="BN26" i="50" s="1"/>
  <c r="BO26" i="50" s="1"/>
  <c r="BP26" i="50" s="1"/>
  <c r="BQ26" i="50" s="1"/>
  <c r="DS25" i="50"/>
  <c r="DT25" i="50" l="1"/>
  <c r="DU25" i="50"/>
  <c r="DW25" i="50" s="1"/>
  <c r="DX25" i="50" s="1"/>
  <c r="S25" i="50" s="1"/>
  <c r="T25" i="50" s="1"/>
  <c r="AP26" i="50"/>
  <c r="AS26" i="50"/>
  <c r="AQ26" i="50"/>
  <c r="AR26" i="50"/>
  <c r="BR26" i="50"/>
  <c r="BS26" i="50" s="1"/>
  <c r="BT26" i="50" s="1"/>
  <c r="BU26" i="50" s="1"/>
  <c r="BV26" i="50" s="1"/>
  <c r="BW26" i="50" s="1"/>
  <c r="BX26" i="50" s="1"/>
  <c r="BY26" i="50" s="1"/>
  <c r="BZ26" i="50" s="1"/>
  <c r="CA26" i="50" s="1"/>
  <c r="CB26" i="50" s="1"/>
  <c r="CC26" i="50" s="1"/>
  <c r="CD26" i="50" s="1"/>
  <c r="CE26" i="50" s="1"/>
  <c r="CF26" i="50" s="1"/>
  <c r="CG26" i="50" s="1"/>
  <c r="CH26" i="50" s="1"/>
  <c r="CI26" i="50" s="1"/>
  <c r="CJ26" i="50" s="1"/>
  <c r="CK26" i="50" s="1"/>
  <c r="CL26" i="50" s="1"/>
  <c r="CM26" i="50" s="1"/>
  <c r="CN26" i="50" s="1"/>
  <c r="CO26" i="50" s="1"/>
  <c r="CP26" i="50" s="1"/>
  <c r="CQ26" i="50" s="1"/>
  <c r="CR26" i="50" s="1"/>
  <c r="CS26" i="50" s="1"/>
  <c r="CT26" i="50" s="1"/>
  <c r="CU26" i="50" s="1"/>
  <c r="CV26" i="50" s="1"/>
  <c r="CW26" i="50" s="1"/>
  <c r="CX26" i="50" s="1"/>
  <c r="CY26" i="50" s="1"/>
  <c r="W26" i="50" l="1"/>
  <c r="DA26" i="50"/>
  <c r="DB26" i="50" s="1"/>
  <c r="DC26" i="50" s="1"/>
  <c r="DD26" i="50" s="1"/>
  <c r="DE26" i="50" s="1"/>
  <c r="DF26" i="50" s="1"/>
  <c r="DG26" i="50" s="1"/>
  <c r="DH26" i="50" s="1"/>
  <c r="DI26" i="50" s="1"/>
  <c r="DJ26" i="50" s="1"/>
  <c r="DK26" i="50" s="1"/>
  <c r="DL26" i="50" s="1"/>
  <c r="DM26" i="50" s="1"/>
  <c r="DN26" i="50" s="1"/>
  <c r="DO26" i="50" s="1"/>
  <c r="DP26" i="50" s="1"/>
  <c r="CZ26" i="50"/>
  <c r="B26" i="50" s="1"/>
  <c r="DQ26" i="50" l="1"/>
  <c r="I26" i="50"/>
  <c r="D27" i="50" s="1"/>
  <c r="BB27" i="50" l="1"/>
  <c r="BC27" i="50" s="1"/>
  <c r="BD27" i="50" s="1"/>
  <c r="BE27" i="50" s="1"/>
  <c r="BF27" i="50" s="1"/>
  <c r="BG27" i="50" s="1"/>
  <c r="BH27" i="50" s="1"/>
  <c r="BI27" i="50" s="1"/>
  <c r="BJ27" i="50" s="1"/>
  <c r="BK27" i="50" s="1"/>
  <c r="BL27" i="50" s="1"/>
  <c r="BM27" i="50" s="1"/>
  <c r="BN27" i="50" s="1"/>
  <c r="BO27" i="50" s="1"/>
  <c r="BP27" i="50" s="1"/>
  <c r="BQ27" i="50" s="1"/>
  <c r="DS26" i="50"/>
  <c r="DU26" i="50" l="1"/>
  <c r="DW26" i="50" s="1"/>
  <c r="DX26" i="50" s="1"/>
  <c r="S26" i="50" s="1"/>
  <c r="T26" i="50" s="1"/>
  <c r="DT26" i="50"/>
  <c r="AS27" i="50"/>
  <c r="AP27" i="50"/>
  <c r="AQ27" i="50"/>
  <c r="AR27" i="50"/>
  <c r="BR27" i="50"/>
  <c r="BS27" i="50" s="1"/>
  <c r="BT27" i="50" s="1"/>
  <c r="BU27" i="50" s="1"/>
  <c r="BV27" i="50" s="1"/>
  <c r="BW27" i="50" s="1"/>
  <c r="BX27" i="50" s="1"/>
  <c r="BY27" i="50" s="1"/>
  <c r="BZ27" i="50" s="1"/>
  <c r="CA27" i="50" s="1"/>
  <c r="CB27" i="50" s="1"/>
  <c r="CC27" i="50" s="1"/>
  <c r="CD27" i="50" s="1"/>
  <c r="CE27" i="50" s="1"/>
  <c r="CF27" i="50" s="1"/>
  <c r="CG27" i="50" s="1"/>
  <c r="CH27" i="50" s="1"/>
  <c r="CI27" i="50" s="1"/>
  <c r="CJ27" i="50" s="1"/>
  <c r="CK27" i="50" s="1"/>
  <c r="CL27" i="50" s="1"/>
  <c r="CM27" i="50" s="1"/>
  <c r="CN27" i="50" s="1"/>
  <c r="CO27" i="50" s="1"/>
  <c r="CP27" i="50" s="1"/>
  <c r="CQ27" i="50" s="1"/>
  <c r="CR27" i="50" s="1"/>
  <c r="CS27" i="50" s="1"/>
  <c r="CT27" i="50" s="1"/>
  <c r="CU27" i="50" s="1"/>
  <c r="CV27" i="50" s="1"/>
  <c r="CW27" i="50" s="1"/>
  <c r="CX27" i="50" s="1"/>
  <c r="CY27" i="50" s="1"/>
  <c r="W27" i="50" l="1"/>
  <c r="CZ27" i="50"/>
  <c r="B27" i="50" s="1"/>
  <c r="DA27" i="50"/>
  <c r="DB27" i="50" s="1"/>
  <c r="DC27" i="50" s="1"/>
  <c r="DD27" i="50" s="1"/>
  <c r="DE27" i="50" s="1"/>
  <c r="DF27" i="50" s="1"/>
  <c r="DG27" i="50" s="1"/>
  <c r="DH27" i="50" s="1"/>
  <c r="DI27" i="50" s="1"/>
  <c r="DJ27" i="50" s="1"/>
  <c r="DK27" i="50" s="1"/>
  <c r="DL27" i="50" s="1"/>
  <c r="DM27" i="50" s="1"/>
  <c r="DN27" i="50" s="1"/>
  <c r="DO27" i="50" s="1"/>
  <c r="DP27" i="50" s="1"/>
  <c r="DQ27" i="50" l="1"/>
  <c r="I27" i="50"/>
  <c r="D28" i="50" s="1"/>
  <c r="BB28" i="50" l="1"/>
  <c r="BC28" i="50" s="1"/>
  <c r="BD28" i="50" s="1"/>
  <c r="BE28" i="50" s="1"/>
  <c r="BF28" i="50" s="1"/>
  <c r="BG28" i="50" s="1"/>
  <c r="BH28" i="50" s="1"/>
  <c r="BI28" i="50" s="1"/>
  <c r="BJ28" i="50" s="1"/>
  <c r="BK28" i="50" s="1"/>
  <c r="BL28" i="50" s="1"/>
  <c r="BM28" i="50" s="1"/>
  <c r="BN28" i="50" s="1"/>
  <c r="BO28" i="50" s="1"/>
  <c r="BP28" i="50" s="1"/>
  <c r="BQ28" i="50" s="1"/>
  <c r="DS27" i="50"/>
  <c r="DT27" i="50" l="1"/>
  <c r="DU27" i="50"/>
  <c r="DW27" i="50" s="1"/>
  <c r="DX27" i="50" s="1"/>
  <c r="S27" i="50" s="1"/>
  <c r="T27" i="50" s="1"/>
  <c r="AR28" i="50"/>
  <c r="AS28" i="50"/>
  <c r="AP28" i="50"/>
  <c r="AQ28" i="50"/>
  <c r="BR28" i="50"/>
  <c r="BS28" i="50" s="1"/>
  <c r="BT28" i="50" s="1"/>
  <c r="BU28" i="50" s="1"/>
  <c r="BV28" i="50" s="1"/>
  <c r="BW28" i="50" s="1"/>
  <c r="BX28" i="50" s="1"/>
  <c r="BY28" i="50" s="1"/>
  <c r="BZ28" i="50" s="1"/>
  <c r="CA28" i="50" s="1"/>
  <c r="CB28" i="50" s="1"/>
  <c r="CC28" i="50" s="1"/>
  <c r="CD28" i="50" s="1"/>
  <c r="CE28" i="50" s="1"/>
  <c r="CF28" i="50" s="1"/>
  <c r="CG28" i="50" s="1"/>
  <c r="CH28" i="50" s="1"/>
  <c r="CI28" i="50" s="1"/>
  <c r="CJ28" i="50" s="1"/>
  <c r="CK28" i="50" s="1"/>
  <c r="CL28" i="50" s="1"/>
  <c r="CM28" i="50" s="1"/>
  <c r="CN28" i="50" s="1"/>
  <c r="CO28" i="50" s="1"/>
  <c r="CP28" i="50" s="1"/>
  <c r="CQ28" i="50" s="1"/>
  <c r="CR28" i="50" s="1"/>
  <c r="CS28" i="50" s="1"/>
  <c r="CT28" i="50" s="1"/>
  <c r="CU28" i="50" s="1"/>
  <c r="CV28" i="50" s="1"/>
  <c r="CW28" i="50" s="1"/>
  <c r="CX28" i="50" s="1"/>
  <c r="CY28" i="50" s="1"/>
  <c r="W28" i="50" l="1"/>
  <c r="CZ28" i="50"/>
  <c r="B28" i="50" s="1"/>
  <c r="DA28" i="50"/>
  <c r="DB28" i="50" s="1"/>
  <c r="DC28" i="50" s="1"/>
  <c r="DD28" i="50" s="1"/>
  <c r="DE28" i="50" s="1"/>
  <c r="DF28" i="50" s="1"/>
  <c r="DG28" i="50" s="1"/>
  <c r="DH28" i="50" s="1"/>
  <c r="DI28" i="50" s="1"/>
  <c r="DJ28" i="50" s="1"/>
  <c r="DK28" i="50" s="1"/>
  <c r="DL28" i="50" s="1"/>
  <c r="DM28" i="50" s="1"/>
  <c r="DN28" i="50" s="1"/>
  <c r="DO28" i="50" s="1"/>
  <c r="DP28" i="50" s="1"/>
  <c r="DQ28" i="50" l="1"/>
  <c r="I28" i="50"/>
  <c r="BB29" i="50" l="1"/>
  <c r="BC29" i="50" s="1"/>
  <c r="BD29" i="50" s="1"/>
  <c r="BE29" i="50" s="1"/>
  <c r="BF29" i="50" s="1"/>
  <c r="BG29" i="50" s="1"/>
  <c r="BH29" i="50" s="1"/>
  <c r="BI29" i="50" s="1"/>
  <c r="BJ29" i="50" s="1"/>
  <c r="BK29" i="50" s="1"/>
  <c r="BL29" i="50" s="1"/>
  <c r="BM29" i="50" s="1"/>
  <c r="BN29" i="50" s="1"/>
  <c r="BO29" i="50" s="1"/>
  <c r="BP29" i="50" s="1"/>
  <c r="BQ29" i="50" s="1"/>
  <c r="D29" i="50"/>
  <c r="DS28" i="50"/>
  <c r="DT28" i="50" l="1"/>
  <c r="DU28" i="50"/>
  <c r="DW28" i="50" s="1"/>
  <c r="DX28" i="50" s="1"/>
  <c r="S28" i="50" s="1"/>
  <c r="T28" i="50" s="1"/>
  <c r="AS29" i="50"/>
  <c r="AP29" i="50"/>
  <c r="AQ29" i="50"/>
  <c r="AR29" i="50"/>
  <c r="BR29" i="50"/>
  <c r="BS29" i="50" s="1"/>
  <c r="BT29" i="50" s="1"/>
  <c r="BU29" i="50" s="1"/>
  <c r="BV29" i="50" s="1"/>
  <c r="BW29" i="50" s="1"/>
  <c r="BX29" i="50" s="1"/>
  <c r="BY29" i="50" s="1"/>
  <c r="BZ29" i="50" s="1"/>
  <c r="CA29" i="50" s="1"/>
  <c r="CB29" i="50" s="1"/>
  <c r="CC29" i="50" s="1"/>
  <c r="CD29" i="50" s="1"/>
  <c r="CE29" i="50" s="1"/>
  <c r="CF29" i="50" s="1"/>
  <c r="CG29" i="50" s="1"/>
  <c r="CH29" i="50" s="1"/>
  <c r="CI29" i="50" s="1"/>
  <c r="CJ29" i="50" s="1"/>
  <c r="CK29" i="50" s="1"/>
  <c r="CL29" i="50" s="1"/>
  <c r="CM29" i="50" s="1"/>
  <c r="CN29" i="50" s="1"/>
  <c r="CO29" i="50" s="1"/>
  <c r="CP29" i="50" s="1"/>
  <c r="CQ29" i="50" s="1"/>
  <c r="CR29" i="50" s="1"/>
  <c r="CS29" i="50" s="1"/>
  <c r="CT29" i="50" s="1"/>
  <c r="CU29" i="50" s="1"/>
  <c r="CV29" i="50" s="1"/>
  <c r="CW29" i="50" s="1"/>
  <c r="CX29" i="50" s="1"/>
  <c r="CY29" i="50" s="1"/>
  <c r="W29" i="50" l="1"/>
  <c r="CZ29" i="50"/>
  <c r="B29" i="50" s="1"/>
  <c r="DA29" i="50"/>
  <c r="DB29" i="50" s="1"/>
  <c r="DC29" i="50" s="1"/>
  <c r="DD29" i="50" s="1"/>
  <c r="DE29" i="50" s="1"/>
  <c r="DF29" i="50" s="1"/>
  <c r="DG29" i="50" s="1"/>
  <c r="DH29" i="50" s="1"/>
  <c r="DI29" i="50" s="1"/>
  <c r="DJ29" i="50" s="1"/>
  <c r="DK29" i="50" s="1"/>
  <c r="DL29" i="50" s="1"/>
  <c r="DM29" i="50" s="1"/>
  <c r="DN29" i="50" s="1"/>
  <c r="DO29" i="50" s="1"/>
  <c r="DP29" i="50" s="1"/>
  <c r="DQ29" i="50" l="1"/>
  <c r="I29" i="50"/>
  <c r="D30" i="50" s="1"/>
  <c r="BB30" i="50" l="1"/>
  <c r="BC30" i="50" s="1"/>
  <c r="BD30" i="50" s="1"/>
  <c r="BE30" i="50" s="1"/>
  <c r="BF30" i="50" s="1"/>
  <c r="BG30" i="50" s="1"/>
  <c r="BH30" i="50" s="1"/>
  <c r="BI30" i="50" s="1"/>
  <c r="BJ30" i="50" s="1"/>
  <c r="BK30" i="50" s="1"/>
  <c r="BL30" i="50" s="1"/>
  <c r="BM30" i="50" s="1"/>
  <c r="BN30" i="50" s="1"/>
  <c r="BO30" i="50" s="1"/>
  <c r="BP30" i="50" s="1"/>
  <c r="BQ30" i="50" s="1"/>
  <c r="DS29" i="50"/>
  <c r="DU29" i="50" l="1"/>
  <c r="DW29" i="50" s="1"/>
  <c r="DX29" i="50" s="1"/>
  <c r="S29" i="50" s="1"/>
  <c r="T29" i="50" s="1"/>
  <c r="DT29" i="50"/>
  <c r="AS30" i="50"/>
  <c r="AP30" i="50"/>
  <c r="AR30" i="50"/>
  <c r="AQ30" i="50"/>
  <c r="BR30" i="50"/>
  <c r="BS30" i="50" s="1"/>
  <c r="BT30" i="50" s="1"/>
  <c r="BU30" i="50" s="1"/>
  <c r="BV30" i="50" s="1"/>
  <c r="BW30" i="50" s="1"/>
  <c r="BX30" i="50" s="1"/>
  <c r="BY30" i="50" s="1"/>
  <c r="BZ30" i="50" s="1"/>
  <c r="CA30" i="50" s="1"/>
  <c r="CB30" i="50" s="1"/>
  <c r="CC30" i="50" s="1"/>
  <c r="CD30" i="50" s="1"/>
  <c r="CE30" i="50" s="1"/>
  <c r="CF30" i="50" s="1"/>
  <c r="CG30" i="50" s="1"/>
  <c r="CH30" i="50" s="1"/>
  <c r="CI30" i="50" s="1"/>
  <c r="CJ30" i="50" s="1"/>
  <c r="CK30" i="50" s="1"/>
  <c r="CL30" i="50" s="1"/>
  <c r="CM30" i="50" s="1"/>
  <c r="CN30" i="50" s="1"/>
  <c r="CO30" i="50" s="1"/>
  <c r="CP30" i="50" s="1"/>
  <c r="CQ30" i="50" s="1"/>
  <c r="CR30" i="50" s="1"/>
  <c r="CS30" i="50" s="1"/>
  <c r="CT30" i="50" s="1"/>
  <c r="CU30" i="50" s="1"/>
  <c r="CV30" i="50" s="1"/>
  <c r="CW30" i="50" s="1"/>
  <c r="CX30" i="50" s="1"/>
  <c r="CY30" i="50" s="1"/>
  <c r="W30" i="50" l="1"/>
  <c r="CZ30" i="50"/>
  <c r="B30" i="50" s="1"/>
  <c r="DA30" i="50"/>
  <c r="DB30" i="50" s="1"/>
  <c r="DC30" i="50" s="1"/>
  <c r="DD30" i="50" s="1"/>
  <c r="DE30" i="50" s="1"/>
  <c r="DF30" i="50" s="1"/>
  <c r="DG30" i="50" s="1"/>
  <c r="DH30" i="50" s="1"/>
  <c r="DI30" i="50" s="1"/>
  <c r="DJ30" i="50" s="1"/>
  <c r="DK30" i="50" s="1"/>
  <c r="DL30" i="50" s="1"/>
  <c r="DM30" i="50" s="1"/>
  <c r="DN30" i="50" s="1"/>
  <c r="DO30" i="50" s="1"/>
  <c r="DP30" i="50" s="1"/>
  <c r="DQ30" i="50" l="1"/>
  <c r="I30" i="50"/>
  <c r="D31" i="50" s="1"/>
  <c r="BB31" i="50" l="1"/>
  <c r="BC31" i="50" s="1"/>
  <c r="BD31" i="50" s="1"/>
  <c r="BE31" i="50" s="1"/>
  <c r="BF31" i="50" s="1"/>
  <c r="BG31" i="50" s="1"/>
  <c r="BH31" i="50" s="1"/>
  <c r="BI31" i="50" s="1"/>
  <c r="BJ31" i="50" s="1"/>
  <c r="BK31" i="50" s="1"/>
  <c r="BL31" i="50" s="1"/>
  <c r="BM31" i="50" s="1"/>
  <c r="BN31" i="50" s="1"/>
  <c r="BO31" i="50" s="1"/>
  <c r="BP31" i="50" s="1"/>
  <c r="BQ31" i="50" s="1"/>
  <c r="DS30" i="50"/>
  <c r="DT30" i="50" l="1"/>
  <c r="DU30" i="50"/>
  <c r="DW30" i="50" s="1"/>
  <c r="DX30" i="50" s="1"/>
  <c r="S30" i="50" s="1"/>
  <c r="T30" i="50" s="1"/>
  <c r="AP31" i="50"/>
  <c r="AS31" i="50"/>
  <c r="AR31" i="50"/>
  <c r="AQ31" i="50"/>
  <c r="BR31" i="50"/>
  <c r="BS31" i="50" s="1"/>
  <c r="BT31" i="50" s="1"/>
  <c r="BU31" i="50" s="1"/>
  <c r="BV31" i="50" s="1"/>
  <c r="BW31" i="50" s="1"/>
  <c r="BX31" i="50" s="1"/>
  <c r="BY31" i="50" s="1"/>
  <c r="BZ31" i="50" s="1"/>
  <c r="CA31" i="50" s="1"/>
  <c r="CB31" i="50" s="1"/>
  <c r="CC31" i="50" s="1"/>
  <c r="CD31" i="50" s="1"/>
  <c r="CE31" i="50" s="1"/>
  <c r="CF31" i="50" s="1"/>
  <c r="CG31" i="50" s="1"/>
  <c r="CH31" i="50" s="1"/>
  <c r="CI31" i="50" s="1"/>
  <c r="CJ31" i="50" s="1"/>
  <c r="CK31" i="50" s="1"/>
  <c r="CL31" i="50" s="1"/>
  <c r="CM31" i="50" s="1"/>
  <c r="CN31" i="50" s="1"/>
  <c r="CO31" i="50" s="1"/>
  <c r="CP31" i="50" s="1"/>
  <c r="CQ31" i="50" s="1"/>
  <c r="CR31" i="50" s="1"/>
  <c r="CS31" i="50" s="1"/>
  <c r="CT31" i="50" s="1"/>
  <c r="CU31" i="50" s="1"/>
  <c r="CV31" i="50" s="1"/>
  <c r="CW31" i="50" s="1"/>
  <c r="CX31" i="50" s="1"/>
  <c r="CY31" i="50" s="1"/>
  <c r="W31" i="50" l="1"/>
  <c r="CZ31" i="50"/>
  <c r="B31" i="50" s="1"/>
  <c r="DA31" i="50"/>
  <c r="DB31" i="50" s="1"/>
  <c r="DC31" i="50" s="1"/>
  <c r="DD31" i="50" s="1"/>
  <c r="DE31" i="50" s="1"/>
  <c r="DF31" i="50" s="1"/>
  <c r="DG31" i="50" s="1"/>
  <c r="DH31" i="50" s="1"/>
  <c r="DI31" i="50" s="1"/>
  <c r="DJ31" i="50" s="1"/>
  <c r="DK31" i="50" s="1"/>
  <c r="DL31" i="50" s="1"/>
  <c r="DM31" i="50" s="1"/>
  <c r="DN31" i="50" s="1"/>
  <c r="DO31" i="50" s="1"/>
  <c r="DP31" i="50" s="1"/>
  <c r="DQ31" i="50" l="1"/>
  <c r="I31" i="50"/>
  <c r="D32" i="50" s="1"/>
  <c r="BB32" i="50" l="1"/>
  <c r="BC32" i="50" s="1"/>
  <c r="BD32" i="50" s="1"/>
  <c r="BE32" i="50" s="1"/>
  <c r="BF32" i="50" s="1"/>
  <c r="BG32" i="50" s="1"/>
  <c r="BH32" i="50" s="1"/>
  <c r="BI32" i="50" s="1"/>
  <c r="BJ32" i="50" s="1"/>
  <c r="BK32" i="50" s="1"/>
  <c r="BL32" i="50" s="1"/>
  <c r="BM32" i="50" s="1"/>
  <c r="BN32" i="50" s="1"/>
  <c r="BO32" i="50" s="1"/>
  <c r="BP32" i="50" s="1"/>
  <c r="BQ32" i="50" s="1"/>
  <c r="DS31" i="50"/>
  <c r="DU31" i="50" l="1"/>
  <c r="DW31" i="50" s="1"/>
  <c r="DX31" i="50" s="1"/>
  <c r="S31" i="50" s="1"/>
  <c r="T31" i="50" s="1"/>
  <c r="DT31" i="50"/>
  <c r="AS32" i="50"/>
  <c r="AP32" i="50"/>
  <c r="AR32" i="50"/>
  <c r="AQ32" i="50"/>
  <c r="BR32" i="50"/>
  <c r="BS32" i="50" s="1"/>
  <c r="BT32" i="50" s="1"/>
  <c r="BU32" i="50" s="1"/>
  <c r="BV32" i="50" s="1"/>
  <c r="BW32" i="50" s="1"/>
  <c r="BX32" i="50" s="1"/>
  <c r="BY32" i="50" s="1"/>
  <c r="BZ32" i="50" s="1"/>
  <c r="CA32" i="50" s="1"/>
  <c r="CB32" i="50" s="1"/>
  <c r="CC32" i="50" s="1"/>
  <c r="CD32" i="50" s="1"/>
  <c r="CE32" i="50" s="1"/>
  <c r="CF32" i="50" s="1"/>
  <c r="CG32" i="50" s="1"/>
  <c r="CH32" i="50" s="1"/>
  <c r="CI32" i="50" s="1"/>
  <c r="CJ32" i="50" s="1"/>
  <c r="CK32" i="50" s="1"/>
  <c r="CL32" i="50" s="1"/>
  <c r="CM32" i="50" s="1"/>
  <c r="CN32" i="50" s="1"/>
  <c r="CO32" i="50" s="1"/>
  <c r="CP32" i="50" s="1"/>
  <c r="CQ32" i="50" s="1"/>
  <c r="CR32" i="50" s="1"/>
  <c r="CS32" i="50" s="1"/>
  <c r="CT32" i="50" s="1"/>
  <c r="CU32" i="50" s="1"/>
  <c r="CV32" i="50" s="1"/>
  <c r="CW32" i="50" s="1"/>
  <c r="CX32" i="50" s="1"/>
  <c r="CY32" i="50" s="1"/>
  <c r="W32" i="50" l="1"/>
  <c r="DA32" i="50"/>
  <c r="DB32" i="50" s="1"/>
  <c r="DC32" i="50" s="1"/>
  <c r="DD32" i="50" s="1"/>
  <c r="DE32" i="50" s="1"/>
  <c r="DF32" i="50" s="1"/>
  <c r="DG32" i="50" s="1"/>
  <c r="DH32" i="50" s="1"/>
  <c r="DI32" i="50" s="1"/>
  <c r="DJ32" i="50" s="1"/>
  <c r="DK32" i="50" s="1"/>
  <c r="DL32" i="50" s="1"/>
  <c r="DM32" i="50" s="1"/>
  <c r="DN32" i="50" s="1"/>
  <c r="DO32" i="50" s="1"/>
  <c r="DP32" i="50" s="1"/>
  <c r="CZ32" i="50"/>
  <c r="B32" i="50" s="1"/>
  <c r="DQ32" i="50" l="1"/>
  <c r="I32" i="50"/>
  <c r="D33" i="50" s="1"/>
  <c r="BB33" i="50" l="1"/>
  <c r="BC33" i="50" s="1"/>
  <c r="BD33" i="50" s="1"/>
  <c r="BE33" i="50" s="1"/>
  <c r="BF33" i="50" s="1"/>
  <c r="BG33" i="50" s="1"/>
  <c r="BH33" i="50" s="1"/>
  <c r="BI33" i="50" s="1"/>
  <c r="BJ33" i="50" s="1"/>
  <c r="BK33" i="50" s="1"/>
  <c r="BL33" i="50" s="1"/>
  <c r="BM33" i="50" s="1"/>
  <c r="BN33" i="50" s="1"/>
  <c r="BO33" i="50" s="1"/>
  <c r="BP33" i="50" s="1"/>
  <c r="BQ33" i="50" s="1"/>
  <c r="DS32" i="50"/>
  <c r="DU32" i="50" l="1"/>
  <c r="DW32" i="50" s="1"/>
  <c r="DX32" i="50" s="1"/>
  <c r="S32" i="50" s="1"/>
  <c r="T32" i="50" s="1"/>
  <c r="DT32" i="50"/>
  <c r="AP33" i="50"/>
  <c r="AS33" i="50"/>
  <c r="AR33" i="50"/>
  <c r="AQ33" i="50"/>
  <c r="BR33" i="50"/>
  <c r="BS33" i="50" s="1"/>
  <c r="BT33" i="50" s="1"/>
  <c r="BU33" i="50" s="1"/>
  <c r="BV33" i="50" s="1"/>
  <c r="BW33" i="50" s="1"/>
  <c r="BX33" i="50" s="1"/>
  <c r="BY33" i="50" s="1"/>
  <c r="BZ33" i="50" s="1"/>
  <c r="CA33" i="50" s="1"/>
  <c r="CB33" i="50" s="1"/>
  <c r="CC33" i="50" s="1"/>
  <c r="CD33" i="50" s="1"/>
  <c r="CE33" i="50" s="1"/>
  <c r="CF33" i="50" s="1"/>
  <c r="CG33" i="50" s="1"/>
  <c r="CH33" i="50" s="1"/>
  <c r="CI33" i="50" s="1"/>
  <c r="CJ33" i="50" s="1"/>
  <c r="CK33" i="50" s="1"/>
  <c r="CL33" i="50" s="1"/>
  <c r="CM33" i="50" s="1"/>
  <c r="CN33" i="50" s="1"/>
  <c r="CO33" i="50" s="1"/>
  <c r="CP33" i="50" s="1"/>
  <c r="CQ33" i="50" s="1"/>
  <c r="CR33" i="50" s="1"/>
  <c r="CS33" i="50" s="1"/>
  <c r="CT33" i="50" s="1"/>
  <c r="CU33" i="50" s="1"/>
  <c r="CV33" i="50" s="1"/>
  <c r="CW33" i="50" s="1"/>
  <c r="CX33" i="50" s="1"/>
  <c r="CY33" i="50" s="1"/>
  <c r="W33" i="50" l="1"/>
  <c r="CZ33" i="50"/>
  <c r="B33" i="50" s="1"/>
  <c r="DA33" i="50"/>
  <c r="DB33" i="50" s="1"/>
  <c r="DC33" i="50" s="1"/>
  <c r="DD33" i="50" s="1"/>
  <c r="DE33" i="50" s="1"/>
  <c r="DF33" i="50" s="1"/>
  <c r="DG33" i="50" s="1"/>
  <c r="DH33" i="50" s="1"/>
  <c r="DI33" i="50" s="1"/>
  <c r="DJ33" i="50" s="1"/>
  <c r="DK33" i="50" s="1"/>
  <c r="DL33" i="50" s="1"/>
  <c r="DM33" i="50" s="1"/>
  <c r="DN33" i="50" s="1"/>
  <c r="DO33" i="50" s="1"/>
  <c r="DP33" i="50" s="1"/>
  <c r="DQ33" i="50" l="1"/>
  <c r="I33" i="50"/>
  <c r="D34" i="50" s="1"/>
  <c r="BB34" i="50" l="1"/>
  <c r="BC34" i="50" s="1"/>
  <c r="BD34" i="50" s="1"/>
  <c r="BE34" i="50" s="1"/>
  <c r="BF34" i="50" s="1"/>
  <c r="BG34" i="50" s="1"/>
  <c r="BH34" i="50" s="1"/>
  <c r="BI34" i="50" s="1"/>
  <c r="BJ34" i="50" s="1"/>
  <c r="BK34" i="50" s="1"/>
  <c r="BL34" i="50" s="1"/>
  <c r="BM34" i="50" s="1"/>
  <c r="BN34" i="50" s="1"/>
  <c r="BO34" i="50" s="1"/>
  <c r="BP34" i="50" s="1"/>
  <c r="BQ34" i="50" s="1"/>
  <c r="DS33" i="50"/>
  <c r="DT33" i="50" l="1"/>
  <c r="DU33" i="50"/>
  <c r="DW33" i="50" s="1"/>
  <c r="DX33" i="50" s="1"/>
  <c r="S33" i="50" s="1"/>
  <c r="T33" i="50" s="1"/>
  <c r="AS34" i="50"/>
  <c r="AP34" i="50"/>
  <c r="AR34" i="50"/>
  <c r="AQ34" i="50"/>
  <c r="BR34" i="50"/>
  <c r="BS34" i="50" s="1"/>
  <c r="BT34" i="50" s="1"/>
  <c r="BU34" i="50" s="1"/>
  <c r="BV34" i="50" s="1"/>
  <c r="BW34" i="50" s="1"/>
  <c r="BX34" i="50" s="1"/>
  <c r="BY34" i="50" s="1"/>
  <c r="BZ34" i="50" s="1"/>
  <c r="CA34" i="50" s="1"/>
  <c r="CB34" i="50" s="1"/>
  <c r="CC34" i="50" s="1"/>
  <c r="CD34" i="50" s="1"/>
  <c r="CE34" i="50" s="1"/>
  <c r="CF34" i="50" s="1"/>
  <c r="CG34" i="50" s="1"/>
  <c r="CH34" i="50" s="1"/>
  <c r="CI34" i="50" s="1"/>
  <c r="CJ34" i="50" s="1"/>
  <c r="CK34" i="50" s="1"/>
  <c r="CL34" i="50" s="1"/>
  <c r="CM34" i="50" s="1"/>
  <c r="CN34" i="50" s="1"/>
  <c r="CO34" i="50" s="1"/>
  <c r="CP34" i="50" s="1"/>
  <c r="CQ34" i="50" s="1"/>
  <c r="CR34" i="50" s="1"/>
  <c r="CS34" i="50" s="1"/>
  <c r="CT34" i="50" s="1"/>
  <c r="CU34" i="50" s="1"/>
  <c r="CV34" i="50" s="1"/>
  <c r="CW34" i="50" s="1"/>
  <c r="CX34" i="50" s="1"/>
  <c r="CY34" i="50" s="1"/>
  <c r="W34" i="50" l="1"/>
  <c r="DA34" i="50"/>
  <c r="DB34" i="50" s="1"/>
  <c r="DC34" i="50" s="1"/>
  <c r="DD34" i="50" s="1"/>
  <c r="DE34" i="50" s="1"/>
  <c r="DF34" i="50" s="1"/>
  <c r="DG34" i="50" s="1"/>
  <c r="DH34" i="50" s="1"/>
  <c r="DI34" i="50" s="1"/>
  <c r="DJ34" i="50" s="1"/>
  <c r="DK34" i="50" s="1"/>
  <c r="DL34" i="50" s="1"/>
  <c r="DM34" i="50" s="1"/>
  <c r="DN34" i="50" s="1"/>
  <c r="DO34" i="50" s="1"/>
  <c r="DP34" i="50" s="1"/>
  <c r="CZ34" i="50"/>
  <c r="B34" i="50" s="1"/>
  <c r="DQ34" i="50" l="1"/>
  <c r="I34" i="50"/>
  <c r="D35" i="50" s="1"/>
  <c r="BB35" i="50" l="1"/>
  <c r="BC35" i="50" s="1"/>
  <c r="BD35" i="50" s="1"/>
  <c r="BE35" i="50" s="1"/>
  <c r="BF35" i="50" s="1"/>
  <c r="BG35" i="50" s="1"/>
  <c r="BH35" i="50" s="1"/>
  <c r="BI35" i="50" s="1"/>
  <c r="BJ35" i="50" s="1"/>
  <c r="BK35" i="50" s="1"/>
  <c r="BL35" i="50" s="1"/>
  <c r="BM35" i="50" s="1"/>
  <c r="BN35" i="50" s="1"/>
  <c r="BO35" i="50" s="1"/>
  <c r="BP35" i="50" s="1"/>
  <c r="BQ35" i="50" s="1"/>
  <c r="DS34" i="50"/>
  <c r="DT34" i="50" l="1"/>
  <c r="DU34" i="50"/>
  <c r="DW34" i="50" s="1"/>
  <c r="DX34" i="50" s="1"/>
  <c r="S34" i="50" s="1"/>
  <c r="T34" i="50" s="1"/>
  <c r="AS35" i="50"/>
  <c r="AP35" i="50"/>
  <c r="AR35" i="50"/>
  <c r="AQ35" i="50"/>
  <c r="BR35" i="50"/>
  <c r="BS35" i="50" s="1"/>
  <c r="BT35" i="50" s="1"/>
  <c r="BU35" i="50" s="1"/>
  <c r="BV35" i="50" s="1"/>
  <c r="BW35" i="50" s="1"/>
  <c r="BX35" i="50" s="1"/>
  <c r="BY35" i="50" s="1"/>
  <c r="BZ35" i="50" s="1"/>
  <c r="CA35" i="50" s="1"/>
  <c r="CB35" i="50" s="1"/>
  <c r="CC35" i="50" s="1"/>
  <c r="CD35" i="50" s="1"/>
  <c r="CE35" i="50" s="1"/>
  <c r="CF35" i="50" s="1"/>
  <c r="CG35" i="50" s="1"/>
  <c r="CH35" i="50" s="1"/>
  <c r="CI35" i="50" s="1"/>
  <c r="CJ35" i="50" s="1"/>
  <c r="CK35" i="50" s="1"/>
  <c r="CL35" i="50" s="1"/>
  <c r="CM35" i="50" s="1"/>
  <c r="CN35" i="50" s="1"/>
  <c r="CO35" i="50" s="1"/>
  <c r="CP35" i="50" s="1"/>
  <c r="CQ35" i="50" s="1"/>
  <c r="CR35" i="50" s="1"/>
  <c r="CS35" i="50" s="1"/>
  <c r="CT35" i="50" s="1"/>
  <c r="CU35" i="50" s="1"/>
  <c r="CV35" i="50" s="1"/>
  <c r="CW35" i="50" s="1"/>
  <c r="CX35" i="50" s="1"/>
  <c r="CY35" i="50" s="1"/>
  <c r="W35" i="50" l="1"/>
  <c r="CZ35" i="50"/>
  <c r="B35" i="50" s="1"/>
  <c r="DA35" i="50"/>
  <c r="DB35" i="50" s="1"/>
  <c r="DC35" i="50" s="1"/>
  <c r="DD35" i="50" s="1"/>
  <c r="DE35" i="50" s="1"/>
  <c r="DF35" i="50" s="1"/>
  <c r="DG35" i="50" s="1"/>
  <c r="DH35" i="50" s="1"/>
  <c r="DI35" i="50" s="1"/>
  <c r="DJ35" i="50" s="1"/>
  <c r="DK35" i="50" s="1"/>
  <c r="DL35" i="50" s="1"/>
  <c r="DM35" i="50" s="1"/>
  <c r="DN35" i="50" s="1"/>
  <c r="DO35" i="50" s="1"/>
  <c r="DP35" i="50" s="1"/>
  <c r="DQ35" i="50" l="1"/>
  <c r="I35" i="50"/>
  <c r="D36" i="50" s="1"/>
  <c r="BB36" i="50" l="1"/>
  <c r="BC36" i="50" s="1"/>
  <c r="BD36" i="50" s="1"/>
  <c r="BE36" i="50" s="1"/>
  <c r="BF36" i="50" s="1"/>
  <c r="BG36" i="50" s="1"/>
  <c r="BH36" i="50" s="1"/>
  <c r="BI36" i="50" s="1"/>
  <c r="BJ36" i="50" s="1"/>
  <c r="BK36" i="50" s="1"/>
  <c r="BL36" i="50" s="1"/>
  <c r="BM36" i="50" s="1"/>
  <c r="BN36" i="50" s="1"/>
  <c r="BO36" i="50" s="1"/>
  <c r="BP36" i="50" s="1"/>
  <c r="BQ36" i="50" s="1"/>
  <c r="DS35" i="50"/>
  <c r="DU35" i="50" l="1"/>
  <c r="DW35" i="50" s="1"/>
  <c r="DX35" i="50" s="1"/>
  <c r="S35" i="50" s="1"/>
  <c r="T35" i="50" s="1"/>
  <c r="DT35" i="50"/>
  <c r="AP36" i="50"/>
  <c r="AR36" i="50"/>
  <c r="AQ36" i="50"/>
  <c r="BR36" i="50"/>
  <c r="BS36" i="50" s="1"/>
  <c r="BT36" i="50" s="1"/>
  <c r="BU36" i="50" s="1"/>
  <c r="BV36" i="50" s="1"/>
  <c r="BW36" i="50" s="1"/>
  <c r="BX36" i="50" s="1"/>
  <c r="BY36" i="50" s="1"/>
  <c r="BZ36" i="50" s="1"/>
  <c r="CA36" i="50" s="1"/>
  <c r="CB36" i="50" s="1"/>
  <c r="CC36" i="50" s="1"/>
  <c r="CD36" i="50" s="1"/>
  <c r="CE36" i="50" s="1"/>
  <c r="CF36" i="50" s="1"/>
  <c r="CG36" i="50" s="1"/>
  <c r="CH36" i="50" s="1"/>
  <c r="CI36" i="50" s="1"/>
  <c r="CJ36" i="50" s="1"/>
  <c r="CK36" i="50" s="1"/>
  <c r="CL36" i="50" s="1"/>
  <c r="CM36" i="50" s="1"/>
  <c r="CN36" i="50" s="1"/>
  <c r="CO36" i="50" s="1"/>
  <c r="CP36" i="50" s="1"/>
  <c r="CQ36" i="50" s="1"/>
  <c r="CR36" i="50" s="1"/>
  <c r="CS36" i="50" s="1"/>
  <c r="CT36" i="50" s="1"/>
  <c r="CU36" i="50" s="1"/>
  <c r="CV36" i="50" s="1"/>
  <c r="CW36" i="50" s="1"/>
  <c r="CX36" i="50" s="1"/>
  <c r="CY36" i="50" s="1"/>
  <c r="AS36" i="50"/>
  <c r="W36" i="50" l="1"/>
  <c r="CZ36" i="50"/>
  <c r="B36" i="50" s="1"/>
  <c r="DA36" i="50"/>
  <c r="DB36" i="50" s="1"/>
  <c r="DC36" i="50" s="1"/>
  <c r="DD36" i="50" s="1"/>
  <c r="DE36" i="50" s="1"/>
  <c r="DF36" i="50" s="1"/>
  <c r="DG36" i="50" s="1"/>
  <c r="DH36" i="50" s="1"/>
  <c r="DI36" i="50" s="1"/>
  <c r="DJ36" i="50" s="1"/>
  <c r="DK36" i="50" s="1"/>
  <c r="DL36" i="50" s="1"/>
  <c r="DM36" i="50" s="1"/>
  <c r="DN36" i="50" s="1"/>
  <c r="DO36" i="50" s="1"/>
  <c r="DP36" i="50" s="1"/>
  <c r="DQ36" i="50" l="1"/>
  <c r="I36" i="50"/>
  <c r="D37" i="50" s="1"/>
  <c r="BB37" i="50" l="1"/>
  <c r="BC37" i="50" s="1"/>
  <c r="BD37" i="50" s="1"/>
  <c r="BE37" i="50" s="1"/>
  <c r="BF37" i="50" s="1"/>
  <c r="BG37" i="50" s="1"/>
  <c r="BH37" i="50" s="1"/>
  <c r="BI37" i="50" s="1"/>
  <c r="BJ37" i="50" s="1"/>
  <c r="BK37" i="50" s="1"/>
  <c r="BL37" i="50" s="1"/>
  <c r="BM37" i="50" s="1"/>
  <c r="BN37" i="50" s="1"/>
  <c r="BO37" i="50" s="1"/>
  <c r="BP37" i="50" s="1"/>
  <c r="BQ37" i="50" s="1"/>
  <c r="DS36" i="50"/>
  <c r="DT36" i="50" l="1"/>
  <c r="DU36" i="50"/>
  <c r="DW36" i="50" s="1"/>
  <c r="DX36" i="50" s="1"/>
  <c r="S36" i="50" s="1"/>
  <c r="T36" i="50" s="1"/>
  <c r="AR37" i="50"/>
  <c r="AQ37" i="50"/>
  <c r="AS37" i="50"/>
  <c r="AP37" i="50"/>
  <c r="BR37" i="50"/>
  <c r="BS37" i="50" s="1"/>
  <c r="BT37" i="50" s="1"/>
  <c r="BU37" i="50" s="1"/>
  <c r="BV37" i="50" s="1"/>
  <c r="BW37" i="50" s="1"/>
  <c r="BX37" i="50" s="1"/>
  <c r="BY37" i="50" s="1"/>
  <c r="BZ37" i="50" s="1"/>
  <c r="CA37" i="50" s="1"/>
  <c r="CB37" i="50" s="1"/>
  <c r="CC37" i="50" s="1"/>
  <c r="CD37" i="50" s="1"/>
  <c r="CE37" i="50" s="1"/>
  <c r="CF37" i="50" s="1"/>
  <c r="CG37" i="50" s="1"/>
  <c r="CH37" i="50" s="1"/>
  <c r="CI37" i="50" s="1"/>
  <c r="CJ37" i="50" s="1"/>
  <c r="CK37" i="50" s="1"/>
  <c r="CL37" i="50" s="1"/>
  <c r="CM37" i="50" s="1"/>
  <c r="CN37" i="50" s="1"/>
  <c r="CO37" i="50" s="1"/>
  <c r="CP37" i="50" s="1"/>
  <c r="CQ37" i="50" s="1"/>
  <c r="CR37" i="50" s="1"/>
  <c r="CS37" i="50" s="1"/>
  <c r="CT37" i="50" s="1"/>
  <c r="CU37" i="50" s="1"/>
  <c r="CV37" i="50" s="1"/>
  <c r="CW37" i="50" s="1"/>
  <c r="CX37" i="50" s="1"/>
  <c r="CY37" i="50" s="1"/>
  <c r="W37" i="50" l="1"/>
  <c r="CZ37" i="50"/>
  <c r="B37" i="50" s="1"/>
  <c r="DA37" i="50"/>
  <c r="DB37" i="50" s="1"/>
  <c r="DC37" i="50" s="1"/>
  <c r="DD37" i="50" s="1"/>
  <c r="DE37" i="50" s="1"/>
  <c r="DF37" i="50" s="1"/>
  <c r="DG37" i="50" s="1"/>
  <c r="DH37" i="50" s="1"/>
  <c r="DI37" i="50" s="1"/>
  <c r="DJ37" i="50" s="1"/>
  <c r="DK37" i="50" s="1"/>
  <c r="DL37" i="50" s="1"/>
  <c r="DM37" i="50" s="1"/>
  <c r="DN37" i="50" s="1"/>
  <c r="DO37" i="50" s="1"/>
  <c r="DP37" i="50" s="1"/>
  <c r="DQ37" i="50" l="1"/>
  <c r="I37" i="50"/>
  <c r="D38" i="50" s="1"/>
  <c r="BB38" i="50" l="1"/>
  <c r="BC38" i="50" s="1"/>
  <c r="BD38" i="50" s="1"/>
  <c r="BE38" i="50" s="1"/>
  <c r="BF38" i="50" s="1"/>
  <c r="BG38" i="50" s="1"/>
  <c r="BH38" i="50" s="1"/>
  <c r="BI38" i="50" s="1"/>
  <c r="BJ38" i="50" s="1"/>
  <c r="BK38" i="50" s="1"/>
  <c r="BL38" i="50" s="1"/>
  <c r="BM38" i="50" s="1"/>
  <c r="BN38" i="50" s="1"/>
  <c r="BO38" i="50" s="1"/>
  <c r="BP38" i="50" s="1"/>
  <c r="BQ38" i="50" s="1"/>
  <c r="DS37" i="50"/>
  <c r="DU37" i="50" l="1"/>
  <c r="DW37" i="50" s="1"/>
  <c r="DX37" i="50" s="1"/>
  <c r="S37" i="50" s="1"/>
  <c r="T37" i="50" s="1"/>
  <c r="DT37" i="50"/>
  <c r="AS38" i="50"/>
  <c r="AP38" i="50"/>
  <c r="AR38" i="50"/>
  <c r="AQ38" i="50"/>
  <c r="BR38" i="50"/>
  <c r="BS38" i="50" s="1"/>
  <c r="BT38" i="50" s="1"/>
  <c r="BU38" i="50" s="1"/>
  <c r="BV38" i="50" s="1"/>
  <c r="BW38" i="50" s="1"/>
  <c r="BX38" i="50" s="1"/>
  <c r="BY38" i="50" s="1"/>
  <c r="BZ38" i="50" s="1"/>
  <c r="CA38" i="50" s="1"/>
  <c r="CB38" i="50" s="1"/>
  <c r="CC38" i="50" s="1"/>
  <c r="CD38" i="50" s="1"/>
  <c r="CE38" i="50" s="1"/>
  <c r="CF38" i="50" s="1"/>
  <c r="CG38" i="50" s="1"/>
  <c r="CH38" i="50" s="1"/>
  <c r="CI38" i="50" s="1"/>
  <c r="CJ38" i="50" s="1"/>
  <c r="CK38" i="50" s="1"/>
  <c r="CL38" i="50" s="1"/>
  <c r="CM38" i="50" s="1"/>
  <c r="CN38" i="50" s="1"/>
  <c r="CO38" i="50" s="1"/>
  <c r="CP38" i="50" s="1"/>
  <c r="CQ38" i="50" s="1"/>
  <c r="CR38" i="50" s="1"/>
  <c r="CS38" i="50" s="1"/>
  <c r="CT38" i="50" s="1"/>
  <c r="CU38" i="50" s="1"/>
  <c r="CV38" i="50" s="1"/>
  <c r="CW38" i="50" s="1"/>
  <c r="CX38" i="50" s="1"/>
  <c r="CY38" i="50" s="1"/>
  <c r="W38" i="50" l="1"/>
  <c r="CZ38" i="50"/>
  <c r="B38" i="50" s="1"/>
  <c r="DA38" i="50"/>
  <c r="DB38" i="50" s="1"/>
  <c r="DC38" i="50" s="1"/>
  <c r="DD38" i="50" s="1"/>
  <c r="DE38" i="50" s="1"/>
  <c r="DF38" i="50" s="1"/>
  <c r="DG38" i="50" s="1"/>
  <c r="DH38" i="50" s="1"/>
  <c r="DI38" i="50" s="1"/>
  <c r="DJ38" i="50" s="1"/>
  <c r="DK38" i="50" s="1"/>
  <c r="DL38" i="50" s="1"/>
  <c r="DM38" i="50" s="1"/>
  <c r="DN38" i="50" s="1"/>
  <c r="DO38" i="50" s="1"/>
  <c r="DP38" i="50" s="1"/>
  <c r="DQ38" i="50" l="1"/>
  <c r="I38" i="50"/>
  <c r="D39" i="50" s="1"/>
  <c r="BB39" i="50" l="1"/>
  <c r="BC39" i="50" s="1"/>
  <c r="BD39" i="50" s="1"/>
  <c r="BE39" i="50" s="1"/>
  <c r="BF39" i="50" s="1"/>
  <c r="BG39" i="50" s="1"/>
  <c r="BH39" i="50" s="1"/>
  <c r="BI39" i="50" s="1"/>
  <c r="BJ39" i="50" s="1"/>
  <c r="BK39" i="50" s="1"/>
  <c r="BL39" i="50" s="1"/>
  <c r="BM39" i="50" s="1"/>
  <c r="BN39" i="50" s="1"/>
  <c r="BO39" i="50" s="1"/>
  <c r="BP39" i="50" s="1"/>
  <c r="BQ39" i="50" s="1"/>
  <c r="DS38" i="50"/>
  <c r="DT38" i="50" l="1"/>
  <c r="DU38" i="50"/>
  <c r="DW38" i="50" s="1"/>
  <c r="DX38" i="50" s="1"/>
  <c r="S38" i="50" s="1"/>
  <c r="T38" i="50" s="1"/>
  <c r="AS39" i="50"/>
  <c r="AP39" i="50"/>
  <c r="AR39" i="50"/>
  <c r="AQ39" i="50"/>
  <c r="BR39" i="50"/>
  <c r="BS39" i="50" s="1"/>
  <c r="BT39" i="50" s="1"/>
  <c r="BU39" i="50" s="1"/>
  <c r="BV39" i="50" s="1"/>
  <c r="BW39" i="50" s="1"/>
  <c r="BX39" i="50" s="1"/>
  <c r="BY39" i="50" s="1"/>
  <c r="BZ39" i="50" s="1"/>
  <c r="CA39" i="50" s="1"/>
  <c r="CB39" i="50" s="1"/>
  <c r="CC39" i="50" s="1"/>
  <c r="CD39" i="50" s="1"/>
  <c r="CE39" i="50" s="1"/>
  <c r="CF39" i="50" s="1"/>
  <c r="CG39" i="50" s="1"/>
  <c r="CH39" i="50" s="1"/>
  <c r="CI39" i="50" s="1"/>
  <c r="CJ39" i="50" s="1"/>
  <c r="CK39" i="50" s="1"/>
  <c r="CL39" i="50" s="1"/>
  <c r="CM39" i="50" s="1"/>
  <c r="CN39" i="50" s="1"/>
  <c r="CO39" i="50" s="1"/>
  <c r="CP39" i="50" s="1"/>
  <c r="CQ39" i="50" s="1"/>
  <c r="CR39" i="50" s="1"/>
  <c r="CS39" i="50" s="1"/>
  <c r="CT39" i="50" s="1"/>
  <c r="CU39" i="50" s="1"/>
  <c r="CV39" i="50" s="1"/>
  <c r="CW39" i="50" s="1"/>
  <c r="CX39" i="50" s="1"/>
  <c r="CY39" i="50" s="1"/>
  <c r="W39" i="50" l="1"/>
  <c r="CZ39" i="50"/>
  <c r="B39" i="50" s="1"/>
  <c r="DA39" i="50"/>
  <c r="DB39" i="50" s="1"/>
  <c r="DC39" i="50" s="1"/>
  <c r="DD39" i="50" s="1"/>
  <c r="DE39" i="50" s="1"/>
  <c r="DF39" i="50" s="1"/>
  <c r="DG39" i="50" s="1"/>
  <c r="DH39" i="50" s="1"/>
  <c r="DI39" i="50" s="1"/>
  <c r="DJ39" i="50" s="1"/>
  <c r="DK39" i="50" s="1"/>
  <c r="DL39" i="50" s="1"/>
  <c r="DM39" i="50" s="1"/>
  <c r="DN39" i="50" s="1"/>
  <c r="DO39" i="50" s="1"/>
  <c r="DP39" i="50" s="1"/>
  <c r="DQ39" i="50" l="1"/>
  <c r="I39" i="50"/>
  <c r="D40" i="50" s="1"/>
  <c r="BB40" i="50" l="1"/>
  <c r="BC40" i="50" s="1"/>
  <c r="BD40" i="50" s="1"/>
  <c r="BE40" i="50" s="1"/>
  <c r="BF40" i="50" s="1"/>
  <c r="BG40" i="50" s="1"/>
  <c r="BH40" i="50" s="1"/>
  <c r="BI40" i="50" s="1"/>
  <c r="BJ40" i="50" s="1"/>
  <c r="BK40" i="50" s="1"/>
  <c r="BL40" i="50" s="1"/>
  <c r="BM40" i="50" s="1"/>
  <c r="BN40" i="50" s="1"/>
  <c r="BO40" i="50" s="1"/>
  <c r="BP40" i="50" s="1"/>
  <c r="BQ40" i="50" s="1"/>
  <c r="DS39" i="50"/>
  <c r="DU39" i="50" l="1"/>
  <c r="DW39" i="50" s="1"/>
  <c r="DX39" i="50" s="1"/>
  <c r="S39" i="50" s="1"/>
  <c r="T39" i="50" s="1"/>
  <c r="DT39" i="50"/>
  <c r="AQ40" i="50"/>
  <c r="AR40" i="50"/>
  <c r="AS40" i="50"/>
  <c r="AP40" i="50"/>
  <c r="BR40" i="50"/>
  <c r="BS40" i="50" s="1"/>
  <c r="BT40" i="50" s="1"/>
  <c r="BU40" i="50" s="1"/>
  <c r="BV40" i="50" s="1"/>
  <c r="BW40" i="50" s="1"/>
  <c r="BX40" i="50" s="1"/>
  <c r="BY40" i="50" s="1"/>
  <c r="BZ40" i="50" s="1"/>
  <c r="CA40" i="50" s="1"/>
  <c r="CB40" i="50" s="1"/>
  <c r="CC40" i="50" s="1"/>
  <c r="CD40" i="50" s="1"/>
  <c r="CE40" i="50" s="1"/>
  <c r="CF40" i="50" s="1"/>
  <c r="CG40" i="50" s="1"/>
  <c r="CH40" i="50" s="1"/>
  <c r="CI40" i="50" s="1"/>
  <c r="CJ40" i="50" s="1"/>
  <c r="CK40" i="50" s="1"/>
  <c r="CL40" i="50" s="1"/>
  <c r="CM40" i="50" s="1"/>
  <c r="CN40" i="50" s="1"/>
  <c r="CO40" i="50" s="1"/>
  <c r="CP40" i="50" s="1"/>
  <c r="CQ40" i="50" s="1"/>
  <c r="CR40" i="50" s="1"/>
  <c r="CS40" i="50" s="1"/>
  <c r="CT40" i="50" s="1"/>
  <c r="CU40" i="50" s="1"/>
  <c r="CV40" i="50" s="1"/>
  <c r="CW40" i="50" s="1"/>
  <c r="CX40" i="50" s="1"/>
  <c r="CY40" i="50" s="1"/>
  <c r="W40" i="50" l="1"/>
  <c r="CZ40" i="50"/>
  <c r="B40" i="50" s="1"/>
  <c r="DA40" i="50"/>
  <c r="DB40" i="50" s="1"/>
  <c r="DC40" i="50" s="1"/>
  <c r="DD40" i="50" s="1"/>
  <c r="DE40" i="50" s="1"/>
  <c r="DF40" i="50" s="1"/>
  <c r="DG40" i="50" s="1"/>
  <c r="DH40" i="50" s="1"/>
  <c r="DI40" i="50" s="1"/>
  <c r="DJ40" i="50" s="1"/>
  <c r="DK40" i="50" s="1"/>
  <c r="DL40" i="50" s="1"/>
  <c r="DM40" i="50" s="1"/>
  <c r="DN40" i="50" s="1"/>
  <c r="DO40" i="50" s="1"/>
  <c r="DP40" i="50" s="1"/>
  <c r="DQ40" i="50" l="1"/>
  <c r="I40" i="50"/>
  <c r="D41" i="50" s="1"/>
  <c r="BB41" i="50" l="1"/>
  <c r="BC41" i="50" s="1"/>
  <c r="BD41" i="50" s="1"/>
  <c r="BE41" i="50" s="1"/>
  <c r="BF41" i="50" s="1"/>
  <c r="BG41" i="50" s="1"/>
  <c r="BH41" i="50" s="1"/>
  <c r="BI41" i="50" s="1"/>
  <c r="BJ41" i="50" s="1"/>
  <c r="BK41" i="50" s="1"/>
  <c r="BL41" i="50" s="1"/>
  <c r="BM41" i="50" s="1"/>
  <c r="BN41" i="50" s="1"/>
  <c r="BO41" i="50" s="1"/>
  <c r="BP41" i="50" s="1"/>
  <c r="BQ41" i="50" s="1"/>
  <c r="DS40" i="50"/>
  <c r="DT40" i="50" l="1"/>
  <c r="DU40" i="50"/>
  <c r="DW40" i="50" s="1"/>
  <c r="DX40" i="50" s="1"/>
  <c r="S40" i="50" s="1"/>
  <c r="T40" i="50" s="1"/>
  <c r="AS41" i="50"/>
  <c r="AP41" i="50"/>
  <c r="W41" i="50" s="1"/>
  <c r="AR41" i="50"/>
  <c r="AQ41" i="50"/>
  <c r="BR41" i="50"/>
  <c r="BS41" i="50" s="1"/>
  <c r="BT41" i="50" s="1"/>
  <c r="BU41" i="50" s="1"/>
  <c r="BV41" i="50" s="1"/>
  <c r="BW41" i="50" s="1"/>
  <c r="BX41" i="50" s="1"/>
  <c r="BY41" i="50" s="1"/>
  <c r="BZ41" i="50" s="1"/>
  <c r="CA41" i="50" s="1"/>
  <c r="CB41" i="50" s="1"/>
  <c r="CC41" i="50" s="1"/>
  <c r="CD41" i="50" s="1"/>
  <c r="CE41" i="50" s="1"/>
  <c r="CF41" i="50" s="1"/>
  <c r="CG41" i="50" s="1"/>
  <c r="CH41" i="50" s="1"/>
  <c r="CI41" i="50" s="1"/>
  <c r="CJ41" i="50" s="1"/>
  <c r="CK41" i="50" s="1"/>
  <c r="CL41" i="50" s="1"/>
  <c r="CM41" i="50" s="1"/>
  <c r="CN41" i="50" s="1"/>
  <c r="CO41" i="50" s="1"/>
  <c r="CP41" i="50" s="1"/>
  <c r="CQ41" i="50" s="1"/>
  <c r="CR41" i="50" s="1"/>
  <c r="CS41" i="50" s="1"/>
  <c r="CT41" i="50" s="1"/>
  <c r="CU41" i="50" s="1"/>
  <c r="CV41" i="50" s="1"/>
  <c r="CW41" i="50" s="1"/>
  <c r="CX41" i="50" s="1"/>
  <c r="CY41" i="50" s="1"/>
  <c r="CZ41" i="50" l="1"/>
  <c r="B41" i="50" s="1"/>
  <c r="DA41" i="50"/>
  <c r="DB41" i="50" s="1"/>
  <c r="DC41" i="50" s="1"/>
  <c r="DD41" i="50" s="1"/>
  <c r="DE41" i="50" s="1"/>
  <c r="DF41" i="50" s="1"/>
  <c r="DG41" i="50" s="1"/>
  <c r="DH41" i="50" s="1"/>
  <c r="DI41" i="50" s="1"/>
  <c r="DJ41" i="50" s="1"/>
  <c r="DK41" i="50" s="1"/>
  <c r="DL41" i="50" s="1"/>
  <c r="DM41" i="50" s="1"/>
  <c r="DN41" i="50" s="1"/>
  <c r="DO41" i="50" s="1"/>
  <c r="DP41" i="50" s="1"/>
  <c r="DQ41" i="50" l="1"/>
  <c r="I41" i="50"/>
  <c r="D42" i="50" s="1"/>
  <c r="BB42" i="50" l="1"/>
  <c r="BC42" i="50" s="1"/>
  <c r="BD42" i="50" s="1"/>
  <c r="BE42" i="50" s="1"/>
  <c r="BF42" i="50" s="1"/>
  <c r="BG42" i="50" s="1"/>
  <c r="BH42" i="50" s="1"/>
  <c r="BI42" i="50" s="1"/>
  <c r="BJ42" i="50" s="1"/>
  <c r="BK42" i="50" s="1"/>
  <c r="BL42" i="50" s="1"/>
  <c r="BM42" i="50" s="1"/>
  <c r="BN42" i="50" s="1"/>
  <c r="BO42" i="50" s="1"/>
  <c r="BP42" i="50" s="1"/>
  <c r="BQ42" i="50" s="1"/>
  <c r="BR42" i="50" s="1"/>
  <c r="BS42" i="50" s="1"/>
  <c r="BT42" i="50" s="1"/>
  <c r="BU42" i="50" s="1"/>
  <c r="BV42" i="50" s="1"/>
  <c r="BW42" i="50" s="1"/>
  <c r="BX42" i="50" s="1"/>
  <c r="BY42" i="50" s="1"/>
  <c r="BZ42" i="50" s="1"/>
  <c r="CA42" i="50" s="1"/>
  <c r="CB42" i="50" s="1"/>
  <c r="CC42" i="50" s="1"/>
  <c r="CD42" i="50" s="1"/>
  <c r="CE42" i="50" s="1"/>
  <c r="CF42" i="50" s="1"/>
  <c r="CG42" i="50" s="1"/>
  <c r="CH42" i="50" s="1"/>
  <c r="CI42" i="50" s="1"/>
  <c r="CJ42" i="50" s="1"/>
  <c r="CK42" i="50" s="1"/>
  <c r="CL42" i="50" s="1"/>
  <c r="CM42" i="50" s="1"/>
  <c r="CN42" i="50" s="1"/>
  <c r="CO42" i="50" s="1"/>
  <c r="CP42" i="50" s="1"/>
  <c r="CQ42" i="50" s="1"/>
  <c r="CR42" i="50" s="1"/>
  <c r="CS42" i="50" s="1"/>
  <c r="CT42" i="50" s="1"/>
  <c r="CU42" i="50" s="1"/>
  <c r="CV42" i="50" s="1"/>
  <c r="CW42" i="50" s="1"/>
  <c r="CX42" i="50" s="1"/>
  <c r="CY42" i="50" s="1"/>
  <c r="DS41" i="50"/>
  <c r="DT41" i="50" s="1"/>
  <c r="DS46" i="50" l="1"/>
  <c r="DU41" i="50"/>
  <c r="DW41" i="50" s="1"/>
  <c r="DX41" i="50" s="1"/>
  <c r="S41" i="50" s="1"/>
  <c r="T41" i="50" s="1"/>
  <c r="DA42" i="50"/>
  <c r="DB42" i="50" s="1"/>
  <c r="DC42" i="50" s="1"/>
  <c r="DD42" i="50" s="1"/>
  <c r="DE42" i="50" s="1"/>
  <c r="DF42" i="50" s="1"/>
  <c r="DG42" i="50" s="1"/>
  <c r="DH42" i="50" s="1"/>
  <c r="DI42" i="50" s="1"/>
  <c r="DJ42" i="50" s="1"/>
  <c r="DK42" i="50" s="1"/>
  <c r="DL42" i="50" s="1"/>
  <c r="DM42" i="50" s="1"/>
  <c r="DN42" i="50" s="1"/>
  <c r="DO42" i="50" s="1"/>
  <c r="AP42" i="50"/>
  <c r="AQ42" i="50"/>
  <c r="AR42" i="50"/>
  <c r="AS42" i="50"/>
  <c r="W42" i="50" s="1"/>
  <c r="CZ42" i="50"/>
  <c r="B42" i="50" s="1"/>
  <c r="DP42" i="50" l="1"/>
  <c r="I42" i="50" s="1"/>
  <c r="D43" i="50" s="1"/>
  <c r="DQ42" i="50" l="1"/>
  <c r="DS42" i="50"/>
  <c r="AP43" i="50"/>
  <c r="AQ43" i="50"/>
  <c r="AR43" i="50"/>
  <c r="AS43" i="50"/>
  <c r="BB43" i="50" l="1"/>
  <c r="BC43" i="50" s="1"/>
  <c r="BD43" i="50" s="1"/>
  <c r="BE43" i="50" s="1"/>
  <c r="BF43" i="50" s="1"/>
  <c r="BG43" i="50" s="1"/>
  <c r="BH43" i="50" s="1"/>
  <c r="BI43" i="50" s="1"/>
  <c r="BJ43" i="50" s="1"/>
  <c r="BK43" i="50" s="1"/>
  <c r="BL43" i="50" s="1"/>
  <c r="BM43" i="50" s="1"/>
  <c r="BN43" i="50" s="1"/>
  <c r="BO43" i="50" s="1"/>
  <c r="BP43" i="50" s="1"/>
  <c r="BQ43" i="50" s="1"/>
  <c r="BR43" i="50" s="1"/>
  <c r="BS43" i="50" s="1"/>
  <c r="BT43" i="50" s="1"/>
  <c r="BU43" i="50" s="1"/>
  <c r="BV43" i="50" s="1"/>
  <c r="BW43" i="50" s="1"/>
  <c r="BX43" i="50" s="1"/>
  <c r="BY43" i="50" s="1"/>
  <c r="BZ43" i="50" s="1"/>
  <c r="CA43" i="50" s="1"/>
  <c r="CB43" i="50" s="1"/>
  <c r="CC43" i="50" s="1"/>
  <c r="CD43" i="50" s="1"/>
  <c r="CE43" i="50" s="1"/>
  <c r="CF43" i="50" s="1"/>
  <c r="CG43" i="50" s="1"/>
  <c r="CH43" i="50" s="1"/>
  <c r="CI43" i="50" s="1"/>
  <c r="CJ43" i="50" s="1"/>
  <c r="CK43" i="50" s="1"/>
  <c r="CL43" i="50" s="1"/>
  <c r="CM43" i="50" s="1"/>
  <c r="CN43" i="50" s="1"/>
  <c r="CO43" i="50" s="1"/>
  <c r="CP43" i="50" s="1"/>
  <c r="CQ43" i="50" s="1"/>
  <c r="CR43" i="50" s="1"/>
  <c r="CS43" i="50" s="1"/>
  <c r="CT43" i="50" s="1"/>
  <c r="CU43" i="50" s="1"/>
  <c r="CV43" i="50" s="1"/>
  <c r="CW43" i="50" s="1"/>
  <c r="CX43" i="50" s="1"/>
  <c r="CY43" i="50" s="1"/>
  <c r="DU42" i="50"/>
  <c r="DW42" i="50" s="1"/>
  <c r="DX42" i="50" s="1"/>
  <c r="S42" i="50" s="1"/>
  <c r="T42" i="50" s="1"/>
  <c r="DT42" i="50"/>
  <c r="W43" i="50"/>
  <c r="CZ43" i="50" l="1"/>
  <c r="B43" i="50" s="1"/>
  <c r="DA43" i="50"/>
  <c r="DB43" i="50" s="1"/>
  <c r="DC43" i="50" s="1"/>
  <c r="DD43" i="50" s="1"/>
  <c r="DE43" i="50" s="1"/>
  <c r="DF43" i="50" s="1"/>
  <c r="DG43" i="50" s="1"/>
  <c r="DH43" i="50" s="1"/>
  <c r="DI43" i="50" s="1"/>
  <c r="DJ43" i="50" s="1"/>
  <c r="DK43" i="50" s="1"/>
  <c r="DL43" i="50" s="1"/>
  <c r="DM43" i="50" s="1"/>
  <c r="DN43" i="50" s="1"/>
  <c r="DO43" i="50" s="1"/>
  <c r="DP43" i="50" s="1"/>
  <c r="DQ43" i="50" s="1"/>
  <c r="BB44" i="50" l="1"/>
  <c r="BC44" i="50" s="1"/>
  <c r="BD44" i="50" s="1"/>
  <c r="BE44" i="50" s="1"/>
  <c r="BF44" i="50" s="1"/>
  <c r="BG44" i="50" s="1"/>
  <c r="BH44" i="50" s="1"/>
  <c r="BI44" i="50" s="1"/>
  <c r="BJ44" i="50" s="1"/>
  <c r="BK44" i="50" s="1"/>
  <c r="BL44" i="50" s="1"/>
  <c r="BM44" i="50" s="1"/>
  <c r="BN44" i="50" s="1"/>
  <c r="BO44" i="50" s="1"/>
  <c r="BP44" i="50" s="1"/>
  <c r="BQ44" i="50" s="1"/>
  <c r="I43" i="50"/>
  <c r="D44" i="50" l="1"/>
  <c r="DS43" i="50"/>
  <c r="W44" i="50"/>
  <c r="DU43" i="50" l="1"/>
  <c r="DW43" i="50" s="1"/>
  <c r="DX43" i="50" s="1"/>
  <c r="S43" i="50" s="1"/>
  <c r="T43" i="50" s="1"/>
  <c r="DT43" i="50"/>
  <c r="BR44" i="50"/>
  <c r="BS44" i="50" s="1"/>
  <c r="BT44" i="50" s="1"/>
  <c r="BU44" i="50" s="1"/>
  <c r="BV44" i="50" s="1"/>
  <c r="BW44" i="50" s="1"/>
  <c r="BX44" i="50" s="1"/>
  <c r="BY44" i="50" s="1"/>
  <c r="BZ44" i="50" s="1"/>
  <c r="CA44" i="50" s="1"/>
  <c r="CB44" i="50" s="1"/>
  <c r="CC44" i="50" s="1"/>
  <c r="CD44" i="50" s="1"/>
  <c r="CE44" i="50" s="1"/>
  <c r="CF44" i="50" s="1"/>
  <c r="CG44" i="50" s="1"/>
  <c r="CH44" i="50" s="1"/>
  <c r="CI44" i="50" s="1"/>
  <c r="CJ44" i="50" s="1"/>
  <c r="CK44" i="50" s="1"/>
  <c r="CL44" i="50" s="1"/>
  <c r="CM44" i="50" s="1"/>
  <c r="CN44" i="50" s="1"/>
  <c r="CO44" i="50" s="1"/>
  <c r="CP44" i="50" s="1"/>
  <c r="CQ44" i="50" s="1"/>
  <c r="CR44" i="50" s="1"/>
  <c r="CS44" i="50" s="1"/>
  <c r="CT44" i="50" s="1"/>
  <c r="CU44" i="50" s="1"/>
  <c r="CV44" i="50" s="1"/>
  <c r="CW44" i="50" s="1"/>
  <c r="CX44" i="50" s="1"/>
  <c r="CY44" i="50" s="1"/>
  <c r="CZ44" i="50" s="1"/>
  <c r="B44" i="50" s="1"/>
  <c r="AS44" i="50"/>
  <c r="AP44" i="50"/>
  <c r="AQ44" i="50"/>
  <c r="AR44" i="50"/>
  <c r="DA44" i="50" l="1"/>
  <c r="DB44" i="50" s="1"/>
  <c r="DC44" i="50" s="1"/>
  <c r="DD44" i="50" s="1"/>
  <c r="DE44" i="50" s="1"/>
  <c r="DF44" i="50" s="1"/>
  <c r="DG44" i="50" s="1"/>
  <c r="DH44" i="50" s="1"/>
  <c r="DI44" i="50" s="1"/>
  <c r="DJ44" i="50" s="1"/>
  <c r="DK44" i="50" s="1"/>
  <c r="DL44" i="50" s="1"/>
  <c r="DM44" i="50" s="1"/>
  <c r="DN44" i="50" s="1"/>
  <c r="DO44" i="50" s="1"/>
  <c r="DP44" i="50" s="1"/>
  <c r="DQ44" i="50" l="1"/>
  <c r="I44" i="50"/>
  <c r="D45" i="50" l="1"/>
  <c r="DS44" i="50"/>
  <c r="BB45" i="50"/>
  <c r="BC45" i="50" s="1"/>
  <c r="BD45" i="50" s="1"/>
  <c r="BE45" i="50" s="1"/>
  <c r="BF45" i="50" s="1"/>
  <c r="BG45" i="50" s="1"/>
  <c r="BH45" i="50" s="1"/>
  <c r="BI45" i="50" s="1"/>
  <c r="BJ45" i="50" s="1"/>
  <c r="BK45" i="50" s="1"/>
  <c r="BL45" i="50" s="1"/>
  <c r="BM45" i="50" s="1"/>
  <c r="BN45" i="50" s="1"/>
  <c r="BO45" i="50" s="1"/>
  <c r="BP45" i="50" s="1"/>
  <c r="BQ45" i="50" s="1"/>
  <c r="DT44" i="50" l="1"/>
  <c r="DU44" i="50"/>
  <c r="DW44" i="50" s="1"/>
  <c r="DX44" i="50" s="1"/>
  <c r="S44" i="50" s="1"/>
  <c r="T44" i="50" s="1"/>
  <c r="BR45" i="50"/>
  <c r="BS45" i="50" s="1"/>
  <c r="BT45" i="50" s="1"/>
  <c r="BU45" i="50" s="1"/>
  <c r="BV45" i="50" s="1"/>
  <c r="BW45" i="50" s="1"/>
  <c r="BX45" i="50" s="1"/>
  <c r="BY45" i="50" s="1"/>
  <c r="BZ45" i="50" s="1"/>
  <c r="CA45" i="50" s="1"/>
  <c r="CB45" i="50" s="1"/>
  <c r="CC45" i="50" s="1"/>
  <c r="CD45" i="50" s="1"/>
  <c r="CE45" i="50" s="1"/>
  <c r="CF45" i="50" s="1"/>
  <c r="CG45" i="50" s="1"/>
  <c r="CH45" i="50" s="1"/>
  <c r="CI45" i="50" s="1"/>
  <c r="CJ45" i="50" s="1"/>
  <c r="CK45" i="50" s="1"/>
  <c r="CL45" i="50" s="1"/>
  <c r="CM45" i="50" s="1"/>
  <c r="CN45" i="50" s="1"/>
  <c r="CO45" i="50" s="1"/>
  <c r="CP45" i="50" s="1"/>
  <c r="CQ45" i="50" s="1"/>
  <c r="CR45" i="50" s="1"/>
  <c r="CS45" i="50" s="1"/>
  <c r="CT45" i="50" s="1"/>
  <c r="CU45" i="50" s="1"/>
  <c r="CV45" i="50" s="1"/>
  <c r="CW45" i="50" s="1"/>
  <c r="CX45" i="50" s="1"/>
  <c r="CY45" i="50" s="1"/>
  <c r="DA45" i="50" s="1"/>
  <c r="DB45" i="50" s="1"/>
  <c r="DC45" i="50" s="1"/>
  <c r="DD45" i="50" s="1"/>
  <c r="DE45" i="50" s="1"/>
  <c r="DF45" i="50" s="1"/>
  <c r="DG45" i="50" s="1"/>
  <c r="DH45" i="50" s="1"/>
  <c r="DI45" i="50" s="1"/>
  <c r="DJ45" i="50" s="1"/>
  <c r="DK45" i="50" s="1"/>
  <c r="DL45" i="50" s="1"/>
  <c r="DM45" i="50" s="1"/>
  <c r="DN45" i="50" s="1"/>
  <c r="DO45" i="50" s="1"/>
  <c r="DP45" i="50" s="1"/>
  <c r="AR45" i="50"/>
  <c r="AS45" i="50"/>
  <c r="AQ45" i="50"/>
  <c r="AP45" i="50"/>
  <c r="I45" i="50" l="1"/>
  <c r="DS45" i="50" s="1"/>
  <c r="DQ45" i="50"/>
  <c r="BB46" i="50" s="1"/>
  <c r="BC46" i="50" s="1"/>
  <c r="BD46" i="50" s="1"/>
  <c r="BE46" i="50" s="1"/>
  <c r="BF46" i="50" s="1"/>
  <c r="BG46" i="50" s="1"/>
  <c r="BH46" i="50" s="1"/>
  <c r="BI46" i="50" s="1"/>
  <c r="BJ46" i="50" s="1"/>
  <c r="BK46" i="50" s="1"/>
  <c r="BL46" i="50" s="1"/>
  <c r="BM46" i="50" s="1"/>
  <c r="BN46" i="50" s="1"/>
  <c r="BO46" i="50" s="1"/>
  <c r="BP46" i="50" s="1"/>
  <c r="BQ46" i="50" s="1"/>
  <c r="BR46" i="50" s="1"/>
  <c r="BS46" i="50" s="1"/>
  <c r="BT46" i="50" s="1"/>
  <c r="BU46" i="50" s="1"/>
  <c r="BV46" i="50" s="1"/>
  <c r="BW46" i="50" s="1"/>
  <c r="BX46" i="50" s="1"/>
  <c r="BY46" i="50" s="1"/>
  <c r="BZ46" i="50" s="1"/>
  <c r="CA46" i="50" s="1"/>
  <c r="CB46" i="50" s="1"/>
  <c r="CC46" i="50" s="1"/>
  <c r="CD46" i="50" s="1"/>
  <c r="CE46" i="50" s="1"/>
  <c r="CF46" i="50" s="1"/>
  <c r="CG46" i="50" s="1"/>
  <c r="CH46" i="50" s="1"/>
  <c r="CI46" i="50" s="1"/>
  <c r="CJ46" i="50" s="1"/>
  <c r="CK46" i="50" s="1"/>
  <c r="CL46" i="50" s="1"/>
  <c r="CM46" i="50" s="1"/>
  <c r="CN46" i="50" s="1"/>
  <c r="CO46" i="50" s="1"/>
  <c r="CP46" i="50" s="1"/>
  <c r="CQ46" i="50" s="1"/>
  <c r="CR46" i="50" s="1"/>
  <c r="CS46" i="50" s="1"/>
  <c r="CT46" i="50" s="1"/>
  <c r="CU46" i="50" s="1"/>
  <c r="CV46" i="50" s="1"/>
  <c r="CW46" i="50" s="1"/>
  <c r="CX46" i="50" s="1"/>
  <c r="CY46" i="50" s="1"/>
  <c r="CZ45" i="50"/>
  <c r="B45" i="50" s="1"/>
  <c r="DT46" i="50" l="1"/>
  <c r="DU46" i="50"/>
  <c r="DW46" i="50" s="1"/>
  <c r="DX46" i="50" s="1"/>
  <c r="DA46" i="50"/>
  <c r="DB46" i="50" s="1"/>
  <c r="DC46" i="50" s="1"/>
  <c r="DD46" i="50" s="1"/>
  <c r="DE46" i="50" s="1"/>
  <c r="DF46" i="50" s="1"/>
  <c r="DG46" i="50" s="1"/>
  <c r="DH46" i="50" s="1"/>
  <c r="DI46" i="50" s="1"/>
  <c r="DJ46" i="50" s="1"/>
  <c r="DK46" i="50" s="1"/>
  <c r="DL46" i="50" s="1"/>
  <c r="DM46" i="50" s="1"/>
  <c r="DN46" i="50" s="1"/>
  <c r="DO46" i="50" s="1"/>
  <c r="DP46" i="50" s="1"/>
  <c r="CZ46" i="50"/>
  <c r="DS47" i="50"/>
  <c r="DT45" i="50"/>
  <c r="DU45" i="50"/>
  <c r="DW45" i="50" s="1"/>
  <c r="DX45" i="50" s="1"/>
  <c r="S45" i="50" s="1"/>
  <c r="T45" i="50" s="1"/>
  <c r="DT47" i="50" l="1"/>
  <c r="DU47" i="50"/>
  <c r="DW47" i="50" s="1"/>
  <c r="DX47" i="50" s="1"/>
  <c r="DQ46" i="50"/>
  <c r="BB47" i="50" l="1"/>
  <c r="BC47" i="50" s="1"/>
  <c r="BD47" i="50" s="1"/>
  <c r="BE47" i="50" s="1"/>
  <c r="BF47" i="50" s="1"/>
  <c r="BG47" i="50" s="1"/>
  <c r="BH47" i="50" s="1"/>
  <c r="BI47" i="50" s="1"/>
  <c r="BJ47" i="50" s="1"/>
  <c r="BK47" i="50" s="1"/>
  <c r="BL47" i="50" s="1"/>
  <c r="BM47" i="50" s="1"/>
  <c r="BN47" i="50" s="1"/>
  <c r="BO47" i="50" s="1"/>
  <c r="BP47" i="50" s="1"/>
  <c r="BQ47" i="50" s="1"/>
  <c r="BR47" i="50" s="1"/>
  <c r="BS47" i="50" s="1"/>
  <c r="BT47" i="50" s="1"/>
  <c r="BU47" i="50" s="1"/>
  <c r="BV47" i="50" s="1"/>
  <c r="BW47" i="50" s="1"/>
  <c r="BX47" i="50" s="1"/>
  <c r="BY47" i="50" s="1"/>
  <c r="BZ47" i="50" s="1"/>
  <c r="CA47" i="50" s="1"/>
  <c r="CB47" i="50" s="1"/>
  <c r="CC47" i="50" s="1"/>
  <c r="CD47" i="50" s="1"/>
  <c r="CE47" i="50" s="1"/>
  <c r="CF47" i="50" s="1"/>
  <c r="CG47" i="50" s="1"/>
  <c r="CH47" i="50" s="1"/>
  <c r="CI47" i="50" s="1"/>
  <c r="CJ47" i="50" s="1"/>
  <c r="CK47" i="50" s="1"/>
  <c r="CL47" i="50" s="1"/>
  <c r="CM47" i="50" s="1"/>
  <c r="CN47" i="50" s="1"/>
  <c r="CO47" i="50" s="1"/>
  <c r="CP47" i="50" s="1"/>
  <c r="CQ47" i="50" s="1"/>
  <c r="CR47" i="50" s="1"/>
  <c r="CS47" i="50" s="1"/>
  <c r="CT47" i="50" s="1"/>
  <c r="CU47" i="50" s="1"/>
  <c r="CV47" i="50" s="1"/>
  <c r="CW47" i="50" s="1"/>
  <c r="CX47" i="50" s="1"/>
  <c r="CY47" i="50" s="1"/>
  <c r="CZ47" i="50" l="1"/>
  <c r="DA47" i="50"/>
  <c r="DB47" i="50" s="1"/>
  <c r="DC47" i="50" s="1"/>
  <c r="DD47" i="50" s="1"/>
  <c r="DE47" i="50" s="1"/>
  <c r="DF47" i="50" s="1"/>
  <c r="DG47" i="50" s="1"/>
  <c r="DH47" i="50" s="1"/>
  <c r="DI47" i="50" s="1"/>
  <c r="DJ47" i="50" s="1"/>
  <c r="DK47" i="50" s="1"/>
  <c r="DL47" i="50" s="1"/>
  <c r="DM47" i="50" s="1"/>
  <c r="DN47" i="50" s="1"/>
  <c r="DO47" i="50" s="1"/>
  <c r="DP47" i="50" s="1"/>
  <c r="DQ47" i="50" l="1"/>
  <c r="DP2"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HeavenX</author>
  </authors>
  <commentList>
    <comment ref="DZ5" authorId="0" shapeId="0" xr:uid="{00000000-0006-0000-0C00-000001000000}">
      <text>
        <r>
          <rPr>
            <sz val="9"/>
            <color indexed="81"/>
            <rFont val="Tahoma"/>
            <family val="2"/>
          </rPr>
          <t>Use this to put in dates for each course manually. Useful for virtual classroom courses.</t>
        </r>
      </text>
    </comment>
  </commentList>
</comments>
</file>

<file path=xl/sharedStrings.xml><?xml version="1.0" encoding="utf-8"?>
<sst xmlns="http://schemas.openxmlformats.org/spreadsheetml/2006/main" count="2608" uniqueCount="1864">
  <si>
    <t>Hours</t>
  </si>
  <si>
    <t>Cost</t>
  </si>
  <si>
    <t>Combo</t>
  </si>
  <si>
    <t>Courses</t>
  </si>
  <si>
    <t>within</t>
  </si>
  <si>
    <t>Address</t>
  </si>
  <si>
    <t>Telephone Number</t>
  </si>
  <si>
    <t>Challenge Hours</t>
  </si>
  <si>
    <t>Challenge Cost</t>
  </si>
  <si>
    <t>Start Date</t>
  </si>
  <si>
    <t>Hours of Operation</t>
  </si>
  <si>
    <t>Start :</t>
  </si>
  <si>
    <t>End  :</t>
  </si>
  <si>
    <t>Exam &amp; Review %</t>
  </si>
  <si>
    <t>Hours per Week</t>
  </si>
  <si>
    <t>Extra/Fewer Weeks</t>
  </si>
  <si>
    <t>Per Diem Rate</t>
  </si>
  <si>
    <t>Description</t>
  </si>
  <si>
    <t>Proposed Training Outline good until -</t>
  </si>
  <si>
    <t>Course Codes</t>
  </si>
  <si>
    <t>*/x</t>
  </si>
  <si>
    <t>Sequence</t>
  </si>
  <si>
    <t>TRAINING OUTLINE</t>
  </si>
  <si>
    <t>Course</t>
  </si>
  <si>
    <t>Code</t>
  </si>
  <si>
    <t>Issue</t>
  </si>
  <si>
    <t>Course Description</t>
  </si>
  <si>
    <t>Exam
Date</t>
  </si>
  <si>
    <t>Enrolment Number</t>
  </si>
  <si>
    <t>PAYMENT DETAILS</t>
  </si>
  <si>
    <t>Date</t>
  </si>
  <si>
    <t>Amount</t>
  </si>
  <si>
    <t>Total</t>
  </si>
  <si>
    <t>Funding</t>
  </si>
  <si>
    <t>PPC</t>
  </si>
  <si>
    <t>Payment</t>
  </si>
  <si>
    <t>Sched
-ule</t>
  </si>
  <si>
    <t>Pay-Per-Course (Y/N)</t>
  </si>
  <si>
    <t>Days per Week</t>
  </si>
  <si>
    <t>Avg Hr/Day</t>
  </si>
  <si>
    <t>Adjusted
Hours</t>
  </si>
  <si>
    <t>Adj Hrs
Conv Days</t>
  </si>
  <si>
    <t>No of
Calendar
Days</t>
  </si>
  <si>
    <t>Applic
Payment</t>
  </si>
  <si>
    <t>Weekday
Date</t>
  </si>
  <si>
    <t>Last non-
Keyboard</t>
  </si>
  <si>
    <t>Closed
Day 1</t>
  </si>
  <si>
    <t>Closed
Day 2</t>
  </si>
  <si>
    <t>Closed
Day 3</t>
  </si>
  <si>
    <t>Closed
Day 4</t>
  </si>
  <si>
    <t>Closed
Day 5</t>
  </si>
  <si>
    <t>Closed
Day 6</t>
  </si>
  <si>
    <t>Closed
Day 7</t>
  </si>
  <si>
    <t>Closed
Day 8</t>
  </si>
  <si>
    <t>Closed
Day 9</t>
  </si>
  <si>
    <t>Closed
Day 10</t>
  </si>
  <si>
    <t>Closed
Day 11</t>
  </si>
  <si>
    <t>Closed
Day 12</t>
  </si>
  <si>
    <t>End Date</t>
  </si>
  <si>
    <t>PROGRAM END-DATE CALCULATION</t>
  </si>
  <si>
    <t>Total break</t>
  </si>
  <si>
    <t>Total Study Hours</t>
  </si>
  <si>
    <t>(Week)</t>
  </si>
  <si>
    <t>(Calendar)</t>
  </si>
  <si>
    <t>Hours / Week</t>
  </si>
  <si>
    <t>Days</t>
  </si>
  <si>
    <t>Number of (extra/fewer) adjustment weeks + or -</t>
  </si>
  <si>
    <t>Force End Date weekday to be a Friday ? Y(es) or N(o)</t>
  </si>
  <si>
    <t>Number of Weeks</t>
  </si>
  <si>
    <t>Raw End Date - 1st time</t>
  </si>
  <si>
    <t>Raw End Date - 2nd time</t>
  </si>
  <si>
    <t>Raw End Date - 3rd time</t>
  </si>
  <si>
    <t>Raw End Date - 4th time</t>
  </si>
  <si>
    <t>Corrected end Date</t>
  </si>
  <si>
    <t>Corrected Total Number of Weeks</t>
  </si>
  <si>
    <t>Notes :</t>
  </si>
  <si>
    <t>Assumes five days per week.</t>
  </si>
  <si>
    <t>Closed days (next sheet) must be in date sequential order</t>
  </si>
  <si>
    <t>Closed days must be entered with no space lines between them</t>
  </si>
  <si>
    <t xml:space="preserve">Warning -  </t>
  </si>
  <si>
    <t>The "Corrected end Date" could be a "Closed Day"</t>
  </si>
  <si>
    <t>Closure days (excluding Weekends) plus Public Holidays</t>
  </si>
  <si>
    <t>New Years Day</t>
  </si>
  <si>
    <t>Good Friday</t>
  </si>
  <si>
    <t>Easter Monday</t>
  </si>
  <si>
    <t>Canada Day</t>
  </si>
  <si>
    <t>British Columbia Day</t>
  </si>
  <si>
    <t>Labour Day</t>
  </si>
  <si>
    <t>Thanksgiving Day</t>
  </si>
  <si>
    <t>Rememberance Day</t>
  </si>
  <si>
    <t>Christmas Period</t>
  </si>
  <si>
    <t>Year Totals</t>
  </si>
  <si>
    <t>Enrolment #</t>
  </si>
  <si>
    <t>Tel :</t>
  </si>
  <si>
    <t>Total Cost</t>
  </si>
  <si>
    <t>Program</t>
  </si>
  <si>
    <t>Comments</t>
  </si>
  <si>
    <t>Student Signature</t>
  </si>
  <si>
    <t>Full Kbd</t>
  </si>
  <si>
    <t>N</t>
  </si>
  <si>
    <t>Thought Patterns Dates</t>
  </si>
  <si>
    <t>Thought</t>
  </si>
  <si>
    <t>Closed
Day 13</t>
  </si>
  <si>
    <t>Closed
Day 14</t>
  </si>
  <si>
    <t>Planned Absence Dates</t>
  </si>
  <si>
    <t>Planned</t>
  </si>
  <si>
    <t>Patterns
Chech</t>
  </si>
  <si>
    <t>Absence
Chech</t>
  </si>
  <si>
    <t>Challenge</t>
  </si>
  <si>
    <t>or not
Kbd</t>
  </si>
  <si>
    <t>Raw Exam
Date</t>
  </si>
  <si>
    <t>*
x</t>
  </si>
  <si>
    <t>Kbd</t>
  </si>
  <si>
    <t>Totals</t>
  </si>
  <si>
    <t>To-date</t>
  </si>
  <si>
    <t>KBD 1</t>
  </si>
  <si>
    <t>KBD 2</t>
  </si>
  <si>
    <t>KBD 3</t>
  </si>
  <si>
    <t>KBD 4</t>
  </si>
  <si>
    <t>Past
Due</t>
  </si>
  <si>
    <t>Less</t>
  </si>
  <si>
    <t>Initial
Courses</t>
  </si>
  <si>
    <t>Not Ful
Kbd</t>
  </si>
  <si>
    <t>Not
Exempt</t>
  </si>
  <si>
    <t>Extra Hrs</t>
  </si>
  <si>
    <t>Balance</t>
  </si>
  <si>
    <t>M4</t>
  </si>
  <si>
    <t>Adj. Days</t>
  </si>
  <si>
    <t>In Program ?</t>
  </si>
  <si>
    <t>=IF(AF6=2,ROUND((AE4-AF4)*0.66,0),IF(AF6=3,ROUND((AE4-AF4)*0.75,0),AE4-AF4))</t>
  </si>
  <si>
    <t>TP</t>
  </si>
  <si>
    <t>During</t>
  </si>
  <si>
    <t>JSR</t>
  </si>
  <si>
    <t>Job Srch</t>
  </si>
  <si>
    <t>Resume
Chech</t>
  </si>
  <si>
    <t>Absence</t>
  </si>
  <si>
    <t>Cost/Payment Variance - Total</t>
  </si>
  <si>
    <t>ADMIN OUTLINE</t>
  </si>
  <si>
    <t>Registration Fee</t>
  </si>
  <si>
    <t>Entrance Exam Fee</t>
  </si>
  <si>
    <t>Transfer info to Student Record &amp; recalculate dates</t>
  </si>
  <si>
    <t>Total Tuition (including text manuals, registration &amp; assessment fees)</t>
  </si>
  <si>
    <t>Friday comp. (Y/N)</t>
  </si>
  <si>
    <t>Program Value Adj.</t>
  </si>
  <si>
    <t>Ctl+Shft+a</t>
  </si>
  <si>
    <t>Ctl+Shft+b</t>
  </si>
  <si>
    <t>Ctl+Shft+c</t>
  </si>
  <si>
    <t>Ctl+Shft+z</t>
  </si>
  <si>
    <t>Ctl+Shft+d</t>
  </si>
  <si>
    <t>Ctl+Shft+e</t>
  </si>
  <si>
    <t>Ctl+Shft+f</t>
  </si>
  <si>
    <t>Ctl+Shft+g</t>
  </si>
  <si>
    <t>Ctl+Shft+h</t>
  </si>
  <si>
    <t>Ctl+Shft+i</t>
  </si>
  <si>
    <t>Ctl+Shft+j</t>
  </si>
  <si>
    <t>Ctl+Shft+k</t>
  </si>
  <si>
    <t>Ctl+Shft+l</t>
  </si>
  <si>
    <t>Ctl+Shft+m</t>
  </si>
  <si>
    <t>Ctl+Shft+n</t>
  </si>
  <si>
    <t>Ctl+Shft+o</t>
  </si>
  <si>
    <t>Ctl+Shft+p</t>
  </si>
  <si>
    <t>Ctl+Shft+q</t>
  </si>
  <si>
    <t>Ctl+Shft+r</t>
  </si>
  <si>
    <t>Ctl+Shft+s</t>
  </si>
  <si>
    <t>Ctl+Shft+t</t>
  </si>
  <si>
    <t>Ctl+Shft+u</t>
  </si>
  <si>
    <t>Ctl+Shft+v</t>
  </si>
  <si>
    <t>Ctl+Shft+w</t>
  </si>
  <si>
    <t>Ctl+Shft+x</t>
  </si>
  <si>
    <t>Ctl+Shft+y</t>
  </si>
  <si>
    <t>Type</t>
  </si>
  <si>
    <t>Individual course outlines are available on request</t>
  </si>
  <si>
    <t>Alloc.
Date</t>
  </si>
  <si>
    <t>Target
Exam</t>
  </si>
  <si>
    <t>Target
Issue</t>
  </si>
  <si>
    <t>Course Code</t>
  </si>
  <si>
    <t>Final
Mark</t>
  </si>
  <si>
    <t>Running
Balance
Indic.</t>
  </si>
  <si>
    <t>Ctrl+Alt+a</t>
  </si>
  <si>
    <t>Ctrl+Alt+b</t>
  </si>
  <si>
    <t>Ctrl+Alt+c</t>
  </si>
  <si>
    <t>Ctrl+Alt+d</t>
  </si>
  <si>
    <t>Ctrl+Alt+e</t>
  </si>
  <si>
    <t>Ctrl+Alt+f</t>
  </si>
  <si>
    <t>Ctrl+Alt+g</t>
  </si>
  <si>
    <t>Ctrl+Alt+h</t>
  </si>
  <si>
    <t>Ctrl+Alt+i</t>
  </si>
  <si>
    <t>Ctrl+Alt+j</t>
  </si>
  <si>
    <t>Ctrl+Alt+k</t>
  </si>
  <si>
    <t>Ctrl+Alt+l</t>
  </si>
  <si>
    <t>Ctrl+Alt+m</t>
  </si>
  <si>
    <t>Ctrl+Alt+n</t>
  </si>
  <si>
    <t>Ctrl+Alt+o</t>
  </si>
  <si>
    <t>Ctrl+Alt+p</t>
  </si>
  <si>
    <t>Ctrl+Alt+q</t>
  </si>
  <si>
    <t>Ctrl+Alt+r</t>
  </si>
  <si>
    <t>Ctrl+Alt+s</t>
  </si>
  <si>
    <t>Ctrl+Alt+t</t>
  </si>
  <si>
    <t>Ctrl+Alt+u</t>
  </si>
  <si>
    <t>Ctrl+Alt+v</t>
  </si>
  <si>
    <t>Ctrl+Alt+w</t>
  </si>
  <si>
    <t>Ctrl+Alt+x</t>
  </si>
  <si>
    <t>Ctrl+Alt+y</t>
  </si>
  <si>
    <t>Ctrl+Alt+z</t>
  </si>
  <si>
    <t>-Accounting/Payroll</t>
  </si>
  <si>
    <t>Legends:</t>
  </si>
  <si>
    <t>-Business</t>
  </si>
  <si>
    <t>-Office Admin</t>
  </si>
  <si>
    <t>-HealthCare</t>
  </si>
  <si>
    <t>-IT</t>
  </si>
  <si>
    <t>-Other</t>
  </si>
  <si>
    <t>Sat 9am-1pm</t>
  </si>
  <si>
    <t>Tue/Thu/Fri 8am-5pm</t>
  </si>
  <si>
    <t>Mon/Wed 8am-9pm</t>
  </si>
  <si>
    <t>Tue/Thu 8am-10pm</t>
  </si>
  <si>
    <t>Mon/Wed/Fri 8am-5pm</t>
  </si>
  <si>
    <t>APRX</t>
  </si>
  <si>
    <t>Surrey</t>
  </si>
  <si>
    <t>(o/b Learntech Solutions Ltd)</t>
  </si>
  <si>
    <t>13753 72nd Avenue, Surrey, BC, V3W 2P2</t>
  </si>
  <si>
    <t>Mon-Fri 8:30am-5:30pm</t>
  </si>
  <si>
    <t>APTR</t>
  </si>
  <si>
    <t>Burnaby</t>
  </si>
  <si>
    <t>(o/b  Westcoast Skills for Life Inc.)</t>
  </si>
  <si>
    <t>APLV</t>
  </si>
  <si>
    <t>Vancouver Broadway Station</t>
  </si>
  <si>
    <t>(o/b  Cancom Consulting Corp.)</t>
  </si>
  <si>
    <t>APKU</t>
  </si>
  <si>
    <t>Richmond</t>
  </si>
  <si>
    <t>Phone : (604) 270-3907                                       E-Mail : admissionsrichmond@telus.net                                       Fax : (604) 270-6109</t>
  </si>
  <si>
    <t>(o/b  Upgrade Learning Academy Ltd.)</t>
  </si>
  <si>
    <t>APPX</t>
  </si>
  <si>
    <t>Langley</t>
  </si>
  <si>
    <t>(o/b 0833888 B.C. Ltd.)</t>
  </si>
  <si>
    <t>Mon-Fri 9am-5pm</t>
  </si>
  <si>
    <t>APNT</t>
  </si>
  <si>
    <t>Abbotsford</t>
  </si>
  <si>
    <t>(o/b 0833917 B.C. Ltd.)</t>
  </si>
  <si>
    <t>Hours
3</t>
  </si>
  <si>
    <t>Hours
2</t>
  </si>
  <si>
    <t>Hours
1</t>
  </si>
  <si>
    <t>Entrance
Exam Fee</t>
  </si>
  <si>
    <t>Regist-ration
Fee</t>
  </si>
  <si>
    <t>Acceptance
Position</t>
  </si>
  <si>
    <t>Acceptance
Sign</t>
  </si>
  <si>
    <t>PCTIA Number</t>
  </si>
  <si>
    <t>BCSAP Number</t>
  </si>
  <si>
    <t>Area</t>
  </si>
  <si>
    <t>Telephone Nos / Email Address</t>
  </si>
  <si>
    <t>Legal CompanyName</t>
  </si>
  <si>
    <t>ADDRESS</t>
  </si>
  <si>
    <t>Academy Number</t>
  </si>
  <si>
    <t>International</t>
  </si>
  <si>
    <t>Word on Diplomas</t>
  </si>
  <si>
    <t>PCTIA No.</t>
  </si>
  <si>
    <t>BCSAP No.</t>
  </si>
  <si>
    <t>@ Right Hand Top Corners</t>
  </si>
  <si>
    <t>Contact Info</t>
  </si>
  <si>
    <t>Legal Co. Name</t>
  </si>
  <si>
    <t>Effective Date</t>
  </si>
  <si>
    <t>Campus</t>
  </si>
  <si>
    <t>OPERATION</t>
  </si>
  <si>
    <t>Admin Fee Structure</t>
  </si>
  <si>
    <t>HOURS OF</t>
  </si>
  <si>
    <t>INDIVIDUAL FRANCHISE DETAILS</t>
  </si>
  <si>
    <t>BWE06E1</t>
  </si>
  <si>
    <t>BMA06E1</t>
  </si>
  <si>
    <t>BBK99E1</t>
  </si>
  <si>
    <t>BBK99E2</t>
  </si>
  <si>
    <t>ACPW55E3</t>
  </si>
  <si>
    <t>ACPW55E4</t>
  </si>
  <si>
    <t>ACPW55E5</t>
  </si>
  <si>
    <t>WSI00E1</t>
  </si>
  <si>
    <t>PRA102</t>
  </si>
  <si>
    <t>JOBSRCHBLM</t>
  </si>
  <si>
    <t>I.L.S.</t>
  </si>
  <si>
    <t>Keyboard Skill Building Level 1 (25 WPM)</t>
  </si>
  <si>
    <t>MS Word Level 1</t>
  </si>
  <si>
    <t>MS Excel Level 1</t>
  </si>
  <si>
    <t>MS Excel Level 2</t>
  </si>
  <si>
    <t>Office Procedures Level 1</t>
  </si>
  <si>
    <t>Customer Service</t>
  </si>
  <si>
    <t>Grammar Essentials for Business Writing</t>
  </si>
  <si>
    <t>MS Access Level 1</t>
  </si>
  <si>
    <t>Business Math</t>
  </si>
  <si>
    <t>Basic Bookkeeping Level 1</t>
  </si>
  <si>
    <t>Basic Bookkeeping Level 2</t>
  </si>
  <si>
    <t>MS Outlook Level 1</t>
  </si>
  <si>
    <t>Workplace Success/Intrapreneurship</t>
  </si>
  <si>
    <t>Practical Applications - 2 Units</t>
  </si>
  <si>
    <t>Thought Patterns for a Successful Career</t>
  </si>
  <si>
    <t>Instructor</t>
  </si>
  <si>
    <t>Job Search/Resume Writing</t>
  </si>
  <si>
    <t>CertBlaster</t>
  </si>
  <si>
    <t>ZZZZZZZZZ</t>
  </si>
  <si>
    <t xml:space="preserve">     </t>
  </si>
  <si>
    <t>ZZZZZZZZ</t>
  </si>
  <si>
    <t>MS Word Level 3</t>
  </si>
  <si>
    <t>MS Word Level 2</t>
  </si>
  <si>
    <t>Do not change Course Code or Sequence No</t>
  </si>
  <si>
    <t>e-learn</t>
  </si>
  <si>
    <t>CompTIA Security+</t>
  </si>
  <si>
    <t>CompTIA Server+</t>
  </si>
  <si>
    <t>CompTIA Network+</t>
  </si>
  <si>
    <t>Microsoft Windows 7 Configuring</t>
  </si>
  <si>
    <t>SSMS680</t>
  </si>
  <si>
    <t>Ext Exam</t>
  </si>
  <si>
    <t>Ser+EXAM1</t>
  </si>
  <si>
    <t>Sec+EXAM1</t>
  </si>
  <si>
    <t>Online</t>
  </si>
  <si>
    <t>Ver 2010</t>
  </si>
  <si>
    <t>Principles of Selling</t>
  </si>
  <si>
    <t>Practicum</t>
  </si>
  <si>
    <t>Practical Applications - 4 Units</t>
  </si>
  <si>
    <t>PRA104</t>
  </si>
  <si>
    <t>Practical Applications - 3 Units</t>
  </si>
  <si>
    <t>PRA103</t>
  </si>
  <si>
    <t>Practical Applications - 1 Unit</t>
  </si>
  <si>
    <t>PRA101</t>
  </si>
  <si>
    <t>MS Powerpoint Level 2</t>
  </si>
  <si>
    <t>MS Powerpoint Level 1</t>
  </si>
  <si>
    <t>Professional Selling</t>
  </si>
  <si>
    <t>MS Publisher</t>
  </si>
  <si>
    <t>MS Outlook Level 2</t>
  </si>
  <si>
    <t>Office Procedures Level 2</t>
  </si>
  <si>
    <t>N+EXAM1</t>
  </si>
  <si>
    <t>MRPS00E1</t>
  </si>
  <si>
    <t>Marketing &amp; Sales</t>
  </si>
  <si>
    <t>Marketing Administration</t>
  </si>
  <si>
    <t>Management Fundamentals</t>
  </si>
  <si>
    <t>MFN06E1</t>
  </si>
  <si>
    <t>MDT00E1</t>
  </si>
  <si>
    <t>Medical Office Procedures</t>
  </si>
  <si>
    <t>MDP00E1</t>
  </si>
  <si>
    <t>Health Unit Coordinator Level 2</t>
  </si>
  <si>
    <t>Health Unit Coordinator Level 1</t>
  </si>
  <si>
    <t>Clinical Procedures</t>
  </si>
  <si>
    <t>Introduction to Medical Transcription</t>
  </si>
  <si>
    <t>Microsoft Certification Exams - 5 Single Attempts</t>
  </si>
  <si>
    <t>MCExams5</t>
  </si>
  <si>
    <t>Microsoft Certification Exams - 3 Single Attempts</t>
  </si>
  <si>
    <t>MCExams3</t>
  </si>
  <si>
    <t>Keyboard Skill Building Level 3 (55 WPM)</t>
  </si>
  <si>
    <t>Keyboard Skill Building Level 2 (40 WPM)</t>
  </si>
  <si>
    <t>Human Resource Management</t>
  </si>
  <si>
    <t>Help Desk Analyst</t>
  </si>
  <si>
    <t>HDA05E1</t>
  </si>
  <si>
    <t>Introduction to Medical Terminology</t>
  </si>
  <si>
    <t>Health Unit Coordinator Level 3</t>
  </si>
  <si>
    <t>Anatomy and Physiology Part 2</t>
  </si>
  <si>
    <t>Anatomy and Physiology Part 1</t>
  </si>
  <si>
    <t>MS Excel Level 3</t>
  </si>
  <si>
    <t>Employment Success Strategies</t>
  </si>
  <si>
    <t>Customer Service Essentials</t>
  </si>
  <si>
    <t>CPA Course Credits - Payroll Fundamentals</t>
  </si>
  <si>
    <t>CPACRED06</t>
  </si>
  <si>
    <t>Online CPA Sup</t>
  </si>
  <si>
    <t>Payroll Fundamentals 2</t>
  </si>
  <si>
    <t>CPA06E3</t>
  </si>
  <si>
    <t>Payroll Fundamentals 1</t>
  </si>
  <si>
    <t>CPA06E2</t>
  </si>
  <si>
    <t>Payroll Compliance Legislation</t>
  </si>
  <si>
    <t>CPA06E1</t>
  </si>
  <si>
    <t>Labs</t>
  </si>
  <si>
    <t>CertBlaster Exam Preparation 2 Unit</t>
  </si>
  <si>
    <t>CertBlaster2</t>
  </si>
  <si>
    <t>CertBlaster Exam Preparation 1 Unit</t>
  </si>
  <si>
    <t>CertBlaster1</t>
  </si>
  <si>
    <t>CertBlaster Exam Preparation</t>
  </si>
  <si>
    <t>Conference and Event Management</t>
  </si>
  <si>
    <t>CEM06E1</t>
  </si>
  <si>
    <t>CCT00E1</t>
  </si>
  <si>
    <t>Call Centre Telephone Sales</t>
  </si>
  <si>
    <t>CCS00E1</t>
  </si>
  <si>
    <t>Call Centre Industry Overview</t>
  </si>
  <si>
    <t>CCI00E1</t>
  </si>
  <si>
    <t>Call Centre Equipment &amp; Technology</t>
  </si>
  <si>
    <t>CCE00E1</t>
  </si>
  <si>
    <t>Call Centre Team Dynamics &amp; Personal Development</t>
  </si>
  <si>
    <t>CCD00E1</t>
  </si>
  <si>
    <t>CCC00E1</t>
  </si>
  <si>
    <t>Business Verbal Communication</t>
  </si>
  <si>
    <t>BVC06E1</t>
  </si>
  <si>
    <t>Business Supervisory Skills</t>
  </si>
  <si>
    <t>BSS05E1</t>
  </si>
  <si>
    <t>Business Correspondence Level 2</t>
  </si>
  <si>
    <t>Business Correspondence Level 1</t>
  </si>
  <si>
    <t>Business Presentations</t>
  </si>
  <si>
    <t>BPS05E1</t>
  </si>
  <si>
    <t>Business Planning</t>
  </si>
  <si>
    <t>Business Negotiations and Contracts</t>
  </si>
  <si>
    <t>BNC06E1</t>
  </si>
  <si>
    <t>Business Law &amp; Ethics</t>
  </si>
  <si>
    <t>BLE04E1</t>
  </si>
  <si>
    <t>Business Financial Management</t>
  </si>
  <si>
    <t>BFM04E1</t>
  </si>
  <si>
    <t>Business Essentials</t>
  </si>
  <si>
    <t>Event Marketing</t>
  </si>
  <si>
    <t>BEM06E1</t>
  </si>
  <si>
    <t>Business Economics</t>
  </si>
  <si>
    <t>BEC04E1</t>
  </si>
  <si>
    <t>Business Administration Integrative Project</t>
  </si>
  <si>
    <t>MS Access Level 2</t>
  </si>
  <si>
    <t>Series 5.5</t>
  </si>
  <si>
    <t>ACPW55E2</t>
  </si>
  <si>
    <t>A+EXAMS2</t>
  </si>
  <si>
    <t>A+EXAMS1</t>
  </si>
  <si>
    <t>Type of
Training</t>
  </si>
  <si>
    <t>Issue
Sequence</t>
  </si>
  <si>
    <t>Credits</t>
  </si>
  <si>
    <t>Group</t>
  </si>
  <si>
    <t>Courses 
in Combo</t>
  </si>
  <si>
    <t>Combo Code</t>
  </si>
  <si>
    <t>Total 
Hours</t>
  </si>
  <si>
    <t>Course 
Price</t>
  </si>
  <si>
    <t>Version</t>
  </si>
  <si>
    <t>Issue Fac</t>
  </si>
  <si>
    <t>1st Mark</t>
  </si>
  <si>
    <t>2nd Mark</t>
  </si>
  <si>
    <t>Avg to Date</t>
  </si>
  <si>
    <t>Call Centre Telephone Communication Skills</t>
  </si>
  <si>
    <t>MCExams1</t>
  </si>
  <si>
    <t>MCExams2</t>
  </si>
  <si>
    <t>MCExams4</t>
  </si>
  <si>
    <t>MCExams6</t>
  </si>
  <si>
    <t>Microsoft Certification Exams - 1 Single Attempts</t>
  </si>
  <si>
    <t>Microsoft Certification Exams - 2 Single Attempts</t>
  </si>
  <si>
    <t>Microsoft Certification Exams - 4 Single Attempts</t>
  </si>
  <si>
    <t>Microsoft Certification Exams - 6 Single Attempts</t>
  </si>
  <si>
    <t>Project Management Fundamentals - Level 1</t>
  </si>
  <si>
    <t>Project Management Fundamentals - Level 2</t>
  </si>
  <si>
    <t>SSMS685</t>
  </si>
  <si>
    <t>Microsoft Windows 7 Enterprise Desktop Support Technician</t>
  </si>
  <si>
    <t>Windows 7 Level 1</t>
  </si>
  <si>
    <t>Windows 7 Level 2</t>
  </si>
  <si>
    <t>Win 7</t>
  </si>
  <si>
    <t>Smorg Link</t>
  </si>
  <si>
    <t>Phone : (604) 598-3555                                                E-Mail : ritub@bcaol.com                                             Fax : (604) 598-3666</t>
  </si>
  <si>
    <t>Ritu Biswas</t>
  </si>
  <si>
    <t>Director of Admissions</t>
  </si>
  <si>
    <t>Phone : (604) 568-9686                                               E-Mail : omert@bcaol.com                                      Fax : (604) 568-9687</t>
  </si>
  <si>
    <t>Omer Tarar</t>
  </si>
  <si>
    <t>#302 - 2555 Commercial Drive, Vancouver, BC, V5N 4C1</t>
  </si>
  <si>
    <t>Phone : (604) 876-8600                                               E-Mail : ritub@bcaol.com                                                       Fax : (604) 876-4333</t>
  </si>
  <si>
    <t>Contract No:</t>
  </si>
  <si>
    <t>PROGRAM ADMISSION REQUIREMENTS</t>
  </si>
  <si>
    <t>TERMS AND CONDITIONS OF ENROLMENT</t>
  </si>
  <si>
    <t>Name, Address, Telephone Number of Campus to</t>
  </si>
  <si>
    <t>be attended (if different from main location)</t>
  </si>
  <si>
    <t>Attendance Policy</t>
  </si>
  <si>
    <t>Withdrawal Policy</t>
  </si>
  <si>
    <t>Dismissal Policy</t>
  </si>
  <si>
    <t>STUDENT INFORMATION</t>
  </si>
  <si>
    <t>PROGRAM COSTS</t>
  </si>
  <si>
    <t>Dispute Resolution Policy</t>
  </si>
  <si>
    <t>Grade Appeal Policy</t>
  </si>
  <si>
    <t>Privacy Policy</t>
  </si>
  <si>
    <t>Student Handbook</t>
  </si>
  <si>
    <t>Program Costs in Canadian Dollars ($CDN):</t>
  </si>
  <si>
    <t>Program or Course Outline</t>
  </si>
  <si>
    <t>Work Experience Policy (if applicable)</t>
  </si>
  <si>
    <t>You heard about us from</t>
  </si>
  <si>
    <t xml:space="preserve">    - Tuition</t>
  </si>
  <si>
    <t>Student Code of Conduct</t>
  </si>
  <si>
    <t>Student Assessment/Evaluation Policy</t>
  </si>
  <si>
    <t xml:space="preserve">    - Registration/Application Fee</t>
  </si>
  <si>
    <t xml:space="preserve">    - Prior Learning or Portfolio Assessment Fee (if applicable)</t>
  </si>
  <si>
    <t>STUDENT DECLARATION</t>
  </si>
  <si>
    <t>Student Last Name</t>
  </si>
  <si>
    <t xml:space="preserve">    - Textbooks</t>
  </si>
  <si>
    <t xml:space="preserve">    - Supplies/Materials</t>
  </si>
  <si>
    <t>I DECLARE THAT:</t>
  </si>
  <si>
    <t xml:space="preserve">    - Lab Fees</t>
  </si>
  <si>
    <t xml:space="preserve">    - Uniforms</t>
  </si>
  <si>
    <t xml:space="preserve">    - Other (Please specify)</t>
  </si>
  <si>
    <t>TOTAL PROGRAM COSTS</t>
  </si>
  <si>
    <t>Date:</t>
  </si>
  <si>
    <t>Program Costs will be paid by way of:</t>
  </si>
  <si>
    <t>Student Signature:</t>
  </si>
  <si>
    <t>Student Telephone Number</t>
  </si>
  <si>
    <t>Alternate Telephone Number</t>
  </si>
  <si>
    <t>Payment Amount(s):</t>
  </si>
  <si>
    <t>Due Date(s):</t>
  </si>
  <si>
    <t>International Student:</t>
  </si>
  <si>
    <t>INSTITUTION DECLARATION</t>
  </si>
  <si>
    <t>PROGRAM INFORMATION</t>
  </si>
  <si>
    <t>Printed Name of Institution Representative</t>
  </si>
  <si>
    <t>Credential Issued on Graduation:</t>
  </si>
  <si>
    <t>Program Delivery Method:</t>
  </si>
  <si>
    <t>Signature of Institution Representative</t>
  </si>
  <si>
    <t>Student Name:</t>
  </si>
  <si>
    <t>Funded By:</t>
  </si>
  <si>
    <t xml:space="preserve">Program: </t>
  </si>
  <si>
    <t>Start Date:</t>
  </si>
  <si>
    <t>DATE</t>
  </si>
  <si>
    <t>PAYMENT</t>
  </si>
  <si>
    <t>RECEIPT #</t>
  </si>
  <si>
    <t>BALANCE</t>
  </si>
  <si>
    <t>DOCUMENTS:</t>
  </si>
  <si>
    <t>Signed Student Acknowledgment of:</t>
  </si>
  <si>
    <t>Progress and correspondence:</t>
  </si>
  <si>
    <t>Loan Documents:</t>
  </si>
  <si>
    <t>Withdrawals (if applicable):</t>
  </si>
  <si>
    <t>STUDENT FILE CHECKLIST</t>
  </si>
  <si>
    <t>Closed File:</t>
  </si>
  <si>
    <t>INITIAL</t>
  </si>
  <si>
    <t xml:space="preserve"> </t>
  </si>
  <si>
    <t xml:space="preserve">Tuition: </t>
  </si>
  <si>
    <t xml:space="preserve">Books: </t>
  </si>
  <si>
    <t>Student #:</t>
  </si>
  <si>
    <t xml:space="preserve">        Grade 12 Diploma/Transcript or Equivalent</t>
  </si>
  <si>
    <t xml:space="preserve">        Photo ID</t>
  </si>
  <si>
    <t xml:space="preserve">        Entrance Evaluation Exam</t>
  </si>
  <si>
    <t xml:space="preserve">        AOL Registration Form/Enrolment Contract</t>
  </si>
  <si>
    <t xml:space="preserve">        Student Authorization for Foreign Students </t>
  </si>
  <si>
    <t xml:space="preserve">        Landed Immigrant Authorization</t>
  </si>
  <si>
    <t xml:space="preserve">        Payment schedule</t>
  </si>
  <si>
    <t xml:space="preserve">        Hepatitis B Immunization (MOAs)</t>
  </si>
  <si>
    <t xml:space="preserve">        Attendance record (report if any)</t>
  </si>
  <si>
    <t xml:space="preserve">        Academic Progress</t>
  </si>
  <si>
    <t xml:space="preserve">        Appendix 3 on file</t>
  </si>
  <si>
    <t xml:space="preserve">        Student Services (or equivalent ) Notified &amp; </t>
  </si>
  <si>
    <t xml:space="preserve">        Forms Returned  (within 14 days)</t>
  </si>
  <si>
    <t xml:space="preserve">        Withdrawal letter (Student Loans or School)</t>
  </si>
  <si>
    <t xml:space="preserve">        ( or Dismissal Notice)</t>
  </si>
  <si>
    <t xml:space="preserve">        Copy of Refund calculation (if applicable)</t>
  </si>
  <si>
    <t xml:space="preserve">        Close off on CMS</t>
  </si>
  <si>
    <t xml:space="preserve">        Graduation Database</t>
  </si>
  <si>
    <t xml:space="preserve">        Signed Permission to give references</t>
  </si>
  <si>
    <t xml:space="preserve">        Exit Interview Package: repayment info. </t>
  </si>
  <si>
    <t xml:space="preserve">        Documents uploaded to Data Witness</t>
  </si>
  <si>
    <t xml:space="preserve">        Diploma/Certificate(s) sent to sponsor agency</t>
  </si>
  <si>
    <t xml:space="preserve">        Student Loan reminder – 3 months</t>
  </si>
  <si>
    <t xml:space="preserve">        Student Loan reminder – 12 months</t>
  </si>
  <si>
    <t xml:space="preserve">        Student Loan reminder – 6 months</t>
  </si>
  <si>
    <t>Orientation completed by: _______________________</t>
  </si>
  <si>
    <t>Date: _____________________</t>
  </si>
  <si>
    <t xml:space="preserve">Is there anything you think we should know about health or emergency situations that may arise?      </t>
  </si>
  <si>
    <t>SIGNATURE</t>
  </si>
  <si>
    <t>FILE  _______</t>
  </si>
  <si>
    <t xml:space="preserve">COPIES: </t>
  </si>
  <si>
    <t>STUDENT _______</t>
  </si>
  <si>
    <t>I</t>
  </si>
  <si>
    <t>, have read and received copies of the following documentation:</t>
  </si>
  <si>
    <t>#102-5623 Imperial Street, Burnaby, BC V5J 1G1</t>
  </si>
  <si>
    <t>1.  StudentAid BC student guide found on http://www.aved.gov.bc.ca/studentaidbc/
2. Obligations of BC Student Assistance Applicants (if applicable)
3. Attendance agreement/Authorization to Release Information
4. Student handbook acknowledgment
5. Copy of enrollment application and contract
6. Copy of Student Record form
7. Student Campus Orientation checklist
8. Parking zones
9. Campus operational hours
10. Student internet usage policy acknowledgement
11. Criminal Record Check form
12. T.B. Test (for HCA students only)
13. Hepatitis B immunization (MOA students only) 
14. Student Schedule form
15. Official name on Certificate/Diploma:______________________________________
16. Referral Sheet
17. Consent of Release (optional)
18. Budget Sheet Acknowledgement
19.BCSL Service Bureau: https://www.bcslservicebureau.com/Randa/Pages/Index.aspx</t>
  </si>
  <si>
    <t>Gender</t>
  </si>
  <si>
    <t>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10. T.B. Test (for HCA students only)
11. Hepatitis B immunization (MOA students only) 
12. Student Schedule form
13. Official name on Certificate/Diploma:______________________________________
14. Referral Sheet
15. Consent of Release  (optional)</t>
  </si>
  <si>
    <t>Diploma</t>
  </si>
  <si>
    <t>¨</t>
  </si>
  <si>
    <t>Certificate</t>
  </si>
  <si>
    <t>þ</t>
  </si>
  <si>
    <t>Date Signed</t>
  </si>
  <si>
    <t xml:space="preserve">  Position Title</t>
  </si>
  <si>
    <t xml:space="preserve">    - Registration Fee</t>
  </si>
  <si>
    <t>This institution agrees to deliver the program according to the terms of this contract.</t>
  </si>
  <si>
    <t>RECEIPT FOR PAYMENT</t>
  </si>
  <si>
    <t>The institution acknowledges having received payment in the sum of:</t>
  </si>
  <si>
    <t>$</t>
  </si>
  <si>
    <t>Student Information</t>
  </si>
  <si>
    <t>You heard about use from</t>
  </si>
  <si>
    <t>Alternative Telephone Number</t>
  </si>
  <si>
    <t>International Student (Y/N)</t>
  </si>
  <si>
    <t>Date of Birth: (YYYY/MM/DD)</t>
  </si>
  <si>
    <t>Institution Declaration</t>
  </si>
  <si>
    <t>Position Title (change position title)</t>
  </si>
  <si>
    <t>Institution Representative</t>
  </si>
  <si>
    <t>(if you are not the current representative)</t>
  </si>
  <si>
    <t>Student information for contracts, not all information is required.</t>
  </si>
  <si>
    <t>No</t>
  </si>
  <si>
    <t xml:space="preserve"> Yes</t>
  </si>
  <si>
    <t>Female</t>
  </si>
  <si>
    <t>Male</t>
  </si>
  <si>
    <t>First Name</t>
  </si>
  <si>
    <t>Last Name</t>
  </si>
  <si>
    <t>Obligations of BC Student Assistance Applicants</t>
  </si>
  <si>
    <t>SATISFACTORY ATTENDANCE/ACADEMIC STANDING</t>
  </si>
  <si>
    <t>ASSESSMENT OF NEED</t>
  </si>
  <si>
    <t>All assessments are based on true information I have given on my application for financial assistance.</t>
  </si>
  <si>
    <t>STUDENT LOAN OBLIGATIONS</t>
  </si>
  <si>
    <t>I UNDERSTAND that I am solely responsible for repaying all my student loans. Failure to do so may result in serious consequences, including:</t>
  </si>
  <si>
    <t>I FURTHER UNDERSTAND that if I leave school before completing my academic course I am still responsible for paying back my student loans.</t>
  </si>
  <si>
    <t>, have read, understood and received a copy of this document.</t>
  </si>
  <si>
    <t xml:space="preserve">I_____________________________ </t>
  </si>
  <si>
    <t xml:space="preserve">would like to keep a copy of my Student Assistance Program </t>
  </si>
  <si>
    <t>ATTENDANCE AGREEMENT/AUTHORIZATION TO RELEASE INFORMATION</t>
  </si>
  <si>
    <t>Program:</t>
  </si>
  <si>
    <t>I acknowledge that I am expected to attend my course on a regular basis of not less than</t>
  </si>
  <si>
    <t>review and study in my own time outside of school hours.</t>
  </si>
  <si>
    <t>hours of supervised classroom time per week. In addition I will be expected to do</t>
  </si>
  <si>
    <t>hours a week as required by the funding</t>
  </si>
  <si>
    <t>agencies.</t>
  </si>
  <si>
    <t>STAFF SIGNATURE</t>
  </si>
  <si>
    <t>CONSENT TO RELEASE</t>
  </si>
  <si>
    <t xml:space="preserve">I, </t>
  </si>
  <si>
    <t xml:space="preserve"> campus,</t>
  </si>
  <si>
    <t>Telephone</t>
  </si>
  <si>
    <t>E-mail</t>
  </si>
  <si>
    <t xml:space="preserve">End Date:  </t>
  </si>
  <si>
    <t xml:space="preserve"> day of</t>
  </si>
  <si>
    <t>schedule and make up the time to the full</t>
  </si>
  <si>
    <t>The total amount payable under this contract is due and payable by the start date unless specific arrangements have been made with the institution and recorded on the contract.</t>
  </si>
  <si>
    <t xml:space="preserve">2.    </t>
  </si>
  <si>
    <t xml:space="preserve">1.    </t>
  </si>
  <si>
    <t xml:space="preserve">3.    </t>
  </si>
  <si>
    <t xml:space="preserve">4.    </t>
  </si>
  <si>
    <t xml:space="preserve">5.    </t>
  </si>
  <si>
    <t xml:space="preserve">6.    </t>
  </si>
  <si>
    <t xml:space="preserve">7.    </t>
  </si>
  <si>
    <t>If an applicant is unable to start the program of study on the start date, the applicant must notify the institution as early as possible.</t>
  </si>
  <si>
    <t xml:space="preserve">8.    </t>
  </si>
  <si>
    <t>The length of the program of study indicates the time it should take the student to complete the program of study. If the student finishes the program of study in less than the time that is stated, the total amount payable under this contract is still applicable.</t>
  </si>
  <si>
    <t xml:space="preserve">9.    </t>
  </si>
  <si>
    <t>The student may choose the hours of attendance which suit his or her circumstances but this is subject to workstation availability, determined solely at the discretion of the institution. The student may put in additional hours before the end date providing that arrangements have been made to reserve a workstation for this purpose.</t>
  </si>
  <si>
    <t xml:space="preserve">10.    </t>
  </si>
  <si>
    <t>The student is obligated to complete the program of study within the time frame determined by the end date and the institution's guidelines for completing individual courses. The end date can be adjusted on the contract solely at the discretion of the institution and will only be considered due to just cause (i.e. sickness, converting to part-time status due to work obligations, etc.). Any application for extension must be made well in advance of the end date or an extension will not be considered. The student may be charged additional fees for such an extension based on the tuition rate in effect at that time, solely at the discretion of the institution.</t>
  </si>
  <si>
    <t xml:space="preserve">11.    </t>
  </si>
  <si>
    <t>The date and time of re-scheduled sessions due to lateness or absence by the student is at the sole discretion of the institution.</t>
  </si>
  <si>
    <t xml:space="preserve">12.    </t>
  </si>
  <si>
    <t xml:space="preserve">13.    </t>
  </si>
  <si>
    <t>The student will receive only course materials for courses completed and from one (1) to five (5) courses in progress at the discretion of the institution.</t>
  </si>
  <si>
    <t>It is to the student's advantage to arrive at least 5 minutes before the start of the session.</t>
  </si>
  <si>
    <t xml:space="preserve">14.    </t>
  </si>
  <si>
    <t xml:space="preserve">15.    </t>
  </si>
  <si>
    <t xml:space="preserve">16.    </t>
  </si>
  <si>
    <t>The institution makes no guarantee or promise about the student's ability to gain a position of employment.</t>
  </si>
  <si>
    <t xml:space="preserve">17.    </t>
  </si>
  <si>
    <t xml:space="preserve">18.    </t>
  </si>
  <si>
    <t>The institution reserves the right to change the location in which the program of study is offered or the hours of operation with two (2) weeks notice, subject to any direction or required approval of the institution's regulators.</t>
  </si>
  <si>
    <t xml:space="preserve">19.    </t>
  </si>
  <si>
    <t>Refunds before the program of study begins:</t>
  </si>
  <si>
    <t>A written notice of withdrawal or dismissal must be provided:</t>
  </si>
  <si>
    <t>Refunds after the program of study starts:</t>
  </si>
  <si>
    <t>The following Refund Policy applies to the terms of this enrolment contract:</t>
  </si>
  <si>
    <t>Refunds in Cases of Withdrawal or Dismissal.</t>
  </si>
  <si>
    <t>Written Notice</t>
  </si>
  <si>
    <t xml:space="preserve">a)          </t>
  </si>
  <si>
    <t>i.    By a student to the institution when the student withdraws, or</t>
  </si>
  <si>
    <t>Refund Entitlement</t>
  </si>
  <si>
    <t>Refund policy for students:</t>
  </si>
  <si>
    <t xml:space="preserve">b)          </t>
  </si>
  <si>
    <t>i.    If written notice of withdrawal is received by the institution or a student is dismissed before 10% of the period of instruction specified in the contract has elapsed, the institution may retain 30% of the tuition and fees due under the contract.</t>
  </si>
  <si>
    <t>iii.    If a student withdraws or is dismissed after 30% of the period of instruction specified in the contract has elapsed, no refund is required.</t>
  </si>
  <si>
    <t>Where a student withdraws or is dismissed from their program they are entitled to 100% refund of any as-yet to be received consumables that have been pre-paid.</t>
  </si>
  <si>
    <t xml:space="preserve">c)          </t>
  </si>
  <si>
    <t xml:space="preserve">d)          </t>
  </si>
  <si>
    <t>Refunds owing to students must be paid within thirty (30) calendar days of the institution receiving written notification of withdrawal and all required supporting documentation, or within thirty (30) calendar days of an institution's written notice of dismissal.</t>
  </si>
  <si>
    <t xml:space="preserve">e)          </t>
  </si>
  <si>
    <t>Where the delivery of the program of study is through home study or distance education, refunds must be based on the percent of the program of study completed at the rates as set out in the refund policy above.</t>
  </si>
  <si>
    <t>be Attended (if different from main location)</t>
  </si>
  <si>
    <t>Date of Birth:</t>
  </si>
  <si>
    <r>
      <t xml:space="preserve">Program Costs </t>
    </r>
    <r>
      <rPr>
        <b/>
        <sz val="11"/>
        <color indexed="8"/>
        <rFont val="Calibri"/>
        <family val="2"/>
      </rPr>
      <t>in Canadian Dollars ($CDN)</t>
    </r>
    <r>
      <rPr>
        <sz val="11"/>
        <color indexed="8"/>
        <rFont val="Calibri"/>
        <family val="2"/>
      </rPr>
      <t>:</t>
    </r>
  </si>
  <si>
    <t>Certain courses in the program of study may require that prerequisite courses or equivalents, as prescribed by the institution, must be taken.</t>
  </si>
  <si>
    <t>0165</t>
  </si>
  <si>
    <t>3501</t>
  </si>
  <si>
    <t>3500</t>
  </si>
  <si>
    <t>0201</t>
  </si>
  <si>
    <t>3543</t>
  </si>
  <si>
    <t>3473</t>
  </si>
  <si>
    <t>WELCOME CONFERENCE CHECKLIST</t>
  </si>
  <si>
    <t>STUDENT LOAN BUDGET FORM ACKNOWLEDGMENT</t>
  </si>
  <si>
    <t>PARKING FOR STUDENTS</t>
  </si>
  <si>
    <t>Monday</t>
  </si>
  <si>
    <t>Tuesday</t>
  </si>
  <si>
    <t>Wednesday</t>
  </si>
  <si>
    <t>Thursday</t>
  </si>
  <si>
    <t>Friday</t>
  </si>
  <si>
    <t>Saturday</t>
  </si>
  <si>
    <t>CLOSED</t>
  </si>
  <si>
    <t>Sunday</t>
  </si>
  <si>
    <t>CAMPUS OPERATION HOURS</t>
  </si>
  <si>
    <t>Budget Worksheet</t>
  </si>
  <si>
    <t>Monthly Expenses</t>
  </si>
  <si>
    <t>Student/Family</t>
  </si>
  <si>
    <t>Study Period Costs</t>
  </si>
  <si>
    <t>Contribution/Yearly</t>
  </si>
  <si>
    <t>Shortfall</t>
  </si>
  <si>
    <t>Program Length</t>
  </si>
  <si>
    <t>Months</t>
  </si>
  <si>
    <t>Weeks</t>
  </si>
  <si>
    <t>HOUSING COSTS</t>
  </si>
  <si>
    <t>Rent/Mortgage Payments</t>
  </si>
  <si>
    <t>Municipal Taxes</t>
  </si>
  <si>
    <t>TV/Internet/E-mail</t>
  </si>
  <si>
    <t>House/Contents Insurance</t>
  </si>
  <si>
    <t>Water/Sewer</t>
  </si>
  <si>
    <t>Strata/Association Fees</t>
  </si>
  <si>
    <t>Oil/Gas/Coal/Wood</t>
  </si>
  <si>
    <t>Other</t>
  </si>
  <si>
    <t>Hydro</t>
  </si>
  <si>
    <t>FOOD</t>
  </si>
  <si>
    <t>Groceries</t>
  </si>
  <si>
    <t>Meals Out/Coffee</t>
  </si>
  <si>
    <t>TRANSPORTATION</t>
  </si>
  <si>
    <t>Bus Pass</t>
  </si>
  <si>
    <t>Maintenance</t>
  </si>
  <si>
    <t>Car Payment</t>
  </si>
  <si>
    <t>Parking</t>
  </si>
  <si>
    <t>Insurance</t>
  </si>
  <si>
    <t>Incidental (tolls/taxis)</t>
  </si>
  <si>
    <t>Gas</t>
  </si>
  <si>
    <t>MISCELLAENOUS COSTS</t>
  </si>
  <si>
    <t>Christmas /Birthdays Gifts</t>
  </si>
  <si>
    <t>Personal/Family Fitness/Sports</t>
  </si>
  <si>
    <t>Personal/Family Clothing</t>
  </si>
  <si>
    <t>Vices (Alcohol/Tobacco)</t>
  </si>
  <si>
    <t>Personal/Family Entertainment</t>
  </si>
  <si>
    <t>Furniture</t>
  </si>
  <si>
    <t>Personal/Family Membership Fees</t>
  </si>
  <si>
    <t>Charitable Donations</t>
  </si>
  <si>
    <t>FAMILY COMMITMENTS</t>
  </si>
  <si>
    <t>Day Care Costs</t>
  </si>
  <si>
    <t>Babysitting</t>
  </si>
  <si>
    <t>Alimony Payments</t>
  </si>
  <si>
    <t>Life Insurance</t>
  </si>
  <si>
    <t>Child Support Payments</t>
  </si>
  <si>
    <t>Allowances</t>
  </si>
  <si>
    <t>HEALTH</t>
  </si>
  <si>
    <t>Medical/Dental Premiums</t>
  </si>
  <si>
    <t>User Fees</t>
  </si>
  <si>
    <t xml:space="preserve">Prescriptions </t>
  </si>
  <si>
    <t>Vision Costs</t>
  </si>
  <si>
    <t>DEBIT RETIREMENT</t>
  </si>
  <si>
    <t>Credit Cards</t>
  </si>
  <si>
    <t xml:space="preserve">Other </t>
  </si>
  <si>
    <t>Personal loans</t>
  </si>
  <si>
    <t>EDUCATIONAL COSTS</t>
  </si>
  <si>
    <t>Monthly</t>
  </si>
  <si>
    <t>Tuition</t>
  </si>
  <si>
    <t>Exceptional Expenses</t>
  </si>
  <si>
    <t>Mandatory Fees</t>
  </si>
  <si>
    <t>Supplies Paper/pens/pencils</t>
  </si>
  <si>
    <t>Program Related Costs</t>
  </si>
  <si>
    <t xml:space="preserve">  Proof of Birth Date (if mature student- 19yrs or</t>
  </si>
  <si>
    <t xml:space="preserve">  older with at least 1 year out of high school)</t>
  </si>
  <si>
    <t xml:space="preserve">        Prior Learning Assessment</t>
  </si>
  <si>
    <t xml:space="preserve">            Resume</t>
  </si>
  <si>
    <t xml:space="preserve">            Transcript</t>
  </si>
  <si>
    <t>   Challenges</t>
  </si>
  <si>
    <t>   Other:</t>
  </si>
  <si>
    <t>___________________</t>
  </si>
  <si>
    <t xml:space="preserve">        Correspondence (absences, excused</t>
  </si>
  <si>
    <t xml:space="preserve">        Refund to Student Loans or student</t>
  </si>
  <si>
    <t xml:space="preserve">        (within 30 days)</t>
  </si>
  <si>
    <t xml:space="preserve">I will automatically be reported as withdrawn if: </t>
  </si>
  <si>
    <t xml:space="preserve">(b) if I do not attend at all for two consecutive calendar weeks, or </t>
  </si>
  <si>
    <t>In addition to the above:</t>
  </si>
  <si>
    <t>Ver 2012</t>
  </si>
  <si>
    <t>HCHUC07O1</t>
  </si>
  <si>
    <t>HCHUC07O2</t>
  </si>
  <si>
    <t>HCHUC07O3</t>
  </si>
  <si>
    <t>HCTR07O1</t>
  </si>
  <si>
    <t>CertBlaster4</t>
  </si>
  <si>
    <t>CertBlaster Exam Preparation 4 Unit</t>
  </si>
  <si>
    <t>Medical Receptionist Pratical Simulation</t>
  </si>
  <si>
    <t>Student First Name and Middle Name</t>
  </si>
  <si>
    <t>Student Usual First Name</t>
  </si>
  <si>
    <t>TERMS AND CONDITIONS OF PAYMENT</t>
  </si>
  <si>
    <t>Peter Chen</t>
  </si>
  <si>
    <t>SG5013E1</t>
  </si>
  <si>
    <t>Sage 50 Premium Accounting 2013</t>
  </si>
  <si>
    <t>Ver 2013</t>
  </si>
  <si>
    <t>MKS13E1</t>
  </si>
  <si>
    <t>I.L.S. Plus</t>
  </si>
  <si>
    <t>Program Duration in Weeks</t>
  </si>
  <si>
    <t>(select all that apply)</t>
  </si>
  <si>
    <t xml:space="preserve">    - Computer/Tablet</t>
  </si>
  <si>
    <t>PAYMENT PLAN</t>
  </si>
  <si>
    <t>REFUND POLICY</t>
  </si>
  <si>
    <t>Phone</t>
  </si>
  <si>
    <t>Email</t>
  </si>
  <si>
    <t>Name</t>
  </si>
  <si>
    <t>Relationship</t>
  </si>
  <si>
    <t xml:space="preserve">   Individual courses do not qualify.</t>
  </si>
  <si>
    <t>meet to this campus, and receive a</t>
  </si>
  <si>
    <t>CSR13E1</t>
  </si>
  <si>
    <t>Student Enrolment Contract Page 1 of 6</t>
  </si>
  <si>
    <t>INITIALS ________    ________</t>
  </si>
  <si>
    <t>Student Enrolment Contract Page 2 of 6</t>
  </si>
  <si>
    <t>Student Enrolment Contract Page 3 of 6</t>
  </si>
  <si>
    <t>Student Enrolment Contract Page 6 of 6</t>
  </si>
  <si>
    <t>Student Enrolment Contract Page 5 of 6</t>
  </si>
  <si>
    <t>Student Enrolment Contract Page 4 of 6</t>
  </si>
  <si>
    <t>(All terms and conditions of payment must be included here, including discounts, bursaries and deferred payments and all charges for late/insufficient payment)</t>
  </si>
  <si>
    <t>(All terms and conditions of payment must be included here, including discounts, bursaries and deferred payment arrangements and all charges for late/insufficient payment)</t>
  </si>
  <si>
    <t>No refund will be given for occasional absences from scheduled classes.</t>
  </si>
  <si>
    <t>Academic credit for any course in the program of study is not given until all financial obligations to the institution have been met.</t>
  </si>
  <si>
    <t>ii.    If written notice of withdrawal is received by the institution, or a student is dismissed, after 10% and before 30% of the period of instruction specified in the contract has elapsed, the institution may retain 50% of the tuition and fees due under the contract.</t>
  </si>
  <si>
    <t>Certain courses in the program of study may require that prerequisite course or equivalents, as prescribed by the institution, must be taken.</t>
  </si>
  <si>
    <t>PCF13E1-T</t>
  </si>
  <si>
    <t>PCF13E1-U</t>
  </si>
  <si>
    <t>Personal Computer Fundamentals for Technical Users</t>
  </si>
  <si>
    <t>Personal Computer Fundamentals for End Users</t>
  </si>
  <si>
    <t>Internet Fundamentals</t>
  </si>
  <si>
    <t>CSR13E1A</t>
  </si>
  <si>
    <t>Fee?</t>
  </si>
  <si>
    <t>Yes</t>
  </si>
  <si>
    <t>The institution reserves the right to schedule courses within the program of study in such order as it may deem appropriate or to modify its curriculum, programs, start dates, rules and regulations whenever it deems necessary, without notice, subject to any required approval of the institution's provincial regulators.</t>
  </si>
  <si>
    <t>ii.   By the institution to the student where the institution dismisses a student.</t>
  </si>
  <si>
    <t>Refund entitlement is calculated on the total fees due under the contract, less the applicable non-refundable application or registration fee. Where total fees have not yet been collected, the institution is not responsible for refunding more than has been collected to date and a student may be required to make up for the monies due under the contract.</t>
  </si>
  <si>
    <t>ii.   Subject to subsection a) i), if written notice of withdrawal is received by the institution thirty (30) calendar days or more before the commencement of the period of instruction specified in the contract, the institution may retain the lesser of 10% of the total tuition and fees due under the contract, or $750.00.</t>
  </si>
  <si>
    <t>iii.    Subject to subsection a) i), if written notice of withdrawal is received by the institution less than thirty (30) calendar days before the commencement of the period of instruction specified in the contract, the institution may retain the lesser of 20% of the total tuition and fees due under the contract, or $1000.00</t>
  </si>
  <si>
    <t>Other Refund Policy Requirements</t>
  </si>
  <si>
    <t>Where a student is deemed not to have met the institutional and/or program specific minimum requirements for admission through no misrepresentation or fault of their own, the institution must refund all tuition and fees paid under the contract, less the applicable non-refundable student application or registration fee.</t>
  </si>
  <si>
    <t>Where a student withdraws or is dismissed from their program after receiving technical equipment from the institution free of charge:</t>
  </si>
  <si>
    <t>i)    The student must return the equipment unopened or as issued within fourteen (14) calendar days; and</t>
  </si>
  <si>
    <t>ii)   If the student fails to return the equipment as set out above, the institution may deduct the reasonable cost of the equipment from any amount to be refunded to the student.</t>
  </si>
  <si>
    <t xml:space="preserve">        absences, warnings. etc.)</t>
  </si>
  <si>
    <t>Issuance of BCSAP loan documents or Grant cheques, continuation of Employment Insurance, WCB payments or other sponsorship, are all subject to strict and regular attendance and course progress requirements.  Disqualification from such benefits can result from failure to meet these requirements.  There will be a delay or hold to further payments or disbursements of funding if I am not attending or maintaining my course load in terms of my contract. If my attendance drops below 60% of my course load (number of weeks of study) for two consecutive weeks and I miss the Friday before the two week period or the Monday after the two week period, I will automatically be reported as withdrawn. Some courses may have other pre-requisite attendance policies of which I will be informed. Continuation of my course is further dependent on meeting these obligations.</t>
  </si>
  <si>
    <t>Max Assistance With Dependents</t>
  </si>
  <si>
    <t>Max Assistance Without Dependents</t>
  </si>
  <si>
    <t>Estimated Monthly Student Shortfall With Dependents</t>
  </si>
  <si>
    <t>Estimated Monthly Student Shortfall Without Dependents</t>
  </si>
  <si>
    <t>Maintenance/Repairs</t>
  </si>
  <si>
    <t>Hygiene &amp; Household Supplies</t>
  </si>
  <si>
    <t>201 - 20621 Logan Ave, Langley, BC, V3A 7R3</t>
  </si>
  <si>
    <t>_______________________________</t>
  </si>
  <si>
    <t>8091 Westminster Hwy, Richmond, BC V6X 1A7</t>
  </si>
  <si>
    <t>OFP10E1</t>
  </si>
  <si>
    <t>OFP10E2</t>
  </si>
  <si>
    <t>PMF14E1</t>
  </si>
  <si>
    <t>PMF14E2</t>
  </si>
  <si>
    <t>Archive Fee</t>
  </si>
  <si>
    <t>(see columns N,O &amp; P)</t>
  </si>
  <si>
    <t>(see columns K, L &amp; M)</t>
  </si>
  <si>
    <t>Exam &amp; Archive Fee</t>
  </si>
  <si>
    <t>BOOKS_MOA</t>
  </si>
  <si>
    <t>BOOKS_HUC</t>
  </si>
  <si>
    <t>BOOKS_AW</t>
  </si>
  <si>
    <t>Psychology Fundamentals</t>
  </si>
  <si>
    <t>Sociology and Family Life in Canada</t>
  </si>
  <si>
    <t>HCLD05O1</t>
  </si>
  <si>
    <t>Life-Span Development</t>
  </si>
  <si>
    <t>HCCRP01O1</t>
  </si>
  <si>
    <t>Case Management, Counseling, and Ethics</t>
  </si>
  <si>
    <t>Business Communication and Report Writing</t>
  </si>
  <si>
    <t>Government and Social Services</t>
  </si>
  <si>
    <t>BOOKS_CSW</t>
  </si>
  <si>
    <t>Fee Only</t>
  </si>
  <si>
    <t>SE4218CC</t>
  </si>
  <si>
    <t>Creative Cloud</t>
  </si>
  <si>
    <t>SE4226CC</t>
  </si>
  <si>
    <t>SE5011CC</t>
  </si>
  <si>
    <t>SE5002CC</t>
  </si>
  <si>
    <t>SE5229CC</t>
  </si>
  <si>
    <t>SE4017CC</t>
  </si>
  <si>
    <t>SE4221CC</t>
  </si>
  <si>
    <t>SE5300CC</t>
  </si>
  <si>
    <t>SE5221CC</t>
  </si>
  <si>
    <t>SE5500CC</t>
  </si>
  <si>
    <t>SE7116CC</t>
  </si>
  <si>
    <t>SE5013CC</t>
  </si>
  <si>
    <t>SE5302CC</t>
  </si>
  <si>
    <t>SE5442CC</t>
  </si>
  <si>
    <t>SE5315CC</t>
  </si>
  <si>
    <t>WDR14E1</t>
  </si>
  <si>
    <t>SE4213CC</t>
  </si>
  <si>
    <t>Introduction to Mental Health and Addictions</t>
  </si>
  <si>
    <t>Criminology and At-Risk Populations</t>
  </si>
  <si>
    <t>Win 8.1</t>
  </si>
  <si>
    <t>SSMS687</t>
  </si>
  <si>
    <t>SSMS688</t>
  </si>
  <si>
    <t>Microsoft Windows 8.1 Configuring</t>
  </si>
  <si>
    <t>Microsoft Windows 8.1 Supporting</t>
  </si>
  <si>
    <t>BES14E1</t>
  </si>
  <si>
    <t>Ver 2014</t>
  </si>
  <si>
    <t>Admissions Policy</t>
  </si>
  <si>
    <t>The refund policy as outlined in Bylaw 37 applies to this contract.</t>
  </si>
  <si>
    <t xml:space="preserve">  I DECLARE THAT:</t>
  </si>
  <si>
    <t>• I have read, understood, and agree to the terms and conditions of this enrolment contract.</t>
  </si>
  <si>
    <t>• I have received a signed copy of this contract.</t>
  </si>
  <si>
    <t>• I have been provided with information on how to access copies of the following:</t>
  </si>
  <si>
    <r>
      <t xml:space="preserve">þ </t>
    </r>
    <r>
      <rPr>
        <sz val="11"/>
        <rFont val="等线"/>
        <family val="2"/>
        <scheme val="minor"/>
      </rPr>
      <t>Admissions Policy</t>
    </r>
  </si>
  <si>
    <r>
      <t xml:space="preserve">þ </t>
    </r>
    <r>
      <rPr>
        <sz val="11"/>
        <rFont val="等线"/>
        <family val="2"/>
        <scheme val="minor"/>
      </rPr>
      <t>Withdrawal Policy</t>
    </r>
  </si>
  <si>
    <r>
      <t xml:space="preserve">þ </t>
    </r>
    <r>
      <rPr>
        <sz val="11"/>
        <rFont val="等线"/>
        <family val="2"/>
        <scheme val="minor"/>
      </rPr>
      <t>Dispute Resolution/Grade Appeal Policy</t>
    </r>
  </si>
  <si>
    <r>
      <t xml:space="preserve">þ </t>
    </r>
    <r>
      <rPr>
        <sz val="11"/>
        <rFont val="等线"/>
        <family val="2"/>
        <scheme val="minor"/>
      </rPr>
      <t>Attendance Policy</t>
    </r>
  </si>
  <si>
    <r>
      <t xml:space="preserve">þ </t>
    </r>
    <r>
      <rPr>
        <sz val="11"/>
        <rFont val="等线"/>
        <family val="2"/>
        <scheme val="minor"/>
      </rPr>
      <t>Dismissal Policy</t>
    </r>
  </si>
  <si>
    <r>
      <t xml:space="preserve">þ </t>
    </r>
    <r>
      <rPr>
        <sz val="11"/>
        <rFont val="等线"/>
        <family val="2"/>
        <scheme val="minor"/>
      </rPr>
      <t>Tuition and Fee Refund Policy</t>
    </r>
  </si>
  <si>
    <r>
      <t xml:space="preserve">þ </t>
    </r>
    <r>
      <rPr>
        <sz val="11"/>
        <rFont val="等线"/>
        <family val="2"/>
        <scheme val="minor"/>
      </rPr>
      <t>Program Outline</t>
    </r>
  </si>
  <si>
    <r>
      <t xml:space="preserve">þ </t>
    </r>
    <r>
      <rPr>
        <sz val="11"/>
        <rFont val="等线"/>
        <family val="2"/>
        <scheme val="minor"/>
      </rPr>
      <t>Language Proficiency Assessment Policy</t>
    </r>
  </si>
  <si>
    <t>• The information provided is true and accurate and I am 19 years of age or older.  If under the age of 19, a parent or legal 
   guardian must also sign the contract.</t>
  </si>
  <si>
    <t>Admission Interview</t>
  </si>
  <si>
    <t>Dated at</t>
  </si>
  <si>
    <t xml:space="preserve"> this</t>
  </si>
  <si>
    <t>day of</t>
  </si>
  <si>
    <t>Family Day</t>
  </si>
  <si>
    <t>Victoria Day</t>
  </si>
  <si>
    <t>HRM13E1</t>
  </si>
  <si>
    <t>BOOKS_MOFA</t>
  </si>
  <si>
    <t>ESS15E1</t>
  </si>
  <si>
    <t>ACS13M1</t>
  </si>
  <si>
    <t>ACS13M2</t>
  </si>
  <si>
    <t>EXC13M1</t>
  </si>
  <si>
    <t>EXC13M2</t>
  </si>
  <si>
    <t>EXC13M3</t>
  </si>
  <si>
    <t>OTL13M1</t>
  </si>
  <si>
    <t>OTL13M2</t>
  </si>
  <si>
    <t>PBL13M1</t>
  </si>
  <si>
    <t>PPT13M1</t>
  </si>
  <si>
    <t>PPT13M2</t>
  </si>
  <si>
    <t>PRJ13M1</t>
  </si>
  <si>
    <t>PRJ13M2</t>
  </si>
  <si>
    <t>Windows 8.1 Level 1</t>
  </si>
  <si>
    <t>Windows 8.1 Level 2</t>
  </si>
  <si>
    <t>WRD13M1</t>
  </si>
  <si>
    <t>WRD13M2</t>
  </si>
  <si>
    <t>WRD13M3</t>
  </si>
  <si>
    <t>http://secure.academyol.com/Links/Download.aspx?FileID=3216</t>
  </si>
  <si>
    <t>http://secure.academyol.com/Links/Download.aspx?FileID=3217</t>
  </si>
  <si>
    <t>http://secure.academyol.com/Links/Download.aspx?FileID=3222</t>
  </si>
  <si>
    <t>http://secure.academyol.com/Links/Download.aspx?FileID=3225</t>
  </si>
  <si>
    <t>http://secure.academyol.com/Links/Download.aspx?FileID=3221</t>
  </si>
  <si>
    <t>http://secure.academyol.com/Links/Download.aspx?FileID=3220</t>
  </si>
  <si>
    <t>http://secure.academyol.com/Links/Download.aspx?FileID=3230</t>
  </si>
  <si>
    <t>http://secure.academyol.com/Links/Download.aspx?FileID=3227</t>
  </si>
  <si>
    <t>http://secure.academyol.com/Links/Download.aspx?FileID=3224</t>
  </si>
  <si>
    <t>http://secure.academyol.com/Links/Download.aspx?FileID=3226</t>
  </si>
  <si>
    <t>http://secure.academyol.com/Links/Download.aspx?FileID=3231</t>
  </si>
  <si>
    <t>http://secure.academyol.com/Links/Download.aspx?FileID=3234</t>
  </si>
  <si>
    <t>http://secure.academyol.com/Links/Download.aspx?FileID=3232</t>
  </si>
  <si>
    <t>http://secure.academyol.com/Links/Download.aspx?FileID=3228</t>
  </si>
  <si>
    <t>http://secure.academyol.com/Links/Download.aspx?FileID=3229</t>
  </si>
  <si>
    <t>http://secure.academyol.com/Links/Download.aspx?FileID=409</t>
  </si>
  <si>
    <t>http://secure.academyol.com/Links/Download.aspx?FileID=413</t>
  </si>
  <si>
    <t>http://secure.academyol.com/Links/Download.aspx?FileID=417</t>
  </si>
  <si>
    <t>http://secure.academyol.com/Links/Download.aspx?FileID=421</t>
  </si>
  <si>
    <t>http://secure.academyol.com/Links/Download.aspx?FileID=3240</t>
  </si>
  <si>
    <t>http://secure.academyol.com/Links/Download.aspx?FileID=3409</t>
  </si>
  <si>
    <t>http://secure.academyol.com/Links/Download.aspx?FileID=2948</t>
  </si>
  <si>
    <t>http://secure.academyol.com/Links/Download.aspx?FileID=581</t>
  </si>
  <si>
    <t>http://secure.academyol.com/Links/Download.aspx?FileID=588</t>
  </si>
  <si>
    <t>http://secure.academyol.com/Links/Download.aspx?FileID=598</t>
  </si>
  <si>
    <t>http://secure.academyol.com/Links/Download.aspx?FileID=604</t>
  </si>
  <si>
    <t>http://secure.academyol.com/Links/Download.aspx?FileID=2815</t>
  </si>
  <si>
    <t>http://secure.academyol.com/Links/Download.aspx?FileID=613</t>
  </si>
  <si>
    <t>http://secure.academyol.com/Links/Download.aspx?FileID=625</t>
  </si>
  <si>
    <t>http://secure.academyol.com/Links/Download.aspx?FileID=644</t>
  </si>
  <si>
    <t>http://secure.academyol.com/Links/Download.aspx?FileID=649</t>
  </si>
  <si>
    <t>BPL15O1</t>
  </si>
  <si>
    <t>http://secure.academyol.com/Links/Download.aspx?FileID=3487</t>
  </si>
  <si>
    <t>http://secure.academyol.com/Links/Download.aspx?FileID=2950</t>
  </si>
  <si>
    <t>http://secure.academyol.com/Links/Download.aspx?FileID=685</t>
  </si>
  <si>
    <t>http://secure.academyol.com/Links/Download.aspx?FileID=693</t>
  </si>
  <si>
    <t>http://secure.academyol.com/Links/Download.aspx?FileID=700</t>
  </si>
  <si>
    <t>http://secure.academyol.com/Links/Download.aspx?FileID=720</t>
  </si>
  <si>
    <t>http://secure.academyol.com/Links/Download.aspx?FileID=721</t>
  </si>
  <si>
    <t>http://secure.academyol.com/Links/Download.aspx?FileID=724</t>
  </si>
  <si>
    <t>http://secure.academyol.com/Links/Download.aspx?FileID=727</t>
  </si>
  <si>
    <t>http://secure.academyol.com/Links/Download.aspx?FileID=728</t>
  </si>
  <si>
    <t>http://secure.academyol.com/Links/Download.aspx?FileID=730</t>
  </si>
  <si>
    <t>http://secure.academyol.com/Links/Download.aspx?FileID=2957</t>
  </si>
  <si>
    <t>http://secure.academyol.com/Links/Download.aspx?FileID=806</t>
  </si>
  <si>
    <t>http://secure.academyol.com/Links/Download.aspx?FileID=810</t>
  </si>
  <si>
    <t>http://secure.academyol.com/Links/Download.aspx?FileID=814</t>
  </si>
  <si>
    <t>http://secure.academyol.com/Links/Download.aspx?FileID=836</t>
  </si>
  <si>
    <t>http://secure.academyol.com/Links/Download.aspx?FileID=840</t>
  </si>
  <si>
    <t>http://secure.academyol.com/Links/Download.aspx?FileID=3563</t>
  </si>
  <si>
    <t>http://secure.academyol.com/Links/Download.aspx?FileID=3242</t>
  </si>
  <si>
    <t>http://secure.academyol.com/Links/Download.aspx?FileID=3244</t>
  </si>
  <si>
    <t>http://secure.academyol.com/Links/Download.aspx?FileID=3413</t>
  </si>
  <si>
    <t>http://secure.academyol.com/Links/Download.aspx?FileID=1047</t>
  </si>
  <si>
    <t>http://secure.academyol.com/Links/Download.aspx?FileID=1048</t>
  </si>
  <si>
    <t>http://secure.academyol.com/Links/Download.aspx?FileID=2975</t>
  </si>
  <si>
    <t>Addition Workers Specialty Level 1</t>
  </si>
  <si>
    <t>http://secure.academyol.com/Links/Download.aspx?FileID=2976</t>
  </si>
  <si>
    <t>Addition Workers Specialty Level 3</t>
  </si>
  <si>
    <t>Addition Workers Specialty Level 2</t>
  </si>
  <si>
    <t>http://secure.academyol.com/Links/Download.aspx?FileID=3657</t>
  </si>
  <si>
    <t>http://secure.academyol.com/Links/Download.aspx?FileID=2977</t>
  </si>
  <si>
    <t>http://secure.academyol.com/Links/Download.aspx?FileID=3659</t>
  </si>
  <si>
    <t>http://secure.academyol.com/Links/Download.aspx?FileID=3106</t>
  </si>
  <si>
    <t>http://secure.academyol.com/Links/Download.aspx?FileID=3664</t>
  </si>
  <si>
    <t>http://secure.academyol.com/Links/Download.aspx?FileID=1099</t>
  </si>
  <si>
    <t>http://secure.academyol.com/Links/Download.aspx?FileID=1100</t>
  </si>
  <si>
    <t>http://secure.academyol.com/Links/Download.aspx?FileID=1101</t>
  </si>
  <si>
    <t>http://secure.academyol.com/Links/Download.aspx?FileID=3675</t>
  </si>
  <si>
    <t>The institution reserves the right to schedule courses within the program of study in such an order as it may deem appropriate or to modify its curriculum, programs, start dates, rules and regulations whenever it deems necessary, without notice, subject to any required approval of the institution's provincial regulators.</t>
  </si>
  <si>
    <t>The institution reserves the right to change the location in which the program of study is offered or the hours of operation with two (2) weeks' notice, subject to any direction or required approval of the institution's regulators.</t>
  </si>
  <si>
    <t>This institution agrees to deliver the program according to the terms of this contract. The institution reserves the right to make minor adjustments to the program curriculum and/or delivery. The institution certifies that the student has met the admission requirements for the program of study.</t>
  </si>
  <si>
    <t>BAIP04E1</t>
  </si>
  <si>
    <t>BDA15O1</t>
  </si>
  <si>
    <t>Business in the Digital Age</t>
  </si>
  <si>
    <t>BSC13E1</t>
  </si>
  <si>
    <t>BSC13E2</t>
  </si>
  <si>
    <t>KBD15E1</t>
  </si>
  <si>
    <t>KBD15E2</t>
  </si>
  <si>
    <t>KBD15E3</t>
  </si>
  <si>
    <t>KBD15E4</t>
  </si>
  <si>
    <t>Admissions Coordinator</t>
  </si>
  <si>
    <t>JSR11E1</t>
  </si>
  <si>
    <t>PFS07E1</t>
  </si>
  <si>
    <t>PRS07E1</t>
  </si>
  <si>
    <t>Clear All Form Data</t>
  </si>
  <si>
    <t xml:space="preserve">Emergency contact: (name, telephone number, &amp; relationship): </t>
  </si>
  <si>
    <t>Old Sequence # 9997</t>
  </si>
  <si>
    <t>Welcomes You!!</t>
  </si>
  <si>
    <t>WIN07E1</t>
  </si>
  <si>
    <t>WIN07E2</t>
  </si>
  <si>
    <t>WIN08E1</t>
  </si>
  <si>
    <t>WIN08E2</t>
  </si>
  <si>
    <t>HCCP1BC_HUC</t>
  </si>
  <si>
    <t>HCCP1BC_MOA</t>
  </si>
  <si>
    <t>Funding Source</t>
  </si>
  <si>
    <t>AOLCC PROGRAMS</t>
  </si>
  <si>
    <t>AOLCC Programs</t>
  </si>
  <si>
    <r>
      <rPr>
        <b/>
        <sz val="8"/>
        <rFont val="Franklin Gothic Book"/>
        <family val="2"/>
      </rPr>
      <t xml:space="preserve">      </t>
    </r>
    <r>
      <rPr>
        <b/>
        <u/>
        <sz val="8"/>
        <rFont val="Franklin Gothic Book"/>
        <family val="2"/>
      </rPr>
      <t>Or if not a mature student:</t>
    </r>
  </si>
  <si>
    <r>
      <t>EMAIL</t>
    </r>
    <r>
      <rPr>
        <sz val="9"/>
        <rFont val="Franklin Gothic Book"/>
        <family val="2"/>
      </rPr>
      <t>(if applicable)</t>
    </r>
    <r>
      <rPr>
        <b/>
        <sz val="11"/>
        <rFont val="Franklin Gothic Book"/>
        <family val="2"/>
      </rPr>
      <t xml:space="preserve">: </t>
    </r>
  </si>
  <si>
    <t xml:space="preserve">        TB Check (CSWs &amp; AWs)</t>
  </si>
  <si>
    <t xml:space="preserve">        Criminal Record Check (All HealthCare)</t>
  </si>
  <si>
    <t>See file for reports and documentation</t>
  </si>
  <si>
    <t xml:space="preserve">        Advance Diploma/Certificate requested</t>
  </si>
  <si>
    <t xml:space="preserve">        Payment Records match CMS records</t>
  </si>
  <si>
    <t xml:space="preserve">        Copy of Transcript</t>
  </si>
  <si>
    <t xml:space="preserve">        Diploma/Certificate(s) mailed/contacted</t>
  </si>
  <si>
    <t xml:space="preserve">        Tax Receipt - T2202A created (SP/EP/EI/Other)</t>
  </si>
  <si>
    <t xml:space="preserve">        AOLCC Director letter</t>
  </si>
  <si>
    <r>
      <t>I agree to log in or fill out my daily attendance and acknowledge that where appropriate this attendance record is available for inspection by the Ministry of Advanced Education, Training and Technology, Human Resources Development Canada, Workers’ Compensation or other funding agency.  I understand that Academy of Learning has agreed to report attendance records and submit absence reports to the specified Agencies</t>
    </r>
    <r>
      <rPr>
        <b/>
        <sz val="12"/>
        <rFont val="Franklin Gothic Book"/>
        <family val="2"/>
      </rPr>
      <t xml:space="preserve">.  </t>
    </r>
    <r>
      <rPr>
        <sz val="12"/>
        <rFont val="Franklin Gothic Book"/>
        <family val="2"/>
      </rPr>
      <t>They may also release information related to my academic progress or other information related to my enrolment in the above training course.</t>
    </r>
  </si>
  <si>
    <r>
      <t xml:space="preserve">If I need to be absent due to illness, </t>
    </r>
    <r>
      <rPr>
        <b/>
        <sz val="12"/>
        <rFont val="Franklin Gothic Book"/>
        <family val="2"/>
      </rPr>
      <t>I will telephone and advise the school of the reason</t>
    </r>
  </si>
  <si>
    <t>I will obtain a doctor’s note stating reason for absence. I agree that for all absences I need to re-</t>
  </si>
  <si>
    <t xml:space="preserve">for not attending class. If due to illness, I am absent for a period of longer than two days in a row </t>
  </si>
  <si>
    <t>have read the policy regarding Internet usage and</t>
  </si>
  <si>
    <t>understand that I am to use the Internet for school related purposes only.  I also acknowledge that failure to adhere to this policy may result in dismissal.</t>
  </si>
  <si>
    <r>
      <t>Please provide your contact information</t>
    </r>
    <r>
      <rPr>
        <sz val="12"/>
        <rFont val="Franklin Gothic Book"/>
        <family val="2"/>
      </rPr>
      <t>:</t>
    </r>
  </si>
  <si>
    <r>
      <rPr>
        <sz val="14"/>
        <rFont val="Franklin Gothic Book"/>
        <family val="2"/>
      </rPr>
      <t xml:space="preserve">□  </t>
    </r>
    <r>
      <rPr>
        <sz val="12"/>
        <rFont val="Franklin Gothic Book"/>
        <family val="2"/>
      </rPr>
      <t>Testimonial</t>
    </r>
  </si>
  <si>
    <t xml:space="preserve"> of the Academy of Learning Career College</t>
  </si>
  <si>
    <r>
      <rPr>
        <sz val="14"/>
        <rFont val="Franklin Gothic Book"/>
        <family val="2"/>
      </rPr>
      <t xml:space="preserve">□  </t>
    </r>
    <r>
      <rPr>
        <sz val="12"/>
        <rFont val="Franklin Gothic Book"/>
        <family val="2"/>
      </rPr>
      <t>Photos of me taken at an Academy of Learning Career College event/function</t>
    </r>
  </si>
  <si>
    <t>I understand and I approve the disclosure and posting of the abovementioned information onto Facebook, and that the Academy of Learning Career College will not be providing any protected information to the public.</t>
  </si>
  <si>
    <r>
      <t xml:space="preserve">I have received a </t>
    </r>
    <r>
      <rPr>
        <i/>
        <sz val="12"/>
        <rFont val="Franklin Gothic Book"/>
        <family val="2"/>
      </rPr>
      <t>Budget Worksheet</t>
    </r>
    <r>
      <rPr>
        <sz val="12"/>
        <rFont val="Franklin Gothic Book"/>
        <family val="2"/>
      </rPr>
      <t xml:space="preserve"> and acknowledge that the Academy of Learning Career College has provided me with support on understanding how to budget and assisted me with completing this budget worksheet. </t>
    </r>
  </si>
  <si>
    <t>CPAMEMB06</t>
  </si>
  <si>
    <t>CPA Membership</t>
  </si>
  <si>
    <t>CPR00E1</t>
  </si>
  <si>
    <t>Basic Rescuer (Level C) CPR Certifications</t>
  </si>
  <si>
    <t>Ver 2015</t>
  </si>
  <si>
    <t>MKA15O1</t>
  </si>
  <si>
    <t>I.L.S.Plus</t>
  </si>
  <si>
    <t>MS Project Level 1</t>
  </si>
  <si>
    <t>MS Project Level 2</t>
  </si>
  <si>
    <t>SFA00E1</t>
  </si>
  <si>
    <t>Standard First Aid</t>
  </si>
  <si>
    <t>PTIB Registration Number</t>
  </si>
  <si>
    <r>
      <t xml:space="preserve">This Institution is </t>
    </r>
    <r>
      <rPr>
        <b/>
        <sz val="11"/>
        <color rgb="FF000000"/>
        <rFont val="Franklin Gothic Book"/>
        <family val="2"/>
      </rPr>
      <t>designated</t>
    </r>
    <r>
      <rPr>
        <sz val="11"/>
        <color rgb="FF000000"/>
        <rFont val="Franklin Gothic Book"/>
        <family val="2"/>
      </rPr>
      <t xml:space="preserve"> by the
Private Training Institutions Branch</t>
    </r>
  </si>
  <si>
    <t>Student Personal Education Number (if available)</t>
  </si>
  <si>
    <t>Program Title (as registered with PTIB)</t>
  </si>
  <si>
    <t>Hours of Instruction</t>
  </si>
  <si>
    <t>during Contract Term</t>
  </si>
  <si>
    <t>Contract Start Date</t>
  </si>
  <si>
    <t>Contract End Date</t>
  </si>
  <si>
    <t>Language of Instruction if other than English:</t>
  </si>
  <si>
    <t>Required course materials and technological resources not provided by the institution (if applicable):</t>
  </si>
  <si>
    <t>3. If a student does not attend any of the first 30% of the hours of instruction to be provided during the contract term, the 
     institution may retain up to 50% of the tuition paid under the student enrolment contract unless the program is provided 
     solely through distance education.</t>
  </si>
  <si>
    <t xml:space="preserve">     (a) more than seven days after the effective contract date and</t>
  </si>
  <si>
    <t xml:space="preserve">     (b) after the contract start date</t>
  </si>
  <si>
    <t>(b) of the date the institution provides a notice of dismissal to the student,</t>
  </si>
  <si>
    <t>(a) of the date the institution receives a student’s notice of withdrawal,</t>
  </si>
  <si>
    <t>(d) after the first 30% of the hours of instruction if section 3 of this policy applies.</t>
  </si>
  <si>
    <t>(b) the program is provided solely through distance education.</t>
  </si>
  <si>
    <t>WORK EXPERIENCE (if applicable)</t>
  </si>
  <si>
    <t>PROGRAM OUTLINE</t>
  </si>
  <si>
    <t>Program Title</t>
  </si>
  <si>
    <t>Career Occupation</t>
  </si>
  <si>
    <t>Learning Objective</t>
  </si>
  <si>
    <t>Method(s) of Evaluation</t>
  </si>
  <si>
    <t>Completion Requirements</t>
  </si>
  <si>
    <t>Career Occupation:</t>
  </si>
  <si>
    <t>With further studies the graduate may pursue a career as:
-Internet Web site technician
-LAN (local area network) administrator
-LAN (local area network) technician, Web technician
-Computer network technician
-Computer network technician supervisor
-Data centre operator
-Network/System administrator
-Network support technician</t>
  </si>
  <si>
    <t>Learning Objective:</t>
  </si>
  <si>
    <t>Method(s) of Evaluation:</t>
  </si>
  <si>
    <t>Completion Requirements:</t>
  </si>
  <si>
    <t>Program Organization:</t>
  </si>
  <si>
    <t>Title of Course/Work Experience Component</t>
  </si>
  <si>
    <t># of Hours</t>
  </si>
  <si>
    <t>The student will be evaluated by the Academy of Learning final online exam for each course.</t>
  </si>
  <si>
    <t>A+ Certification Exam (only 1 x single attempt)</t>
  </si>
  <si>
    <t>A+ Certification Exam (only 2 x single attempts)</t>
  </si>
  <si>
    <t>Security+ Certification Exam (1 x single attempt)</t>
  </si>
  <si>
    <t>Server+ Certification Exam (1 x single attempt)</t>
  </si>
  <si>
    <t>Network+ Certification Exam (only 1 x single attempt)</t>
  </si>
  <si>
    <t>Computerized accounting is a growing area. Excellent opportunities exist for skilled people. Graduates can become employed in the accounting department of a large company as an assistant or be in charge of the accounts in a smaller enterprise.</t>
  </si>
  <si>
    <t>At the end of this program the student with have the opportunities to acquire and apply the knowledge of bookkeeping, office skills, and accounting to meet the demands of today’s business.</t>
  </si>
  <si>
    <t>The computerized accounting sector is one of the fastest growing areas. Excellent opportunities exist for skilled persons.</t>
  </si>
  <si>
    <t>At the end of this program the student will have the opportunities to acquire and apply the knowledge of business concepts and office skills to meet the demands of today’s business environment.</t>
  </si>
  <si>
    <t>Successful candidates can pursue careers throughout the private and public sectors; typical positions are those of accounting clerk, audit clerk, billing clerk, budget clerk, costing clerk, deposit clerk, finance clerk, freight-rate clerk, invoice clerk, ledger clerk. Upward mobility in these vocations is possible with experience, motivation, dedication, and a positive attitude.</t>
  </si>
  <si>
    <t>Graduates of this program are qualified to work in a wide variety of CSW/AW settings and occupations. Job titles vary per location, but graduates are an integral part of many settings, including:
-Rehabilitation Centres
-Public and Private Addiction Counselling Clinics
-Addiction and Drug Awareness Agencies
-Mental health centres
-Healthcare and Social Assistance</t>
  </si>
  <si>
    <t>Obtain an overall average of 75%, and achieve at least a Pass (60%) on all courses in the program outline.</t>
  </si>
  <si>
    <t>ILS Courses: The student will be evaluated by the Academy of Learning final online exam for each course.
AW Courses: Each course involves quizzes, tests, graded activities/assignments, and a Final Exam.</t>
  </si>
  <si>
    <t>Learning Medical Language</t>
  </si>
  <si>
    <t>I.L.S</t>
  </si>
  <si>
    <t>At the end of this program the student will have the knowledge of today's most popular word-processing software and its many applications in the business world. Student will be able to perform a variety of administrative and clerical functions, prepare reports and assists with overall functions of department.</t>
  </si>
  <si>
    <t>Graduates of this program are qualified to work as administrative assistants, with opportunity to move into supervisory office positions as their careers progress.</t>
  </si>
  <si>
    <t>Requirements for participation:</t>
  </si>
  <si>
    <t xml:space="preserve">Geographic area </t>
  </si>
  <si>
    <t>Requirements</t>
  </si>
  <si>
    <t>Number of hours</t>
  </si>
  <si>
    <t>Costs to Complete</t>
  </si>
  <si>
    <t>Intended Dates</t>
  </si>
  <si>
    <t>Within the city of the campus that student registered in, and/or within 1 hour travel time (each way) from the campus.</t>
  </si>
  <si>
    <t>Immediately or occasionally within 2 weeks of the student’s completion of the in-class (or on-campus) program.</t>
  </si>
  <si>
    <t>Geographic area or region of the province where the work experience component will be provided:</t>
  </si>
  <si>
    <t>Estimate of the costs to complete the work experience, if any:</t>
  </si>
  <si>
    <t>Date(s) on which work experience is intended to be provided:</t>
  </si>
  <si>
    <t>Number of hours of instruction:</t>
  </si>
  <si>
    <t>REGULATORY REQUIREMENTS (if applicable)</t>
  </si>
  <si>
    <t xml:space="preserve">    - Total tuition payable during contract term (includes discounts/scholarship amounts)</t>
  </si>
  <si>
    <r>
      <t>o</t>
    </r>
    <r>
      <rPr>
        <sz val="11"/>
        <color rgb="FF000000"/>
        <rFont val="等线"/>
        <family val="2"/>
        <scheme val="minor"/>
      </rPr>
      <t xml:space="preserve"> Cash</t>
    </r>
  </si>
  <si>
    <r>
      <t>o</t>
    </r>
    <r>
      <rPr>
        <sz val="11"/>
        <color rgb="FF000000"/>
        <rFont val="等线"/>
        <family val="2"/>
        <scheme val="minor"/>
      </rPr>
      <t xml:space="preserve"> Cheque</t>
    </r>
  </si>
  <si>
    <r>
      <t>o</t>
    </r>
    <r>
      <rPr>
        <sz val="11"/>
        <color rgb="FF000000"/>
        <rFont val="等线"/>
        <family val="2"/>
        <scheme val="minor"/>
      </rPr>
      <t xml:space="preserve"> </t>
    </r>
    <r>
      <rPr>
        <sz val="10"/>
        <color rgb="FF000000"/>
        <rFont val="等线"/>
        <family val="2"/>
        <scheme val="minor"/>
      </rPr>
      <t>Credit Card</t>
    </r>
  </si>
  <si>
    <r>
      <t>o</t>
    </r>
    <r>
      <rPr>
        <sz val="11"/>
        <color rgb="FF000000"/>
        <rFont val="等线"/>
        <family val="2"/>
        <scheme val="minor"/>
      </rPr>
      <t xml:space="preserve"> Other:</t>
    </r>
  </si>
  <si>
    <t>PRIVATE TRAINING INSTITUTIONS BRANCH</t>
  </si>
  <si>
    <t>Tel. (604) 569-0033 or 1-800-661-7441</t>
  </si>
  <si>
    <t>Fax. (778) 945-0606</t>
  </si>
  <si>
    <t>www.privatetraininginstitutions.gov.bc.ca</t>
  </si>
  <si>
    <t xml:space="preserve">PTI@gov.bc.ca </t>
  </si>
  <si>
    <t>Please be advised that under section 61 of the Private Training Act, the Registrar is authorized to collect, use and disclose personal information in accordance with the Registrar’s regulatory duties under that Act. Accordingly, this institution is authorized to disclose your personal information to the Registrar for regulatory purposes.</t>
  </si>
  <si>
    <t>Each Academy of Learning Career College is operated by an independent owner/operator licensed by LaunchLife International Inc. “Academy of Learning” and the other trademarks associated with the Academy of Learning System are owned by LaunchLife International Inc. and are used under license.</t>
  </si>
  <si>
    <r>
      <t>The Academy of Learning Career College uses various learning methods including the Integrated Learning</t>
    </r>
    <r>
      <rPr>
        <vertAlign val="superscript"/>
        <sz val="12"/>
        <color indexed="8"/>
        <rFont val="Calibri"/>
        <family val="2"/>
      </rPr>
      <t>TM</t>
    </r>
    <r>
      <rPr>
        <sz val="12"/>
        <color indexed="8"/>
        <rFont val="Calibri"/>
        <family val="2"/>
      </rPr>
      <t xml:space="preserve"> System, as well as instructor-led and on-line learning.</t>
    </r>
  </si>
  <si>
    <t>The Academy of Learning Career College is not responsible for loss of personal property or for personal injury from whatever cause in the institution or external learning environments (i.e. practicum locations if any).</t>
  </si>
  <si>
    <t>The student must complete the program of study at the Academy of Learning Career College institution identified on the contract. In the event the student wishes to transfer to another Academy of Learning Career College institution, the student must request this in writing from the institution identified on the contract well in advance but the institution can not guarantee a transfer will be made or possible.</t>
  </si>
  <si>
    <t>The applicable Terms and Conditions of Enrolment above shall apply to all programs / course of instruction provided by the Academy of Learning Career College.</t>
  </si>
  <si>
    <t xml:space="preserve">At the end of this program student will have the necessary skills and knowledge to provide supervision in the payroll department, including basic payroll practices and procedures, business correspondence, office procedures, business supervisory skills, and performing a job search. Student will also satisfy the academic requirements for the Canadian Payroll Association’s (CPA) Payroll Compliance Practitioner (PCP) certification. </t>
  </si>
  <si>
    <t>The student will be evaluated by the Academy of Learning final online exam for each course.
For CPA courses, student will be evaluated by assignments, mid-term, and final exams from CPA.</t>
  </si>
  <si>
    <t xml:space="preserve">At the end of this program the student will have the knowledge of computerized accounting procedures, business concepts and office skills to meet the demands of today’s business. </t>
  </si>
  <si>
    <t>At the end of this program student will have the office skills and knowledge of business office concepts to meet the demands of today’s workplace.</t>
  </si>
  <si>
    <t>Graduates of this program have a varied choice of positions available to them, ranging from:
- Inbound/ Outbound marketing
- Order Desk support
- Reservations and Outbound Sales
- Team Leaders / Supervisor
- Call Centres Manager</t>
  </si>
  <si>
    <t>At the end of this program student will acquire the skills required by many companies that specialize in customer service and outbound marketing services, with skills to facilitate upward movement in their chosen profession.</t>
  </si>
  <si>
    <t>Graduates are qualified to work in a wide variety of CSW settings and occupations. Job title includes:
- Youth centres and youth protection services
- Individual and family services
- Civic and social organizations
- Out-patient care centres
- Local Community Service Centres (CLSC)
- Vocational rehabilitation services
- Community food and housing
- Emergency relief services</t>
  </si>
  <si>
    <t>ILS Courses: The student will be evaluated by the Academy of Learning final online exam for each course.
CSW Courses: Each course involves quizzes, tests, graded activities/assignments, and a Final Exam.</t>
  </si>
  <si>
    <t>Graduates of this program will find opportunities working as bench technicians for small to medium sized PC or electronics companies as well as large PC related manufacturing operations. They may also find positions in computer sales and service. After some experience, they may wish to open their own computer repair service.</t>
  </si>
  <si>
    <t>At the end of this program the student will have the knowledge to meet the challenges of today’s highly competitive world with the skills required by employers or to operate their own small business.</t>
  </si>
  <si>
    <t>In the corporate environment, a skilled Executive Assistant can be an invaluable member of the management team. Opportunities and compensation are better than ever in this area. This type of position may lead into the management stream for those who perform well and possess the skills.</t>
  </si>
  <si>
    <t>At the end of this program student will be able to meet the challenges of the new millennium with the skills most currently required by employers.</t>
  </si>
  <si>
    <t>Graduates of this program are prepared for a variety of entry-level roles in the Human Resources department, such as: human resources assistant, personnel assistant, staffing assistant, training clerk, employment clerk, and labour relations clerk. Upward mobility in these roles is feasible with experience, motivation, dedication, and a positive attitude.</t>
  </si>
  <si>
    <t>At the end of this program student will have comprehensive knowledge of current office and business skills including proficiency in Human Resource Management, Business Law &amp; Ethics, Microsoft applications and accounting.</t>
  </si>
  <si>
    <t>Careers which correspond to the skills learned include:
- Sales, Marketing and Advertising Assistant
- Office Equipment Operators
- Administrative Support</t>
  </si>
  <si>
    <t>At the end of this program student will acquire the knowledge of desktop publishing and basic marketing skills to meet the demands of today’s business.</t>
  </si>
  <si>
    <t>Graduates of this program are prepared for entry-level marketing support and administrative positions in a variety of industries, specializing in those areas of greatest interest, experience, and ability. Common job titles include:
- Marketing &amp; Events Coordinator
- Sales &amp; Marketing Coordinator
- Direct Marketing Coordinator</t>
  </si>
  <si>
    <t>At the end of this program student will have the following:
- Leading-edge marketing skills and current course curriculum relevant to today’s businesses in Canada and, in some cases, internationally.
- An introduction to the most relevant aspects of marketing support and administration.
- Professional skills in high demand by employers, including teamwork, communication, customer service, leadership, research, and problem solving.
- A solid knowledge of marketing practices and principles and opportunities to relate and apply this knowledge to the many facets of marketing.
- Proficiency in Microsoft Office applications and graphics.</t>
  </si>
  <si>
    <t>Some common job titles include:
- Technical Support Specialist
- Field Service Technician
- Support Services
- Helpdesk Support Analyst
- Desktop Support Technician</t>
  </si>
  <si>
    <t>At the end of this program student will obtain skills and knowledge required to install, deploy, and upgrade to Windows 7, including ensuring hardware and software compatibility. Additionally, student learns how to configure system settings, Windows security features, network and remote connectivity applications, and mobile computing, as well as various troubleshooting tools and techniques that enable them to address Startup, Group Policy, user profile, logon, and performance issues in Windows 7 in an enterprise network environment.</t>
  </si>
  <si>
    <t>Common job title includes:
- Systems Administrator
- Server Administrator
- Network Administrator
- Information Systems Administrator
- Network Operations Analyst
- Network Technician
- Technical Support Specialist</t>
  </si>
  <si>
    <t xml:space="preserve">At the end of this program student will have the knowledge and skills in working with Windows Server 2008, including the ability to handle day-to-day management of the server operating system, file structure, and directory services; handle software distribution and updates; monitor servers; provide tier-2 troubleshooting support; support engineering and change-management projects; build and configure servers; implement auditing policy; perform scheduled vulnerability assessment scans; and monitor logs for firewalls and intrusion-detection systems. </t>
  </si>
  <si>
    <t>Medical Administrative Assistants work in doctors’ offices, hospitals, medical clinics, pharmaceutical companies, government health agencies and a variety of other medical office settings. They are integral members of the health care delivery team and perform many administrative and some basic clinical procedures. Typical Job Titles include Medical Office Assistant, Medical Secretary, Medical Billing Clerk/Secretary, Medical Office Administrator, Medical Receptionist, Clinical Assistant, Ward Secretary and Booking Clerk.</t>
  </si>
  <si>
    <t>At the end of this program student will have in depth knowledge of office procedures, communications, word processing, terminology and medical billing.</t>
  </si>
  <si>
    <t>Graduates can work in many healthcare settings, including:
- Physicians’ offices, clinics, and mental healthcare and allied healthcare centres
- Ambulatory clinics
- Complementary and alternative medicine clinics (e.g., chiropractic and acupuncture centres)
- Long-term and extended care departments
- Medical research facilities</t>
  </si>
  <si>
    <t>Graduates can work in many healthcare settings, including:
- Physicians’ offices, clinics, and mental healthcare and allied healthcare centres
- Ambulatory clinics
- Complementary and alternative medicine clinics (e.g., chiropractic and acupuncture centres)
- Long-term and extended care departments
- Medical research facilities
-Various hospital departments as a Health Unit Coordinator, such as: nursing, surgery, blood bank, specialty clinics, rehabilitation, geriatrics, diabetes</t>
  </si>
  <si>
    <t>At the end of this program student will have the basic knowledge, skills, and work experience needed to become permanently employable in a medical setting. Skill development is delivered in three areas:
- Comprehensive medical administrative knowledge, including medical terminology, anatomy and physiology, pharmacology, and medical office and clinical administrative procedures
- Full range of computer and office skills, including current software applications, keyboarding skills, bookkeeping, and personal and professional development
- On-site work experience through participation in a 75-hour placement at an approved healthcare facility</t>
  </si>
  <si>
    <t xml:space="preserve">Medical Office Front Desk Assistants work in administrative and support roles in healthcare establishments. Upward mobility in medical assistant roles is feasible with experience, motivation, dedication, and a positive attitude. </t>
  </si>
  <si>
    <t xml:space="preserve">At the end of this program student will have the skills of basic keyboarding, word processing, medical language, and administrative skills required for employment as a medical office front desk assistant. </t>
  </si>
  <si>
    <t>Careers that correspond with the skills learned in this program include:
- Hardware Installation Coordinator
- Network Administrator
- Network Support Technician
- Network Operator
- Local Area Network (LAN) Administrator
- Local Area Network (LAN) Technician</t>
  </si>
  <si>
    <t xml:space="preserve">At the end of this program student will have the necessary skill and knowledge to plan, install, and provide routine control over and manage exceptional situations in relation to quality communications network services in an information system. Student will also have in-depth knowledge of evaluating communications hardware, software, and transmission service alternatives against changing business requirements, maintaining links with network suppliers, monitoring network performance, providing support for systems, localizing and rectifying faults in networks and handling non-routine user/customer problems, and providing expertise and practical assistance in delivering service that complies with statutory and other standards, as well as strategic and tactical plans. </t>
  </si>
  <si>
    <t>As more employers acquire wordprocessing equipment and programs, the labour market for skilled Office Administration Assistants grows. Graduates may move into supervisory office positions as their careers progress.</t>
  </si>
  <si>
    <t xml:space="preserve">At the end of this program student will have the knowledge to word processing and to many applications in the business world. </t>
  </si>
  <si>
    <t>Successful candidates can pursue careers in offices throughout the public and private sectors as general office clerk, office assistant, office clerk, typist, word processor operator. Upward mobility in this role is possible with experience, motivation, dedication, and a positive attitude.</t>
  </si>
  <si>
    <t>Payroll administrators are employed by payroll administration companies and by other establishments throughout the private and public sectors. Careers that correspond with the skills learned in this program include:
- Benefits Officer
- Pay and Benefits Administrator/Clerk
- Salary Administration Officer
- Pay Advisor/Clerk
- Payroll Officer/Clerk</t>
  </si>
  <si>
    <t>Successful candidates can pursue careers in the financial sector, specially payroll, benefits, insurance, claims, and mortgage. Upward mobility in these vocations is possible with experience, motivation, dedication, and a positive attitude.</t>
  </si>
  <si>
    <t>At the end of this program student will have the skills necessary to perform basic payroll administrative responsibilities with some understanding of payroll regulations and legislation.</t>
  </si>
  <si>
    <t>Skilled PC Support Specialists are in high demand in today’s skilled environment. Virtually all organizations with multiple computers require the skills of PC Support Specialists who can become invaluable members of a management team.</t>
  </si>
  <si>
    <t>Sales Associates sell, rent or lease a range of technical and non-technical goods and services directly to consumers. Job titles include: audio equipment salesperson, automobile salesperson, car rental agent, clothing salesperson, computer salesperson – retail, counter clerk – retail, department store clerk, furniture salesperson, hardware store clerk, jewelry salesperson, retail sales associate, retail sales clerk, retail salesperson.</t>
  </si>
  <si>
    <t>At the end of this program student will have the sales skills necessary to meet the demands of today’s retail business.</t>
  </si>
  <si>
    <t>Graduates of this program will find opportunities in a variety of companies that produce or provide goods and/or services. Careers that correspond with the skills learned in this program include: account executive, sales agent, broker, exporter, merchandiser, sales consultant, salesperson, or sales representative.</t>
  </si>
  <si>
    <t>At the end of this program student will gain:
- The knowledge and skills necessary to manage relationships and key accounts.
- An understanding of the sales profession and the environments in which they will be selling.
- The opportunity to explore the consultative selling approach and various selling processes in depth.
- Professional skills to develop sale proposals and deliver effective sales presentations.
- The ability to assess their potential clients and adjust their style to successfully build rapport with each client.</t>
  </si>
  <si>
    <t>Obtain an overall average of 75%, and achieve at least a Pass (60%; 65% for the CPA courses) on all courses in the program outline.</t>
  </si>
  <si>
    <t xml:space="preserve">At the end of this program the student will have the professional skills required by today’s employers, including knowledge of how businesses utilize technology, e-commerce, business correspondence, office procedures, project management, and employment success strategies. Student will obtain:
- A solid foundation in basic principles of a business environment, including current computer applications, marketing, accounting and business law.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current social and economic conditions.
- Proficiency in Microsoft Office Applications and accounting.
</t>
  </si>
  <si>
    <t>At the end of this program the student will have the skills necessary to apply the knowledge of elementary accounting processes, business concepts and office procedures to meet present day business demands.</t>
  </si>
  <si>
    <t>At the end of this program student will have a broad range of knowledge of administration skills and practical tools that will assist them in dealing with situations within a conference and event planning related career. Student will obtain:
 -  The knowledge and skills necessary to lead and/or assist in the development and/or implementation of conferences and events for a variety of business sectors
 -  An introduction to the most relevant aspects of planning and coordinating event logistics.
 -  Professional skills in high demand by employers. These skills include: negotiating, decision making, team-work, communication, customer service, leadership, research and problem solving.
 -  A solid knowledge of event planning and marketing practices and principles.
 -  Proficiency in Microsoft Office applications.</t>
  </si>
  <si>
    <t xml:space="preserve">At the end of this program student will have professional skills required by today’s employers, including knowledge of how businesses utilize technology, e-commerce, business supervisory skills, business correspondence, project management, customer service, and marketing. Student will obtain:
- A solid foundation in basic principles of a business environment, including current computer applications, marketing and sales, and customer service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their current work environment </t>
  </si>
  <si>
    <t>In today’s highly technical environment, a skilled Entrepreneurial Business Applications Specialist can be an invaluable member of the management team. Opportunities and compensation in this area are better than ever for those who possess the skills and perform well.</t>
  </si>
  <si>
    <t>At the end of this program student will have the skill to deal with the problems they may encounter when servicing Personal Computers, including in-depth knowledge of computer hardware, and necessary knowledge to take the CompTIA A+, Network+, and Security+ certification exams.</t>
  </si>
  <si>
    <t>At the end of this program student will acquire the skills required by many companies that specialize in customer service and outbound marketing services and to provide skills to facilitate advancement in their chosen career.</t>
  </si>
  <si>
    <t>This program prepares student to work in fast-paced office environments as corporate secretaries, executive assistants, office administrators, and special assistants. Upward mobility in this role is possible with experience, motivation, dedication, and a positive attitude.</t>
  </si>
  <si>
    <t>At the end of this program student will have the knowledge and skills to work in an office environment as administrators and assistants.</t>
  </si>
  <si>
    <t xml:space="preserve">At the end of this program student will have the knowledge of basic office procedures, software fundamentals, and business skills that can be applied in any office. </t>
  </si>
  <si>
    <t xml:space="preserve">At the end of this program student will have the necessary skills and knowledge required to perform payroll administrative responsibilities in the payroll department and to apply payroll legislation. In addition to accounting and payroll expertise, student will also gain skills and experience in word processing, spreadsheet applications, telephone communication skills, and performing a job search. </t>
  </si>
  <si>
    <t>At the end of this program student will have the ability to deal with the problems they may encounter when supporting personal computers in an office environment. Student will gain in-depth knowledge of both computer hardware and software.</t>
  </si>
  <si>
    <t>At the end of this program student will gain:
- The knowledge and skills necessary to lead and/or assist in the coordination and/or administration of projects for a variety of business sectors
- The basic foundation towards industry certification through the Project Management Institute (PMI), specifically the Certified Associate in Project Management (CAPM) certification
- Professional skills in high demand by employers, including negotiating, decision making, team-work, communication, customer service, leadership, research, and problem solving
- A solid knowledge of project administration and management practices and principles
- Proficiency in Microsoft Office applications</t>
  </si>
  <si>
    <t>Recent studies indicate that strong growth in web design jobs, particularly in the consulting sector, is expected over the next few years. Career opportunities that will allow student to communicate and captivate with the skills learned in this program include:
- Web Designer
- Internet Site Designer
- Website Developer
- Intranet Site Designer</t>
  </si>
  <si>
    <t xml:space="preserve">At the end of this program student will have the necessary skills and knowledge to plan and design compelling and interactive websites and learn to use industry-related programs, such as Adobe Photoshop, Illustrator, Dreamweaver, and Flash, for website designs. student will also gain knowledge on HTML and CSS for web publishing alongside essential topics, such as accessibility standards, color, typography, and composition, as well as dig into PHP and WordPress development. </t>
  </si>
  <si>
    <t>At the end of the program, student will be able to:
-Accurately describe the characteristics and the physical, psychological, and emotional effects of stimulants, amphetamines, depressants, inhalants, psychotherapeutic drugs, alcohol, tobacco, caffeine, natural health products, and over-the-counter drugs.
-Recognize and accurately identify addictive behaviours that present in clients during intakes.
-Produce correctly formatted, grammatically correct, and accurate documents that reflect an awareness of the target audience and include appropriate, industry-specific terminology.
-Communicate clearly and effectively both orally and in writing.
-Outline how addiction prevention initiatives may be effectively promoted.
-Proactively identify and address emotional, personal, and health-related problems that may affect their health, well-being, and professional capabilities by establishing and maintaining clear boundaries, conducting regular self-checks, and respecting personal values and professional ethics.</t>
  </si>
  <si>
    <t xml:space="preserve">At the end of the program, student will be able to:
-  Accurately identify the socio-economic factors that may influence an individual’s attitudes and behaviours towards health and wellness during the intake process.  
-  Advocate for client interests by accurately identifying client needs, directing them to appropriate community, provincial / federal resources, and demonstrating an awareness of client diversity, uniqueness, and individuality.  
-  Produce correctly formatted, grammatically correct, and accurate documents that reflect an awareness of the target audience and include appropriate, industry-specific terminology.  
-  Communicate clearly and effectively with colleagues and a wide range of healthcare professionals both orally and in writing in a community service work context.  
-  Demonstrate ethics, professionalism, and self-awareness by analyzing case studies and ethical dilemmas, identifying unethical or inappropriate behaviour, and proposing effective courses of action. </t>
  </si>
  <si>
    <t>Program Name (as registered with PTIB)</t>
  </si>
  <si>
    <t>during contract term</t>
  </si>
  <si>
    <t>Program Duration in weeks</t>
  </si>
  <si>
    <r>
      <rPr>
        <sz val="11"/>
        <color rgb="FF000000"/>
        <rFont val="Wingdings"/>
        <charset val="2"/>
      </rPr>
      <t>o</t>
    </r>
    <r>
      <rPr>
        <sz val="11"/>
        <color rgb="FF000000"/>
        <rFont val="Calibri"/>
        <family val="2"/>
      </rPr>
      <t xml:space="preserve"> Cash</t>
    </r>
  </si>
  <si>
    <r>
      <t>o</t>
    </r>
    <r>
      <rPr>
        <sz val="11"/>
        <color rgb="FF000000"/>
        <rFont val="等线"/>
        <family val="2"/>
        <scheme val="minor"/>
      </rPr>
      <t xml:space="preserve"> Credit Card</t>
    </r>
    <r>
      <rPr>
        <sz val="10"/>
        <color rgb="FF000000"/>
        <rFont val="等线"/>
        <family val="2"/>
        <scheme val="minor"/>
      </rPr>
      <t xml:space="preserve">      </t>
    </r>
    <r>
      <rPr>
        <sz val="11"/>
        <color rgb="FF000000"/>
        <rFont val="Wingdings"/>
        <charset val="2"/>
      </rPr>
      <t>o</t>
    </r>
    <r>
      <rPr>
        <sz val="11"/>
        <color rgb="FF000000"/>
        <rFont val="等线"/>
        <family val="2"/>
        <scheme val="minor"/>
      </rPr>
      <t xml:space="preserve"> Other:</t>
    </r>
  </si>
  <si>
    <t>Each Academy of Learning Career College is operated by an independent owner/operator licensed by LaunchLife International Inc.  "Academy of Learning" and the other trademarks associated with the Academy of Learning System are owned by LaunchLife International Inc. and are used under license.</t>
  </si>
  <si>
    <t>Signature of Parent or Legal Guardian (if the student is under the age of 19)</t>
  </si>
  <si>
    <t>Graduates of this program will possess a good general knowledge of an assortment of programs. Such employees are an integral part of today’s business office. Opportunities for advancement are better than ever in this area, especially for those workers who show initiative and are prepared to increase their knowledge of computer applications.</t>
  </si>
  <si>
    <t>At the end of this program student will have the skills to join the work force at an entry level with a good general knowledge of an assortment of popular software programs. Each student graduates with a sense of achievement, ensuring the beginning of a successful career.</t>
  </si>
  <si>
    <t>MaryEllen Olynuk</t>
  </si>
  <si>
    <t>Eff. October 1, 2016</t>
  </si>
  <si>
    <t>Admission Coordinator Signature</t>
  </si>
  <si>
    <t>MOCExams3</t>
  </si>
  <si>
    <t xml:space="preserve">When applying for financial assistance through the BC Student Assistance Program (Canada Student Loan, BC Student Loan, and grant funding) I acknowledge and understand that:
     •      I am assuming a serious responsibility and obligation.
     •      I may be denied any further government financial assistance unless I 
             satisfactorily meet the requirements described below.
</t>
  </si>
  <si>
    <r>
      <t>·</t>
    </r>
    <r>
      <rPr>
        <sz val="7"/>
        <rFont val="Franklin Gothic Book"/>
        <family val="2"/>
      </rPr>
      <t xml:space="preserve">         </t>
    </r>
    <r>
      <rPr>
        <sz val="12"/>
        <rFont val="Franklin Gothic Book"/>
        <family val="2"/>
      </rPr>
      <t>I must contact BCSAP immediately if my address, phone number or other relevant 
     information changes during or after completing my course of study.</t>
    </r>
  </si>
  <si>
    <r>
      <t>·</t>
    </r>
    <r>
      <rPr>
        <sz val="7"/>
        <rFont val="Franklin Gothic Book"/>
        <family val="2"/>
      </rPr>
      <t xml:space="preserve">         </t>
    </r>
    <r>
      <rPr>
        <sz val="12"/>
        <rFont val="Franklin Gothic Book"/>
        <family val="2"/>
      </rPr>
      <t>I must notify Academy of Learning Career College immediately if my address or phone 
     number change.</t>
    </r>
  </si>
  <si>
    <t xml:space="preserve">•     being denied any further funding through a student financial assistance program
•     having personal income tax refunds seized and used to pay outstanding student loans
•     having judgment obtained against me, whereby, personal property (cars, and anything 
        of value), bank accounts, etc. can be seized
•     having my name given to a credit bureau and/or collection agency
</t>
  </si>
  <si>
    <t xml:space="preserve">(a) my attendance drops below 60% of full-time studies for three consecutive 
      calendar weeks, or </t>
  </si>
  <si>
    <t>(c) I miss sufficient hours per day that the Academy of Learning Career 
     College determines which I cannot successfully complete my program.</t>
  </si>
  <si>
    <t>Signature:</t>
  </si>
  <si>
    <t>Application on the premises. I also give permission for the Academy of Learning Career College to access and review on my behalf my BCSAP Internet data. I understand that this information is for my benefit only and is available to me at all times. I understand that I am under no obligation to give this authorization and can revoke it at any time.</t>
  </si>
  <si>
    <t>Individual exams are given and require a minimum percentage pass mark prescribed by the Academy of Learning Career College. There are limited exceptions where the course mark is given in different form (for example, in words per minute). To graduate in a program of study, the student must successfully complete and pass all courses in the program of study with an overall average of at least 75%.</t>
  </si>
  <si>
    <t>The Academy of Learning Career College is not responsible for loss of personal property or for personal injury from whatever cause in the institution.</t>
  </si>
  <si>
    <t>The student must complete the program of study at the Academy of Learning Career College institution identified on the contract. In the event the student wishes to transfer to another Academy of Learning Career College  institution, the student must request this in writing from the institution identified on the contract well in advance but the institution can not guarantee a transfer will be made.</t>
  </si>
  <si>
    <t>The applicable Terms and Conditions of Enrolment above shall apply to all programs of instruction provided by the Academy of Learning Career College.</t>
  </si>
  <si>
    <r>
      <t>The Academy of Learning Career College uses various learning methods including the Integrated Learning</t>
    </r>
    <r>
      <rPr>
        <vertAlign val="superscript"/>
        <sz val="10"/>
        <color rgb="FF000000"/>
        <rFont val="Calibri"/>
        <family val="2"/>
      </rPr>
      <t>TM</t>
    </r>
    <r>
      <rPr>
        <sz val="10"/>
        <color rgb="FF000000"/>
        <rFont val="Calibri"/>
        <family val="2"/>
      </rPr>
      <t xml:space="preserve"> System, as well as instructor-led and on-line learning.</t>
    </r>
  </si>
  <si>
    <t>The school is aware of my attendance and grades throughout my program of study. I understand that my funding will not be negotiated and released unless I maintain satisfactory grades and attendance as specified by Academy of Learning Career College.</t>
  </si>
  <si>
    <t xml:space="preserve">    Career College.</t>
  </si>
  <si>
    <r>
      <t xml:space="preserve">By signing below, I agree and acknowledge that I have read and understood the above Release and agree to all terms described.  I am of legal age and freely sign this </t>
    </r>
    <r>
      <rPr>
        <i/>
        <sz val="12"/>
        <rFont val="Franklin Gothic Book"/>
        <family val="2"/>
      </rPr>
      <t>Consent to Release</t>
    </r>
    <r>
      <rPr>
        <sz val="12"/>
        <rFont val="Franklin Gothic Book"/>
        <family val="2"/>
      </rPr>
      <t xml:space="preserve"> my testimonial and/or have photos of me posted onto social media website such as Facebook.</t>
    </r>
  </si>
  <si>
    <t>, acknowledge I have been informed and explained by the Campus</t>
  </si>
  <si>
    <t xml:space="preserve">Representative the importance of completing a Budget Worksheet with regards to managing my student loan while I attend school. </t>
  </si>
  <si>
    <t>Representative Signature</t>
  </si>
  <si>
    <t>Director Signature:</t>
  </si>
  <si>
    <r>
      <t xml:space="preserve">Refer a </t>
    </r>
    <r>
      <rPr>
        <b/>
        <sz val="12"/>
        <color theme="0"/>
        <rFont val="Franklin Gothic Book"/>
        <family val="2"/>
      </rPr>
      <t>friend</t>
    </r>
    <r>
      <rPr>
        <sz val="12"/>
        <color theme="0"/>
        <rFont val="Franklin Gothic Book"/>
        <family val="2"/>
      </rPr>
      <t xml:space="preserve">, </t>
    </r>
    <r>
      <rPr>
        <b/>
        <sz val="12"/>
        <color theme="0"/>
        <rFont val="Franklin Gothic Book"/>
        <family val="2"/>
      </rPr>
      <t>neighbour</t>
    </r>
    <r>
      <rPr>
        <sz val="12"/>
        <color theme="0"/>
        <rFont val="Franklin Gothic Book"/>
        <family val="2"/>
      </rPr>
      <t xml:space="preserve">, </t>
    </r>
    <r>
      <rPr>
        <b/>
        <sz val="12"/>
        <color theme="0"/>
        <rFont val="Franklin Gothic Book"/>
        <family val="2"/>
      </rPr>
      <t>family</t>
    </r>
  </si>
  <si>
    <r>
      <rPr>
        <b/>
        <sz val="12"/>
        <color theme="0"/>
        <rFont val="Franklin Gothic Book"/>
        <family val="2"/>
      </rPr>
      <t>member</t>
    </r>
    <r>
      <rPr>
        <sz val="12"/>
        <color theme="0"/>
        <rFont val="Franklin Gothic Book"/>
        <family val="2"/>
      </rPr>
      <t xml:space="preserve">, </t>
    </r>
    <r>
      <rPr>
        <b/>
        <sz val="12"/>
        <color theme="0"/>
        <rFont val="Franklin Gothic Book"/>
        <family val="2"/>
      </rPr>
      <t>coworker</t>
    </r>
    <r>
      <rPr>
        <sz val="12"/>
        <color theme="0"/>
        <rFont val="Franklin Gothic Book"/>
        <family val="2"/>
      </rPr>
      <t xml:space="preserve">, or </t>
    </r>
    <r>
      <rPr>
        <b/>
        <sz val="12"/>
        <color theme="0"/>
        <rFont val="Franklin Gothic Book"/>
        <family val="2"/>
      </rPr>
      <t>anyone</t>
    </r>
    <r>
      <rPr>
        <sz val="12"/>
        <color theme="0"/>
        <rFont val="Franklin Gothic Book"/>
        <family val="2"/>
      </rPr>
      <t xml:space="preserve"> you</t>
    </r>
  </si>
  <si>
    <r>
      <rPr>
        <sz val="12"/>
        <color indexed="9"/>
        <rFont val="Franklin Gothic Book"/>
        <family val="2"/>
      </rPr>
      <t xml:space="preserve">○ The referred student must enrol in a </t>
    </r>
  </si>
  <si>
    <t xml:space="preserve">   registered Certificate or Diploma</t>
  </si>
  <si>
    <t xml:space="preserve">   program.</t>
  </si>
  <si>
    <r>
      <t xml:space="preserve">Tell Us About Your </t>
    </r>
    <r>
      <rPr>
        <b/>
        <i/>
        <u/>
        <sz val="20"/>
        <rFont val="Franklin Gothic Book"/>
        <family val="2"/>
      </rPr>
      <t>Friend</t>
    </r>
    <r>
      <rPr>
        <b/>
        <i/>
        <sz val="20"/>
        <rFont val="Franklin Gothic Book"/>
        <family val="2"/>
      </rPr>
      <t>!</t>
    </r>
  </si>
  <si>
    <r>
      <t xml:space="preserve">Program of Interest </t>
    </r>
    <r>
      <rPr>
        <i/>
        <sz val="12"/>
        <rFont val="Franklin Gothic Book"/>
        <family val="2"/>
      </rPr>
      <t>(if known)</t>
    </r>
  </si>
  <si>
    <r>
      <t xml:space="preserve">Tell Us About </t>
    </r>
    <r>
      <rPr>
        <b/>
        <i/>
        <u/>
        <sz val="20"/>
        <rFont val="Franklin Gothic Book"/>
        <family val="2"/>
      </rPr>
      <t>You</t>
    </r>
    <r>
      <rPr>
        <b/>
        <i/>
        <sz val="20"/>
        <rFont val="Franklin Gothic Book"/>
        <family val="2"/>
      </rPr>
      <t>!</t>
    </r>
  </si>
  <si>
    <r>
      <rPr>
        <sz val="12"/>
        <rFont val="Wingdings"/>
        <charset val="2"/>
      </rPr>
      <t>¨</t>
    </r>
    <r>
      <rPr>
        <sz val="12"/>
        <rFont val="Franklin Gothic Book"/>
        <family val="2"/>
      </rPr>
      <t>Friend</t>
    </r>
  </si>
  <si>
    <r>
      <rPr>
        <sz val="12"/>
        <rFont val="Wingdings"/>
        <charset val="2"/>
      </rPr>
      <t>¨</t>
    </r>
    <r>
      <rPr>
        <sz val="12"/>
        <rFont val="Franklin Gothic Book"/>
        <family val="2"/>
      </rPr>
      <t>Relative</t>
    </r>
  </si>
  <si>
    <r>
      <rPr>
        <sz val="12"/>
        <rFont val="Wingdings"/>
        <charset val="2"/>
      </rPr>
      <t>¨</t>
    </r>
    <r>
      <rPr>
        <sz val="12"/>
        <rFont val="Franklin Gothic Book"/>
        <family val="2"/>
      </rPr>
      <t>Neighbour</t>
    </r>
  </si>
  <si>
    <r>
      <rPr>
        <sz val="12"/>
        <rFont val="Wingdings"/>
        <charset val="2"/>
      </rPr>
      <t>¨</t>
    </r>
    <r>
      <rPr>
        <sz val="12"/>
        <rFont val="Franklin Gothic Book"/>
        <family val="2"/>
      </rPr>
      <t>Other</t>
    </r>
  </si>
  <si>
    <t>Student Email Address</t>
  </si>
  <si>
    <t>Do you have a study permit?</t>
  </si>
  <si>
    <t>International Student's Citizenship</t>
  </si>
  <si>
    <t>If you are a international student, your citizenship is:</t>
  </si>
  <si>
    <t>If you  do not have a study permit, do you have a permit, visa or other written authorization to study in Canada other than</t>
  </si>
  <si>
    <t>other than a study permit?</t>
  </si>
  <si>
    <t>If not, do you have any form written authorization?</t>
  </si>
  <si>
    <t>Are you a International Student?</t>
  </si>
  <si>
    <t>Student Mailing Address</t>
  </si>
  <si>
    <t>Student Mailing Address in Canada (if available and different from above)</t>
  </si>
  <si>
    <t>VOLUNTARY DISCLOSURE</t>
  </si>
  <si>
    <t>* You may voluntarily provide the personal information listed below:</t>
  </si>
  <si>
    <t xml:space="preserve">If you answered “Yes”, please indicate if you are: </t>
  </si>
  <si>
    <t>Do you have a long-term physical or mental health condition that limits the kind of activity that you can perform on a daily basis?</t>
  </si>
  <si>
    <t>Do you identify yourself as an Aboriginal person?</t>
  </si>
  <si>
    <t>Voluntary Disclosure</t>
  </si>
  <si>
    <t>If you answered “Yes”, please indicate if you are:</t>
  </si>
  <si>
    <t>Do you have a long-term physical or mental health condition…?</t>
  </si>
  <si>
    <t>Price List Option</t>
  </si>
  <si>
    <t>International Price List %</t>
  </si>
  <si>
    <t>HCCP1BC_CSWAW</t>
  </si>
  <si>
    <t xml:space="preserve">Obtain an overall average of of 75% to obtain a diploma, as well as the successful completion of a 75-hour placement. </t>
  </si>
  <si>
    <t>Obtain an overall average of 75%, and achieve at least a Pass (60%) on all courses in the program outline, as well as the successful completion of a 75-hour preceptorship.</t>
  </si>
  <si>
    <t xml:space="preserve">Graduates of this program are qualified to work in a wide variety of CSW settings and occupations.  Job titles vary per location, but graduates are an integral part of many settings, including:
- Healthcare and social assistance 
- Nursing and residential care facilities 
- Youth centres  
- Individual and family services 
- Youth protection services 
- Public administration  
- Civic and social organizations </t>
  </si>
  <si>
    <t>At the end of this program student will have the basic knowledge, skills, and work experience needed to become permanently employable in a CSW and AW setting.  Skill development is delivered in three areas:
- Comprehensive community service worker knowledge, including psychology, sociology, family life, mental health, addictions, criminology, at-risk populations, case management, counselling, ethics, business communication, report writing, and government and social services. 
- Comprehensive addictions worker knowledge, which includes an overview of drugs (past and present) as they pertain to the Community Service and Social Worker industry. 
- Exploration into the world of addictions. Topics include alcohol and familiar drugs, like tobacco and caffeine, as well as natural health products and over-the-counter drugs. 
- Exploration into the world of addiction treatment and prevention. Students learn about both the prevention and treatment of addictions, including organizations, like AA, which focus on rehabilitation. 
- On-site work experience through participation in a 105hour preceptorship at an approved CSW facility</t>
  </si>
  <si>
    <t>ILS Courses: The student will be evaluated by the Academy of Learning final online exam for each course.
CSW &amp; AW Courses: Each course involves quizzes, tests, graded activities/assignments, and a Final Exam.</t>
  </si>
  <si>
    <t xml:space="preserve">Obtain an overall average of of 75% to obtain a diploma, as well as the successful completion of a 105-hour placement. </t>
  </si>
  <si>
    <t>Student Dispute Resolution Policy</t>
  </si>
  <si>
    <t>Name of the Process</t>
  </si>
  <si>
    <t>Implementation Date</t>
  </si>
  <si>
    <t>Date of Last Revision</t>
  </si>
  <si>
    <t>1.</t>
  </si>
  <si>
    <t>2.</t>
  </si>
  <si>
    <t>3.</t>
  </si>
  <si>
    <t>4.</t>
  </si>
  <si>
    <t>5.</t>
  </si>
  <si>
    <t>6.</t>
  </si>
  <si>
    <t>Estimated
Student
Need</t>
  </si>
  <si>
    <t xml:space="preserve">Academy of Learning Career College
Attention: Carol Stanford, Director of Operations 
100 York Blvd, Suite 400 Richmond Hill, Ontario, L4B 1J8 
Phone: 1-855-996-9977 Extension: 2399 
Email: cstanford@academyoflearning.com
</t>
  </si>
  <si>
    <t xml:space="preserve">i.   Students making a complaint may be represented by and agent or lawyer. </t>
  </si>
  <si>
    <t xml:space="preserve">ii.  Students will not be subject to any retaliation as a result of their complaint. </t>
  </si>
  <si>
    <t>Grievances by any student that pertains to Academy of Learning® Career College, the Executive Director(s), or any other student or staff member, will require the following procedure.</t>
  </si>
  <si>
    <t>http://secure.academyol.com/Links/Download.aspx?FileID=3830</t>
  </si>
  <si>
    <t>http://secure.academyol.com/Links/Download.aspx?FileID=3962</t>
  </si>
  <si>
    <t>http://secure.academyol.com/Links/Download.aspx?FileID=3974</t>
  </si>
  <si>
    <t>http://secure.academyol.com/Links/Download.aspx?FileID=3676</t>
  </si>
  <si>
    <t>http://secure.academyol.com/Links/Download.aspx?FileID=3680</t>
  </si>
  <si>
    <t>http://secure.academyol.com/Links/Download.aspx?FileID=3110</t>
  </si>
  <si>
    <t>http://secure.academyol.com/Links/Download.aspx?FileID=4283</t>
  </si>
  <si>
    <t>http://secure.academyol.com/Links/Download.aspx?FileID=4285</t>
  </si>
  <si>
    <t>http://secure.academyol.com/Links/Download.aspx?FileID=4287 </t>
  </si>
  <si>
    <t>http://secure.academyol.com/Links/Download.aspx?FileID=1131 </t>
  </si>
  <si>
    <t>http://secure.academyol.com/Links/Download.aspx?FileID=1149</t>
  </si>
  <si>
    <t>http://secure.academyol.com/Links/Download.aspx?FileID=3121 </t>
  </si>
  <si>
    <t>http://secure.academyol.com/Links/Download.aspx?FileID=4083 </t>
  </si>
  <si>
    <t>http://secure.academyol.com/Links/Download.aspx?FileID=4085 </t>
  </si>
  <si>
    <t>http://secure.academyol.com/Links/Download.aspx?FileID=4087 </t>
  </si>
  <si>
    <t>http://secure.academyol.com/Links/Download.aspx?FileID=4089 </t>
  </si>
  <si>
    <t>http://secure.academyol.com/Links/Download.aspx?FileID=1323 </t>
  </si>
  <si>
    <t>http://secure.academyol.com/Links/Download.aspx?FileID=4311 </t>
  </si>
  <si>
    <t>http://secure.academyol.com/Links/Download.aspx?FileID=1338 </t>
  </si>
  <si>
    <t>http://secure.academyol.com/Links/Download.aspx?FileID=1475 </t>
  </si>
  <si>
    <t>http://secure.academyol.com/Links/Download.aspx?FileID=1481 </t>
  </si>
  <si>
    <t>http://secure.academyol.com/Links/Download.aspx?FileID=3405 </t>
  </si>
  <si>
    <t>http://secure.academyol.com/Links/Download.aspx?FileID=3460</t>
  </si>
  <si>
    <t>http://secure.academyol.com/Links/Download.aspx?FileID=3833 </t>
  </si>
  <si>
    <t>http://secure.academyol.com/Links/Download.aspx?FileID=1614 </t>
  </si>
  <si>
    <t>http://secure.academyol.com/Links/Download.aspx?FileID=1618 </t>
  </si>
  <si>
    <t>http://secure.academyol.com/Links/Download.aspx?FileID=3129 </t>
  </si>
  <si>
    <t>http://secure.academyol.com/Links/Download.aspx?FileID=1651 </t>
  </si>
  <si>
    <t>http://secure.academyol.com/Links/Download.aspx?FileID=1654 </t>
  </si>
  <si>
    <t>http://secure.academyol.com/Links/Download.aspx?FileID=3246 </t>
  </si>
  <si>
    <t>http://secure.academyol.com/Links/Download.aspx?FileID=3407 </t>
  </si>
  <si>
    <t>http://secure.academyol.com/Links/Download.aspx?FileID=3489</t>
  </si>
  <si>
    <t>http://secure.academyol.com/Links/Download.aspx?FileID=3501 </t>
  </si>
  <si>
    <t>http://secure.academyol.com/Links/Download.aspx?FileID=1760 </t>
  </si>
  <si>
    <t>http://secure.academyol.com/Links/Download.aspx?FileID=1785 </t>
  </si>
  <si>
    <t>http://secure.academyol.com/Links/Download.aspx?FileID=4375 </t>
  </si>
  <si>
    <t>http://secure.academyol.com/Links/Download.aspx?FileID=4422 </t>
  </si>
  <si>
    <t>http://secure.academyol.com/Links/Download.aspx?FileID=1826 </t>
  </si>
  <si>
    <t>http://secure.academyol.com/Links/Download.aspx?FileID=1828 </t>
  </si>
  <si>
    <t>http://secure.academyol.com/Links/Download.aspx?FileID=1830 </t>
  </si>
  <si>
    <t>http://secure.academyol.com/Links/Download.aspx?FileID=1844 </t>
  </si>
  <si>
    <t>http://secure.academyol.com/Links/Download.aspx?FileID=1846 </t>
  </si>
  <si>
    <t>http://secure.academyol.com/Links/Download.aspx?FileID=1848 </t>
  </si>
  <si>
    <t>http://secure.academyol.com/Links/Download.aspx?FileID=1850 </t>
  </si>
  <si>
    <t>http://secure.academyol.com/Links/Download.aspx?FileID=3877 </t>
  </si>
  <si>
    <t>http://secure.academyol.com/Links/Download.aspx?FileID=1857 </t>
  </si>
  <si>
    <t>http://secure.academyol.com/Links/Download.aspx?FileID=1865 </t>
  </si>
  <si>
    <t>http://secure.academyol.com/Links/Download.aspx?FileID=1884 </t>
  </si>
  <si>
    <t>http://secure.academyol.com/Links/Download.aspx?FileID=2952 </t>
  </si>
  <si>
    <t>http://secure.academyol.com/Links/Download.aspx?FileID=3248 </t>
  </si>
  <si>
    <t>http://secure.academyol.com/Links/Download.aspx?FileID=3250 </t>
  </si>
  <si>
    <t>http://secure.academyol.com/Links/Download.aspx?FileID=3411 </t>
  </si>
  <si>
    <t>http://secure.academyol.com/Links/Download.aspx?FileID=2185 </t>
  </si>
  <si>
    <t>http://secure.academyol.com/Links/Download.aspx?FileID=1816 </t>
  </si>
  <si>
    <t>Preceptorship for CSW - BC</t>
  </si>
  <si>
    <t>Preceptorship for MOA - BC</t>
  </si>
  <si>
    <t>Preceptorship for MOA with UC - BC</t>
  </si>
  <si>
    <t>Preceptorship for CSW and AW - BC</t>
  </si>
  <si>
    <t>HCCP1BC_CSW</t>
  </si>
  <si>
    <t>Call Centre Career Options &amp; Opportunities</t>
  </si>
  <si>
    <t>Books Fee (Addiction Worker)</t>
  </si>
  <si>
    <t>Books Fee (Community Service Worker)</t>
  </si>
  <si>
    <t>Books &amp; Uniforms Fee (MOA with Unit Clerk)</t>
  </si>
  <si>
    <t>Do you identify yourself as an Aboriginal person, that is, First Nations, Metis, or Inuit?</t>
  </si>
  <si>
    <t>First Nations</t>
  </si>
  <si>
    <t>Métis</t>
  </si>
  <si>
    <t>Inuit</t>
  </si>
  <si>
    <t>Program admission requirements may not be waived by the student or the institution.</t>
  </si>
  <si>
    <t>SSMS410R2</t>
  </si>
  <si>
    <t>SSMS411R2</t>
  </si>
  <si>
    <t>SSMS412R2</t>
  </si>
  <si>
    <t>- I have read, understood, and agreed to the terms and conditions of this enrolment contract;
- I have received a signed copy of this contract;
- I have represented to the institution and provided evidence to prove that I meet all of the admission requirements for 
  this program of study;
- I acknowledge that it is my responsibility to have the practicum requirements, as identified above, in place before I can 
  begin my practicum, work placement, preceptorship, or clinical placement.
- I have read, understood and agreed to the institution's following documents and a copy has been provided to me:</t>
  </si>
  <si>
    <t>Study/Review - Accounting Adm - BC</t>
  </si>
  <si>
    <t>SR(ABT-BC)</t>
  </si>
  <si>
    <t>SR(AA-BC)</t>
  </si>
  <si>
    <t>Study/Review - Accounting and Bus Technology - BC</t>
  </si>
  <si>
    <t>Study/Review - Adm Assistant BC</t>
  </si>
  <si>
    <t>SR(BA-Y1-BC)</t>
  </si>
  <si>
    <t>Study/Review - Bus Admin Year 1 - BC</t>
  </si>
  <si>
    <t>Study/Review - Bus Admin Year 2 - BC</t>
  </si>
  <si>
    <t>Study/Review - Bus Office Skills - BC</t>
  </si>
  <si>
    <t>Study/Review - Call Centre Customer Service Rep - BC</t>
  </si>
  <si>
    <t>Study/Review - Computer Service Tech - BC</t>
  </si>
  <si>
    <t>SR(CST-BC)</t>
  </si>
  <si>
    <t>SR(CCCR-BC)</t>
  </si>
  <si>
    <t>SR(BOS-BC)</t>
  </si>
  <si>
    <t>SR(BA-Y2-BC)</t>
  </si>
  <si>
    <t>SR(APA-BC)</t>
  </si>
  <si>
    <t>SR(CSS-BC)</t>
  </si>
  <si>
    <t>Study/Review - Comp Software Support - BC</t>
  </si>
  <si>
    <t>Study/Review - Accounting and Payroll Admin - BC</t>
  </si>
  <si>
    <t>SR(CEP-BC)</t>
  </si>
  <si>
    <t>Study/Review - Conference and Event Planner - BC</t>
  </si>
  <si>
    <t>SR(CSHD-BC)</t>
  </si>
  <si>
    <t>Study/Review - Customer Service Help Desk - BC</t>
  </si>
  <si>
    <t>SR(EBA-BC)</t>
  </si>
  <si>
    <t>Study/Review - Entrepreneurial Bus Applications - BC</t>
  </si>
  <si>
    <t>SR(EA-BC)</t>
  </si>
  <si>
    <t>Study/Review - Executive Assistant - BC</t>
  </si>
  <si>
    <t>SR(MC-BC)</t>
  </si>
  <si>
    <t>Study/Review - Marketing Coordinator - BC</t>
  </si>
  <si>
    <t>SR(MOA-BC)</t>
  </si>
  <si>
    <t>Study/Review - Medical Office Assistant - BC</t>
  </si>
  <si>
    <t>SR(MOA-UC-BC)</t>
  </si>
  <si>
    <t>Study/Review - MOA with UC - BC</t>
  </si>
  <si>
    <t>Study/Review - Network Adm - Year 1- BC</t>
  </si>
  <si>
    <t>SR(NA-Y1-BC)</t>
  </si>
  <si>
    <t>SR(NA-Y2-BC)</t>
  </si>
  <si>
    <t>Study/Review - Network Adm - Year 2- BC</t>
  </si>
  <si>
    <t>SR(OA-BC)</t>
  </si>
  <si>
    <t>Study/Review - Office Administration - BC</t>
  </si>
  <si>
    <t>SR(PCSS-BC)</t>
  </si>
  <si>
    <t>Study/Review - PC Support Specialist - BC</t>
  </si>
  <si>
    <t>SR(PA-BC)</t>
  </si>
  <si>
    <t>Study/Review - Project Adm - BC</t>
  </si>
  <si>
    <t>SR(SP-BC)</t>
  </si>
  <si>
    <t>Study/Review - Sales Professional - BC</t>
  </si>
  <si>
    <t>SR(WD-BC)</t>
  </si>
  <si>
    <t>Study/Review (WD-BC)</t>
  </si>
  <si>
    <t>SR(ANetCert-BC)</t>
  </si>
  <si>
    <t>Study/Review - A+ Network and MCSA Desktop Cert - BC</t>
  </si>
  <si>
    <t>SR(ABCert-BC)</t>
  </si>
  <si>
    <t>Study/Review - Accounting Bookeepers - Cert - BC</t>
  </si>
  <si>
    <t>SR(ACCert-BC)</t>
  </si>
  <si>
    <t>Study/Review - Accounting Clerk Cert - BC</t>
  </si>
  <si>
    <t>SR(BMCert-BC)</t>
  </si>
  <si>
    <t>Study/Review - Bus Management Cert-BC</t>
  </si>
  <si>
    <t>SR(BRCert-BC)</t>
  </si>
  <si>
    <t>Study/Review - Business Receptionsit Cert BC</t>
  </si>
  <si>
    <t>SR(CSTCert-BC)</t>
  </si>
  <si>
    <t>Study/Review - Comp Service Tech Cert-BC</t>
  </si>
  <si>
    <t>SR(COPCert-BC)</t>
  </si>
  <si>
    <t>Study/Review - Comp Office Procedures Cert-BC</t>
  </si>
  <si>
    <t>SR(CSRCert-BC)</t>
  </si>
  <si>
    <t>Study/Review - Customer Service Rep Cert - BC</t>
  </si>
  <si>
    <t>SR(HRACert-BC)</t>
  </si>
  <si>
    <t>Study/Review - Human Resources Admin-BC</t>
  </si>
  <si>
    <t>SR(MAACert-BC)</t>
  </si>
  <si>
    <t>Study/Review - Marketing Administrative Assistant Cert - BC</t>
  </si>
  <si>
    <t>SR(MedAACert-BC)</t>
  </si>
  <si>
    <t>Study/Review - Med Adm Assistant Cert - BC</t>
  </si>
  <si>
    <t>SR(MOFDACert-BC)</t>
  </si>
  <si>
    <t>Study/Review - Med Office Front Desk Assist Cert-BC</t>
  </si>
  <si>
    <t>SR(OAACert-BC)</t>
  </si>
  <si>
    <t>Study/Review - Office Adm Assistant Cert-BC</t>
  </si>
  <si>
    <t>SR(OC-Cert-BC)</t>
  </si>
  <si>
    <t>Study/Review - Office Clerk - BC</t>
  </si>
  <si>
    <t>SR(PAdmCert-BC)</t>
  </si>
  <si>
    <t>Study/Review - Payroll Adm Cert - BC</t>
  </si>
  <si>
    <t>SR(PCCert-BC)</t>
  </si>
  <si>
    <t>Study/Review - Payroll Clerk Cert - BC</t>
  </si>
  <si>
    <t>SR(SACert-BC)</t>
  </si>
  <si>
    <t>Study/Review - Sales Associate Cert - BC</t>
  </si>
  <si>
    <t>Y</t>
  </si>
  <si>
    <t>Study/Review - MCSA Windows Cert - BC</t>
  </si>
  <si>
    <t>Study/Review - MSCA Windows Server Cert - BC</t>
  </si>
  <si>
    <t>SR(MCSAWinCert-BC)</t>
  </si>
  <si>
    <t>SR(MCSAWinSerCert-BC)</t>
  </si>
  <si>
    <t>hereby authorized the Academy of Learning Career College to release and post the following information for the sole purpose of sharing my positive experience while attending the Academy of Learning Career College:</t>
  </si>
  <si>
    <t>STUDENT RECORD</t>
  </si>
  <si>
    <t>Student name:</t>
  </si>
  <si>
    <t>STUDENT HANDBOOK ACKNOWLEDGMENT</t>
  </si>
  <si>
    <t>Student Campus Orientation Checklist</t>
  </si>
  <si>
    <t>Please check off the following items to ensure that each new student is getting a</t>
  </si>
  <si>
    <t>Parking for students is available in front of the building in the parking lot.</t>
  </si>
  <si>
    <t>STUDENT INTERNET USAGE POLICY</t>
  </si>
  <si>
    <t>The internet is available to Academy of Learning Career College students for study purposes only.  Student are not permitted to use the internet to log onto social media web sites such as Facebook or Twitter.</t>
  </si>
  <si>
    <t>This policy applies to all students using any Academy of Learning Career College computer equipment.  Failure to adhere to this policy will result in a warning.  If a student uses the internet inappropriately after having received a warning, it is grounds for dismissal.</t>
  </si>
  <si>
    <t>STUDENT SIGNATURE</t>
  </si>
  <si>
    <t>Prior to the start of your virtual healthcare program you will be informed of the policies and procedures surrounding the virtual classroom environment. The Virtual Learning Student User Handbook will be assigned as prescribed reading.  Your acceptance and understanding of these expectations will be tested in the form of a Virtual Learning Student Handbook Quiz that will follow.  This is a mandatory step and must be completed in order for you to gain access to the course material.  The concept of the virtual classroom was developed in order that students across the country would benefit from the spontaneity of the virtual environment - posing questions and sharing discussions on the topic at hand.   You will be given a start and end time for each lecture and you must be at the college in time to participate in each daily presentation.  A mark is awarded for participation.</t>
  </si>
  <si>
    <t>As stated in the policy above, auditing the virtual classroom from home is in no way a substitute for the actual 25 hours per week attendance required  The sole purpose of the at-home access is to provide the student with additional Learning Tools in order to review the lectures, quizzes and other materials necessary to enhance the learning process.</t>
  </si>
  <si>
    <t xml:space="preserve">Failing to adhere to these policies will be considered to be academic misconduct.  At this point a warning will be issued.  There will be zero tolerance regarding any further access of the virtual classroom at home except as a Learning Tool for study and review.  Failure to comply will result in your access from home being blocked.  You will only be able to sign into your program and gain access from the campus. </t>
  </si>
  <si>
    <t>I,</t>
  </si>
  <si>
    <t>, agree to respect the policies and procedures currently in effect.</t>
  </si>
  <si>
    <t>CAMPUS STAFF SIGNATURE</t>
  </si>
  <si>
    <r>
      <rPr>
        <b/>
        <sz val="10"/>
        <rFont val="Franklin Gothic Book"/>
        <family val="2"/>
      </rPr>
      <t>“Expectations of the Virtual Classroom”</t>
    </r>
    <r>
      <rPr>
        <sz val="10"/>
        <rFont val="Franklin Gothic Book"/>
        <family val="2"/>
      </rPr>
      <t xml:space="preserve">
You, as a Virtual Student, have your courseware delivered online, in what is called a Training Path. You log in each day and progress through the assignments, readings, workbooks, and digital lectures. These courses are not delivered via correspondence learning; you are required to attend the Academy of Learning Career College location for a minimum of 25 hours per week to complete courseware.”
</t>
    </r>
    <r>
      <rPr>
        <i/>
        <sz val="10"/>
        <rFont val="Franklin Gothic Book"/>
        <family val="2"/>
      </rPr>
      <t xml:space="preserve"> - The Virtual Learning Student User Handbook</t>
    </r>
    <r>
      <rPr>
        <sz val="10"/>
        <rFont val="Franklin Gothic Book"/>
        <family val="2"/>
      </rPr>
      <t xml:space="preserve">
</t>
    </r>
  </si>
  <si>
    <t>MYAOLCC Platform Usage Policy &amp; Acknowledgement</t>
  </si>
  <si>
    <t>I hereby acknowledge that I have received a copy of the Academy of Learning® Career College Student Handbook.  I further acknowledge that I have read it and understand its contents.  I understand and agree that this handbook is intended to provide me with an overview of the Policies and Procedures of the campus and does not necessarily represent all such policies in force.</t>
  </si>
  <si>
    <t>I acknowledge that it is my sole responsibility to ensure I understand the Student Handbook as provided, and that I am responsible for seeking clarification of topics as required.</t>
  </si>
  <si>
    <t>Further, the Company may, at any time, add, change or rescind any policy or procedure at its sole discretion, without notice.  By signing below, I agree to adhere to the policies and procedures found in the version of the Student Handbook, dated February 20th, 2018.  Any changes made after the below signed date must be agreed separately.</t>
  </si>
  <si>
    <t>, acknowledge that the policies and procedures regarding the usage of</t>
  </si>
  <si>
    <t>the Virtual Student Platform have been fully explained to me.  I understand that the virtual lectures are to be taken only at the college during the prescribed start time and end time in the course schedule.</t>
  </si>
  <si>
    <t>CRIMINAL RECORD CHECK ACKNOWLEDGEMENT</t>
  </si>
  <si>
    <t>fully understand that I am required to obtain a clear</t>
  </si>
  <si>
    <t xml:space="preserve">Criminal Record Check as an entrance requirement for the CSW/MOA preceptorship within one month of enrolling in the program.
</t>
  </si>
  <si>
    <t>I further acknowledge that in the event that a previous criminal history is revealed by the process that the college will be unable to provide a preceptorship placement for me.</t>
  </si>
  <si>
    <t>In this situation I would be required to secure my own preceptorship in order to meet the requirements for the completion of my program.</t>
  </si>
  <si>
    <t>1. If the institution receives tuition from the student, or a person on behalf of the student, the institution will refund the student, or the 
    person who paid on behalf of the student, the tuition that was paid in relation to the program in which the student is enrolled if:</t>
  </si>
  <si>
    <t xml:space="preserve">     (a) the institution receives a notice of withdrawal from the student no later than seven days after the effective contract date and 
          before the contract start date;</t>
  </si>
  <si>
    <t xml:space="preserve">     (c) the student does not attend a work experience component and the institution does not provide all of the hours of instruction of 
          the work experience component within 30 days of the contract end date.</t>
  </si>
  <si>
    <t>2. The institution will refund the tuition for the program and all related fees paid by the student or a person on behalf of the student 
    enrolled in the program if the student is enrolled in the program without having met the admission requirements and did not 
    misrepresent his or her knowledge or skills when applying for admission.</t>
  </si>
  <si>
    <t>4. Unless the program is provided solely through distance education, if the institution receives a notice of withdrawal from a student:</t>
  </si>
  <si>
    <t xml:space="preserve">          ii. less than 30 days before the contract start date, the institution may retain up to 20% of the tuition due under the student 
              enrolment contract, to a maximum of $1,300.</t>
  </si>
  <si>
    <t xml:space="preserve">          i. at least 30 days before the contract start date, the institution may retain up to 10% of the tuition due under the student 
             enrolment contract, to a maximum of $1,000.</t>
  </si>
  <si>
    <t xml:space="preserve">          ii.  and after 10% but before 30% of the hours of instruction to be provided during the contract term have been provided, the 
               institution may retain up to 50% of the tuition due under the student enrolment contract.</t>
  </si>
  <si>
    <t xml:space="preserve">          iii. and after 30% of the period of instruction specified in the contract has elapsed, no refund is required.</t>
  </si>
  <si>
    <t>5. Unless the program is provided solely through distance education, if the institution provides a notice of dismissal to a student and the date the institution delivers the notice to the student is:</t>
  </si>
  <si>
    <t xml:space="preserve">     (b) after 10% but before 30% of the hours of instruction to be provided during the contract term have been provided, the institution 
           may retain up to 50% of the tuition due under the student enrolment contract.</t>
  </si>
  <si>
    <t>6. If the institution provides the program solely through distance education and the institution receives a student’s notice of withdrawal 
    or the institution delivers a notice of dismissal to the student and:</t>
  </si>
  <si>
    <t xml:space="preserve">     (a) the student has completed and received an evaluation of his or her performance for up to 30% of the hours of instruction to be 
          provided during the contract term, the institution may retain up to 30% of the tuition due under the student enrolment contract,
          or</t>
  </si>
  <si>
    <t xml:space="preserve">     (b) the student has completed and received an evaluation of his or her performance for more than 30% but less than 50% of the 
          program, the institution may retain up to 50% of the tuition due under the student enrolment contract.</t>
  </si>
  <si>
    <t>7. The institution will refund fees charged for course materials paid for but not received if the student provides a notice of withdrawal to 
    the institution or the institution provides a notice of dismissal to the student.</t>
  </si>
  <si>
    <t>8. Refunds required under this policy will be paid to the student, or a person who paid the tuition or fees on behalf of the student, 
    within 30 days:</t>
  </si>
  <si>
    <t xml:space="preserve">      (c) of the date that the registrar provides notice to the institution that the institution is not complying with section 1(c) or 2 of this 
           policy, or</t>
  </si>
  <si>
    <t>9. If an international student delivers a copy of a refusal of a study permit to the institution, sections 1(a), 1(b), 4, 7, and 8 of this policy 
    apply as if the copy of the refusal were a notice of withdrawal, unless:</t>
  </si>
  <si>
    <t xml:space="preserve">     (a) the international student requests an additional letter of acceptance for the same program that was the subject of the refusal of a 
          study permit, or</t>
  </si>
  <si>
    <t>standardized and comprehensive orientation to our Campus:</t>
  </si>
  <si>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(HealthCare programs only)
10. T.B. Test (CSW &amp; AW programs only)
11. Hepatitis B immunization (MOA programs only) 
12. Student Schedule form
13. Official name on Certificate/Diploma:______________________________________
14. Referral Sheet
15. Consent of Release  (optional)
16. Dispute and Resolution Policy
17. MYAOLCC Platform Usage Policy &amp; Acknowledgement </t>
  </si>
  <si>
    <t>Microsoft Windows Server 2012 R2 Installing and Configuring</t>
  </si>
  <si>
    <t>Microsoft Windows Server 2012 R2 Administering</t>
  </si>
  <si>
    <t>Microsoft Windows Server 2012 R2 Configuring Advance Services</t>
  </si>
  <si>
    <t>SSMS697</t>
  </si>
  <si>
    <t>SSMS698</t>
  </si>
  <si>
    <t>Microsoft Windows 10 Installing and Configuring</t>
  </si>
  <si>
    <t>Microsoft Windows 10 Configuring Devices</t>
  </si>
  <si>
    <t xml:space="preserve"> http://secure.academyol.com/Links/Download.aspx?FileID=5684 </t>
  </si>
  <si>
    <t xml:space="preserve"> http://secure.academyol.com/Links/Download.aspx?FileID=5720 </t>
  </si>
  <si>
    <t>Colour Theory</t>
  </si>
  <si>
    <t>Web Portfolio Design</t>
  </si>
  <si>
    <t>Photoshop Basics</t>
  </si>
  <si>
    <t>Fundamentals of Typography</t>
  </si>
  <si>
    <t>Illustrator Basics</t>
  </si>
  <si>
    <t>Web 101</t>
  </si>
  <si>
    <t>Introduction to Web Design</t>
  </si>
  <si>
    <t>Web Design 1</t>
  </si>
  <si>
    <t>HTML and CSS Essentials</t>
  </si>
  <si>
    <t>Dreamweaver 1</t>
  </si>
  <si>
    <t>Dreamweaver 2</t>
  </si>
  <si>
    <t>WordPress Development</t>
  </si>
  <si>
    <t>Dynamic Web Development with PHP</t>
  </si>
  <si>
    <t>JavaScript for Designers</t>
  </si>
  <si>
    <t>Information Design</t>
  </si>
  <si>
    <t>Flash Basics (Animate I)</t>
  </si>
  <si>
    <t>ACCPAC 500 ERP 5.5 - Inventory Control and Order Entry</t>
  </si>
  <si>
    <t>ACCPAC 500 ERP 5.5 - General Ledger</t>
  </si>
  <si>
    <t>ACCPAC 500 ERP 5.5 - Accounts Receivable</t>
  </si>
  <si>
    <t>ACCPAC 500 ERP 5.5 - Accounts Payable</t>
  </si>
  <si>
    <t>Books &amp; Uniforms Fee (Medical Office Assistant)</t>
  </si>
  <si>
    <t>Books Fee (Medical Office Front Desk Assistant)</t>
  </si>
  <si>
    <t>HCAP11O1</t>
  </si>
  <si>
    <t>HCAP11O2</t>
  </si>
  <si>
    <t>HCMHA06O1</t>
  </si>
  <si>
    <t>HCMOP13O1</t>
  </si>
  <si>
    <t>HCPF05O1</t>
  </si>
  <si>
    <t>HCSFL03O1</t>
  </si>
  <si>
    <t>Introduction to Keyboarding</t>
  </si>
  <si>
    <t>HCLML10OE1</t>
  </si>
  <si>
    <t>THPATI</t>
  </si>
  <si>
    <t>Web Practical Simulation</t>
  </si>
  <si>
    <t>Co-op</t>
  </si>
  <si>
    <t>Review/Fees</t>
  </si>
  <si>
    <t>Old Sequence # 8997</t>
  </si>
  <si>
    <t>Old Sequence # 8996</t>
  </si>
  <si>
    <t>Old Sequence # 8995</t>
  </si>
  <si>
    <t>IF Statement References:
A11 = SL
A12 = SL &amp; CSW
A13 = SL &amp; MOA
A14 = SL &amp; Web
A15 = Non-SL
A16 = Non-SL &amp; CSW
A17 = Non-SL &amp; MOA
A18 = Non-SL &amp; Web</t>
  </si>
  <si>
    <t>WIN10E1</t>
  </si>
  <si>
    <t>WIN10E2</t>
  </si>
  <si>
    <t>Windows 10 Level 1</t>
  </si>
  <si>
    <t>Windows 10 Level 2</t>
  </si>
  <si>
    <t>Win 10</t>
  </si>
  <si>
    <t>INF18E1</t>
  </si>
  <si>
    <t>LAB_CSW</t>
  </si>
  <si>
    <t>LAB_MOA</t>
  </si>
  <si>
    <t>Lab Fees</t>
  </si>
  <si>
    <t>Study/Review - Business Admin Co-op Year 1 - BC</t>
  </si>
  <si>
    <t>Study/Review - Business Admin Co-op Year 2 - BC</t>
  </si>
  <si>
    <t>BAC-COOP(BAC-BC)</t>
  </si>
  <si>
    <t>Business Administration Co-op</t>
  </si>
  <si>
    <t>BSE-COOP(BSE-BC)</t>
  </si>
  <si>
    <t>Business Service Essentials Co-op</t>
  </si>
  <si>
    <t>SR(BSE-BC)</t>
  </si>
  <si>
    <t>Study/Review - Business Service Essentials Co-op - BC</t>
  </si>
  <si>
    <t>SR(BAC-Y1-BC)</t>
  </si>
  <si>
    <t>SR(BAC-Y2-BC)</t>
  </si>
  <si>
    <t>Practicum Hours</t>
  </si>
  <si>
    <t>Course Hours</t>
  </si>
  <si>
    <t>Review Hours</t>
  </si>
  <si>
    <t>Total Hours</t>
  </si>
  <si>
    <t>Total Month</t>
  </si>
  <si>
    <t>Total Weeks</t>
  </si>
  <si>
    <t/>
  </si>
  <si>
    <r>
      <rPr>
        <sz val="10"/>
        <rFont val="Franklin Gothic Book"/>
        <family val="2"/>
      </rPr>
      <t xml:space="preserve">This study schedule is based on the required hours as set for each individual course.  It is the student’s responsibility to maintain the appropriate attendance levels necessary  to satisfy the hour requirements for each course including any extra hours  requisite to complete on time.  By signing below I agree to adhere to the attendance policy and to follow the study schedule as outlined above.
Signed and Dated: </t>
    </r>
    <r>
      <rPr>
        <sz val="10"/>
        <rFont val="Times New Roman"/>
        <family val="1"/>
      </rPr>
      <t xml:space="preserve"> ______________________</t>
    </r>
  </si>
  <si>
    <t>SG30018E2</t>
  </si>
  <si>
    <t>SG30018E3</t>
  </si>
  <si>
    <t>Sage 300 2018 General Ledger</t>
  </si>
  <si>
    <t>Sage 300 2018 Accounts Payable</t>
  </si>
  <si>
    <t>Sage 300 2018 Accounts Receivable</t>
  </si>
  <si>
    <t>HCMT18E1A</t>
  </si>
  <si>
    <t>HCPF18E1</t>
  </si>
  <si>
    <t>HCSFL18E1</t>
  </si>
  <si>
    <t>HCGSS18E1</t>
  </si>
  <si>
    <t>HCTR07OE1A</t>
  </si>
  <si>
    <t>Graduates of the program may pursue a variety of positions, ranging from Inbound / Outbound Marketing and Order Desk Support to Reservations and Sales, Retail Sales Associate, and Call Centre Specialist.</t>
  </si>
  <si>
    <t>Throughout British Columbia</t>
  </si>
  <si>
    <t>At the end of this program the student will have:
- A solid foundation in basic principles of a business environment, including current computer applications, marketing, accounting, and business
law.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current social and economic conditions.
- Proficiency in Microsoft Office applications and accounting principles.</t>
  </si>
  <si>
    <t>BLKCH19E1</t>
  </si>
  <si>
    <t>Introduction to Blockchain and Smart Contract Technology</t>
  </si>
  <si>
    <t>Blockchain Application Development</t>
  </si>
  <si>
    <t>BLKCH19E2</t>
  </si>
  <si>
    <t>PTENG01</t>
  </si>
  <si>
    <t>PTENG03</t>
  </si>
  <si>
    <t>Pitman English (1 month)</t>
  </si>
  <si>
    <t>Pitman English (3 month)</t>
  </si>
  <si>
    <t>SG30018E4</t>
  </si>
  <si>
    <t>Sage 300 2018 Inventory Control and Order Entry</t>
  </si>
  <si>
    <t xml:space="preserve">           i.  and up to and including 10% of the hours of instruction to be provided during the contract term have been provided, the institution 
               may retain up to 30% of the tuition due under the student enrolment contract.</t>
  </si>
  <si>
    <t xml:space="preserve">     (a) equal to or before 10% of the hours of instruction to be provided during the contract term have been provided, the institution may 
          retain up to 30% of the tuition due under the student enrolment contract.</t>
  </si>
  <si>
    <t xml:space="preserve">     (b) the student, or the student’s parent or legal guardian, signs the student enrolment contract seven days or less before the contract 
          start date and the institution receives a notice of withdrawal from the student between the date the student, or the student’s parent 
          or legal guardian, signed the student enrolment contract and the contract start date; or</t>
  </si>
  <si>
    <t>Phone : (604) 855-3315                                            E-Mail : admin.abbotsford@aolccbc.com                                             Fax : (604) 855-3365</t>
  </si>
  <si>
    <t>Phone : (604) 532-4040                                             E-Mail : admin.langley@aolccbc.com                                             Fax : (604) 532-4001</t>
  </si>
  <si>
    <t>Job Search Dates</t>
  </si>
  <si>
    <t>Manual Date</t>
  </si>
  <si>
    <t>Start
Date</t>
  </si>
  <si>
    <t>End
Date</t>
  </si>
  <si>
    <t>ESL0102</t>
    <phoneticPr fontId="118" type="noConversion"/>
  </si>
  <si>
    <t>English as Second Language (1w/2h)</t>
    <phoneticPr fontId="118" type="noConversion"/>
  </si>
  <si>
    <t>ESL0102-Lab</t>
    <phoneticPr fontId="118" type="noConversion"/>
  </si>
  <si>
    <t>ESL Lab Fees</t>
    <phoneticPr fontId="118" type="noConversion"/>
  </si>
  <si>
    <t>ESL Material Fees</t>
    <phoneticPr fontId="118" type="noConversion"/>
  </si>
  <si>
    <t>ESL0104</t>
    <phoneticPr fontId="118" type="noConversion"/>
  </si>
  <si>
    <t>English as Second Language (1w/4h)</t>
    <phoneticPr fontId="118" type="noConversion"/>
  </si>
  <si>
    <t>ESL0104-Lab</t>
    <phoneticPr fontId="118" type="noConversion"/>
  </si>
  <si>
    <t>ESL Material Fees</t>
    <phoneticPr fontId="118" type="noConversion"/>
  </si>
  <si>
    <t>ESL0402</t>
  </si>
  <si>
    <t>English as Second Language (4w/2h)</t>
    <phoneticPr fontId="118" type="noConversion"/>
  </si>
  <si>
    <t>ESL0402-Lab</t>
    <phoneticPr fontId="118" type="noConversion"/>
  </si>
  <si>
    <t>ESL Material Fees</t>
    <phoneticPr fontId="118" type="noConversion"/>
  </si>
  <si>
    <t>ESL0404</t>
    <phoneticPr fontId="118" type="noConversion"/>
  </si>
  <si>
    <t>English as Second Language (4w/4h)</t>
    <phoneticPr fontId="118" type="noConversion"/>
  </si>
  <si>
    <t>ESL0404-Lab</t>
    <phoneticPr fontId="118" type="noConversion"/>
  </si>
  <si>
    <t>ESL Lab Fees</t>
    <phoneticPr fontId="118" type="noConversion"/>
  </si>
  <si>
    <t>ESL0802</t>
  </si>
  <si>
    <t>English as Second Language (8w/2h)</t>
    <phoneticPr fontId="118" type="noConversion"/>
  </si>
  <si>
    <t>ESL0802-Lab</t>
    <phoneticPr fontId="118" type="noConversion"/>
  </si>
  <si>
    <t>ESL Lab Fees</t>
    <phoneticPr fontId="118" type="noConversion"/>
  </si>
  <si>
    <t>ESL0804</t>
    <phoneticPr fontId="118" type="noConversion"/>
  </si>
  <si>
    <t>English as Second Language (8w/4h)</t>
    <phoneticPr fontId="118" type="noConversion"/>
  </si>
  <si>
    <t>ESL0804-Lab</t>
    <phoneticPr fontId="118" type="noConversion"/>
  </si>
  <si>
    <t>ESL1202</t>
    <phoneticPr fontId="118" type="noConversion"/>
  </si>
  <si>
    <t>English as Second Language (12w/2h)</t>
    <phoneticPr fontId="118" type="noConversion"/>
  </si>
  <si>
    <t>ESL1202-Lab</t>
    <phoneticPr fontId="118" type="noConversion"/>
  </si>
  <si>
    <t>ESL Material Fees</t>
    <phoneticPr fontId="118" type="noConversion"/>
  </si>
  <si>
    <t>ESL1204</t>
    <phoneticPr fontId="118" type="noConversion"/>
  </si>
  <si>
    <t>English as Second Language (12w/4h)</t>
    <phoneticPr fontId="118" type="noConversion"/>
  </si>
  <si>
    <t>ESL1204-Lab</t>
    <phoneticPr fontId="118" type="noConversion"/>
  </si>
  <si>
    <t>ESL0402-Books</t>
    <phoneticPr fontId="118" type="noConversion"/>
  </si>
  <si>
    <t>ESL0404-Books</t>
    <phoneticPr fontId="118" type="noConversion"/>
  </si>
  <si>
    <t>ESL0802-Books</t>
    <phoneticPr fontId="118" type="noConversion"/>
  </si>
  <si>
    <t>ESL0804-Books</t>
    <phoneticPr fontId="118" type="noConversion"/>
  </si>
  <si>
    <t>ESL1202-Books</t>
    <phoneticPr fontId="118" type="noConversion"/>
  </si>
  <si>
    <t>ESL1204-Books</t>
    <phoneticPr fontId="118" type="noConversion"/>
  </si>
  <si>
    <t>ESL0102-Books</t>
    <phoneticPr fontId="118" type="noConversion"/>
  </si>
  <si>
    <t>ESL0104-Books</t>
    <phoneticPr fontId="118" type="noConversion"/>
  </si>
  <si>
    <t>i.    If written notice of withdrawal is received by the institution less than seven (7) calendar days after the contract is made, and before the commencement of the period of instruction specified in the contract, the institution may retain the lesser of 10% of the total tuition and fees due under the contract or $250.00.</t>
    <phoneticPr fontId="117" type="noConversion"/>
  </si>
  <si>
    <t>The purpose of the course is to improve students’ English reading, writing, listening, and speaking skills and to develop their vocabulary, grammar, pronunciation, and fluency.</t>
    <phoneticPr fontId="117" type="noConversion"/>
  </si>
  <si>
    <t>Integrated Learning™ System training facilitated by Academy of Learning Career College Learning Coaches and Online Instructors.</t>
    <phoneticPr fontId="117" type="noConversion"/>
  </si>
  <si>
    <t>Obtain an overall average of 75%, and achieve at least a Pass (60%) on all courses in the program outline.</t>
    <phoneticPr fontId="117" type="noConversion"/>
  </si>
  <si>
    <t>Obtain 75% on all courses in the program outline.</t>
    <phoneticPr fontId="117" type="noConversion"/>
  </si>
  <si>
    <t>Graduates of this program have a varied choice of positions available to them, ranging from:
- Inbound/ Outbound marketing
- Order Desk support
- Reservations and Outbound Sales
- Team Leaders / Supervisor
- Call Centres Manager</t>
    <phoneticPr fontId="117" type="noConversion"/>
  </si>
  <si>
    <t>Graduates of this program can have the option to work in an English-speaking organization or enroll in further trainings that use English as the primary language.</t>
    <phoneticPr fontId="117" type="noConversion"/>
  </si>
  <si>
    <t>Year</t>
    <phoneticPr fontId="117" type="noConversion"/>
  </si>
  <si>
    <t>Month</t>
    <phoneticPr fontId="117" type="noConversion"/>
  </si>
  <si>
    <t>Day</t>
    <phoneticPr fontId="117" type="noConversion"/>
  </si>
  <si>
    <t>Month</t>
    <phoneticPr fontId="117" type="noConversion"/>
  </si>
  <si>
    <t>Student Mailing Address in Canada (if available)</t>
  </si>
  <si>
    <t>SG30018E1</t>
    <phoneticPr fontId="117" type="noConversion"/>
  </si>
  <si>
    <t>SE4013GD</t>
  </si>
  <si>
    <t>Graphic Design 1</t>
  </si>
  <si>
    <t>Graphic Design</t>
  </si>
  <si>
    <t>SE4017GD</t>
  </si>
  <si>
    <t>SE4019GD</t>
  </si>
  <si>
    <t>The Study of Graphic Design</t>
  </si>
  <si>
    <t>SE4020GD</t>
  </si>
  <si>
    <t>Design and Composition</t>
  </si>
  <si>
    <t>SE4211GD</t>
  </si>
  <si>
    <t>Fundamentals of Logo Design</t>
  </si>
  <si>
    <t>SE4218GD</t>
  </si>
  <si>
    <t>SE4221GD</t>
  </si>
  <si>
    <t>SE4226GD</t>
  </si>
  <si>
    <t>SE4228GD</t>
  </si>
  <si>
    <t>InDesign Basics</t>
  </si>
  <si>
    <t>SE4301GD</t>
  </si>
  <si>
    <t>Print Production</t>
  </si>
  <si>
    <t>SE4303GD</t>
  </si>
  <si>
    <t>Design Business</t>
  </si>
  <si>
    <t>SR(GD-BC)</t>
    <phoneticPr fontId="117" type="noConversion"/>
  </si>
  <si>
    <t>Study/Review - Graphic Designer - BC</t>
    <phoneticPr fontId="117" type="noConversion"/>
  </si>
  <si>
    <t>Review/Fees</t>
    <phoneticPr fontId="117" type="noConversion"/>
  </si>
  <si>
    <t>Graduates of the program may pursue positions such as Graphic Designer, Graphic Artist, Layout Artist, and Layout Designer.</t>
    <phoneticPr fontId="117" type="noConversion"/>
  </si>
  <si>
    <t>Integrated Learning™ System training facilitated by qualified learning coaches.</t>
    <phoneticPr fontId="117" type="noConversion"/>
  </si>
  <si>
    <t>Distance</t>
    <phoneticPr fontId="117" type="noConversion"/>
  </si>
  <si>
    <t>In-class</t>
    <phoneticPr fontId="117" type="noConversion"/>
  </si>
  <si>
    <t>Combined</t>
    <phoneticPr fontId="117" type="noConversion"/>
  </si>
  <si>
    <t>Delivery Method Preferences (Select all that apply)</t>
    <phoneticPr fontId="117" type="noConversion"/>
  </si>
  <si>
    <t>In-class</t>
    <phoneticPr fontId="117" type="noConversion"/>
  </si>
  <si>
    <t>Distance</t>
    <phoneticPr fontId="117" type="noConversion"/>
  </si>
  <si>
    <t>Combined</t>
    <phoneticPr fontId="117" type="noConversion"/>
  </si>
  <si>
    <t>Version</t>
    <phoneticPr fontId="117" type="noConversion"/>
  </si>
  <si>
    <t>Date</t>
    <phoneticPr fontId="117" type="noConversion"/>
  </si>
  <si>
    <t>8.6d</t>
    <phoneticPr fontId="117" type="noConversion"/>
  </si>
  <si>
    <t>Log</t>
    <phoneticPr fontId="117" type="noConversion"/>
  </si>
  <si>
    <r>
      <rPr>
        <b/>
        <sz val="10"/>
        <rFont val="Franklin Gothic Book"/>
        <family val="2"/>
      </rPr>
      <t>Program Change:</t>
    </r>
    <r>
      <rPr>
        <sz val="10"/>
        <rFont val="Franklin Gothic Book"/>
        <family val="2"/>
      </rPr>
      <t xml:space="preserve">
All program's NOC reference are wrong. Corrected.
All program's Holiday length are corrected from 2 weeks to 1 week. 
The Christmas period are reuced from 2 weeks to 1 week. This will give more accurate weeks for programs.
</t>
    </r>
    <r>
      <rPr>
        <u/>
        <sz val="10"/>
        <rFont val="Franklin Gothic Book"/>
        <family val="2"/>
      </rPr>
      <t xml:space="preserve">A+ Network+ and MCSA Desktop Cert Prep </t>
    </r>
    <r>
      <rPr>
        <sz val="10"/>
        <rFont val="Franklin Gothic Book"/>
        <family val="2"/>
      </rPr>
      <t xml:space="preserve">
Increased the SR(ANetCert-BC) price from 628 to 1713, combining exam prices. Removed A+EXAMS2, N+EXAM1, and MCEXAMS2 courses. The subsequntly solved the hours issues (It was 605 in PTIB but 625 in outline.)
</t>
    </r>
    <r>
      <rPr>
        <u/>
        <sz val="10"/>
        <rFont val="Franklin Gothic Book"/>
        <family val="2"/>
      </rPr>
      <t>Accounting Administrator with SAGE</t>
    </r>
    <r>
      <rPr>
        <sz val="10"/>
        <rFont val="Franklin Gothic Book"/>
        <family val="2"/>
      </rPr>
      <t xml:space="preserve">
-Update the ACCPAC to SAGE300 courses.
-Matched the SAGE300 hours with the course outline.
</t>
    </r>
    <r>
      <rPr>
        <u/>
        <sz val="10"/>
        <rFont val="Franklin Gothic Book"/>
        <family val="2"/>
      </rPr>
      <t>Business Administration Co-Op</t>
    </r>
    <r>
      <rPr>
        <sz val="10"/>
        <rFont val="Franklin Gothic Book"/>
        <family val="2"/>
      </rPr>
      <t xml:space="preserve">
-Add the admission requirments in the long contract.
-fixed the number of weeks by adjusting the end date calculation. The co-op hours are changed from 40 hours per week to 20 hours per week.
-Correct the Business Administration Co-Op year 2's review code. Now the correct number of hours displays.
</t>
    </r>
    <r>
      <rPr>
        <u/>
        <sz val="10"/>
        <rFont val="Franklin Gothic Book"/>
        <family val="2"/>
      </rPr>
      <t>Business Service Essential Co-Op</t>
    </r>
    <r>
      <rPr>
        <sz val="10"/>
        <rFont val="Franklin Gothic Book"/>
        <family val="2"/>
      </rPr>
      <t xml:space="preserve">
-fixed the number of weeks by adjusting the end date calculation. The co-op hours are changed from 40 hours per week to 22.6 hours per week.
</t>
    </r>
    <r>
      <rPr>
        <u/>
        <sz val="10"/>
        <rFont val="Franklin Gothic Book"/>
        <family val="2"/>
      </rPr>
      <t>English as Second Language</t>
    </r>
    <r>
      <rPr>
        <sz val="10"/>
        <rFont val="Franklin Gothic Book"/>
        <family val="2"/>
      </rPr>
      <t xml:space="preserve">
Excluded ESL Lab and Book fees from the international pricing.
</t>
    </r>
    <r>
      <rPr>
        <u/>
        <sz val="10"/>
        <rFont val="Franklin Gothic Book"/>
        <family val="2"/>
      </rPr>
      <t>Graphic Designer</t>
    </r>
    <r>
      <rPr>
        <sz val="10"/>
        <rFont val="Franklin Gothic Book"/>
        <family val="2"/>
      </rPr>
      <t xml:space="preserve">
-Added outline and course.
-Add the admission requirments
-add the program outline infomation
</t>
    </r>
    <r>
      <rPr>
        <b/>
        <sz val="10"/>
        <rFont val="Franklin Gothic Book"/>
        <family val="2"/>
      </rPr>
      <t>Contract Changes:</t>
    </r>
    <r>
      <rPr>
        <sz val="10"/>
        <rFont val="Franklin Gothic Book"/>
        <family val="2"/>
      </rPr>
      <t xml:space="preserve">
-Update the Work Experience portion of the contract to reflect the price change for international students. 
-Corrected the Textbook &amp; Lab fees calculation on the long &amp; short contracts. Removed the FirstAid &amp; CPR course from the calculation and only include the LAB fees.
</t>
    </r>
    <r>
      <rPr>
        <b/>
        <sz val="10"/>
        <rFont val="Franklin Gothic Book"/>
        <family val="2"/>
      </rPr>
      <t>Extra Feature:</t>
    </r>
    <r>
      <rPr>
        <sz val="10"/>
        <rFont val="Franklin Gothic Book"/>
        <family val="2"/>
      </rPr>
      <t xml:space="preserve">
-Added option in the Student Info tab for Delivery Method Preferences. The In-class option is set to Y by default. These option will check/uncheck the Program Delivery Method in the contracts.</t>
    </r>
    <phoneticPr fontId="117" type="noConversion"/>
  </si>
  <si>
    <t>Full Log</t>
    <phoneticPr fontId="117" type="noConversion"/>
  </si>
  <si>
    <t xml:space="preserve">CompTIA A+ Certification: 220-1001                                  </t>
    <phoneticPr fontId="117" type="noConversion"/>
  </si>
  <si>
    <t>CompTIA A+ Certification: 220-1002</t>
    <phoneticPr fontId="117" type="noConversion"/>
  </si>
  <si>
    <r>
      <rPr>
        <b/>
        <sz val="10"/>
        <rFont val="Franklin Gothic Book"/>
        <family val="2"/>
      </rPr>
      <t>Program Change:</t>
    </r>
    <r>
      <rPr>
        <sz val="10"/>
        <rFont val="Franklin Gothic Book"/>
        <family val="2"/>
      </rPr>
      <t xml:space="preserve">
The Christmas period are reuced from 2 weeks to 1 week. This will give more accurate weeks for programs.
</t>
    </r>
    <r>
      <rPr>
        <u/>
        <sz val="10"/>
        <rFont val="Franklin Gothic Book"/>
        <family val="2"/>
      </rPr>
      <t>Business Administration Co-Op</t>
    </r>
    <r>
      <rPr>
        <sz val="10"/>
        <rFont val="Franklin Gothic Book"/>
        <family val="2"/>
      </rPr>
      <t xml:space="preserve">
-Add the admission requirments in the long contract.
-fixed the number of weeks by adjusting the end date calculation. The co-op hours are changed from 40 hours per week to 20 hours per week.
</t>
    </r>
    <r>
      <rPr>
        <u/>
        <sz val="10"/>
        <rFont val="Franklin Gothic Book"/>
        <family val="2"/>
      </rPr>
      <t>Business Service Essential Co-Op</t>
    </r>
    <r>
      <rPr>
        <sz val="10"/>
        <rFont val="Franklin Gothic Book"/>
        <family val="2"/>
      </rPr>
      <t xml:space="preserve">
-fixed the number of weeks by adjusting the end date calculation. The co-op hours are changed from 40 hours per week to 22.6 hours per week.
</t>
    </r>
    <r>
      <rPr>
        <u/>
        <sz val="10"/>
        <rFont val="Franklin Gothic Book"/>
        <family val="2"/>
      </rPr>
      <t>Graphic Designer</t>
    </r>
    <r>
      <rPr>
        <sz val="10"/>
        <rFont val="Franklin Gothic Book"/>
        <family val="2"/>
      </rPr>
      <t xml:space="preserve">
-Added the courses needed.
-Add the macro.
</t>
    </r>
    <r>
      <rPr>
        <b/>
        <sz val="10"/>
        <rFont val="Franklin Gothic Book"/>
        <family val="2"/>
      </rPr>
      <t xml:space="preserve">New Courses:
</t>
    </r>
    <r>
      <rPr>
        <sz val="10"/>
        <rFont val="Franklin Gothic Book"/>
        <family val="2"/>
      </rPr>
      <t xml:space="preserve">-Add CompTIA A+ 1001 and 1002.
</t>
    </r>
    <r>
      <rPr>
        <b/>
        <sz val="10"/>
        <rFont val="Franklin Gothic Book"/>
        <family val="2"/>
      </rPr>
      <t>Contract Changes:</t>
    </r>
    <r>
      <rPr>
        <sz val="10"/>
        <rFont val="Franklin Gothic Book"/>
        <family val="2"/>
      </rPr>
      <t xml:space="preserve">
-Update the Work Experience portion of the contract to reflect the price change for international students. 
-Corrected the Textbook &amp; Lab fees calculation on the long &amp; short contracts. Removed the FirstAid &amp; CPR course from the calculation and only include the LAB fees.
</t>
    </r>
    <r>
      <rPr>
        <b/>
        <sz val="10"/>
        <rFont val="Franklin Gothic Book"/>
        <family val="2"/>
      </rPr>
      <t>Extra Feature:</t>
    </r>
    <r>
      <rPr>
        <sz val="10"/>
        <rFont val="Franklin Gothic Book"/>
        <family val="2"/>
      </rPr>
      <t xml:space="preserve">
-Added option in the Student Info tab for Delivery Method Preferences. The In-class option is set to Y by default. These option will check/uncheck the Program Delivery Method in the contracts.
</t>
    </r>
    <r>
      <rPr>
        <b/>
        <sz val="10"/>
        <rFont val="Franklin Gothic Book"/>
        <family val="2"/>
      </rPr>
      <t xml:space="preserve">Outline Admin Change:
</t>
    </r>
    <r>
      <rPr>
        <sz val="10"/>
        <rFont val="Franklin Gothic Book"/>
        <family val="2"/>
      </rPr>
      <t>-Fixed the Exam &amp; Review % calculation. It was using % as a number.</t>
    </r>
    <phoneticPr fontId="117" type="noConversion"/>
  </si>
  <si>
    <t xml:space="preserve">UP TO A </t>
  </si>
  <si>
    <t>Social Insurance Number</t>
  </si>
  <si>
    <r>
      <t xml:space="preserve">Individual exams are given and require a minimum percentage pass mark prescribed by the Academy of Learning College. There are limited exceptions where the course mark is given in different form (for example, in words per minute). To graduate in a program of study, the student must successfully complete and pass all courses in the program of study with </t>
    </r>
    <r>
      <rPr>
        <b/>
        <sz val="12"/>
        <color rgb="FF000000"/>
        <rFont val="Calibri"/>
        <family val="2"/>
      </rPr>
      <t>an overall average of at least 75%</t>
    </r>
    <r>
      <rPr>
        <sz val="12"/>
        <color rgb="FF000000"/>
        <rFont val="Calibri"/>
        <family val="2"/>
      </rPr>
      <t>. Some programs require a higher minimum of more 75%, as specified at time of enrollment.</t>
    </r>
  </si>
  <si>
    <t>N/A</t>
  </si>
  <si>
    <r>
      <t xml:space="preserve">INVOICE TO SPONSOR AGENCY?  </t>
    </r>
    <r>
      <rPr>
        <b/>
        <vertAlign val="superscript"/>
        <sz val="9"/>
        <rFont val="Franklin Gothic Book"/>
        <family val="2"/>
      </rPr>
      <t xml:space="preserve">YES  </t>
    </r>
    <r>
      <rPr>
        <sz val="9"/>
        <rFont val="Franklin Gothic Book"/>
        <family val="2"/>
      </rPr>
      <t xml:space="preserve">x  </t>
    </r>
    <r>
      <rPr>
        <b/>
        <sz val="9"/>
        <rFont val="Franklin Gothic Book"/>
        <family val="2"/>
      </rPr>
      <t xml:space="preserve"> </t>
    </r>
    <r>
      <rPr>
        <b/>
        <vertAlign val="superscript"/>
        <sz val="9"/>
        <rFont val="Franklin Gothic Book"/>
        <family val="2"/>
      </rPr>
      <t>N/A</t>
    </r>
    <r>
      <rPr>
        <b/>
        <sz val="9"/>
        <rFont val="Franklin Gothic Book"/>
        <family val="2"/>
      </rPr>
      <t xml:space="preserve"> </t>
    </r>
    <r>
      <rPr>
        <sz val="9"/>
        <rFont val="Franklin Gothic Book"/>
        <family val="2"/>
      </rPr>
      <t>o</t>
    </r>
  </si>
  <si>
    <r>
      <rPr>
        <b/>
        <sz val="12"/>
        <color rgb="FF000000"/>
        <rFont val="Calibri"/>
        <family val="2"/>
      </rPr>
      <t xml:space="preserve">The student is obligated to complete the program of study within the time frame determined by the end date and the institution's guidelines for completing individual courses. </t>
    </r>
    <r>
      <rPr>
        <b/>
        <u/>
        <sz val="12"/>
        <color rgb="FF000000"/>
        <rFont val="Calibri"/>
        <family val="2"/>
      </rPr>
      <t>The end date can be adjusted on the contract solely at the discretion of the institution and will only be considered due to just cause (i.e. sickness, converting to part-time status due to work obligations, etc.)</t>
    </r>
    <r>
      <rPr>
        <b/>
        <sz val="12"/>
        <color rgb="FF000000"/>
        <rFont val="Calibri"/>
        <family val="2"/>
      </rPr>
      <t xml:space="preserve">. Any application for extension must be made well in advance of the end date or an extension will not be considered. </t>
    </r>
    <r>
      <rPr>
        <b/>
        <i/>
        <u/>
        <sz val="12"/>
        <color rgb="FF000000"/>
        <rFont val="Calibri"/>
        <family val="2"/>
      </rPr>
      <t>The student may be charged additional fees for such an extension based on the tuition rate in effect at that time, solely at the discretion of the institution.</t>
    </r>
  </si>
  <si>
    <t xml:space="preserve">FAX:   </t>
  </si>
  <si>
    <t xml:space="preserve">AGENCY:    </t>
  </si>
  <si>
    <t xml:space="preserve">CONTACT:    </t>
  </si>
  <si>
    <t xml:space="preserve">PHONE:   </t>
  </si>
  <si>
    <t>#204 - 2692 Clearbrook Road, Abbotsford, BC, V2T 2Y8</t>
  </si>
  <si>
    <t>8.6e</t>
    <phoneticPr fontId="117" type="noConversion"/>
  </si>
  <si>
    <t>HCAW19O1</t>
    <phoneticPr fontId="117" type="noConversion"/>
  </si>
  <si>
    <t>HCAW19O2</t>
    <phoneticPr fontId="117" type="noConversion"/>
  </si>
  <si>
    <t>HCAW19O3</t>
    <phoneticPr fontId="117" type="noConversion"/>
  </si>
  <si>
    <t>HCBC01O1</t>
    <phoneticPr fontId="117" type="noConversion"/>
  </si>
  <si>
    <t>HCCMC19O1</t>
    <phoneticPr fontId="117" type="noConversion"/>
  </si>
  <si>
    <t>HCCP13O1</t>
    <phoneticPr fontId="117" type="noConversion"/>
  </si>
  <si>
    <t>PMF20E1</t>
    <phoneticPr fontId="117" type="noConversion"/>
  </si>
  <si>
    <t>PMF20E2</t>
    <phoneticPr fontId="117" type="noConversion"/>
  </si>
  <si>
    <t>QBK20E1</t>
    <phoneticPr fontId="117" type="noConversion"/>
  </si>
  <si>
    <t>QuickBooks Premier 2019</t>
    <phoneticPr fontId="117" type="noConversion"/>
  </si>
  <si>
    <t>SSMS432</t>
    <phoneticPr fontId="117" type="noConversion"/>
  </si>
  <si>
    <t>Microsoft SQL Server 2008 Implementation and Maintenance</t>
    <phoneticPr fontId="117" type="noConversion"/>
  </si>
  <si>
    <t>SSMS740</t>
    <phoneticPr fontId="117" type="noConversion"/>
  </si>
  <si>
    <t>SSMS741</t>
  </si>
  <si>
    <t>SSMS742</t>
  </si>
  <si>
    <t>Installation, Storage, and Compute with Windows Server 2016</t>
    <phoneticPr fontId="117" type="noConversion"/>
  </si>
  <si>
    <t>Networking with Windows Server 2016</t>
    <phoneticPr fontId="117" type="noConversion"/>
  </si>
  <si>
    <t>Identity with Windows Server 2016</t>
    <phoneticPr fontId="117" type="noConversion"/>
  </si>
  <si>
    <t>SSCAC1001A</t>
    <phoneticPr fontId="117" type="noConversion"/>
  </si>
  <si>
    <t>SSCAC1002A</t>
    <phoneticPr fontId="117" type="noConversion"/>
  </si>
  <si>
    <t>SSN10007A</t>
    <phoneticPr fontId="117" type="noConversion"/>
  </si>
  <si>
    <t>SSSY0501A</t>
    <phoneticPr fontId="117" type="noConversion"/>
  </si>
  <si>
    <t>SSSK0004</t>
    <phoneticPr fontId="117" type="noConversion"/>
  </si>
  <si>
    <t>VEESP10E1</t>
  </si>
  <si>
    <t>VEG10E1</t>
    <phoneticPr fontId="117" type="noConversion"/>
  </si>
  <si>
    <t>VEIETP10E1</t>
    <phoneticPr fontId="117" type="noConversion"/>
  </si>
  <si>
    <t>English Success! English for Specific Purposes</t>
    <phoneticPr fontId="117" type="noConversion"/>
  </si>
  <si>
    <t>English Success! General</t>
    <phoneticPr fontId="117" type="noConversion"/>
  </si>
  <si>
    <t>English Success! IELTS Test Preparation</t>
    <phoneticPr fontId="117" type="noConversion"/>
  </si>
  <si>
    <t>PCF20E1</t>
    <phoneticPr fontId="117" type="noConversion"/>
  </si>
  <si>
    <t>Personal Computer Fundamentals</t>
    <phoneticPr fontId="117" type="noConversion"/>
  </si>
  <si>
    <t>HCEHR20E1</t>
    <phoneticPr fontId="117" type="noConversion"/>
  </si>
  <si>
    <t>EHR Billing and Coding</t>
    <phoneticPr fontId="117" type="noConversion"/>
  </si>
  <si>
    <t>SSMD101</t>
    <phoneticPr fontId="117" type="noConversion"/>
  </si>
  <si>
    <t>Microsoft Windows 10 (MD-100)</t>
    <phoneticPr fontId="117" type="noConversion"/>
  </si>
  <si>
    <t>Managing Modern Desktops (MD-101)</t>
    <phoneticPr fontId="117" type="noConversion"/>
  </si>
  <si>
    <t>SSMD100</t>
    <phoneticPr fontId="117" type="noConversion"/>
  </si>
  <si>
    <t>Following programs have no holiday in PED 2020/2021:</t>
    <phoneticPr fontId="0" type="noConversion"/>
  </si>
  <si>
    <t>Is the current program has no holiday? If TRUE, the SUM of Days will be 0</t>
    <phoneticPr fontId="0" type="noConversion"/>
  </si>
  <si>
    <t>Is the current program only have 1 week holiday? If TRUE, the SUM of Days will not exceed 5</t>
    <phoneticPr fontId="0" type="noConversion"/>
  </si>
  <si>
    <t>Following programs have 1 week holiday in PED 2020/2021:</t>
    <phoneticPr fontId="0" type="noConversion"/>
  </si>
  <si>
    <t>Date Total after Condition 1</t>
    <phoneticPr fontId="0" type="noConversion"/>
  </si>
  <si>
    <t>Date Total after Condition 2</t>
  </si>
  <si>
    <t>Date Total after Condition 3</t>
  </si>
  <si>
    <t>We have 10 parking stalls for students.  Students are required to obtain parking passes from the front desk.  Parking passes will be issued on a first come, first serve basis. Please return the parking passes so that other students are able to park in the parking lot. Wheelchair parking does not require a parking pass, provided you have a valid wheelchair decal.  There is ample parking along the side streets.</t>
    <phoneticPr fontId="117" type="noConversion"/>
  </si>
  <si>
    <t>Client Outline Generation</t>
    <phoneticPr fontId="0" type="noConversion"/>
  </si>
  <si>
    <t>Campus Location:</t>
    <phoneticPr fontId="0" type="noConversion"/>
  </si>
  <si>
    <t>Shortcuts</t>
    <phoneticPr fontId="0" type="noConversion"/>
  </si>
  <si>
    <t>Shortcuts</t>
    <phoneticPr fontId="0" type="noConversion"/>
  </si>
  <si>
    <t>http://secure.academyol.com/Links/Download.aspx?FileID=6082</t>
    <phoneticPr fontId="117" type="noConversion"/>
  </si>
  <si>
    <t>http://secure.academyol.com/Links/Download.aspx?FileID=3223</t>
    <phoneticPr fontId="117" type="noConversion"/>
  </si>
  <si>
    <t>At the end of this program student will be able to demonstrate a knowledge in CompTIA A+, CompTIA Network+, and Microsoft Certified Solutions Associate (MCSA) Windows certifications; including hardware repair and maintenance, operating system installation and support, network installation and maintenance, Windows system end-users support and systems maintenance.</t>
    <phoneticPr fontId="117" type="noConversion"/>
  </si>
  <si>
    <r>
      <t xml:space="preserve">-Corrected the file link.
-Included holiday date till 2023. Christmas break periods has increased from 1 week to 2 weeks.
</t>
    </r>
    <r>
      <rPr>
        <b/>
        <sz val="10"/>
        <rFont val="Franklin Gothic Book"/>
        <family val="2"/>
      </rPr>
      <t xml:space="preserve">New Feature:
</t>
    </r>
    <r>
      <rPr>
        <sz val="10"/>
        <rFont val="Franklin Gothic Book"/>
        <family val="2"/>
      </rPr>
      <t xml:space="preserve">-Add a campus selection on the Outline Info tab to allow quick location change, instead of changing numbers in the Franchise Info sheet.
</t>
    </r>
    <r>
      <rPr>
        <b/>
        <sz val="10"/>
        <rFont val="Franklin Gothic Book"/>
        <family val="2"/>
      </rPr>
      <t>Course Table Updates:</t>
    </r>
    <r>
      <rPr>
        <sz val="10"/>
        <rFont val="Franklin Gothic Book"/>
        <family val="2"/>
      </rPr>
      <t xml:space="preserve">
-remove old/unused course codes.
-updated course codes for 3 levels of Addiction Worker (from HCAW01O1 to HCAW19O1 etc.) (Bulletin 2019-017, 2019-018, 2020-001)
-updated course codes Case Management, Counseling, and Ethics (from HCCMC05O1 to HCCMC19O1) (Bulletin 2020-004)
-updated course codes for 2 levels of Project Management Fundamentals courses (from PMF14E1 to PMF20E1 etc.) (Bulletin 2020-002, 2020-003)
-updated course code and name for Quickbooks Premier (from QBK12E1 to QBK19E1; 2012 to 2019) (Bulletin 2020-012)
-added SQL Server 2008 course and three Server 2016 courses. (Bulletin 2020-009, 2020-010, 2020-011)
-updated course codes for all CompTIA courses (append A to the code; Bulletin 2020-006)
-added 3 English Success! base courses.
-added PCF20E1 Personal Computer Fundamentals (Bulletin 2020-008)
-added course HCEHR20E1 EHR Billing and Coding (Bulletin 2020-007)
-added 2 Microsoft Modern Desktop Administrator Associate courses: SSMD100 &amp; SSMD101 (Bulletin 2019-14, 2019-15)
-updated the price on CompTIA Network+ course from 943 to 995.
</t>
    </r>
    <r>
      <rPr>
        <b/>
        <sz val="10"/>
        <rFont val="Franklin Gothic Book"/>
        <family val="2"/>
      </rPr>
      <t xml:space="preserve">Sheet Text Change:
</t>
    </r>
    <r>
      <rPr>
        <u/>
        <sz val="10"/>
        <rFont val="Franklin Gothic Book"/>
        <family val="2"/>
      </rPr>
      <t>&gt;Outline Info sheet:</t>
    </r>
    <r>
      <rPr>
        <sz val="10"/>
        <rFont val="Franklin Gothic Book"/>
        <family val="2"/>
      </rPr>
      <t xml:space="preserve">
-added Medical Office Front Desk Assistant Certificate as one of the program offered.
-changed the link to the MCSA Server Certification &amp; Network Administrator Diploma due to sheet name change.
&gt;</t>
    </r>
    <r>
      <rPr>
        <u/>
        <sz val="10"/>
        <rFont val="Franklin Gothic Book"/>
        <family val="2"/>
      </rPr>
      <t>Parking tab:</t>
    </r>
    <r>
      <rPr>
        <sz val="10"/>
        <rFont val="Franklin Gothic Book"/>
        <family val="2"/>
      </rPr>
      <t xml:space="preserve"> change from 6 to 10 parking spot for Abbotsford.
&gt;Contract-Long sheet:
-change the font size from 11 to 10.5 in the Program Outline section on page 2. This will allow the text to fit better.
</t>
    </r>
    <r>
      <rPr>
        <b/>
        <sz val="10"/>
        <rFont val="Franklin Gothic Book"/>
        <family val="2"/>
      </rPr>
      <t/>
    </r>
    <phoneticPr fontId="117" type="noConversion"/>
  </si>
  <si>
    <r>
      <rPr>
        <b/>
        <sz val="10"/>
        <rFont val="Franklin Gothic Book"/>
        <family val="2"/>
      </rPr>
      <t xml:space="preserve">Macro Update:
</t>
    </r>
    <r>
      <rPr>
        <sz val="10"/>
        <rFont val="Franklin Gothic Book"/>
        <family val="2"/>
      </rPr>
      <t>-Following programs' macro name and sheet link has been changed. Macro tested and working:
--Network Administrator Diploma macro name from DNetAdmin2012 to DNetAdmin. Specifying the year is no longer neccessary as there is only 1 program in effect. Sheet link changed from NetAdminDip2012 to NetAdminDip.
--MCSA: Windows Server Certification Prep macro name from CMCSAS8 to CMCSASrv. Specifying the number is no longer neccessary as there is only 1 program in effect. Sheet link changed from MCTIPSCrt to MCSASrvCrt.
-Accounting Bookkeeper Certificate macro name from CmpAccProCrt to CAccBk. Sheet link changed from CmpAccProCrt to AccBkCrt.
-added DMOFDA macro for Medical Office Front Desk Assistant Certificate. Assigned Ctrl+Shift+J.
-disabled shorcut for Computer Software Support Diploma because it has been removed from PEDs 2020/2021 for both campuses. Macro module is kept just in case the program is later offered.
-Insert code in the Cleanup Module to rest the hours per week back to 20.</t>
    </r>
    <r>
      <rPr>
        <b/>
        <sz val="10"/>
        <rFont val="Franklin Gothic Book"/>
        <family val="2"/>
      </rPr>
      <t xml:space="preserve">
Formula Update related to the Date/Week Calculation
</t>
    </r>
    <r>
      <rPr>
        <sz val="10"/>
        <rFont val="Franklin Gothic Book"/>
        <family val="2"/>
      </rPr>
      <t>-In the "ClosedDays" sheet, created sum of date counters on C34~C36. This will make the condition formula easier. This will replace the previous sums on cell C8~C10  in the "EndDate" sheet.</t>
    </r>
    <r>
      <rPr>
        <b/>
        <sz val="10"/>
        <rFont val="Franklin Gothic Book"/>
        <family val="2"/>
      </rPr>
      <t xml:space="preserve">
</t>
    </r>
    <r>
      <rPr>
        <sz val="10"/>
        <rFont val="Franklin Gothic Book"/>
        <family val="2"/>
      </rPr>
      <t xml:space="preserve">-In the "ClosedDays" sheet, updated no holiday detection (column S) for programs that has no holidays. Previously this only applies to Individual courses. Now according to PEDs 2020/2021, Customer Service Representative Diploma, MCSA Server, Office Clerk, Sales Associate, and ESL also have no holiday. Update the fomula to use names linked to the diploma sheet, instead of static. This will make it easier to detect changes. By using the above date counter, a condition is added to change the SUM of day counter to 0 if above programs are detected. This will result no additional days to be added, so the correct number of weeks to be shown.
-In the "ClosedDays" sheet, updated 1 week holiday detection (column S) for programs that only have 1 week holiday (5 weekdays). Names are linked to the diploma sheet, instead of static. By using the above date counter, a condition is added to change the SUM of day counter to 5 if the SUM is over 5 when above programs are detected. This will result only 1 week to be added, so the correct number of weeks to be shown.
-In the "ClosedDays" sheet, another condition is created on the date counter, so the total amount of holidays will not exceed 2 weeks (10 weekdays), as the rest of programs all have maximum of 2 weeks holiday. It will reduce the total days to 10 when the date counter is over 10. This will result in better week calculation.
-In EndDate sheet, change the "Number of (extra/fewer) adjustment weeks + or -" (B5) to better reflect practicum calculation. The hours of each practicum portion varies and it can no longer be uniform. For example. Business Admin Co-Op is 20hrs/week, Business Service Essential Co-Op is 22.6hrs/week, and HUC is 37.5hrs/week. NOTE: MOA's practicum is also 37.5 hrs/week. However, I can't get the right number of weeks, so I decide to not include MOA in the OR condition.
-In the macro module for Account and Payroll Administrator Diploma, MOA, and MOA w/HUC programs, added VB code to modify the hours/week on cell B10 of Outline Info sheet. This will make the week calculation correct without manual input.
</t>
    </r>
    <r>
      <rPr>
        <b/>
        <sz val="10"/>
        <rFont val="Franklin Gothic Book"/>
        <family val="2"/>
      </rPr>
      <t>Formula Update
&gt;</t>
    </r>
    <r>
      <rPr>
        <sz val="10"/>
        <rFont val="Franklin Gothic Book"/>
        <family val="2"/>
      </rPr>
      <t xml:space="preserve">In the "Outline Info" sheet, created IF formula to hide program name and SABC code based on location:
--The following program are hidden when it's in Langley: Addictions Worker Certificate, Marketing Administrative Assistant Certificate, Business Service Essential Co-Op Diploma, Computer Service Technician Certificate, Community Service Worker Diploma, Medical Office Front Desk Assistant Certificate
--The following program are hidden when it's in Abbotsford: Administrative Assistant Diploma
</t>
    </r>
    <phoneticPr fontId="117" type="noConversion"/>
  </si>
  <si>
    <t>Graduates of this program are prepared for a variety of entry-level administrative and management trainee positions in a broad range of employment settings. Careers in accounting and finance, marketing, production, operations, human resources, and general administration are available to graduates who demonstrate the required combination of business skills, aptitude, motivation, and personal ability.</t>
    <phoneticPr fontId="117" type="noConversion"/>
  </si>
  <si>
    <t>Common job titles include:
- Service co-ordinator
- Administrative services supervisor
- Clerical supervisor
- Data control supervisor
- Desktop publishing supervisor
- Nursing registry supervisor
- Operations supervisor
- Receptionists and hostesses supervisor</t>
    <phoneticPr fontId="117" type="noConversion"/>
  </si>
  <si>
    <t>Graduates of this program are prepared for a variety of supervisory and management trainee positions in a broad range of employment settings, specializing in those areas of interest, experience, and greatest ability. Careers in accounting and finance, marketing, production and operations, human resources, and general administration are available to those graduates who possess the proper combination of business skills, experience, personal ability, and aptitude.</t>
    <phoneticPr fontId="117" type="noConversion"/>
  </si>
  <si>
    <t>Computerized accounting is a growing area. Excellent opportunities exist for skilled people. Graduates can become employed in the accounting department of a large company as an assistant or be in charge of the accounts in a smaller enterprise. Common job title includes accounting assistant, accounting clerk, accounts payable &amp; receivable clerk, and income tax return preparer.</t>
    <phoneticPr fontId="117" type="noConversion"/>
  </si>
  <si>
    <t>Accounting and Payroll Administrators are employed by banks, other financial institutions, insurance companies, and other establishments throughout the private and public sectors. Careers that correspond with the skills learned in this program include payroll supervisor, accounting supervisor, and bookkeeping supervisor</t>
    <phoneticPr fontId="117" type="noConversion"/>
  </si>
  <si>
    <t>Career opportunities are almost unlimited. Efficient and responsible Business Office Skills personnel are an integral and invaluable part of today’s office environment. Common job titles include, office assistant / clerk, general office worker, dministrative clerk.</t>
    <phoneticPr fontId="117" type="noConversion"/>
  </si>
  <si>
    <t>Career opportunities are almost unlimited. The position of Secretary/Receptionist is critical in any business environment. Graduates may move into supervisory roles as their careers develop. Common job titles include office assistant/clerk, general office worker, administrative clerk, municipal office clerk, and typist.</t>
    <phoneticPr fontId="117" type="noConversion"/>
  </si>
  <si>
    <t>At the end of this program student will have the knowledge of today’s most popular wordprocessing software applications, and how to apply them in the business world.</t>
    <phoneticPr fontId="117" type="noConversion"/>
  </si>
  <si>
    <t>At the end of this program student will have:
- A foundation in basic principles of a business, retail, or call center environment, including current computer applications, marketing, and sales.
- Professional skills in high demand from employers, including teamwork, communication, customer service, and problem-solving skills.
- Proficiency in key Microsoft Office applications.</t>
    <phoneticPr fontId="117" type="noConversion"/>
  </si>
  <si>
    <t>- Completion of all computer, business, and CSW courses (and/or AW courses) which comprise the program with a passing grade.
- Keyboarding speed of 25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</si>
  <si>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 Completion of all computer and business courses which comprise the program with a passing grade.
- Keyboarding speed of 25 wpm minimum.
- An interview may be required by host companies prior to placement.</t>
    <phoneticPr fontId="117" type="noConversion"/>
  </si>
  <si>
    <t>Graduates of this program are employed by tourism, trade and professional associations, convention and conference centers, government agencies and conference and event planning companies. Careers that correspond with the skills learned in this program include conference planner, conference services officer, convention coordinator, event planner, special events organizer, and trade show planner.</t>
    <phoneticPr fontId="117" type="noConversion"/>
  </si>
  <si>
    <t>At the end of this program student will learn the software programs that every professional designer needs to know: Adobe Photoshop, Illustrator, and InDesign. Students learn techniques for creating digital images, illustrations, and layouts, and they develop a strong theoretical foundation in color, typography, and composition.</t>
    <phoneticPr fontId="117" type="noConversion"/>
  </si>
  <si>
    <r>
      <t xml:space="preserve">Program Outline Description information (ProgOutline and WorkExp sheet)
</t>
    </r>
    <r>
      <rPr>
        <sz val="10"/>
        <rFont val="Franklin Gothic Book"/>
        <family val="2"/>
      </rPr>
      <t>(These changes affects page 2 of the long contract)
-Update the program title to link to the title in Diploma.xlsx. This will allow the program name to be changed more dynamically.
-For the A+ NETWORK+ AND MCSA DESKTOP CERT. PREP, removed the Windows version (previously mention 7 or 8).
-Change some of the job tiltes from lists to sentances to fit better.
-Updated the Learning Objective for Graphic Designer Diploma.
-Updated the practicum hours and cost for CSW and CSW/AW.
-Removed unused programs.
-impoved wording on career oppotunities instead of just saying "some job title include"</t>
    </r>
    <phoneticPr fontId="117" type="noConversion"/>
  </si>
  <si>
    <t>The student will be evaluated by the Academy of Learning final online exam for each ILS course, in addition of various assignments and quizes for healthcare courses.</t>
    <phoneticPr fontId="117" type="noConversion"/>
  </si>
  <si>
    <t>- Completion of all computer, business, and medical courses which comprise the program with a passing grade.
- Keyboarding speed of 40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</si>
  <si>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 Completion of all computer, business, and medical courses which comprise the program with a passing grade.
- Keyboarding speed of 40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</si>
  <si>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At the end of this program student will have the basic knowledge, skills, and work experience needed to become permanently employable in a medical setting. Skill development is delivered in three areas:
- Comprehensive medical administrative knowledge, including medical terminology, anatomy and physiology, pharmacology, and medical office and clinical administrative procedures
- Full range of computer and office skills, including current software applications, keyboarding skills, bookkeeping, and personal and professional development
- On-site work experience through participation in an approved healthcare facility</t>
    <phoneticPr fontId="117" type="noConversion"/>
  </si>
  <si>
    <t>Obtain an overall average of 75%, and achieve at least a Pass (60%) on all courses in the program outline,  as well as the successful completion of a 113-hour preceptorship.</t>
    <phoneticPr fontId="117" type="noConversion"/>
  </si>
  <si>
    <t>Graduates of this program are employed in healthcare and social assistance, public administration, wholesale trade, finance and insurance, retail, and other services. Careers that correspond with the skills learned in this program are administrative officer, administrative services coordinator, business services officer, implementation officer, office coordinator, planning officer, public trustee.</t>
    <phoneticPr fontId="117" type="noConversion"/>
  </si>
  <si>
    <t>Obtain an overall average of 75%, and achieve at least a Pass (61%) on all courses in the program outline.</t>
  </si>
  <si>
    <t>Not applicable to this program.</t>
    <phoneticPr fontId="117" type="noConversion"/>
  </si>
  <si>
    <t>Not applicable to this program.</t>
    <phoneticPr fontId="117" type="noConversion"/>
  </si>
  <si>
    <t>Michael Henderson</t>
  </si>
  <si>
    <t>Regular</t>
  </si>
  <si>
    <r>
      <t xml:space="preserve">Initially, students should always try to resolve the issue informally and promptly by taking to the other party involved.  If the issue cannot be resolved, the student should schedule a meeting with the </t>
    </r>
    <r>
      <rPr>
        <b/>
        <sz val="11"/>
        <rFont val="Franklin Gothic Book"/>
        <family val="2"/>
      </rPr>
      <t>Executive Director (Alda Messiah)</t>
    </r>
    <r>
      <rPr>
        <sz val="11"/>
        <rFont val="Franklin Gothic Book"/>
        <family val="2"/>
      </rPr>
      <t xml:space="preserve"> to discuss the situation.  The Executive Director will be responsible for making the determination in the respect to the complaint.  If one of the Executive Director’s are absent or named in the complaint, the other Executive Director will then be responsible for making a determination in respect of the complaint. </t>
    </r>
  </si>
  <si>
    <r>
      <t xml:space="preserve">Should the student be unable to resolve the grievance satisfactorily, the grievance should be addressed formally, in writing, to an </t>
    </r>
    <r>
      <rPr>
        <b/>
        <sz val="11"/>
        <rFont val="Franklin Gothic Book"/>
        <family val="2"/>
      </rPr>
      <t>Executive Director (Alda Messiah)</t>
    </r>
    <r>
      <rPr>
        <sz val="11"/>
        <rFont val="Franklin Gothic Book"/>
        <family val="2"/>
      </rPr>
      <t xml:space="preserve">.  Written submission of the grievance should include a detailed and clear description of the grievance and include all relevant information, such as the </t>
    </r>
    <r>
      <rPr>
        <i/>
        <sz val="11"/>
        <rFont val="Franklin Gothic Book"/>
        <family val="2"/>
      </rPr>
      <t>nature of the problem</t>
    </r>
    <r>
      <rPr>
        <sz val="11"/>
        <rFont val="Franklin Gothic Book"/>
        <family val="2"/>
      </rPr>
      <t xml:space="preserve">, </t>
    </r>
    <r>
      <rPr>
        <i/>
        <sz val="11"/>
        <rFont val="Franklin Gothic Book"/>
        <family val="2"/>
      </rPr>
      <t>date of occurrences(s)</t>
    </r>
    <r>
      <rPr>
        <sz val="11"/>
        <rFont val="Franklin Gothic Book"/>
        <family val="2"/>
      </rPr>
      <t xml:space="preserve">, and </t>
    </r>
    <r>
      <rPr>
        <i/>
        <sz val="11"/>
        <rFont val="Franklin Gothic Book"/>
        <family val="2"/>
      </rPr>
      <t>names(s) of parties involved</t>
    </r>
    <r>
      <rPr>
        <sz val="11"/>
        <rFont val="Franklin Gothic Book"/>
        <family val="2"/>
      </rPr>
      <t>.</t>
    </r>
  </si>
  <si>
    <r>
      <t xml:space="preserve">The </t>
    </r>
    <r>
      <rPr>
        <b/>
        <sz val="11"/>
        <rFont val="Franklin Gothic Book"/>
        <family val="2"/>
      </rPr>
      <t>Executive Director (Alda Messiah)</t>
    </r>
    <r>
      <rPr>
        <sz val="11"/>
        <rFont val="Franklin Gothic Book"/>
        <family val="2"/>
      </rPr>
      <t xml:space="preserve"> should then request similar submissions from all other involved parties and should attempt to resolve the grievance within five (5) business days of receipt of all written submissions.  The </t>
    </r>
    <r>
      <rPr>
        <b/>
        <sz val="11"/>
        <rFont val="Franklin Gothic Book"/>
        <family val="2"/>
      </rPr>
      <t>Executive Director</t>
    </r>
    <r>
      <rPr>
        <sz val="11"/>
        <rFont val="Franklin Gothic Book"/>
        <family val="2"/>
      </rPr>
      <t xml:space="preserve"> should orally communicate a decision then follow with a written decision to the student.</t>
    </r>
  </si>
  <si>
    <r>
      <t xml:space="preserve">If the </t>
    </r>
    <r>
      <rPr>
        <b/>
        <sz val="11"/>
        <rFont val="Franklin Gothic Book"/>
        <family val="2"/>
      </rPr>
      <t>Executive Director (Alda Messiah)</t>
    </r>
    <r>
      <rPr>
        <sz val="11"/>
        <rFont val="Franklin Gothic Book"/>
        <family val="2"/>
      </rPr>
      <t xml:space="preserve"> is unable to resolve the grievance, the student then may choose to submit the grievance in writing, and including all relevant information and the </t>
    </r>
    <r>
      <rPr>
        <b/>
        <sz val="11"/>
        <rFont val="Franklin Gothic Book"/>
        <family val="2"/>
      </rPr>
      <t>Executive Director’s</t>
    </r>
    <r>
      <rPr>
        <sz val="11"/>
        <rFont val="Franklin Gothic Book"/>
        <family val="2"/>
      </rPr>
      <t xml:space="preserve"> decision, to the Franchisor at the address below for immediate review:</t>
    </r>
  </si>
  <si>
    <t>TATB01E1</t>
    <phoneticPr fontId="117" type="noConversion"/>
  </si>
  <si>
    <t>Computer and Technology Basics for Developers</t>
    <phoneticPr fontId="117" type="noConversion"/>
  </si>
  <si>
    <t>Overview of Software Development</t>
    <phoneticPr fontId="117" type="noConversion"/>
  </si>
  <si>
    <t>TASD01E1</t>
    <phoneticPr fontId="117" type="noConversion"/>
  </si>
  <si>
    <t>TAVC01E1</t>
    <phoneticPr fontId="117" type="noConversion"/>
  </si>
  <si>
    <t>Version Control</t>
    <phoneticPr fontId="117" type="noConversion"/>
  </si>
  <si>
    <t>TAHT01E1</t>
    <phoneticPr fontId="117" type="noConversion"/>
  </si>
  <si>
    <t>HTML</t>
  </si>
  <si>
    <t>TACS01E1</t>
    <phoneticPr fontId="117" type="noConversion"/>
  </si>
  <si>
    <t>CSS and Bootstrap</t>
    <phoneticPr fontId="117" type="noConversion"/>
  </si>
  <si>
    <t>TAJS01E1</t>
    <phoneticPr fontId="117" type="noConversion"/>
  </si>
  <si>
    <t>JavaScript</t>
    <phoneticPr fontId="117" type="noConversion"/>
  </si>
  <si>
    <t>TASQ01E1</t>
    <phoneticPr fontId="117" type="noConversion"/>
  </si>
  <si>
    <t>Database and SQL</t>
    <phoneticPr fontId="117" type="noConversion"/>
  </si>
  <si>
    <t>TAVS01E1</t>
    <phoneticPr fontId="117" type="noConversion"/>
  </si>
  <si>
    <t>Visual Studio</t>
    <phoneticPr fontId="117" type="noConversion"/>
  </si>
  <si>
    <t>TACN11E1</t>
    <phoneticPr fontId="117" type="noConversion"/>
  </si>
  <si>
    <t>C# and .NET Framework - Part 1</t>
    <phoneticPr fontId="117" type="noConversion"/>
  </si>
  <si>
    <t>TACN21E1</t>
    <phoneticPr fontId="117" type="noConversion"/>
  </si>
  <si>
    <t>C# and .NET Framework - Part 2</t>
    <phoneticPr fontId="117" type="noConversion"/>
  </si>
  <si>
    <t>TAPM01E1</t>
    <phoneticPr fontId="117" type="noConversion"/>
  </si>
  <si>
    <t>Managing Software Development Projects</t>
    <phoneticPr fontId="117" type="noConversion"/>
  </si>
  <si>
    <t>THPEE18</t>
    <phoneticPr fontId="117" type="noConversion"/>
  </si>
  <si>
    <t>Thought Patterns For a Successful Career: Education to Employment &amp; Beyond</t>
    <phoneticPr fontId="117" type="noConversion"/>
  </si>
  <si>
    <t>Graduates of the program may pursue a variety of positions in software development, including web developer, UI/UX developer, front end web developer, software developer, HTML / CSS developer, and Javascript / jQuery developer.</t>
    <phoneticPr fontId="117" type="noConversion"/>
  </si>
  <si>
    <t>At the end of this program student will be able to:
- Design the appearance and layout of websites
 -Develop cross-browser and cross-platform websites
- Create and optimize content for websites using graphics, databases, animations, and other software
- Translate wire frames and storyboards into functional, responsive websites
- Work with MySQL databases and SQL scripting 
- Use the .NET Framework to create robust web applications</t>
    <phoneticPr fontId="117" type="noConversion"/>
  </si>
  <si>
    <t>Graduates of the program may pursue a variety of positions in web development, including web developer, UI/UX developer, front end web developer, HTML / CSS developer, and Javascript / jQuery developer.</t>
    <phoneticPr fontId="117" type="noConversion"/>
  </si>
  <si>
    <t>At the end of this program student will be able to:
- Design the appearance and layout of websites
 -Develop cross-browser and cross-platform websites
- Create and optimize content for websites using graphics, animations, and other software
- Translate wire frames and storyboards into functional, responsive websites</t>
    <phoneticPr fontId="117" type="noConversion"/>
  </si>
  <si>
    <r>
      <rPr>
        <sz val="12"/>
        <color theme="0"/>
        <rFont val="宋体"/>
        <family val="3"/>
        <charset val="134"/>
      </rPr>
      <t>○</t>
    </r>
    <r>
      <rPr>
        <sz val="12"/>
        <color theme="0"/>
        <rFont val="Franklin Gothic Book"/>
        <family val="2"/>
      </rPr>
      <t xml:space="preserve"> You’ll receive your Referral Reward</t>
    </r>
    <phoneticPr fontId="117" type="noConversion"/>
  </si>
  <si>
    <t xml:space="preserve">    twelve weeks after your friend enrols,</t>
    <phoneticPr fontId="117" type="noConversion"/>
  </si>
  <si>
    <t xml:space="preserve">    which ensures a sincere commitment to an </t>
    <phoneticPr fontId="117" type="noConversion"/>
  </si>
  <si>
    <t xml:space="preserve">    an education at Academy of Learning </t>
    <phoneticPr fontId="117" type="noConversion"/>
  </si>
  <si>
    <t>We want to be sure you receive your Referral Reward!</t>
    <phoneticPr fontId="117" type="noConversion"/>
  </si>
  <si>
    <t xml:space="preserve">        Negotiated documents: NOA and NSLCS Account</t>
    <phoneticPr fontId="117" type="noConversion"/>
  </si>
  <si>
    <t>IT PROGRAM DELIVERY ACKNOWLEDGEMENT</t>
    <phoneticPr fontId="117" type="noConversion"/>
  </si>
  <si>
    <t>I, the undersigned, hereby agree and accept that certain courses in my program (diploma or certificate) are referred to as Sessions.edu online courses and that these courses involve Academy Online Instructors and Sessions.edu Instructors. I am aware that my course content related questions will be addressed/responded to within one business day (24 business hours) from the time that I submit such questions to the Academy Online Instructor using ACME Mail. I also understand that my Academy Online Instructor will not review my course assignments prior to being submitted to the Sessions.edu Instructor for evaluation. I understand that the Sessions.edu Instructor is solely responsible for marking/grading of required course assignments submitted online within three business days (72 business hours) and is not responsible for addressing any course content related questions. I understand that the Academy of Learning Career College Learning Coach(es) will provide assistance/support for ACME/computer related issues or basic questions related to my courses but are not responsible to address any Sessions.edu course content related questions.</t>
    <phoneticPr fontId="117" type="noConversion"/>
  </si>
  <si>
    <t>8.6f</t>
    <phoneticPr fontId="117" type="noConversion"/>
  </si>
  <si>
    <r>
      <t xml:space="preserve">New Program:
</t>
    </r>
    <r>
      <rPr>
        <sz val="10"/>
        <rFont val="Franklin Gothic Book"/>
        <family val="2"/>
      </rPr>
      <t xml:space="preserve">-Two new program </t>
    </r>
    <r>
      <rPr>
        <u/>
        <sz val="10"/>
        <rFont val="Franklin Gothic Book"/>
        <family val="2"/>
      </rPr>
      <t>Software and Web Developer Diploma</t>
    </r>
    <r>
      <rPr>
        <sz val="10"/>
        <rFont val="Franklin Gothic Book"/>
        <family val="2"/>
      </rPr>
      <t xml:space="preserve"> and </t>
    </r>
    <r>
      <rPr>
        <u/>
        <sz val="10"/>
        <rFont val="Franklin Gothic Book"/>
        <family val="2"/>
      </rPr>
      <t>Web Developer Diploma</t>
    </r>
    <r>
      <rPr>
        <sz val="10"/>
        <rFont val="Franklin Gothic Book"/>
        <family val="2"/>
      </rPr>
      <t xml:space="preserve"> added. With their addition, the following are updated:
 -</t>
    </r>
    <r>
      <rPr>
        <u/>
        <sz val="10"/>
        <rFont val="Franklin Gothic Book"/>
        <family val="2"/>
      </rPr>
      <t xml:space="preserve">Course Table
</t>
    </r>
    <r>
      <rPr>
        <sz val="10"/>
        <rFont val="Franklin Gothic Book"/>
        <family val="2"/>
      </rPr>
      <t xml:space="preserve">  -The following courses are added:
    TACN11E1 C# and .NET Framework - Part 1
    TACN21E1 C# and .NET Framework - Part 2
    TACS01E1 CSS and Bootstrap
    TAHT01E1 HTML
    TAJS01E1 JavaScript
    TAPM01E1 Managing Software Development Projects
    TASD01E1 Overview of Software Development
    TASQ01E1 Database and SQL
    TATB01E1 Computer and Technology Basics for Developers
    TAVC01E1 Version Control
    TAVS01E1 Visual Studio
    THPEE18 Thought Patterns For a Successful Career: Education to Employment &amp; Beyond
  -sequence numbers adjusted in order to match the new programs order (shouldn't affect other programs)
 -</t>
    </r>
    <r>
      <rPr>
        <u/>
        <sz val="10"/>
        <rFont val="Franklin Gothic Book"/>
        <family val="2"/>
      </rPr>
      <t>Outline Info</t>
    </r>
    <r>
      <rPr>
        <sz val="10"/>
        <rFont val="Franklin Gothic Book"/>
        <family val="2"/>
      </rPr>
      <t>: program info entered
-new macro created and assigned
-</t>
    </r>
    <r>
      <rPr>
        <u/>
        <sz val="10"/>
        <rFont val="Franklin Gothic Book"/>
        <family val="2"/>
      </rPr>
      <t>WebDesign Acknowledfement</t>
    </r>
    <r>
      <rPr>
        <sz val="10"/>
        <rFont val="Franklin Gothic Book"/>
        <family val="2"/>
      </rPr>
      <t xml:space="preserve"> renamed to </t>
    </r>
    <r>
      <rPr>
        <u/>
        <sz val="10"/>
        <rFont val="Franklin Gothic Book"/>
        <family val="2"/>
      </rPr>
      <t>IT Acknowledgement</t>
    </r>
    <r>
      <rPr>
        <sz val="10"/>
        <rFont val="Franklin Gothic Book"/>
        <family val="2"/>
      </rPr>
      <t xml:space="preserve">. Form content adjusted so it can be used for other programs as well.
</t>
    </r>
    <r>
      <rPr>
        <b/>
        <sz val="10"/>
        <rFont val="Franklin Gothic Book"/>
        <family val="2"/>
      </rPr>
      <t/>
    </r>
    <phoneticPr fontId="117" type="noConversion"/>
  </si>
  <si>
    <r>
      <rPr>
        <b/>
        <sz val="10"/>
        <rFont val="Franklin Gothic Book"/>
        <family val="2"/>
      </rPr>
      <t>Welcome Package Update</t>
    </r>
    <r>
      <rPr>
        <sz val="10"/>
        <rFont val="Franklin Gothic Book"/>
        <family val="2"/>
      </rPr>
      <t xml:space="preserve">
-</t>
    </r>
    <r>
      <rPr>
        <u/>
        <sz val="10"/>
        <rFont val="Franklin Gothic Book"/>
        <family val="2"/>
      </rPr>
      <t>Orientation</t>
    </r>
    <r>
      <rPr>
        <sz val="10"/>
        <rFont val="Franklin Gothic Book"/>
        <family val="2"/>
      </rPr>
      <t>: updated with COVID prevention
-</t>
    </r>
    <r>
      <rPr>
        <u/>
        <sz val="10"/>
        <rFont val="Franklin Gothic Book"/>
        <family val="2"/>
      </rPr>
      <t>Dispute Policy</t>
    </r>
    <r>
      <rPr>
        <sz val="10"/>
        <rFont val="Franklin Gothic Book"/>
        <family val="2"/>
      </rPr>
      <t>: added initial lines
-</t>
    </r>
    <r>
      <rPr>
        <u/>
        <sz val="10"/>
        <rFont val="Franklin Gothic Book"/>
        <family val="2"/>
      </rPr>
      <t>SL Budget Sheet</t>
    </r>
    <r>
      <rPr>
        <sz val="10"/>
        <rFont val="Franklin Gothic Book"/>
        <family val="2"/>
      </rPr>
      <t>: reflect change of $460 for without dependants and $650 for with dependants
-</t>
    </r>
    <r>
      <rPr>
        <u/>
        <sz val="10"/>
        <rFont val="Franklin Gothic Book"/>
        <family val="2"/>
      </rPr>
      <t>WC-Checklist</t>
    </r>
    <r>
      <rPr>
        <sz val="10"/>
        <rFont val="Franklin Gothic Book"/>
        <family val="2"/>
      </rPr>
      <t>: changed Student Loan #17 item to National Student Loans Service Centre: https://www.csnpe-nslsc.canada.ca/en/home
-</t>
    </r>
    <r>
      <rPr>
        <u/>
        <sz val="10"/>
        <rFont val="Franklin Gothic Book"/>
        <family val="2"/>
      </rPr>
      <t>Referral</t>
    </r>
    <r>
      <rPr>
        <sz val="10"/>
        <rFont val="Franklin Gothic Book"/>
        <family val="2"/>
      </rPr>
      <t>: changed payout period from 6 weeks to 12 weeks; deleted the $200 amount
-</t>
    </r>
    <r>
      <rPr>
        <u/>
        <sz val="10"/>
        <rFont val="Franklin Gothic Book"/>
        <family val="2"/>
      </rPr>
      <t>File Checklist</t>
    </r>
    <r>
      <rPr>
        <sz val="10"/>
        <rFont val="Franklin Gothic Book"/>
        <family val="2"/>
      </rPr>
      <t>: 
 - In the Payment Records section, removed actions regards to student loans: Loan documents taken to Post Office; Canada Student Loan Certificate of Eligibility; YES/NO
 - In the Loan Documents section: replaced “CSL and StudentAid” with “NOA and NSLCS Account” for Negotiated documents
-</t>
    </r>
    <r>
      <rPr>
        <u/>
        <sz val="10"/>
        <rFont val="Franklin Gothic Book"/>
        <family val="2"/>
      </rPr>
      <t>IT Acknowledgement</t>
    </r>
    <r>
      <rPr>
        <sz val="10"/>
        <rFont val="Franklin Gothic Book"/>
        <family val="2"/>
      </rPr>
      <t xml:space="preserve">: as mentioned above
</t>
    </r>
    <r>
      <rPr>
        <b/>
        <sz val="10"/>
        <rFont val="Franklin Gothic Book"/>
        <family val="2"/>
      </rPr>
      <t xml:space="preserve">Housekeeping
</t>
    </r>
    <r>
      <rPr>
        <sz val="10"/>
        <rFont val="Franklin Gothic Book"/>
        <family val="2"/>
      </rPr>
      <t>-optmized VB codes, excess codes were deleted, sorted modules by their shortcuts, added comments on every module ti display date modified, program name, and shortcuts.</t>
    </r>
    <phoneticPr fontId="117" type="noConversion"/>
  </si>
  <si>
    <t>Gender</t>
    <phoneticPr fontId="117" type="noConversion"/>
  </si>
  <si>
    <t>Non-Binary</t>
    <phoneticPr fontId="117" type="noConversion"/>
  </si>
  <si>
    <t>Female</t>
    <phoneticPr fontId="117" type="noConversion"/>
  </si>
  <si>
    <t>I consent to the Institution sharing my personal information with the Ministry of Advanced Education, Skills and Training for research purposes and statistical analysis under the authority of sections 6(2)(a) and 10(1)(a) of the Personal Information Protection Act (PIPA).
I hereby consent to the sharing, in accordance with applicable Provincial privacy legislation, of my enrolment and reporting information between Academy of Learning Career College and Immigration, Refugees and Citizenship Canada, as necessary, for the purposes of the International Student Program.
Should you have any questions about the collection, disclosure and use of personal information you may contact: Director, Regulation, Private Training Institutions Branch, Governance, Legislation and Strategic Policy Division, Ministry of Advanced Education, Skills and Training, 
203 - 1155 W. Pender St, Vancouver, BC V6E 2P4 or by telephone at (604 569-0019).</t>
    <phoneticPr fontId="117" type="noConversion"/>
  </si>
  <si>
    <t>Student Statement of Rights</t>
    <phoneticPr fontId="117" type="noConversion"/>
  </si>
  <si>
    <t>Sexual Harassment Policy</t>
    <phoneticPr fontId="117" type="noConversion"/>
  </si>
  <si>
    <t>This institution is certified by the Private Training Institutions Branch (PTIB) of the Ministry of Advanced Education and Skills Training. Certified institutions must comply with regulatory requirements relating to, among other things, student enrolment contracts, tuition refunds and instructor qualifications. For more information about PTIB, go to</t>
    <phoneticPr fontId="117" type="noConversion"/>
  </si>
  <si>
    <t>BC 2021-09-01</t>
    <phoneticPr fontId="117" type="noConversion"/>
  </si>
  <si>
    <t>Person Responsible for the Policy</t>
    <phoneticPr fontId="117" type="noConversion"/>
  </si>
  <si>
    <t>Executive Director Alda Messiah - alda@aolccbc.com</t>
    <phoneticPr fontId="117" type="noConversion"/>
  </si>
  <si>
    <t>The Franchisor will investigate the student’s grievance within ten (10) business days. If required, arrangements  further communication, i.e. conference calls or face-to-face meetings, will be made with the campus. All aspects of the dispute resolution will be completed within 30 days from the start of the student making a written complaint to completing the entire process including appeal/arbitration. A final written decision will be issued to the student, and the Executive Director will be notified of the outcome.</t>
    <phoneticPr fontId="117" type="noConversion"/>
  </si>
  <si>
    <t>If a mutually satisfying resolution cannot be reached, the student may file a claim with the Private Training Institutions Branch of the Ministry of Advanced Education on the basis that the institution misled the student regarding any significant aspect of an approved program within 30 days of making the complaint.
(http://www.privatetraininginstitutions.gov.bc.ca/)</t>
  </si>
  <si>
    <r>
      <rPr>
        <sz val="12"/>
        <rFont val="宋体"/>
        <family val="3"/>
        <charset val="134"/>
      </rPr>
      <t>□</t>
    </r>
    <r>
      <rPr>
        <sz val="12"/>
        <rFont val="Franklin Gothic Book"/>
        <family val="2"/>
      </rPr>
      <t xml:space="preserve"> Attendance log-in</t>
    </r>
    <phoneticPr fontId="117" type="noConversion"/>
  </si>
  <si>
    <r>
      <rPr>
        <b/>
        <sz val="12"/>
        <rFont val="宋体"/>
        <family val="3"/>
        <charset val="134"/>
      </rPr>
      <t>□</t>
    </r>
    <r>
      <rPr>
        <b/>
        <sz val="12"/>
        <rFont val="Franklin Gothic Book"/>
        <family val="2"/>
      </rPr>
      <t xml:space="preserve"> Welcome / Introduce yourself / Business Cards</t>
    </r>
    <phoneticPr fontId="117" type="noConversion"/>
  </si>
  <si>
    <r>
      <rPr>
        <sz val="12"/>
        <rFont val="宋体"/>
        <family val="3"/>
        <charset val="134"/>
      </rPr>
      <t>□</t>
    </r>
    <r>
      <rPr>
        <sz val="12"/>
        <rFont val="Franklin Gothic Book"/>
        <family val="2"/>
      </rPr>
      <t xml:space="preserve"> Logging onto the desktop</t>
    </r>
    <phoneticPr fontId="117" type="noConversion"/>
  </si>
  <si>
    <r>
      <rPr>
        <sz val="12"/>
        <rFont val="宋体"/>
        <family val="3"/>
        <charset val="134"/>
      </rPr>
      <t>□</t>
    </r>
    <r>
      <rPr>
        <sz val="12"/>
        <rFont val="Franklin Gothic Book"/>
        <family val="2"/>
      </rPr>
      <t xml:space="preserve"> Disease Prevention Procedures</t>
    </r>
    <phoneticPr fontId="117" type="noConversion"/>
  </si>
  <si>
    <r>
      <t xml:space="preserve">   </t>
    </r>
    <r>
      <rPr>
        <sz val="12"/>
        <rFont val="宋体"/>
        <family val="3"/>
        <charset val="134"/>
      </rPr>
      <t>□</t>
    </r>
    <r>
      <rPr>
        <sz val="12"/>
        <rFont val="Franklin Gothic Book"/>
        <family val="2"/>
      </rPr>
      <t xml:space="preserve"> Masks - Mandatory</t>
    </r>
  </si>
  <si>
    <r>
      <t xml:space="preserve">   </t>
    </r>
    <r>
      <rPr>
        <sz val="12"/>
        <rFont val="宋体"/>
        <family val="3"/>
        <charset val="134"/>
      </rPr>
      <t>□</t>
    </r>
    <r>
      <rPr>
        <sz val="12"/>
        <rFont val="Franklin Gothic Book"/>
        <family val="2"/>
      </rPr>
      <t xml:space="preserve"> Hand Washing</t>
    </r>
    <phoneticPr fontId="117" type="noConversion"/>
  </si>
  <si>
    <r>
      <t xml:space="preserve">   </t>
    </r>
    <r>
      <rPr>
        <sz val="12"/>
        <rFont val="宋体"/>
        <family val="3"/>
        <charset val="134"/>
      </rPr>
      <t>□</t>
    </r>
    <r>
      <rPr>
        <sz val="12"/>
        <rFont val="Franklin Gothic Book"/>
        <family val="2"/>
      </rPr>
      <t xml:space="preserve"> Wipe Down Stations</t>
    </r>
    <phoneticPr fontId="117" type="noConversion"/>
  </si>
  <si>
    <r>
      <t xml:space="preserve">   </t>
    </r>
    <r>
      <rPr>
        <sz val="12"/>
        <rFont val="宋体"/>
        <family val="3"/>
        <charset val="134"/>
      </rPr>
      <t>□</t>
    </r>
    <r>
      <rPr>
        <sz val="12"/>
        <rFont val="Franklin Gothic Book"/>
        <family val="2"/>
      </rPr>
      <t xml:space="preserve"> Illness</t>
    </r>
    <phoneticPr fontId="117" type="noConversion"/>
  </si>
  <si>
    <r>
      <rPr>
        <sz val="12"/>
        <rFont val="宋体"/>
        <family val="3"/>
        <charset val="134"/>
      </rPr>
      <t>□</t>
    </r>
    <r>
      <rPr>
        <sz val="12"/>
        <rFont val="Franklin Gothic Book"/>
        <family val="2"/>
      </rPr>
      <t xml:space="preserve"> Washrooms</t>
    </r>
    <phoneticPr fontId="117" type="noConversion"/>
  </si>
  <si>
    <r>
      <rPr>
        <sz val="12"/>
        <rFont val="宋体"/>
        <family val="3"/>
        <charset val="134"/>
      </rPr>
      <t>□</t>
    </r>
    <r>
      <rPr>
        <sz val="12"/>
        <rFont val="Franklin Gothic Book"/>
        <family val="2"/>
      </rPr>
      <t xml:space="preserve"> Learning Coach Desk</t>
    </r>
    <phoneticPr fontId="117" type="noConversion"/>
  </si>
  <si>
    <r>
      <rPr>
        <sz val="12"/>
        <rFont val="宋体"/>
        <family val="3"/>
        <charset val="134"/>
      </rPr>
      <t>□</t>
    </r>
    <r>
      <rPr>
        <sz val="12"/>
        <rFont val="Franklin Gothic Book"/>
        <family val="2"/>
      </rPr>
      <t xml:space="preserve"> Cell phone use</t>
    </r>
    <phoneticPr fontId="117" type="noConversion"/>
  </si>
  <si>
    <r>
      <rPr>
        <sz val="12"/>
        <rFont val="宋体"/>
        <family val="3"/>
        <charset val="134"/>
      </rPr>
      <t>□</t>
    </r>
    <r>
      <rPr>
        <sz val="12"/>
        <rFont val="Franklin Gothic Book"/>
        <family val="2"/>
      </rPr>
      <t xml:space="preserve"> Breaks - Lunch Room Closed</t>
    </r>
    <phoneticPr fontId="117" type="noConversion"/>
  </si>
  <si>
    <r>
      <rPr>
        <sz val="12"/>
        <rFont val="宋体"/>
        <family val="3"/>
        <charset val="134"/>
      </rPr>
      <t>□</t>
    </r>
    <r>
      <rPr>
        <sz val="12"/>
        <rFont val="Franklin Gothic Book"/>
        <family val="2"/>
      </rPr>
      <t xml:space="preserve"> Perfumes, Colognes, &amp; Smoking</t>
    </r>
    <phoneticPr fontId="117" type="noConversion"/>
  </si>
  <si>
    <r>
      <rPr>
        <sz val="12"/>
        <rFont val="宋体"/>
        <family val="3"/>
        <charset val="134"/>
      </rPr>
      <t>□</t>
    </r>
    <r>
      <rPr>
        <sz val="12"/>
        <rFont val="Franklin Gothic Book"/>
        <family val="2"/>
      </rPr>
      <t xml:space="preserve"> Student Record</t>
    </r>
    <phoneticPr fontId="117" type="noConversion"/>
  </si>
  <si>
    <r>
      <rPr>
        <sz val="12"/>
        <rFont val="宋体"/>
        <family val="3"/>
        <charset val="134"/>
      </rPr>
      <t>□</t>
    </r>
    <r>
      <rPr>
        <sz val="12"/>
        <rFont val="Franklin Gothic Book"/>
        <family val="3"/>
        <charset val="134"/>
      </rPr>
      <t xml:space="preserve"> Daily Progress (min one lesson/day)</t>
    </r>
    <phoneticPr fontId="117" type="noConversion"/>
  </si>
  <si>
    <r>
      <rPr>
        <sz val="12"/>
        <rFont val="宋体"/>
        <family val="3"/>
        <charset val="134"/>
      </rPr>
      <t>□</t>
    </r>
    <r>
      <rPr>
        <sz val="12"/>
        <rFont val="Franklin Gothic Book"/>
        <family val="3"/>
        <charset val="134"/>
      </rPr>
      <t xml:space="preserve"> Exams/Exam Dates/Exam Marks</t>
    </r>
    <phoneticPr fontId="117" type="noConversion"/>
  </si>
  <si>
    <r>
      <rPr>
        <sz val="12"/>
        <rFont val="宋体"/>
        <family val="3"/>
        <charset val="134"/>
      </rPr>
      <t>□</t>
    </r>
    <r>
      <rPr>
        <sz val="12"/>
        <rFont val="Franklin Gothic Book"/>
        <family val="2"/>
      </rPr>
      <t xml:space="preserve"> Remote Learning</t>
    </r>
    <phoneticPr fontId="117" type="noConversion"/>
  </si>
  <si>
    <r>
      <rPr>
        <sz val="12"/>
        <rFont val="宋体"/>
        <family val="3"/>
        <charset val="134"/>
      </rPr>
      <t>□</t>
    </r>
    <r>
      <rPr>
        <sz val="12"/>
        <rFont val="Franklin Gothic Book"/>
        <family val="2"/>
      </rPr>
      <t xml:space="preserve"> Student Data Folder</t>
    </r>
    <phoneticPr fontId="117" type="noConversion"/>
  </si>
  <si>
    <r>
      <rPr>
        <sz val="12"/>
        <rFont val="宋体"/>
        <family val="3"/>
        <charset val="134"/>
      </rPr>
      <t>□</t>
    </r>
    <r>
      <rPr>
        <sz val="12"/>
        <rFont val="Franklin Gothic Book"/>
        <family val="2"/>
      </rPr>
      <t xml:space="preserve"> MyAOLCC</t>
    </r>
    <phoneticPr fontId="117" type="noConversion"/>
  </si>
  <si>
    <r>
      <rPr>
        <sz val="12"/>
        <rFont val="宋体"/>
        <family val="3"/>
        <charset val="134"/>
      </rPr>
      <t>□</t>
    </r>
    <r>
      <rPr>
        <sz val="12"/>
        <rFont val="Franklin Gothic Book"/>
        <family val="2"/>
      </rPr>
      <t xml:space="preserve"> Typing Trainer (If Applicable)</t>
    </r>
    <phoneticPr fontId="117" type="noConversion"/>
  </si>
  <si>
    <r>
      <rPr>
        <sz val="12"/>
        <rFont val="宋体"/>
        <family val="3"/>
        <charset val="134"/>
      </rPr>
      <t>□</t>
    </r>
    <r>
      <rPr>
        <sz val="12"/>
        <rFont val="Franklin Gothic Book"/>
        <family val="2"/>
      </rPr>
      <t xml:space="preserve"> Encourage the asking of questions</t>
    </r>
    <phoneticPr fontId="117" type="noConversion"/>
  </si>
  <si>
    <r>
      <rPr>
        <sz val="12"/>
        <rFont val="宋体"/>
        <family val="3"/>
        <charset val="134"/>
      </rPr>
      <t>□</t>
    </r>
    <r>
      <rPr>
        <sz val="12"/>
        <rFont val="Franklin Gothic Book"/>
        <family val="2"/>
      </rPr>
      <t xml:space="preserve"> Allocation of computers</t>
    </r>
    <phoneticPr fontId="117" type="noConversion"/>
  </si>
  <si>
    <r>
      <rPr>
        <sz val="14"/>
        <rFont val="宋体"/>
        <family val="3"/>
        <charset val="134"/>
      </rPr>
      <t>□</t>
    </r>
    <r>
      <rPr>
        <sz val="14"/>
        <rFont val="Franklin Gothic Book"/>
        <family val="2"/>
      </rPr>
      <t xml:space="preserve"> Good luck</t>
    </r>
    <phoneticPr fontId="117" type="noConversion"/>
  </si>
  <si>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Criminal Record Check Form &amp; Acknowledgement
13. T.B. Test
14. Student Schedule form
15. Official name on Certificate/Diploma:______________________________________
16. Referral Sheet
17. Consent of Release (optional)
18. Budget Sheet Acknowledgement
19. National Student Loans Service Centre: 
       https://www.csnpe-nslsc.canada.ca/en/home
20. Dispute and Resolution Policy
21. Student Statement of Rights
22. Sexual Misconduct Policy
23. MYAOLCC Platform Usage Policy &amp; Acknowledgement </t>
  </si>
  <si>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t>
    <phoneticPr fontId="117" type="noConversion"/>
  </si>
  <si>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
21. Web Designer Program Delivery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</si>
  <si>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Student Schedule form
10. Official name on Certificate/Diploma:______________________________________
11. Referral Sheet
12. Consent of Release  (optional)
13. Dispute and Resolution Policy
14. Student Statement of Rights
15. Sexual Misconduct Policy</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</si>
  <si>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10. T.B. Test
11. Student Schedule form
12. Official name on Certificate/Diploma:______________________________________
13. Referral Sheet
14. Consent of Release  (optional)
15. Dispute and Resolution Policy
16. Student Statement of Rights
17. Sexual Misconduct Policy
18. MYAOLCC Platform Usage Policy &amp;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</si>
  <si>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10. Hepatitis B immunization
11. Student Schedule form
12. Official name on Certificate/Diploma:______________________________________
13. Referral Sheet
14. Consent of Release  (optional)
15. Dispute and Resolution Policy
16. Student Statement of Rights
17. Sexual Misconduct Policy
18. MYAOLCC Platform Usage Policy &amp;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</si>
  <si>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Student Schedule form
10. Official name on Certificate/Diploma:______________________________________
11. Referral Sheet
12. Consent of Release  (optional)
13. Dispute and Resolution Policy
14. Student Statement of Rights
15. Sexual Misconduct Policy
16. Web Designer Program Delivery Acknowledgement</t>
    <phoneticPr fontId="117" type="noConversion"/>
  </si>
  <si>
    <r>
      <t xml:space="preserve">
Academy of Learning® Career College is certified with the Private Training Institutions Branch (PTIB) of the British Columbia Ministry of Advanced Education and Skills Training. 
Before you enrol at a certified private training institution, you should be aware of your rights and responsibilities. 
You have the right to be treated </t>
    </r>
    <r>
      <rPr>
        <b/>
        <sz val="12"/>
        <rFont val="Franklin Gothic Book"/>
        <family val="2"/>
      </rPr>
      <t>fairly</t>
    </r>
    <r>
      <rPr>
        <sz val="12"/>
        <rFont val="Franklin Gothic Book"/>
        <family val="2"/>
      </rPr>
      <t xml:space="preserve"> and </t>
    </r>
    <r>
      <rPr>
        <b/>
        <sz val="12"/>
        <rFont val="Franklin Gothic Book"/>
        <family val="2"/>
      </rPr>
      <t>respectfully</t>
    </r>
    <r>
      <rPr>
        <sz val="12"/>
        <rFont val="Franklin Gothic Book"/>
        <family val="2"/>
      </rPr>
      <t xml:space="preserve"> by the institution. 
You have the right to a </t>
    </r>
    <r>
      <rPr>
        <b/>
        <sz val="12"/>
        <rFont val="Franklin Gothic Book"/>
        <family val="2"/>
      </rPr>
      <t>student enrolment contract</t>
    </r>
    <r>
      <rPr>
        <sz val="12"/>
        <rFont val="Franklin Gothic Book"/>
        <family val="2"/>
      </rPr>
      <t xml:space="preserve"> that includes the following information:
 </t>
    </r>
    <r>
      <rPr>
        <sz val="12"/>
        <rFont val="宋体"/>
        <family val="3"/>
        <charset val="134"/>
      </rPr>
      <t>■</t>
    </r>
    <r>
      <rPr>
        <sz val="10"/>
        <rFont val="Times New Roman"/>
      </rPr>
      <t xml:space="preserve"> </t>
    </r>
    <r>
      <rPr>
        <sz val="12"/>
        <rFont val="Franklin Gothic Book"/>
        <family val="2"/>
      </rPr>
      <t xml:space="preserve">amount of tuition and any additional fee for your program 
 </t>
    </r>
    <r>
      <rPr>
        <sz val="12"/>
        <rFont val="宋体"/>
        <family val="3"/>
        <charset val="134"/>
      </rPr>
      <t>■</t>
    </r>
    <r>
      <rPr>
        <sz val="12"/>
        <rFont val="Franklin Gothic Book"/>
        <family val="2"/>
      </rPr>
      <t xml:space="preserve"> refund policy
 </t>
    </r>
    <r>
      <rPr>
        <sz val="12"/>
        <rFont val="宋体"/>
        <family val="3"/>
        <charset val="134"/>
      </rPr>
      <t>■</t>
    </r>
    <r>
      <rPr>
        <sz val="12"/>
        <rFont val="Franklin Gothic Book"/>
        <family val="2"/>
      </rPr>
      <t xml:space="preserve"> if your program includes a work experience, the requirements to participate in the work
          experience and the geographic area where it will be provided 
 </t>
    </r>
    <r>
      <rPr>
        <sz val="12"/>
        <rFont val="宋体"/>
        <family val="3"/>
        <charset val="134"/>
      </rPr>
      <t>■</t>
    </r>
    <r>
      <rPr>
        <sz val="12"/>
        <rFont val="Franklin Gothic Book"/>
        <family val="2"/>
      </rPr>
      <t xml:space="preserve"> whether the program was approved by PTIB or does not require approval.
Make sure you read the contract before signing.  The institution must provide you with a signed copy.  
You have the right to access the institution’s </t>
    </r>
    <r>
      <rPr>
        <b/>
        <sz val="12"/>
        <rFont val="Franklin Gothic Book"/>
        <family val="2"/>
      </rPr>
      <t>dispute resolution process</t>
    </r>
    <r>
      <rPr>
        <sz val="12"/>
        <rFont val="Franklin Gothic Book"/>
        <family val="2"/>
      </rPr>
      <t xml:space="preserve"> and to be </t>
    </r>
    <r>
      <rPr>
        <b/>
        <sz val="12"/>
        <rFont val="Franklin Gothic Book"/>
        <family val="2"/>
      </rPr>
      <t>protected against retaliation</t>
    </r>
    <r>
      <rPr>
        <sz val="12"/>
        <rFont val="Franklin Gothic Book"/>
        <family val="2"/>
      </rPr>
      <t xml:space="preserve"> for making a complaint. 
You have the right to make a </t>
    </r>
    <r>
      <rPr>
        <b/>
        <sz val="12"/>
        <rFont val="Franklin Gothic Book"/>
        <family val="2"/>
      </rPr>
      <t>claim</t>
    </r>
    <r>
      <rPr>
        <sz val="12"/>
        <rFont val="Franklin Gothic Book"/>
        <family val="2"/>
      </rPr>
      <t xml:space="preserve"> to PTIB for a </t>
    </r>
    <r>
      <rPr>
        <b/>
        <sz val="12"/>
        <rFont val="Franklin Gothic Book"/>
        <family val="2"/>
      </rPr>
      <t>tuition refund</t>
    </r>
    <r>
      <rPr>
        <sz val="12"/>
        <rFont val="Franklin Gothic Book"/>
        <family val="2"/>
      </rPr>
      <t xml:space="preserve"> if:
 </t>
    </r>
    <r>
      <rPr>
        <sz val="12"/>
        <rFont val="宋体"/>
        <family val="3"/>
        <charset val="134"/>
      </rPr>
      <t>■</t>
    </r>
    <r>
      <rPr>
        <sz val="12"/>
        <rFont val="Franklin Gothic Book"/>
        <family val="2"/>
      </rPr>
      <t xml:space="preserve"> your institution ceased to hold a certificate before you completed an approved program
 </t>
    </r>
    <r>
      <rPr>
        <sz val="12"/>
        <rFont val="宋体"/>
        <family val="3"/>
        <charset val="134"/>
      </rPr>
      <t>■</t>
    </r>
    <r>
      <rPr>
        <sz val="12"/>
        <rFont val="Franklin Gothic Book"/>
        <family val="2"/>
      </rPr>
      <t xml:space="preserve"> you were misled about a significant aspect of your approved program.
You must file the claim within </t>
    </r>
    <r>
      <rPr>
        <b/>
        <sz val="12"/>
        <rFont val="Franklin Gothic Book"/>
        <family val="2"/>
      </rPr>
      <t>one year</t>
    </r>
    <r>
      <rPr>
        <sz val="12"/>
        <rFont val="Franklin Gothic Book"/>
        <family val="2"/>
      </rPr>
      <t xml:space="preserve"> of completing, being dismissed or withdrawing from your program. 
For more information about PTIB and how to be an informed student, go to: </t>
    </r>
    <r>
      <rPr>
        <u/>
        <sz val="12"/>
        <color rgb="FF0070C0"/>
        <rFont val="Franklin Gothic Book"/>
        <family val="2"/>
      </rPr>
      <t>http://www.privatetraininginstitutions.gov.bc.ca/students/be-an-informed-student</t>
    </r>
    <r>
      <rPr>
        <sz val="12"/>
        <rFont val="Franklin Gothic Book"/>
        <family val="2"/>
      </rPr>
      <t xml:space="preserve">
</t>
    </r>
    <phoneticPr fontId="117" type="noConversion"/>
  </si>
  <si>
    <t>Preventing and Responding to Sexual Violence and Misconduct Policy</t>
    <phoneticPr fontId="117" type="noConversion"/>
  </si>
  <si>
    <t>Purpose Statement</t>
    <phoneticPr fontId="117" type="noConversion"/>
  </si>
  <si>
    <t>Academy of Learning® Career College wishes to confirm its responsibility to provide a safe and secure learning environment. At Academy of Learning® Career College, we firmly believe that there should be a safe environment for all the students, which is free from any kind of sexual misconduct as the college has zero tolerance towards this kind of misconduct.
Through this policy the institutions strive to prevent sexual misconduct and create a procedure to respond effectively and in a timely manner when incidents occur.
In 2016 the Government of BC introduced the Sexual Violence and Misconduct Policy Act S.B.C. c.23 (the Act). The Act requires BC post-secondary institutions to establish, implement, and make publicly available a policy, with associated procedures, that addresses sexual misconduct, its prevention, and responses to sexual misconduct. This Policy has been designed in compliance with the Act.</t>
    <phoneticPr fontId="117" type="noConversion"/>
  </si>
  <si>
    <t>Scope and Application</t>
    <phoneticPr fontId="117" type="noConversion"/>
  </si>
  <si>
    <t>The policy applies to students, faculty and staff members working at Academy of Learning® Career College as well as extends to the visitors, volunteers, and contractors at the campus, who may be found involved in any act of violating the respectful environment of the college by indulging in any sexual violence or misconduct.
Sexual misconduct is defined as any form of undesired activity of a sexual nature which intends to violate the sexual integrity of the individual to whom it is directed. Sexual assault is characterized by a broad range of behaviors that involve the use of coercion, threats or control towards a person which makes the person feel uncomfortable, distressed, frightened.
Sexual misconduct may involve:
     • Sexual Assault
     • Sexual Exploitation
     • Sexual Harassment
     • Stalking
     • Incident Exposure
     • Voyeurism
     • Distribution of a sexually explicit photograph or video of a person, without the consent 
         of the person in the photo or video.
     • Attempt to commit an act of sexual misconduct
     • Threat to commit an act of sexual misconduct.</t>
    <phoneticPr fontId="117" type="noConversion"/>
  </si>
  <si>
    <t>pg.1</t>
    <phoneticPr fontId="117" type="noConversion"/>
  </si>
  <si>
    <t>pg.2</t>
    <phoneticPr fontId="117" type="noConversion"/>
  </si>
  <si>
    <t>Reporting/Disclosure Procedure</t>
    <phoneticPr fontId="117" type="noConversion"/>
  </si>
  <si>
    <r>
      <t>The person who wishes to disclose sexual misconduct or make a formal report against it may do so as per the following process:
 1. The person (victim) may choose to disclose the sexual misconduct to the Executive 
     Director/SEA of Academy of Learning® Career College, without making a formal report. In 
     this case a formal process may not be initiated, but the management will deal with the 
     disclosure seriously and may take steps to avoid the repetition of the incident.
 2. To initiate a formal process, the victim or a member of the college community, on behalf of 
     the victim, needs to submit a report in writing to the Executive Director/ Senior Educational 
     Administrator of Academy of Learning® Career College, stating as clearly as possible the 
     details of the incident, including the details of the people involved in the misconduct, along 
     with a request for an action. The report must clearly state the allegations against the alleged 
     person involved in the sexual misconduct. 1.The Executive Director/SEA will, within 24 hours 
     of receiving the complaint, initiate an investigation to the complaint and may ask for more 
     information from the complainant.
 3. Depending on the severity of complain, the SEA may seek legal advice or may ask the 
     complainant to follow a legal process besides the complaint filed at the Academy of 
     Learning</t>
    </r>
    <r>
      <rPr>
        <vertAlign val="superscript"/>
        <sz val="12"/>
        <rFont val="Franklin Gothic Book"/>
        <family val="2"/>
      </rPr>
      <t>®</t>
    </r>
    <r>
      <rPr>
        <sz val="12"/>
        <rFont val="Franklin Gothic Book"/>
        <family val="2"/>
      </rPr>
      <t xml:space="preserve"> Career College.
 4. The person against whom allegations are made will be informed about the same, keeping 
     the name and details of the complainant private. The person will be given 24 hours’ time to 
     submit written explanation about the incident. The SEA of Academy of Learning® Career 
     College will then verify all the available evidence and if found guilty, the alleged perpetrator 
     will be asked to offer a written apology to the complainant and will also be expelled from 
     work/study (as the case may be).
 5. If the perpetrator is a visitor, whom the Academy of Learning® Career College authorities 
     cannot access, the information of the visitor will be given to the local police along with the 
     copy of the complaint, if the complainant agrees to this.
 6. The information of the complainant will be kept confidential according to the Freedom of 
     Information and Protection of Privacy Act unless it becomes mandatory by law to disclose the 
     information to get full justice to the complainant. If required, the complainant will be given
     to counseling or emergency medical care to overcome the mental or physical problems faced 
     by the complainant due to the incident.</t>
    </r>
    <phoneticPr fontId="117" type="noConversion"/>
  </si>
  <si>
    <t>Student Loan</t>
  </si>
  <si>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Criminal Record Check Acknowledgement
13. Hepatitis B immunization
14. Student Schedule form
15. Official name on Certificate/Diploma:______________________________________
16. Referral Sheet
17. Consent of Release (optional)
18. Budget Sheet Acknowledgement
19. National Student Loans Service Centre: 
       https://www.csnpe-nslsc.canada.ca/en/home
20. Dispute and Resolution Policy
21. Student Statement of Rights
22. Sexual Misconduct Policy
23. MYAOLCC Platform Usage Policy &amp; Acknowledgement </t>
    <phoneticPr fontId="117" type="noConversion"/>
  </si>
  <si>
    <t>Non-Binary</t>
  </si>
  <si>
    <t>Version 8.6g</t>
    <phoneticPr fontId="0" type="noConversion"/>
  </si>
  <si>
    <t>Date: 2021-09-01</t>
    <phoneticPr fontId="0" type="noConversion"/>
  </si>
  <si>
    <t>8.6g</t>
    <phoneticPr fontId="117" type="noConversion"/>
  </si>
  <si>
    <r>
      <rPr>
        <b/>
        <sz val="10"/>
        <rFont val="Franklin Gothic Book"/>
        <family val="2"/>
      </rPr>
      <t xml:space="preserve">New Sheets:
</t>
    </r>
    <r>
      <rPr>
        <sz val="10"/>
        <rFont val="Franklin Gothic Book"/>
        <family val="2"/>
      </rPr>
      <t>-Statement of Rights and Misconduct Policy added
-added them in the printing macro</t>
    </r>
    <r>
      <rPr>
        <b/>
        <sz val="10"/>
        <rFont val="Franklin Gothic Book"/>
        <family val="2"/>
      </rPr>
      <t xml:space="preserve">
Changes to sheets:</t>
    </r>
    <r>
      <rPr>
        <u/>
        <sz val="10"/>
        <rFont val="Franklin Gothic Book"/>
        <family val="2"/>
      </rPr>
      <t xml:space="preserve">
Outline Info</t>
    </r>
    <r>
      <rPr>
        <sz val="10"/>
        <rFont val="Franklin Gothic Book"/>
        <family val="2"/>
      </rPr>
      <t xml:space="preserve">
-Added CWRG as a funding option
</t>
    </r>
    <r>
      <rPr>
        <u/>
        <sz val="10"/>
        <rFont val="Franklin Gothic Book"/>
        <family val="2"/>
      </rPr>
      <t>Student Info</t>
    </r>
    <r>
      <rPr>
        <sz val="10"/>
        <rFont val="Franklin Gothic Book"/>
        <family val="2"/>
      </rPr>
      <t xml:space="preserve">
-added Non-Binary gender  as an option
</t>
    </r>
    <r>
      <rPr>
        <u/>
        <sz val="10"/>
        <rFont val="Franklin Gothic Book"/>
        <family val="2"/>
      </rPr>
      <t>Contract-Long</t>
    </r>
    <r>
      <rPr>
        <sz val="10"/>
        <rFont val="Franklin Gothic Book"/>
        <family val="2"/>
      </rPr>
      <t xml:space="preserve">
-added Non-Binary gender on page 1
-added additional information under the PTIB section on page 6
-added Sexual Harassment Policy &amp; Student Statement of Rights in the checklist on page 6
-Updated the revision date
</t>
    </r>
    <r>
      <rPr>
        <u/>
        <sz val="10"/>
        <rFont val="Franklin Gothic Book"/>
        <family val="2"/>
      </rPr>
      <t>Dispute Policy</t>
    </r>
    <r>
      <rPr>
        <sz val="10"/>
        <rFont val="Franklin Gothic Book"/>
        <family val="2"/>
      </rPr>
      <t xml:space="preserve">
-Updated Person Responsible for the policy
-Added the name and email address
-Updated point 5 and 6
-Updated the revision date
</t>
    </r>
    <r>
      <rPr>
        <u/>
        <sz val="10"/>
        <rFont val="Franklin Gothic Book"/>
        <family val="2"/>
      </rPr>
      <t>OrientationList</t>
    </r>
    <r>
      <rPr>
        <sz val="10"/>
        <rFont val="Franklin Gothic Book"/>
        <family val="2"/>
      </rPr>
      <t xml:space="preserve">
-Updated according to the template
</t>
    </r>
    <r>
      <rPr>
        <u/>
        <sz val="10"/>
        <rFont val="Franklin Gothic Book"/>
        <family val="2"/>
      </rPr>
      <t>Contract-Short</t>
    </r>
    <r>
      <rPr>
        <sz val="10"/>
        <rFont val="Franklin Gothic Book"/>
        <family val="2"/>
      </rPr>
      <t xml:space="preserve">
added Non-Binary gender on page 1
</t>
    </r>
    <r>
      <rPr>
        <u/>
        <sz val="10"/>
        <rFont val="Franklin Gothic Book"/>
        <family val="2"/>
      </rPr>
      <t>WC-Checklist</t>
    </r>
    <r>
      <rPr>
        <sz val="10"/>
        <rFont val="Franklin Gothic Book"/>
        <family val="2"/>
      </rPr>
      <t xml:space="preserve">
added Student Statement of Rights and Sexual Misconduct Policy in all of the list
Reformat font size and row heights to fit additional info</t>
    </r>
    <phoneticPr fontId="1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</si>
</sst>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quot;$&quot;* #,##0.00_-;_-&quot;$&quot;* &quot;-&quot;??_-;_-@_-"/>
    <numFmt numFmtId="43" formatCode="_-* #,##0.00_-;\-* #,##0.00_-;_-* &quot;-&quot;??_-;_-@_-"/>
    <numFmt numFmtId="176" formatCode="_(&quot;$&quot;* #,##0.00_);_(&quot;$&quot;* \(#,##0.00\);_(&quot;$&quot;* &quot;-&quot;??_);_(@_)"/>
    <numFmt numFmtId="177" formatCode="#,##0.00\ ;\(#,##0.00\)"/>
    <numFmt numFmtId="178" formatCode="&quot;$&quot;#,##0.00"/>
    <numFmt numFmtId="179" formatCode="&quot;$&quot;#,##0"/>
    <numFmt numFmtId="180" formatCode="0.0"/>
    <numFmt numFmtId="181" formatCode="mmmm\ d\,\ yyyy"/>
    <numFmt numFmtId="182" formatCode="0.0000"/>
    <numFmt numFmtId="183" formatCode="[&lt;=9999999]###\-####;\(###\)\ ###\-####"/>
    <numFmt numFmtId="184" formatCode="[&lt;=9999999]###\-####;###\-###\-####"/>
    <numFmt numFmtId="185" formatCode="dd/mm"/>
    <numFmt numFmtId="186" formatCode="[$-409]d\-mmm\-yy;@"/>
    <numFmt numFmtId="187" formatCode="[$-409]mmmm\ d\,\ yyyy;@"/>
    <numFmt numFmtId="188" formatCode="yyyy/mm/dd;@"/>
    <numFmt numFmtId="189" formatCode="yyyy"/>
    <numFmt numFmtId="190" formatCode="mm"/>
    <numFmt numFmtId="191" formatCode="dd"/>
    <numFmt numFmtId="192" formatCode="_([$$-409]* #,##0.00_);_([$$-409]* \(#,##0.00\);_([$$-409]* &quot;-&quot;??_);_(@_)"/>
    <numFmt numFmtId="193" formatCode="0.0%"/>
    <numFmt numFmtId="194" formatCode="dd/mm;@"/>
    <numFmt numFmtId="195" formatCode="mm/dd/yy;@"/>
  </numFmts>
  <fonts count="138">
    <font>
      <sz val="10"/>
      <name val="Times New Roman"/>
    </font>
    <font>
      <sz val="10"/>
      <name val="Times New Roman"/>
      <family val="1"/>
    </font>
    <font>
      <sz val="12"/>
      <name val="Times New Roman"/>
      <family val="1"/>
    </font>
    <font>
      <i/>
      <sz val="10"/>
      <name val="Times New Roman"/>
      <family val="1"/>
    </font>
    <font>
      <u/>
      <sz val="10"/>
      <color indexed="12"/>
      <name val="Times New Roman"/>
      <family val="1"/>
    </font>
    <font>
      <sz val="11"/>
      <name val="Times New Roman"/>
      <family val="1"/>
    </font>
    <font>
      <b/>
      <sz val="11"/>
      <name val="Times New Roman"/>
      <family val="1"/>
    </font>
    <font>
      <sz val="12"/>
      <name val="Wingdings"/>
      <charset val="2"/>
    </font>
    <font>
      <sz val="11"/>
      <color indexed="8"/>
      <name val="Calibri"/>
      <family val="2"/>
    </font>
    <font>
      <sz val="11"/>
      <color indexed="8"/>
      <name val="Wingdings"/>
      <charset val="2"/>
    </font>
    <font>
      <sz val="12"/>
      <name val="Calibri"/>
      <family val="2"/>
    </font>
    <font>
      <sz val="11"/>
      <name val="Wingdings"/>
      <charset val="2"/>
    </font>
    <font>
      <sz val="12"/>
      <color indexed="8"/>
      <name val="Calibri"/>
      <family val="2"/>
    </font>
    <font>
      <sz val="10"/>
      <name val="Calibri"/>
      <family val="2"/>
    </font>
    <font>
      <b/>
      <sz val="11"/>
      <color indexed="8"/>
      <name val="Calibri"/>
      <family val="2"/>
    </font>
    <font>
      <sz val="11"/>
      <name val="Calibri"/>
      <family val="2"/>
    </font>
    <font>
      <vertAlign val="superscript"/>
      <sz val="12"/>
      <color indexed="8"/>
      <name val="Calibri"/>
      <family val="2"/>
    </font>
    <font>
      <sz val="12"/>
      <name val="Garamond"/>
      <family val="1"/>
    </font>
    <font>
      <b/>
      <sz val="12"/>
      <name val="Garamond"/>
      <family val="1"/>
    </font>
    <font>
      <sz val="10"/>
      <color theme="0"/>
      <name val="Times New Roman"/>
      <family val="1"/>
    </font>
    <font>
      <sz val="11"/>
      <color rgb="FF000000"/>
      <name val="Calibri"/>
      <family val="2"/>
    </font>
    <font>
      <b/>
      <sz val="12"/>
      <color rgb="FF000000"/>
      <name val="Calibri"/>
      <family val="2"/>
    </font>
    <font>
      <sz val="12"/>
      <color rgb="FF000000"/>
      <name val="Calibri"/>
      <family val="2"/>
    </font>
    <font>
      <i/>
      <sz val="11"/>
      <color rgb="FF000000"/>
      <name val="Calibri"/>
      <family val="2"/>
    </font>
    <font>
      <b/>
      <sz val="11"/>
      <color rgb="FF000000"/>
      <name val="Calibri"/>
      <family val="2"/>
    </font>
    <font>
      <sz val="11"/>
      <color theme="0"/>
      <name val="Wingdings"/>
      <charset val="2"/>
    </font>
    <font>
      <sz val="11"/>
      <color rgb="FFFFFFFF"/>
      <name val="Calibri"/>
      <family val="2"/>
    </font>
    <font>
      <sz val="12"/>
      <color rgb="FF000000"/>
      <name val="Wingdings"/>
      <charset val="2"/>
    </font>
    <font>
      <sz val="12"/>
      <color rgb="FF000000"/>
      <name val="等线"/>
      <family val="2"/>
      <scheme val="minor"/>
    </font>
    <font>
      <i/>
      <sz val="10"/>
      <color rgb="FF000000"/>
      <name val="Calibri"/>
      <family val="2"/>
    </font>
    <font>
      <sz val="10"/>
      <color rgb="FF000000"/>
      <name val="Calibri"/>
      <family val="2"/>
    </font>
    <font>
      <b/>
      <sz val="10"/>
      <color rgb="FF000000"/>
      <name val="Calibri"/>
      <family val="2"/>
    </font>
    <font>
      <sz val="10"/>
      <color rgb="FF000000"/>
      <name val="等线"/>
      <family val="2"/>
      <scheme val="minor"/>
    </font>
    <font>
      <sz val="11"/>
      <color rgb="FF000000"/>
      <name val="Wingdings"/>
      <charset val="2"/>
    </font>
    <font>
      <sz val="11"/>
      <color theme="0" tint="-0.14999847407452621"/>
      <name val="Wingdings"/>
      <charset val="2"/>
    </font>
    <font>
      <sz val="8"/>
      <color rgb="FF000000"/>
      <name val="Times New Roman"/>
      <family val="1"/>
    </font>
    <font>
      <b/>
      <i/>
      <sz val="12"/>
      <color theme="0"/>
      <name val="Garamond"/>
      <family val="1"/>
    </font>
    <font>
      <sz val="22"/>
      <color theme="0"/>
      <name val="Garamond"/>
      <family val="1"/>
    </font>
    <font>
      <sz val="28"/>
      <color theme="0"/>
      <name val="Garamond"/>
      <family val="1"/>
    </font>
    <font>
      <vertAlign val="superscript"/>
      <sz val="10"/>
      <color rgb="FF000000"/>
      <name val="Calibri"/>
      <family val="2"/>
    </font>
    <font>
      <sz val="11"/>
      <name val="等线"/>
      <family val="2"/>
      <scheme val="minor"/>
    </font>
    <font>
      <b/>
      <i/>
      <sz val="10"/>
      <name val="Franklin Gothic Book"/>
      <family val="2"/>
    </font>
    <font>
      <b/>
      <i/>
      <sz val="12"/>
      <name val="Franklin Gothic Book"/>
      <family val="2"/>
    </font>
    <font>
      <sz val="10"/>
      <name val="Franklin Gothic Book"/>
      <family val="2"/>
    </font>
    <font>
      <sz val="8"/>
      <name val="Franklin Gothic Book"/>
      <family val="2"/>
    </font>
    <font>
      <sz val="8"/>
      <color indexed="10"/>
      <name val="Franklin Gothic Book"/>
      <family val="2"/>
    </font>
    <font>
      <b/>
      <sz val="8"/>
      <name val="Franklin Gothic Book"/>
      <family val="2"/>
    </font>
    <font>
      <i/>
      <sz val="10"/>
      <name val="Franklin Gothic Book"/>
      <family val="2"/>
    </font>
    <font>
      <b/>
      <sz val="12"/>
      <name val="Franklin Gothic Book"/>
      <family val="2"/>
    </font>
    <font>
      <b/>
      <sz val="10"/>
      <name val="Franklin Gothic Book"/>
      <family val="2"/>
    </font>
    <font>
      <b/>
      <u/>
      <sz val="14"/>
      <name val="Frutiger"/>
    </font>
    <font>
      <b/>
      <sz val="10"/>
      <color indexed="17"/>
      <name val="Franklin Gothic Book"/>
      <family val="2"/>
    </font>
    <font>
      <strike/>
      <sz val="10"/>
      <name val="Franklin Gothic Book"/>
      <family val="2"/>
    </font>
    <font>
      <sz val="10"/>
      <color indexed="10"/>
      <name val="Franklin Gothic Book"/>
      <family val="2"/>
    </font>
    <font>
      <b/>
      <i/>
      <sz val="20"/>
      <name val="Frutiger"/>
    </font>
    <font>
      <b/>
      <i/>
      <sz val="20"/>
      <name val="Franklin Gothic Book"/>
      <family val="2"/>
    </font>
    <font>
      <sz val="9"/>
      <name val="Franklin Gothic Book"/>
      <family val="2"/>
    </font>
    <font>
      <b/>
      <sz val="14"/>
      <name val="Franklin Gothic Book"/>
      <family val="2"/>
    </font>
    <font>
      <b/>
      <sz val="13.5"/>
      <name val="Franklin Gothic Book"/>
      <family val="2"/>
    </font>
    <font>
      <sz val="12"/>
      <name val="Franklin Gothic Book"/>
      <family val="2"/>
    </font>
    <font>
      <i/>
      <sz val="11"/>
      <name val="Franklin Gothic Book"/>
      <family val="2"/>
    </font>
    <font>
      <sz val="11"/>
      <name val="Franklin Gothic Book"/>
      <family val="2"/>
    </font>
    <font>
      <b/>
      <i/>
      <sz val="14"/>
      <name val="Frutiger"/>
    </font>
    <font>
      <sz val="22"/>
      <name val="Franklin Gothic Book"/>
      <family val="2"/>
    </font>
    <font>
      <sz val="6"/>
      <name val="Franklin Gothic Book"/>
      <family val="2"/>
    </font>
    <font>
      <b/>
      <sz val="18"/>
      <name val="Franklin Gothic Book"/>
      <family val="2"/>
    </font>
    <font>
      <b/>
      <i/>
      <sz val="18"/>
      <name val="Franklin Gothic Book"/>
      <family val="2"/>
    </font>
    <font>
      <sz val="17"/>
      <name val="Franklin Gothic Book"/>
      <family val="2"/>
    </font>
    <font>
      <sz val="16"/>
      <name val="Franklin Gothic Book"/>
      <family val="2"/>
    </font>
    <font>
      <sz val="14"/>
      <name val="Franklin Gothic Book"/>
      <family val="2"/>
    </font>
    <font>
      <sz val="11"/>
      <color theme="0"/>
      <name val="Franklin Gothic Book"/>
      <family val="2"/>
    </font>
    <font>
      <sz val="18"/>
      <name val="Franklin Gothic Book"/>
      <family val="2"/>
    </font>
    <font>
      <sz val="48"/>
      <name val="Frutiger"/>
    </font>
    <font>
      <b/>
      <sz val="10.5"/>
      <name val="Franklin Gothic Book"/>
      <family val="2"/>
    </font>
    <font>
      <u/>
      <sz val="10"/>
      <name val="Franklin Gothic Book"/>
      <family val="2"/>
    </font>
    <font>
      <sz val="7"/>
      <name val="Franklin Gothic Book"/>
      <family val="2"/>
    </font>
    <font>
      <b/>
      <sz val="9"/>
      <name val="Franklin Gothic Book"/>
      <family val="2"/>
    </font>
    <font>
      <b/>
      <vertAlign val="superscript"/>
      <sz val="9"/>
      <name val="Franklin Gothic Book"/>
      <family val="2"/>
    </font>
    <font>
      <b/>
      <sz val="11"/>
      <name val="Franklin Gothic Book"/>
      <family val="2"/>
    </font>
    <font>
      <b/>
      <u/>
      <sz val="8"/>
      <name val="Franklin Gothic Book"/>
      <family val="2"/>
    </font>
    <font>
      <sz val="12"/>
      <color theme="0"/>
      <name val="Franklin Gothic Book"/>
      <family val="2"/>
    </font>
    <font>
      <i/>
      <sz val="12"/>
      <name val="Frutiger"/>
    </font>
    <font>
      <i/>
      <u/>
      <sz val="14"/>
      <name val="Frutiger"/>
    </font>
    <font>
      <u/>
      <sz val="12"/>
      <name val="Frutiger"/>
    </font>
    <font>
      <b/>
      <u/>
      <sz val="14"/>
      <name val="Franklin Gothic Book"/>
      <family val="2"/>
    </font>
    <font>
      <u/>
      <sz val="14"/>
      <name val="Frutiger"/>
    </font>
    <font>
      <u/>
      <sz val="16"/>
      <name val="Frutiger"/>
    </font>
    <font>
      <i/>
      <sz val="12"/>
      <name val="Franklin Gothic Book"/>
      <family val="2"/>
    </font>
    <font>
      <sz val="22"/>
      <color indexed="8"/>
      <name val="Franklin Gothic Book"/>
      <family val="2"/>
    </font>
    <font>
      <b/>
      <sz val="12"/>
      <color indexed="8"/>
      <name val="Franklin Gothic Book"/>
      <family val="2"/>
    </font>
    <font>
      <b/>
      <sz val="14"/>
      <color theme="1"/>
      <name val="Franklin Gothic Book"/>
      <family val="2"/>
    </font>
    <font>
      <sz val="12"/>
      <color indexed="8"/>
      <name val="Franklin Gothic Book"/>
      <family val="2"/>
    </font>
    <font>
      <sz val="11"/>
      <color theme="1"/>
      <name val="Franklin Gothic Book"/>
      <family val="2"/>
    </font>
    <font>
      <b/>
      <sz val="12"/>
      <color theme="1"/>
      <name val="Franklin Gothic Book"/>
      <family val="2"/>
    </font>
    <font>
      <b/>
      <sz val="11"/>
      <color theme="1"/>
      <name val="Franklin Gothic Book"/>
      <family val="2"/>
    </font>
    <font>
      <b/>
      <sz val="14"/>
      <color indexed="10"/>
      <name val="Franklin Gothic Book"/>
      <family val="2"/>
    </font>
    <font>
      <sz val="12"/>
      <color indexed="10"/>
      <name val="Franklin Gothic Book"/>
      <family val="2"/>
    </font>
    <font>
      <sz val="20"/>
      <color indexed="8"/>
      <name val="Frutiger"/>
    </font>
    <font>
      <sz val="11"/>
      <color rgb="FF000000"/>
      <name val="Franklin Gothic Book"/>
      <family val="2"/>
    </font>
    <font>
      <b/>
      <sz val="11"/>
      <color rgb="FF000000"/>
      <name val="Franklin Gothic Book"/>
      <family val="2"/>
    </font>
    <font>
      <sz val="12"/>
      <color theme="0"/>
      <name val="Calibri"/>
      <family val="2"/>
    </font>
    <font>
      <b/>
      <sz val="12"/>
      <color theme="0"/>
      <name val="Calibri"/>
      <family val="2"/>
    </font>
    <font>
      <sz val="11"/>
      <color theme="0"/>
      <name val="Calibri"/>
      <family val="2"/>
    </font>
    <font>
      <b/>
      <sz val="11"/>
      <color theme="0"/>
      <name val="Calibri"/>
      <family val="2"/>
    </font>
    <font>
      <sz val="10"/>
      <name val="Frutiger"/>
    </font>
    <font>
      <sz val="11"/>
      <color rgb="FF000000"/>
      <name val="等线"/>
      <family val="2"/>
      <scheme val="minor"/>
    </font>
    <font>
      <b/>
      <sz val="11"/>
      <name val="Calibri"/>
      <family val="2"/>
    </font>
    <font>
      <sz val="11.5"/>
      <name val="Franklin Gothic Book"/>
      <family val="2"/>
    </font>
    <font>
      <b/>
      <sz val="12"/>
      <color theme="0"/>
      <name val="Franklin Gothic Book"/>
      <family val="2"/>
    </font>
    <font>
      <sz val="12"/>
      <color indexed="9"/>
      <name val="Franklin Gothic Book"/>
      <family val="2"/>
    </font>
    <font>
      <b/>
      <i/>
      <sz val="12"/>
      <color theme="0"/>
      <name val="Franklin Gothic Book"/>
      <family val="2"/>
    </font>
    <font>
      <b/>
      <i/>
      <u/>
      <sz val="20"/>
      <name val="Franklin Gothic Book"/>
      <family val="2"/>
    </font>
    <font>
      <b/>
      <sz val="10.5"/>
      <color rgb="FF000000"/>
      <name val="Calibri"/>
      <family val="2"/>
    </font>
    <font>
      <b/>
      <i/>
      <sz val="11"/>
      <color rgb="FF000000"/>
      <name val="Calibri"/>
      <family val="2"/>
    </font>
    <font>
      <b/>
      <i/>
      <sz val="14"/>
      <name val="Franklin Gothic Book"/>
      <family val="2"/>
    </font>
    <font>
      <u val="double"/>
      <sz val="12"/>
      <name val="Franklin Gothic Book"/>
      <family val="2"/>
    </font>
    <font>
      <sz val="9"/>
      <color indexed="81"/>
      <name val="Tahoma"/>
      <family val="2"/>
    </font>
    <font>
      <sz val="9"/>
      <name val="宋体"/>
      <family val="3"/>
      <charset val="134"/>
    </font>
    <font>
      <sz val="9"/>
      <name val="等线"/>
      <family val="2"/>
      <charset val="134"/>
      <scheme val="minor"/>
    </font>
    <font>
      <b/>
      <u/>
      <sz val="11"/>
      <color indexed="12"/>
      <name val="Calibri"/>
      <family val="2"/>
    </font>
    <font>
      <b/>
      <u/>
      <sz val="12"/>
      <color rgb="FF000000"/>
      <name val="Calibri"/>
      <family val="2"/>
    </font>
    <font>
      <b/>
      <i/>
      <u/>
      <sz val="12"/>
      <color rgb="FF000000"/>
      <name val="Calibri"/>
      <family val="2"/>
    </font>
    <font>
      <b/>
      <sz val="14"/>
      <color theme="0"/>
      <name val="Franklin Gothic Book"/>
      <family val="2"/>
    </font>
    <font>
      <sz val="16"/>
      <name val="Gill Sans Nova Light"/>
      <family val="2"/>
    </font>
    <font>
      <sz val="14"/>
      <name val="Gill Sans Nova Light"/>
      <family val="2"/>
    </font>
    <font>
      <sz val="10.5"/>
      <color rgb="FF000000"/>
      <name val="Calibri"/>
      <family val="2"/>
    </font>
    <font>
      <i/>
      <sz val="10.5"/>
      <color rgb="FF000000"/>
      <name val="Calibri"/>
      <family val="2"/>
    </font>
    <font>
      <sz val="12"/>
      <color theme="0"/>
      <name val="宋体"/>
      <family val="3"/>
      <charset val="134"/>
    </font>
    <font>
      <sz val="12"/>
      <color theme="0"/>
      <name val="Franklin Gothic Book"/>
      <family val="3"/>
      <charset val="134"/>
    </font>
    <font>
      <sz val="12"/>
      <name val="宋体"/>
      <family val="3"/>
      <charset val="134"/>
    </font>
    <font>
      <sz val="12"/>
      <name val="Franklin Gothic Book"/>
      <family val="3"/>
      <charset val="134"/>
    </font>
    <font>
      <b/>
      <sz val="12"/>
      <name val="宋体"/>
      <family val="3"/>
      <charset val="134"/>
    </font>
    <font>
      <b/>
      <sz val="12"/>
      <name val="Franklin Gothic Book"/>
      <family val="3"/>
      <charset val="134"/>
    </font>
    <font>
      <sz val="14"/>
      <name val="宋体"/>
      <family val="3"/>
      <charset val="134"/>
    </font>
    <font>
      <sz val="14"/>
      <name val="Franklin Gothic Book"/>
      <family val="3"/>
      <charset val="134"/>
    </font>
    <font>
      <u/>
      <sz val="12"/>
      <color rgb="FF0070C0"/>
      <name val="Franklin Gothic Book"/>
      <family val="2"/>
    </font>
    <font>
      <b/>
      <sz val="16"/>
      <name val="Franklin Gothic Book"/>
      <family val="2"/>
    </font>
    <font>
      <vertAlign val="superscript"/>
      <sz val="12"/>
      <name val="Franklin Gothic Book"/>
      <family val="2"/>
    </font>
  </fonts>
  <fills count="32">
    <fill>
      <patternFill patternType="none"/>
    </fill>
    <fill>
      <patternFill patternType="gray125"/>
    </fill>
    <fill>
      <patternFill patternType="solid">
        <fgColor indexed="45"/>
      </patternFill>
    </fill>
    <fill>
      <patternFill patternType="solid">
        <fgColor indexed="27"/>
        <bgColor indexed="64"/>
      </patternFill>
    </fill>
    <fill>
      <patternFill patternType="solid">
        <fgColor indexed="41"/>
        <bgColor indexed="64"/>
      </patternFill>
    </fill>
    <fill>
      <patternFill patternType="solid">
        <fgColor indexed="45"/>
        <bgColor indexed="64"/>
      </patternFill>
    </fill>
    <fill>
      <patternFill patternType="solid">
        <fgColor indexed="10"/>
        <bgColor indexed="64"/>
      </patternFill>
    </fill>
    <fill>
      <patternFill patternType="gray0625"/>
    </fill>
    <fill>
      <patternFill patternType="solid">
        <fgColor rgb="FFFF0000"/>
        <bgColor indexed="64"/>
      </patternFill>
    </fill>
    <fill>
      <patternFill patternType="solid">
        <fgColor rgb="FFFF99CC"/>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FFFFCC"/>
        <bgColor indexed="64"/>
      </patternFill>
    </fill>
    <fill>
      <patternFill patternType="solid">
        <fgColor rgb="FFFFFFFF"/>
        <bgColor rgb="FF000000"/>
      </patternFill>
    </fill>
    <fill>
      <patternFill patternType="solid">
        <fgColor theme="2"/>
        <bgColor indexed="64"/>
      </patternFill>
    </fill>
    <fill>
      <patternFill patternType="solid">
        <fgColor theme="0"/>
        <bgColor rgb="FF000000"/>
      </patternFill>
    </fill>
    <fill>
      <patternFill patternType="solid">
        <fgColor rgb="FFFFFFFF"/>
        <bgColor indexed="64"/>
      </patternFill>
    </fill>
    <fill>
      <patternFill patternType="solid">
        <fgColor theme="0"/>
        <bgColor indexed="64"/>
      </patternFill>
    </fill>
    <fill>
      <patternFill patternType="solid">
        <fgColor rgb="FFA4E0E0"/>
        <bgColor indexed="64"/>
      </patternFill>
    </fill>
    <fill>
      <patternFill patternType="solid">
        <fgColor rgb="FFF8F8F8"/>
        <bgColor rgb="FF000000"/>
      </patternFill>
    </fill>
    <fill>
      <patternFill patternType="solid">
        <fgColor rgb="FFF8F8F8"/>
        <bgColor indexed="64"/>
      </patternFill>
    </fill>
    <fill>
      <patternFill patternType="solid">
        <fgColor theme="0" tint="-4.9989318521683403E-2"/>
        <bgColor indexed="64"/>
      </patternFill>
    </fill>
    <fill>
      <patternFill patternType="solid">
        <fgColor theme="0" tint="-0.14999847407452621"/>
        <bgColor rgb="FF000000"/>
      </patternFill>
    </fill>
    <fill>
      <patternFill patternType="solid">
        <fgColor theme="0" tint="-0.249977111117893"/>
        <bgColor rgb="FF000000"/>
      </patternFill>
    </fill>
    <fill>
      <patternFill patternType="solid">
        <fgColor theme="0" tint="-0.34998626667073579"/>
        <bgColor rgb="FF000000"/>
      </patternFill>
    </fill>
    <fill>
      <patternFill patternType="solid">
        <fgColor rgb="FFD8D8D8"/>
        <bgColor rgb="FF000000"/>
      </patternFill>
    </fill>
    <fill>
      <patternFill patternType="solid">
        <fgColor theme="7" tint="0.3999755851924192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rgb="FFA0F4F4"/>
        <bgColor indexed="64"/>
      </patternFill>
    </fill>
    <fill>
      <patternFill patternType="solid">
        <fgColor rgb="FFB1A0C7"/>
        <bgColor indexed="64"/>
      </patternFill>
    </fill>
  </fills>
  <borders count="147">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slantDashDot">
        <color indexed="64"/>
      </left>
      <right/>
      <top/>
      <bottom/>
      <diagonal/>
    </border>
    <border>
      <left/>
      <right style="slantDashDot">
        <color indexed="64"/>
      </right>
      <top/>
      <bottom/>
      <diagonal/>
    </border>
    <border>
      <left style="slantDashDot">
        <color indexed="64"/>
      </left>
      <right/>
      <top/>
      <bottom style="slantDashDot">
        <color indexed="64"/>
      </bottom>
      <diagonal/>
    </border>
    <border>
      <left/>
      <right/>
      <top/>
      <bottom style="slantDashDot">
        <color indexed="64"/>
      </bottom>
      <diagonal/>
    </border>
    <border>
      <left/>
      <right style="slantDashDot">
        <color indexed="64"/>
      </right>
      <top/>
      <bottom style="slantDashDot">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top/>
      <bottom style="thick">
        <color indexed="64"/>
      </bottom>
      <diagonal/>
    </border>
    <border>
      <left/>
      <right style="thin">
        <color indexed="64"/>
      </right>
      <top style="medium">
        <color indexed="64"/>
      </top>
      <bottom/>
      <diagonal/>
    </border>
    <border>
      <left/>
      <right style="medium">
        <color indexed="12"/>
      </right>
      <top style="medium">
        <color indexed="64"/>
      </top>
      <bottom style="medium">
        <color indexed="64"/>
      </bottom>
      <diagonal/>
    </border>
    <border>
      <left/>
      <right style="medium">
        <color indexed="12"/>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12"/>
      </left>
      <right style="medium">
        <color indexed="12"/>
      </right>
      <top style="medium">
        <color indexed="12"/>
      </top>
      <bottom/>
      <diagonal/>
    </border>
    <border>
      <left/>
      <right/>
      <top/>
      <bottom style="medium">
        <color indexed="12"/>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slantDashDot">
        <color indexed="64"/>
      </left>
      <right/>
      <top style="slantDashDot">
        <color indexed="64"/>
      </top>
      <bottom/>
      <diagonal/>
    </border>
    <border>
      <left/>
      <right/>
      <top style="slantDashDot">
        <color indexed="64"/>
      </top>
      <bottom/>
      <diagonal/>
    </border>
    <border>
      <left/>
      <right style="slantDashDot">
        <color indexed="64"/>
      </right>
      <top style="slantDashDot">
        <color indexed="64"/>
      </top>
      <bottom/>
      <diagonal/>
    </border>
    <border>
      <left style="thin">
        <color indexed="64"/>
      </left>
      <right/>
      <top style="medium">
        <color indexed="64"/>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style="medium">
        <color indexed="64"/>
      </right>
      <top style="thin">
        <color indexed="64"/>
      </top>
      <bottom/>
      <diagonal/>
    </border>
    <border>
      <left/>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double">
        <color indexed="64"/>
      </top>
      <bottom/>
      <diagonal/>
    </border>
    <border>
      <left/>
      <right style="medium">
        <color indexed="64"/>
      </right>
      <top style="double">
        <color indexed="64"/>
      </top>
      <bottom/>
      <diagonal/>
    </border>
    <border>
      <left/>
      <right/>
      <top style="thick">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ck">
        <color indexed="64"/>
      </top>
      <bottom style="thin">
        <color indexed="64"/>
      </bottom>
      <diagonal/>
    </border>
    <border>
      <left/>
      <right style="medium">
        <color indexed="64"/>
      </right>
      <top/>
      <bottom style="double">
        <color indexed="64"/>
      </bottom>
      <diagonal/>
    </border>
    <border>
      <left style="medium">
        <color indexed="64"/>
      </left>
      <right/>
      <top/>
      <bottom style="double">
        <color indexed="64"/>
      </bottom>
      <diagonal/>
    </border>
    <border>
      <left style="dashed">
        <color auto="1"/>
      </left>
      <right style="dashed">
        <color auto="1"/>
      </right>
      <top style="dashed">
        <color auto="1"/>
      </top>
      <bottom style="dashed">
        <color auto="1"/>
      </bottom>
      <diagonal/>
    </border>
    <border>
      <left style="thick">
        <color indexed="64"/>
      </left>
      <right/>
      <top style="thick">
        <color indexed="64"/>
      </top>
      <bottom/>
      <diagonal/>
    </border>
    <border>
      <left/>
      <right style="thick">
        <color indexed="64"/>
      </right>
      <top style="thick">
        <color indexed="64"/>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cellStyleXfs>
  <cellXfs count="1504">
    <xf numFmtId="0" fontId="0" fillId="0" borderId="0" xfId="0"/>
    <xf numFmtId="0" fontId="0" fillId="0" borderId="0" xfId="0" applyProtection="1">
      <protection hidden="1"/>
    </xf>
    <xf numFmtId="0" fontId="2" fillId="0" borderId="0" xfId="4" applyFont="1" applyProtection="1">
      <protection locked="0"/>
    </xf>
    <xf numFmtId="0" fontId="2" fillId="0" borderId="0" xfId="4" applyFont="1"/>
    <xf numFmtId="14" fontId="1" fillId="0" borderId="0" xfId="4" applyNumberFormat="1" applyFont="1" applyFill="1" applyProtection="1">
      <protection locked="0"/>
    </xf>
    <xf numFmtId="1" fontId="2" fillId="0" borderId="0" xfId="4" applyNumberFormat="1" applyFont="1" applyProtection="1">
      <protection locked="0"/>
    </xf>
    <xf numFmtId="0" fontId="3" fillId="0" borderId="0" xfId="4" applyFont="1" applyFill="1" applyBorder="1" applyProtection="1">
      <protection locked="0"/>
    </xf>
    <xf numFmtId="4" fontId="1" fillId="0" borderId="0" xfId="4" applyNumberFormat="1" applyFont="1" applyFill="1" applyProtection="1">
      <protection locked="0"/>
    </xf>
    <xf numFmtId="3" fontId="2" fillId="0" borderId="0" xfId="4" applyNumberFormat="1" applyFont="1" applyProtection="1">
      <protection locked="0"/>
    </xf>
    <xf numFmtId="1" fontId="2" fillId="0" borderId="0" xfId="4" applyNumberFormat="1" applyFont="1"/>
    <xf numFmtId="0" fontId="20" fillId="14" borderId="0" xfId="0" applyFont="1" applyFill="1" applyBorder="1" applyProtection="1"/>
    <xf numFmtId="0" fontId="20" fillId="14" borderId="0" xfId="0" applyFont="1" applyFill="1" applyBorder="1" applyAlignment="1" applyProtection="1">
      <alignment horizontal="right"/>
    </xf>
    <xf numFmtId="0" fontId="20" fillId="14" borderId="56" xfId="0" applyFont="1" applyFill="1" applyBorder="1" applyProtection="1"/>
    <xf numFmtId="0" fontId="20" fillId="14" borderId="55" xfId="0" applyFont="1" applyFill="1" applyBorder="1" applyProtection="1"/>
    <xf numFmtId="0" fontId="20" fillId="14" borderId="36" xfId="0" applyFont="1" applyFill="1" applyBorder="1" applyProtection="1"/>
    <xf numFmtId="0" fontId="20" fillId="14" borderId="53" xfId="0" applyFont="1" applyFill="1" applyBorder="1" applyProtection="1"/>
    <xf numFmtId="0" fontId="20" fillId="14" borderId="45" xfId="0" applyFont="1" applyFill="1" applyBorder="1" applyProtection="1"/>
    <xf numFmtId="0" fontId="20" fillId="14" borderId="54" xfId="0" applyFont="1" applyFill="1" applyBorder="1" applyProtection="1"/>
    <xf numFmtId="0" fontId="21" fillId="14" borderId="54" xfId="0" applyFont="1" applyFill="1" applyBorder="1" applyProtection="1"/>
    <xf numFmtId="176" fontId="20" fillId="14" borderId="0" xfId="0" applyNumberFormat="1" applyFont="1" applyFill="1" applyBorder="1" applyProtection="1"/>
    <xf numFmtId="0" fontId="22" fillId="14" borderId="0" xfId="0" applyFont="1" applyFill="1" applyBorder="1" applyProtection="1"/>
    <xf numFmtId="0" fontId="23" fillId="14" borderId="0" xfId="0" applyFont="1" applyFill="1" applyBorder="1" applyProtection="1"/>
    <xf numFmtId="0" fontId="22" fillId="14" borderId="54" xfId="0" applyFont="1" applyFill="1" applyBorder="1" applyProtection="1"/>
    <xf numFmtId="0" fontId="21" fillId="14" borderId="0" xfId="0" applyFont="1" applyFill="1" applyBorder="1" applyProtection="1"/>
    <xf numFmtId="0" fontId="24" fillId="14" borderId="0" xfId="0" applyFont="1" applyFill="1" applyBorder="1" applyProtection="1"/>
    <xf numFmtId="186" fontId="21" fillId="14" borderId="0" xfId="0" applyNumberFormat="1" applyFont="1" applyFill="1" applyBorder="1" applyAlignment="1" applyProtection="1"/>
    <xf numFmtId="0" fontId="21" fillId="14" borderId="0" xfId="0" applyFont="1" applyFill="1" applyBorder="1" applyAlignment="1" applyProtection="1"/>
    <xf numFmtId="1" fontId="21" fillId="14" borderId="0" xfId="0" applyNumberFormat="1" applyFont="1" applyFill="1" applyBorder="1" applyAlignment="1" applyProtection="1">
      <alignment horizontal="center"/>
    </xf>
    <xf numFmtId="0" fontId="10" fillId="14" borderId="0" xfId="0" applyFont="1" applyFill="1" applyBorder="1" applyAlignment="1" applyProtection="1">
      <alignment horizontal="center"/>
    </xf>
    <xf numFmtId="0" fontId="22" fillId="14" borderId="0" xfId="0" applyFont="1" applyFill="1" applyBorder="1" applyAlignment="1" applyProtection="1">
      <alignment horizontal="center"/>
    </xf>
    <xf numFmtId="0" fontId="20" fillId="14" borderId="0" xfId="0" applyFont="1" applyFill="1" applyBorder="1" applyAlignment="1" applyProtection="1">
      <alignment horizontal="center"/>
    </xf>
    <xf numFmtId="0" fontId="20" fillId="14" borderId="0" xfId="0" applyFont="1" applyFill="1" applyBorder="1" applyAlignment="1" applyProtection="1">
      <alignment horizontal="center"/>
    </xf>
    <xf numFmtId="0" fontId="11" fillId="14" borderId="0" xfId="0" applyFont="1" applyFill="1" applyBorder="1" applyAlignment="1" applyProtection="1">
      <alignment horizontal="center"/>
    </xf>
    <xf numFmtId="0" fontId="11" fillId="14" borderId="0" xfId="0" applyFont="1" applyFill="1" applyBorder="1" applyAlignment="1" applyProtection="1">
      <alignment horizontal="center" vertical="center"/>
    </xf>
    <xf numFmtId="0" fontId="8" fillId="14" borderId="0" xfId="0" applyFont="1" applyFill="1" applyBorder="1" applyProtection="1"/>
    <xf numFmtId="0" fontId="11" fillId="14" borderId="0" xfId="0" applyFont="1" applyFill="1" applyBorder="1" applyProtection="1"/>
    <xf numFmtId="0" fontId="25" fillId="14" borderId="0" xfId="0" applyFont="1" applyFill="1" applyBorder="1" applyAlignment="1" applyProtection="1">
      <alignment horizontal="center"/>
    </xf>
    <xf numFmtId="0" fontId="25" fillId="14" borderId="0" xfId="0" applyFont="1" applyFill="1" applyBorder="1" applyProtection="1"/>
    <xf numFmtId="1" fontId="21" fillId="14" borderId="0" xfId="0" applyNumberFormat="1" applyFont="1" applyFill="1" applyBorder="1" applyAlignment="1" applyProtection="1">
      <alignment horizontal="center"/>
    </xf>
    <xf numFmtId="0" fontId="20" fillId="14" borderId="56" xfId="0" applyFont="1" applyFill="1" applyBorder="1" applyAlignment="1" applyProtection="1">
      <alignment horizontal="left"/>
    </xf>
    <xf numFmtId="0" fontId="21" fillId="14" borderId="0" xfId="0" applyFont="1" applyFill="1" applyBorder="1" applyAlignment="1" applyProtection="1">
      <alignment horizontal="center"/>
    </xf>
    <xf numFmtId="44" fontId="21" fillId="14" borderId="0" xfId="2" applyFont="1" applyFill="1" applyBorder="1" applyAlignment="1" applyProtection="1">
      <alignment horizontal="center"/>
    </xf>
    <xf numFmtId="0" fontId="20" fillId="14" borderId="0" xfId="0" applyFont="1" applyFill="1" applyBorder="1" applyAlignment="1" applyProtection="1">
      <alignment horizontal="center"/>
    </xf>
    <xf numFmtId="0" fontId="21" fillId="16" borderId="0" xfId="0" applyFont="1" applyFill="1" applyBorder="1" applyAlignment="1" applyProtection="1"/>
    <xf numFmtId="0" fontId="20" fillId="14" borderId="25" xfId="0" applyFont="1" applyFill="1" applyBorder="1" applyProtection="1"/>
    <xf numFmtId="0" fontId="20" fillId="14" borderId="31" xfId="0" applyFont="1" applyFill="1" applyBorder="1" applyProtection="1"/>
    <xf numFmtId="0" fontId="20" fillId="14" borderId="31" xfId="0" applyFont="1" applyFill="1" applyBorder="1" applyAlignment="1" applyProtection="1">
      <alignment horizontal="center"/>
    </xf>
    <xf numFmtId="0" fontId="20" fillId="14" borderId="77" xfId="0" applyFont="1" applyFill="1" applyBorder="1" applyProtection="1"/>
    <xf numFmtId="0" fontId="20" fillId="14" borderId="13" xfId="0" applyFont="1" applyFill="1" applyBorder="1" applyAlignment="1" applyProtection="1">
      <alignment horizontal="center"/>
    </xf>
    <xf numFmtId="0" fontId="20" fillId="14" borderId="4" xfId="0" applyFont="1" applyFill="1" applyBorder="1" applyProtection="1"/>
    <xf numFmtId="0" fontId="20" fillId="14" borderId="73" xfId="0" applyFont="1" applyFill="1" applyBorder="1" applyProtection="1"/>
    <xf numFmtId="0" fontId="20" fillId="14" borderId="7" xfId="0" applyFont="1" applyFill="1" applyBorder="1" applyProtection="1"/>
    <xf numFmtId="0" fontId="20" fillId="14" borderId="74" xfId="0" applyFont="1" applyFill="1" applyBorder="1" applyProtection="1"/>
    <xf numFmtId="0" fontId="21" fillId="14" borderId="68" xfId="0" applyFont="1" applyFill="1" applyBorder="1" applyProtection="1"/>
    <xf numFmtId="0" fontId="20" fillId="14" borderId="7" xfId="0" applyFont="1" applyFill="1" applyBorder="1" applyAlignment="1" applyProtection="1">
      <alignment horizontal="right"/>
    </xf>
    <xf numFmtId="2" fontId="21" fillId="14" borderId="68" xfId="0" applyNumberFormat="1" applyFont="1" applyFill="1" applyBorder="1" applyAlignment="1" applyProtection="1">
      <alignment horizontal="left"/>
    </xf>
    <xf numFmtId="0" fontId="20" fillId="14" borderId="19" xfId="0" applyFont="1" applyFill="1" applyBorder="1" applyProtection="1"/>
    <xf numFmtId="0" fontId="20" fillId="14" borderId="8" xfId="0" applyFont="1" applyFill="1" applyBorder="1" applyProtection="1"/>
    <xf numFmtId="0" fontId="20" fillId="14" borderId="8" xfId="0" applyFont="1" applyFill="1" applyBorder="1" applyAlignment="1" applyProtection="1">
      <alignment horizontal="center"/>
    </xf>
    <xf numFmtId="0" fontId="20" fillId="14" borderId="9" xfId="0" applyFont="1" applyFill="1" applyBorder="1" applyProtection="1"/>
    <xf numFmtId="0" fontId="20" fillId="14" borderId="7" xfId="0" applyFont="1" applyFill="1" applyBorder="1" applyAlignment="1" applyProtection="1">
      <alignment horizontal="center"/>
    </xf>
    <xf numFmtId="0" fontId="24" fillId="14" borderId="4" xfId="0" applyFont="1" applyFill="1" applyBorder="1" applyProtection="1"/>
    <xf numFmtId="0" fontId="22" fillId="0" borderId="0" xfId="0" applyFont="1" applyBorder="1"/>
    <xf numFmtId="44" fontId="20" fillId="14" borderId="0" xfId="2" applyFont="1" applyFill="1" applyBorder="1" applyAlignment="1" applyProtection="1">
      <alignment horizontal="center"/>
    </xf>
    <xf numFmtId="0" fontId="21" fillId="16" borderId="0" xfId="0" applyFont="1" applyFill="1" applyBorder="1" applyAlignment="1" applyProtection="1">
      <alignment horizontal="center"/>
    </xf>
    <xf numFmtId="0" fontId="21" fillId="0" borderId="0" xfId="0" applyFont="1" applyFill="1" applyBorder="1" applyAlignment="1" applyProtection="1">
      <alignment horizontal="center"/>
    </xf>
    <xf numFmtId="0" fontId="20" fillId="14" borderId="73" xfId="0" applyFont="1" applyFill="1" applyBorder="1" applyAlignment="1" applyProtection="1">
      <alignment horizontal="left"/>
    </xf>
    <xf numFmtId="0" fontId="20" fillId="14" borderId="0" xfId="2" applyNumberFormat="1" applyFont="1" applyFill="1" applyBorder="1" applyAlignment="1" applyProtection="1">
      <alignment horizontal="center"/>
    </xf>
    <xf numFmtId="0" fontId="26" fillId="17" borderId="0" xfId="0" applyFont="1" applyFill="1" applyBorder="1" applyAlignment="1" applyProtection="1">
      <alignment vertical="top" wrapText="1"/>
    </xf>
    <xf numFmtId="0" fontId="22" fillId="14" borderId="0" xfId="0" applyFont="1" applyFill="1" applyBorder="1" applyAlignment="1" applyProtection="1"/>
    <xf numFmtId="1" fontId="21" fillId="16" borderId="0" xfId="0" applyNumberFormat="1" applyFont="1" applyFill="1" applyBorder="1" applyAlignment="1" applyProtection="1">
      <alignment horizontal="center"/>
    </xf>
    <xf numFmtId="0" fontId="20" fillId="16" borderId="0" xfId="0" applyFont="1" applyFill="1" applyBorder="1" applyAlignment="1" applyProtection="1">
      <alignment horizontal="center"/>
    </xf>
    <xf numFmtId="0" fontId="20" fillId="16" borderId="0" xfId="0" applyFont="1" applyFill="1" applyBorder="1" applyProtection="1"/>
    <xf numFmtId="0" fontId="20" fillId="16" borderId="0" xfId="0" applyFont="1" applyFill="1" applyBorder="1" applyAlignment="1" applyProtection="1">
      <alignment horizontal="right"/>
    </xf>
    <xf numFmtId="0" fontId="24" fillId="16" borderId="0" xfId="0" applyFont="1" applyFill="1" applyBorder="1" applyAlignment="1" applyProtection="1">
      <alignment horizontal="center"/>
    </xf>
    <xf numFmtId="0" fontId="20" fillId="18" borderId="0" xfId="0" applyFont="1" applyFill="1" applyBorder="1" applyAlignment="1" applyProtection="1">
      <alignment vertical="center"/>
    </xf>
    <xf numFmtId="0" fontId="20" fillId="18" borderId="0" xfId="0" applyFont="1" applyFill="1" applyBorder="1" applyProtection="1"/>
    <xf numFmtId="187" fontId="21" fillId="16" borderId="0" xfId="0" applyNumberFormat="1" applyFont="1" applyFill="1" applyBorder="1" applyAlignment="1" applyProtection="1">
      <alignment horizontal="left"/>
    </xf>
    <xf numFmtId="44" fontId="20" fillId="16" borderId="0" xfId="2" applyFont="1" applyFill="1" applyBorder="1" applyAlignment="1" applyProtection="1">
      <alignment horizontal="center"/>
    </xf>
    <xf numFmtId="44" fontId="21" fillId="16" borderId="0" xfId="2" applyFont="1" applyFill="1" applyBorder="1" applyAlignment="1" applyProtection="1">
      <alignment horizontal="center"/>
    </xf>
    <xf numFmtId="0" fontId="21" fillId="16" borderId="7" xfId="0" applyFont="1" applyFill="1" applyBorder="1" applyAlignment="1" applyProtection="1"/>
    <xf numFmtId="186" fontId="27" fillId="14" borderId="0" xfId="0" applyNumberFormat="1" applyFont="1" applyFill="1" applyBorder="1" applyAlignment="1" applyProtection="1">
      <alignment horizontal="center"/>
    </xf>
    <xf numFmtId="0" fontId="20" fillId="14" borderId="0" xfId="0" applyFont="1" applyFill="1" applyBorder="1" applyAlignment="1" applyProtection="1">
      <alignment vertical="top" wrapText="1"/>
    </xf>
    <xf numFmtId="0" fontId="20" fillId="20" borderId="0" xfId="0" applyFont="1" applyFill="1" applyBorder="1" applyProtection="1"/>
    <xf numFmtId="0" fontId="20" fillId="20" borderId="54" xfId="0" applyFont="1" applyFill="1" applyBorder="1" applyProtection="1"/>
    <xf numFmtId="0" fontId="0" fillId="21" borderId="0" xfId="0" applyFill="1"/>
    <xf numFmtId="0" fontId="2" fillId="21" borderId="0" xfId="4" quotePrefix="1" applyNumberFormat="1" applyFont="1" applyFill="1" applyProtection="1">
      <protection locked="0"/>
    </xf>
    <xf numFmtId="182" fontId="1" fillId="21" borderId="0" xfId="4" quotePrefix="1" applyNumberFormat="1" applyFont="1" applyFill="1" applyAlignment="1" applyProtection="1">
      <alignment wrapText="1"/>
      <protection locked="0"/>
    </xf>
    <xf numFmtId="0" fontId="1" fillId="21" borderId="0" xfId="4" applyFont="1" applyFill="1" applyProtection="1">
      <protection locked="0"/>
    </xf>
    <xf numFmtId="0" fontId="20" fillId="20" borderId="4" xfId="0" applyFont="1" applyFill="1" applyBorder="1" applyProtection="1"/>
    <xf numFmtId="0" fontId="20" fillId="20" borderId="68" xfId="0" applyFont="1" applyFill="1" applyBorder="1" applyProtection="1"/>
    <xf numFmtId="0" fontId="20" fillId="20" borderId="7" xfId="0" applyFont="1" applyFill="1" applyBorder="1" applyProtection="1"/>
    <xf numFmtId="0" fontId="20" fillId="20" borderId="4" xfId="0" applyFont="1" applyFill="1" applyBorder="1" applyAlignment="1" applyProtection="1">
      <alignment vertical="top" wrapText="1"/>
    </xf>
    <xf numFmtId="0" fontId="20" fillId="20" borderId="0" xfId="0" applyFont="1" applyFill="1" applyBorder="1" applyAlignment="1" applyProtection="1">
      <alignment vertical="top" wrapText="1"/>
    </xf>
    <xf numFmtId="0" fontId="20" fillId="20" borderId="7" xfId="0" applyFont="1" applyFill="1" applyBorder="1" applyAlignment="1" applyProtection="1">
      <alignment vertical="top" wrapText="1"/>
    </xf>
    <xf numFmtId="1" fontId="21" fillId="14" borderId="0" xfId="0" applyNumberFormat="1" applyFont="1" applyFill="1" applyBorder="1" applyAlignment="1" applyProtection="1">
      <alignment horizontal="center"/>
    </xf>
    <xf numFmtId="0" fontId="22" fillId="14" borderId="0" xfId="0" applyFont="1" applyFill="1" applyBorder="1" applyAlignment="1" applyProtection="1">
      <alignment horizontal="right"/>
    </xf>
    <xf numFmtId="0" fontId="22" fillId="14" borderId="0" xfId="0" applyFont="1" applyFill="1" applyBorder="1" applyAlignment="1" applyProtection="1">
      <alignment vertical="top"/>
    </xf>
    <xf numFmtId="0" fontId="22" fillId="14" borderId="0" xfId="0" applyFont="1" applyFill="1" applyBorder="1" applyAlignment="1" applyProtection="1">
      <alignment vertical="top" wrapText="1"/>
    </xf>
    <xf numFmtId="0" fontId="28" fillId="14" borderId="0" xfId="0" applyFont="1" applyFill="1" applyBorder="1" applyAlignment="1" applyProtection="1">
      <alignment vertical="top" wrapText="1"/>
    </xf>
    <xf numFmtId="0" fontId="28" fillId="14" borderId="0" xfId="0" applyFont="1" applyFill="1" applyBorder="1" applyAlignment="1" applyProtection="1">
      <alignment vertical="top"/>
    </xf>
    <xf numFmtId="0" fontId="22" fillId="14" borderId="0" xfId="0" quotePrefix="1" applyFont="1" applyFill="1" applyBorder="1" applyAlignment="1" applyProtection="1">
      <alignment horizontal="right" vertical="top"/>
    </xf>
    <xf numFmtId="0" fontId="22" fillId="14" borderId="0" xfId="0" quotePrefix="1" applyFont="1" applyFill="1" applyBorder="1" applyAlignment="1" applyProtection="1">
      <alignment horizontal="right"/>
    </xf>
    <xf numFmtId="1" fontId="21" fillId="14" borderId="0" xfId="0" applyNumberFormat="1" applyFont="1" applyFill="1" applyBorder="1" applyAlignment="1" applyProtection="1">
      <alignment horizontal="center"/>
    </xf>
    <xf numFmtId="0" fontId="29" fillId="14" borderId="0" xfId="0" applyFont="1" applyFill="1" applyBorder="1" applyProtection="1"/>
    <xf numFmtId="0" fontId="30" fillId="14" borderId="0" xfId="0" applyFont="1" applyFill="1" applyBorder="1" applyProtection="1"/>
    <xf numFmtId="0" fontId="13" fillId="17" borderId="0" xfId="0" quotePrefix="1" applyFont="1" applyFill="1" applyBorder="1" applyAlignment="1" applyProtection="1">
      <alignment horizontal="right" vertical="top"/>
    </xf>
    <xf numFmtId="0" fontId="13" fillId="17" borderId="0" xfId="0" applyFont="1" applyFill="1" applyBorder="1" applyAlignment="1" applyProtection="1">
      <alignment vertical="top"/>
    </xf>
    <xf numFmtId="0" fontId="13" fillId="17" borderId="0" xfId="0" applyFont="1" applyFill="1" applyBorder="1" applyAlignment="1" applyProtection="1">
      <alignment horizontal="right" vertical="top"/>
    </xf>
    <xf numFmtId="0" fontId="13" fillId="17" borderId="0" xfId="0" applyFont="1" applyFill="1" applyBorder="1" applyAlignment="1" applyProtection="1">
      <alignment vertical="top" wrapText="1"/>
    </xf>
    <xf numFmtId="0" fontId="30" fillId="14" borderId="0" xfId="0" applyFont="1" applyFill="1" applyBorder="1" applyAlignment="1" applyProtection="1">
      <alignment vertical="center" wrapText="1"/>
    </xf>
    <xf numFmtId="0" fontId="29" fillId="14" borderId="0" xfId="0" applyFont="1" applyFill="1" applyBorder="1" applyAlignment="1" applyProtection="1">
      <alignment vertical="center"/>
    </xf>
    <xf numFmtId="0" fontId="20" fillId="14" borderId="0" xfId="0" applyFont="1" applyFill="1" applyBorder="1" applyAlignment="1" applyProtection="1">
      <alignment vertical="top"/>
    </xf>
    <xf numFmtId="0" fontId="31" fillId="14" borderId="0" xfId="0" applyFont="1" applyFill="1" applyBorder="1" applyAlignment="1" applyProtection="1"/>
    <xf numFmtId="0" fontId="30" fillId="14" borderId="0" xfId="0" applyFont="1" applyFill="1" applyBorder="1" applyAlignment="1" applyProtection="1">
      <alignment vertical="top" wrapText="1"/>
    </xf>
    <xf numFmtId="0" fontId="30" fillId="14" borderId="0" xfId="0" quotePrefix="1" applyFont="1" applyFill="1" applyBorder="1" applyAlignment="1" applyProtection="1">
      <alignment horizontal="right" vertical="top"/>
    </xf>
    <xf numFmtId="0" fontId="30" fillId="14" borderId="0" xfId="0" applyFont="1" applyFill="1" applyBorder="1" applyAlignment="1" applyProtection="1">
      <alignment vertical="top"/>
    </xf>
    <xf numFmtId="0" fontId="32" fillId="14" borderId="0" xfId="0" applyFont="1" applyFill="1" applyBorder="1" applyAlignment="1" applyProtection="1">
      <alignment vertical="top"/>
    </xf>
    <xf numFmtId="0" fontId="30" fillId="14" borderId="0" xfId="0" applyFont="1" applyFill="1" applyBorder="1" applyAlignment="1" applyProtection="1">
      <alignment horizontal="justify" vertical="top"/>
    </xf>
    <xf numFmtId="0" fontId="13" fillId="17" borderId="0" xfId="0" applyFont="1" applyFill="1" applyBorder="1" applyAlignment="1" applyProtection="1">
      <alignment horizontal="justify" vertical="top" wrapText="1"/>
    </xf>
    <xf numFmtId="0" fontId="30" fillId="14" borderId="0" xfId="0" applyNumberFormat="1" applyFont="1" applyFill="1" applyBorder="1" applyAlignment="1" applyProtection="1">
      <alignment vertical="top" wrapText="1"/>
    </xf>
    <xf numFmtId="0" fontId="30" fillId="14" borderId="0" xfId="0" applyFont="1" applyFill="1" applyBorder="1" applyAlignment="1" applyProtection="1">
      <alignment horizontal="justify" vertical="top" wrapText="1"/>
    </xf>
    <xf numFmtId="0" fontId="32" fillId="14" borderId="0" xfId="0" applyFont="1" applyFill="1" applyBorder="1" applyAlignment="1" applyProtection="1">
      <alignment horizontal="justify" vertical="top" wrapText="1"/>
    </xf>
    <xf numFmtId="0" fontId="30" fillId="14" borderId="0" xfId="0" applyNumberFormat="1" applyFont="1" applyFill="1" applyBorder="1" applyAlignment="1" applyProtection="1">
      <alignment horizontal="justify" vertical="top" wrapText="1"/>
    </xf>
    <xf numFmtId="0" fontId="30" fillId="14" borderId="0" xfId="0" applyFont="1" applyFill="1" applyBorder="1" applyAlignment="1" applyProtection="1">
      <alignment wrapText="1"/>
    </xf>
    <xf numFmtId="0" fontId="22" fillId="14" borderId="25" xfId="0" applyFont="1" applyFill="1" applyBorder="1" applyAlignment="1" applyProtection="1">
      <alignment vertical="center" wrapText="1"/>
    </xf>
    <xf numFmtId="0" fontId="22" fillId="14" borderId="31" xfId="0" applyFont="1" applyFill="1" applyBorder="1" applyAlignment="1" applyProtection="1">
      <alignment vertical="center" wrapText="1"/>
    </xf>
    <xf numFmtId="0" fontId="22" fillId="14" borderId="6" xfId="0" applyFont="1" applyFill="1" applyBorder="1" applyAlignment="1" applyProtection="1">
      <alignment vertical="center" wrapText="1"/>
    </xf>
    <xf numFmtId="0" fontId="22" fillId="14" borderId="7" xfId="0" applyFont="1" applyFill="1" applyBorder="1" applyAlignment="1" applyProtection="1">
      <alignment vertical="center" wrapText="1"/>
    </xf>
    <xf numFmtId="0" fontId="20" fillId="23" borderId="0" xfId="0" applyFont="1" applyFill="1" applyBorder="1" applyProtection="1"/>
    <xf numFmtId="0" fontId="20" fillId="23" borderId="56" xfId="0" applyFont="1" applyFill="1" applyBorder="1" applyAlignment="1" applyProtection="1">
      <alignment horizontal="center" vertical="center"/>
    </xf>
    <xf numFmtId="0" fontId="20" fillId="23" borderId="56" xfId="0" applyFont="1" applyFill="1" applyBorder="1" applyAlignment="1" applyProtection="1">
      <alignment vertical="center"/>
    </xf>
    <xf numFmtId="0" fontId="20" fillId="23" borderId="73" xfId="0" applyFont="1" applyFill="1" applyBorder="1" applyAlignment="1" applyProtection="1">
      <alignment vertical="center"/>
    </xf>
    <xf numFmtId="0" fontId="20" fillId="23" borderId="0" xfId="0" applyFont="1" applyFill="1" applyBorder="1" applyAlignment="1" applyProtection="1">
      <alignment horizontal="center" vertical="center"/>
    </xf>
    <xf numFmtId="0" fontId="33" fillId="23" borderId="0" xfId="0" applyFont="1" applyFill="1" applyBorder="1" applyAlignment="1" applyProtection="1">
      <alignment horizontal="right" vertical="center"/>
    </xf>
    <xf numFmtId="0" fontId="20" fillId="23" borderId="0" xfId="0" applyFont="1" applyFill="1" applyBorder="1" applyAlignment="1" applyProtection="1">
      <alignment vertical="center"/>
    </xf>
    <xf numFmtId="0" fontId="20" fillId="23" borderId="7" xfId="0" applyFont="1" applyFill="1" applyBorder="1" applyAlignment="1" applyProtection="1">
      <alignment vertical="center"/>
    </xf>
    <xf numFmtId="0" fontId="20" fillId="23" borderId="4" xfId="0" applyFont="1" applyFill="1" applyBorder="1" applyProtection="1"/>
    <xf numFmtId="0" fontId="20" fillId="23" borderId="0" xfId="0" applyFont="1" applyFill="1" applyBorder="1" applyAlignment="1" applyProtection="1">
      <alignment horizontal="center"/>
    </xf>
    <xf numFmtId="0" fontId="20" fillId="23" borderId="54" xfId="0" applyFont="1" applyFill="1" applyBorder="1" applyAlignment="1" applyProtection="1">
      <alignment horizontal="center" vertical="center"/>
    </xf>
    <xf numFmtId="0" fontId="20" fillId="23" borderId="54" xfId="0" applyFont="1" applyFill="1" applyBorder="1" applyAlignment="1" applyProtection="1">
      <alignment vertical="center"/>
    </xf>
    <xf numFmtId="0" fontId="20" fillId="23" borderId="74" xfId="0" applyFont="1" applyFill="1" applyBorder="1" applyAlignment="1" applyProtection="1">
      <alignment vertical="center"/>
    </xf>
    <xf numFmtId="0" fontId="20" fillId="23" borderId="66" xfId="0" applyFont="1" applyFill="1" applyBorder="1" applyProtection="1"/>
    <xf numFmtId="0" fontId="20" fillId="23" borderId="56" xfId="0" applyFont="1" applyFill="1" applyBorder="1" applyProtection="1"/>
    <xf numFmtId="0" fontId="20" fillId="23" borderId="56" xfId="0" applyFont="1" applyFill="1" applyBorder="1" applyAlignment="1" applyProtection="1">
      <alignment horizontal="center"/>
    </xf>
    <xf numFmtId="0" fontId="20" fillId="23" borderId="7" xfId="0" applyFont="1" applyFill="1" applyBorder="1" applyProtection="1"/>
    <xf numFmtId="0" fontId="34" fillId="23" borderId="54" xfId="0" applyFont="1" applyFill="1" applyBorder="1" applyAlignment="1" applyProtection="1">
      <alignment vertical="center"/>
    </xf>
    <xf numFmtId="44" fontId="21" fillId="14" borderId="0" xfId="2" applyFont="1" applyFill="1" applyBorder="1" applyAlignment="1" applyProtection="1">
      <alignment horizontal="center"/>
    </xf>
    <xf numFmtId="1" fontId="21" fillId="14" borderId="0" xfId="0" applyNumberFormat="1" applyFont="1" applyFill="1" applyBorder="1" applyAlignment="1" applyProtection="1">
      <alignment horizontal="center"/>
    </xf>
    <xf numFmtId="0" fontId="20" fillId="14" borderId="0" xfId="0" applyFont="1" applyFill="1" applyBorder="1" applyAlignment="1" applyProtection="1">
      <alignment horizontal="center"/>
    </xf>
    <xf numFmtId="0" fontId="13" fillId="17" borderId="0" xfId="0" applyFont="1" applyFill="1" applyBorder="1" applyAlignment="1" applyProtection="1">
      <alignment horizontal="justify" vertical="top" wrapText="1"/>
    </xf>
    <xf numFmtId="44" fontId="20" fillId="14" borderId="0" xfId="2" applyFont="1" applyFill="1" applyBorder="1" applyAlignment="1" applyProtection="1">
      <alignment horizontal="center"/>
    </xf>
    <xf numFmtId="0" fontId="32" fillId="14" borderId="0" xfId="0" applyFont="1" applyFill="1" applyBorder="1" applyAlignment="1" applyProtection="1">
      <alignment vertical="top" wrapText="1"/>
    </xf>
    <xf numFmtId="0" fontId="30" fillId="14" borderId="0" xfId="0" applyFont="1" applyFill="1" applyBorder="1" applyAlignment="1" applyProtection="1">
      <alignment horizontal="center" vertical="top" wrapText="1"/>
    </xf>
    <xf numFmtId="1" fontId="21" fillId="14" borderId="0" xfId="0" applyNumberFormat="1" applyFont="1" applyFill="1" applyBorder="1" applyAlignment="1" applyProtection="1">
      <alignment horizontal="center"/>
    </xf>
    <xf numFmtId="1" fontId="21" fillId="14" borderId="0" xfId="0" applyNumberFormat="1" applyFont="1" applyFill="1" applyBorder="1" applyAlignment="1" applyProtection="1">
      <alignment horizontal="center"/>
    </xf>
    <xf numFmtId="0" fontId="21" fillId="14" borderId="68" xfId="0" applyFont="1" applyFill="1" applyBorder="1" applyAlignment="1" applyProtection="1"/>
    <xf numFmtId="192" fontId="20" fillId="14" borderId="0" xfId="2" applyNumberFormat="1" applyFont="1" applyFill="1" applyBorder="1" applyAlignment="1" applyProtection="1">
      <alignment horizontal="center"/>
    </xf>
    <xf numFmtId="0" fontId="24" fillId="14" borderId="0" xfId="0" applyFont="1" applyFill="1" applyBorder="1" applyAlignment="1" applyProtection="1">
      <alignment horizontal="left" wrapText="1" indent="1"/>
    </xf>
    <xf numFmtId="0" fontId="22" fillId="14" borderId="0" xfId="0" applyNumberFormat="1" applyFont="1" applyFill="1" applyBorder="1" applyAlignment="1" applyProtection="1">
      <alignment vertical="top" wrapText="1"/>
    </xf>
    <xf numFmtId="0" fontId="22" fillId="0" borderId="0" xfId="0" applyFont="1" applyFill="1" applyBorder="1"/>
    <xf numFmtId="0" fontId="22" fillId="0" borderId="0" xfId="0" applyFont="1" applyFill="1" applyBorder="1" applyAlignment="1" applyProtection="1">
      <alignment vertical="center" wrapText="1"/>
    </xf>
    <xf numFmtId="0" fontId="20" fillId="14" borderId="56" xfId="0" applyFont="1" applyFill="1" applyBorder="1" applyAlignment="1" applyProtection="1">
      <alignment horizontal="left"/>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0" fontId="20" fillId="14" borderId="4" xfId="0" applyFont="1" applyFill="1" applyBorder="1" applyAlignment="1" applyProtection="1">
      <alignment horizontal="left"/>
    </xf>
    <xf numFmtId="0" fontId="20" fillId="14" borderId="54" xfId="0" applyFont="1" applyFill="1" applyBorder="1" applyAlignment="1" applyProtection="1">
      <alignment horizontal="center"/>
    </xf>
    <xf numFmtId="0" fontId="21" fillId="14" borderId="54" xfId="0" applyFont="1" applyFill="1" applyBorder="1" applyAlignment="1" applyProtection="1">
      <alignment horizontal="left"/>
    </xf>
    <xf numFmtId="44" fontId="21" fillId="14" borderId="7" xfId="2" applyFont="1" applyFill="1" applyBorder="1" applyAlignment="1" applyProtection="1">
      <alignment horizontal="center"/>
    </xf>
    <xf numFmtId="0" fontId="21" fillId="14" borderId="74" xfId="0" applyFont="1" applyFill="1" applyBorder="1" applyAlignment="1" applyProtection="1">
      <alignment horizontal="left"/>
    </xf>
    <xf numFmtId="192" fontId="21" fillId="14" borderId="54" xfId="1" applyNumberFormat="1" applyFont="1" applyFill="1" applyBorder="1" applyAlignment="1" applyProtection="1">
      <alignment horizontal="left" shrinkToFit="1"/>
    </xf>
    <xf numFmtId="1" fontId="21" fillId="14" borderId="54" xfId="0" applyNumberFormat="1" applyFont="1" applyFill="1" applyBorder="1" applyAlignment="1" applyProtection="1">
      <alignment horizontal="center"/>
    </xf>
    <xf numFmtId="187" fontId="21" fillId="14" borderId="54" xfId="2" applyNumberFormat="1" applyFont="1" applyFill="1" applyBorder="1" applyAlignment="1" applyProtection="1">
      <alignment horizontal="left" shrinkToFit="1"/>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21" fillId="14" borderId="4" xfId="0" applyFont="1" applyFill="1" applyBorder="1" applyProtection="1"/>
    <xf numFmtId="0" fontId="21" fillId="14" borderId="56" xfId="0" applyFont="1" applyFill="1" applyBorder="1" applyAlignment="1" applyProtection="1">
      <alignment horizontal="center"/>
    </xf>
    <xf numFmtId="176" fontId="20" fillId="14" borderId="0" xfId="2" applyNumberFormat="1" applyFont="1" applyFill="1" applyBorder="1" applyAlignment="1" applyProtection="1">
      <alignment horizontal="center"/>
    </xf>
    <xf numFmtId="44" fontId="20" fillId="14" borderId="7" xfId="2" applyFont="1" applyFill="1" applyBorder="1" applyAlignment="1" applyProtection="1">
      <alignment horizontal="center"/>
    </xf>
    <xf numFmtId="0" fontId="21" fillId="0" borderId="0" xfId="0" applyFont="1" applyFill="1" applyBorder="1" applyAlignment="1" applyProtection="1"/>
    <xf numFmtId="0" fontId="15" fillId="0" borderId="4" xfId="0" applyFont="1" applyBorder="1"/>
    <xf numFmtId="0" fontId="17" fillId="0" borderId="0" xfId="0" applyFont="1" applyBorder="1"/>
    <xf numFmtId="0" fontId="18" fillId="0" borderId="0" xfId="0" applyFont="1" applyBorder="1"/>
    <xf numFmtId="0" fontId="17" fillId="0" borderId="0" xfId="0" applyFont="1"/>
    <xf numFmtId="0" fontId="17" fillId="28" borderId="0" xfId="0" applyFont="1" applyFill="1" applyBorder="1"/>
    <xf numFmtId="0" fontId="17" fillId="29" borderId="0" xfId="0" applyFont="1" applyFill="1" applyBorder="1"/>
    <xf numFmtId="0" fontId="18" fillId="29" borderId="0" xfId="0" applyFont="1" applyFill="1" applyBorder="1"/>
    <xf numFmtId="0" fontId="36" fillId="29" borderId="0" xfId="0" applyFont="1" applyFill="1" applyBorder="1"/>
    <xf numFmtId="0" fontId="37" fillId="29" borderId="0" xfId="0" applyFont="1" applyFill="1" applyBorder="1"/>
    <xf numFmtId="0" fontId="30" fillId="14" borderId="0" xfId="0" applyFont="1" applyFill="1" applyBorder="1" applyAlignment="1" applyProtection="1">
      <alignment horizontal="left" vertical="top"/>
    </xf>
    <xf numFmtId="0" fontId="20" fillId="23" borderId="84" xfId="0" applyFont="1" applyFill="1" applyBorder="1" applyProtection="1"/>
    <xf numFmtId="0" fontId="15" fillId="23" borderId="84" xfId="0" applyFont="1" applyFill="1" applyBorder="1" applyProtection="1"/>
    <xf numFmtId="0" fontId="21" fillId="14" borderId="0" xfId="0" applyFont="1" applyFill="1" applyBorder="1" applyAlignment="1" applyProtection="1">
      <alignment horizontal="right"/>
    </xf>
    <xf numFmtId="0" fontId="30" fillId="14" borderId="0" xfId="0" applyFont="1" applyFill="1" applyBorder="1" applyAlignment="1" applyProtection="1">
      <alignment horizontal="right"/>
    </xf>
    <xf numFmtId="0" fontId="21" fillId="14" borderId="53" xfId="0" applyFont="1" applyFill="1" applyBorder="1" applyProtection="1"/>
    <xf numFmtId="0" fontId="22" fillId="14" borderId="0" xfId="0" applyFont="1" applyFill="1" applyBorder="1" applyAlignment="1" applyProtection="1">
      <alignment vertical="center"/>
    </xf>
    <xf numFmtId="0" fontId="30" fillId="14" borderId="0" xfId="0" applyFont="1" applyFill="1" applyBorder="1" applyAlignment="1" applyProtection="1">
      <alignment vertical="center"/>
    </xf>
    <xf numFmtId="0" fontId="30" fillId="14" borderId="0" xfId="0" quotePrefix="1" applyFont="1" applyFill="1" applyBorder="1" applyAlignment="1" applyProtection="1">
      <alignment horizontal="right"/>
    </xf>
    <xf numFmtId="0" fontId="6" fillId="0" borderId="31" xfId="4" applyFont="1" applyBorder="1" applyAlignment="1" applyProtection="1">
      <alignment horizontal="center"/>
      <protection locked="0"/>
    </xf>
    <xf numFmtId="0" fontId="5" fillId="0" borderId="4" xfId="4" applyFont="1" applyBorder="1" applyAlignment="1" applyProtection="1">
      <alignment vertical="center"/>
      <protection locked="0"/>
    </xf>
    <xf numFmtId="0" fontId="5" fillId="0" borderId="0" xfId="4" applyFont="1" applyBorder="1" applyAlignment="1" applyProtection="1">
      <alignment vertical="center"/>
      <protection locked="0"/>
    </xf>
    <xf numFmtId="0" fontId="5" fillId="0" borderId="7" xfId="4" applyFont="1" applyBorder="1" applyAlignment="1" applyProtection="1">
      <alignment vertical="center"/>
      <protection locked="0"/>
    </xf>
    <xf numFmtId="0" fontId="22" fillId="0" borderId="0" xfId="0" applyFont="1" applyFill="1" applyBorder="1" applyAlignment="1"/>
    <xf numFmtId="187" fontId="21" fillId="20" borderId="54" xfId="0" applyNumberFormat="1" applyFont="1" applyFill="1" applyBorder="1" applyAlignment="1" applyProtection="1">
      <alignment horizontal="left"/>
    </xf>
    <xf numFmtId="0" fontId="21" fillId="14" borderId="54" xfId="0" applyFont="1" applyFill="1" applyBorder="1" applyAlignment="1" applyProtection="1">
      <alignment horizontal="left"/>
    </xf>
    <xf numFmtId="0" fontId="21" fillId="14" borderId="74" xfId="0" applyFont="1" applyFill="1" applyBorder="1" applyAlignment="1" applyProtection="1">
      <alignment horizontal="left"/>
    </xf>
    <xf numFmtId="0" fontId="20" fillId="14" borderId="0" xfId="0" applyFont="1" applyFill="1" applyBorder="1" applyAlignment="1" applyProtection="1">
      <alignment horizontal="center"/>
    </xf>
    <xf numFmtId="187" fontId="21" fillId="20" borderId="74" xfId="0" applyNumberFormat="1" applyFont="1" applyFill="1" applyBorder="1" applyAlignment="1" applyProtection="1">
      <alignment horizontal="left"/>
    </xf>
    <xf numFmtId="0" fontId="20" fillId="14" borderId="54" xfId="0" applyFont="1" applyFill="1" applyBorder="1" applyAlignment="1" applyProtection="1">
      <alignment horizontal="left"/>
    </xf>
    <xf numFmtId="0" fontId="20" fillId="14" borderId="74" xfId="0" applyFont="1" applyFill="1" applyBorder="1" applyAlignment="1" applyProtection="1">
      <alignment horizontal="left"/>
    </xf>
    <xf numFmtId="0" fontId="20" fillId="14" borderId="7" xfId="0" applyFont="1" applyFill="1" applyBorder="1" applyAlignment="1" applyProtection="1">
      <alignment vertical="top" wrapText="1"/>
    </xf>
    <xf numFmtId="0" fontId="20" fillId="18" borderId="25" xfId="0" quotePrefix="1" applyFont="1" applyFill="1" applyBorder="1" applyAlignment="1" applyProtection="1"/>
    <xf numFmtId="0" fontId="21" fillId="18" borderId="31" xfId="0" applyFont="1" applyFill="1" applyBorder="1" applyAlignment="1" applyProtection="1"/>
    <xf numFmtId="0" fontId="21" fillId="18" borderId="6" xfId="0" applyFont="1" applyFill="1" applyBorder="1" applyAlignment="1" applyProtection="1"/>
    <xf numFmtId="0" fontId="20" fillId="18" borderId="4" xfId="0" applyFont="1" applyFill="1" applyBorder="1" applyAlignment="1" applyProtection="1">
      <alignment horizontal="left" vertical="center" indent="2"/>
    </xf>
    <xf numFmtId="0" fontId="20" fillId="18" borderId="7" xfId="0" applyFont="1" applyFill="1" applyBorder="1" applyAlignment="1" applyProtection="1">
      <alignment vertical="center"/>
    </xf>
    <xf numFmtId="0" fontId="15" fillId="18" borderId="4" xfId="0" applyFont="1" applyFill="1" applyBorder="1" applyAlignment="1">
      <alignment horizontal="left" vertical="center" indent="2"/>
    </xf>
    <xf numFmtId="0" fontId="20" fillId="18" borderId="4" xfId="0" applyFont="1" applyFill="1" applyBorder="1" applyAlignment="1" applyProtection="1">
      <alignment horizontal="left" indent="2"/>
    </xf>
    <xf numFmtId="0" fontId="21" fillId="18" borderId="0" xfId="0" applyFont="1" applyFill="1" applyBorder="1" applyAlignment="1" applyProtection="1"/>
    <xf numFmtId="0" fontId="21" fillId="18" borderId="7" xfId="0" applyFont="1" applyFill="1" applyBorder="1" applyAlignment="1" applyProtection="1"/>
    <xf numFmtId="0" fontId="11" fillId="14" borderId="4" xfId="0" applyFont="1" applyFill="1" applyBorder="1" applyAlignment="1" applyProtection="1">
      <alignment horizontal="left" vertical="center"/>
    </xf>
    <xf numFmtId="0" fontId="11" fillId="14" borderId="0" xfId="0" applyFont="1" applyFill="1" applyBorder="1" applyAlignment="1" applyProtection="1">
      <alignment horizontal="left" vertical="center"/>
    </xf>
    <xf numFmtId="0" fontId="20" fillId="16" borderId="4" xfId="0" applyFont="1" applyFill="1" applyBorder="1" applyProtection="1"/>
    <xf numFmtId="0" fontId="22" fillId="14" borderId="4" xfId="0" quotePrefix="1" applyFont="1" applyFill="1" applyBorder="1" applyAlignment="1" applyProtection="1">
      <alignment vertical="center"/>
    </xf>
    <xf numFmtId="0" fontId="22" fillId="14" borderId="4" xfId="0" quotePrefix="1" applyFont="1" applyFill="1" applyBorder="1" applyAlignment="1" applyProtection="1">
      <alignment horizontal="left"/>
    </xf>
    <xf numFmtId="0" fontId="22" fillId="14" borderId="4" xfId="0" quotePrefix="1" applyFont="1" applyFill="1" applyBorder="1" applyProtection="1"/>
    <xf numFmtId="0" fontId="43" fillId="0" borderId="0" xfId="0" applyFont="1"/>
    <xf numFmtId="0" fontId="48" fillId="0" borderId="2" xfId="0" applyFont="1" applyFill="1" applyBorder="1" applyAlignment="1" applyProtection="1">
      <alignment horizontal="center" vertical="center" wrapText="1"/>
      <protection locked="0"/>
    </xf>
    <xf numFmtId="9" fontId="48" fillId="0" borderId="21" xfId="0" applyNumberFormat="1" applyFont="1" applyFill="1" applyBorder="1" applyAlignment="1" applyProtection="1">
      <alignment horizontal="center" vertical="center" wrapText="1"/>
      <protection locked="0"/>
    </xf>
    <xf numFmtId="0" fontId="44" fillId="0" borderId="7" xfId="0" applyFont="1" applyFill="1" applyBorder="1" applyProtection="1"/>
    <xf numFmtId="0" fontId="44" fillId="0" borderId="7" xfId="0" applyFont="1" applyFill="1" applyBorder="1" applyAlignment="1" applyProtection="1"/>
    <xf numFmtId="0" fontId="49" fillId="0" borderId="0" xfId="0" applyFont="1" applyBorder="1" applyAlignment="1" applyProtection="1">
      <alignment horizontal="center"/>
    </xf>
    <xf numFmtId="0" fontId="49" fillId="0" borderId="0" xfId="0" applyFont="1" applyBorder="1" applyAlignment="1" applyProtection="1">
      <alignment horizontal="center" wrapText="1"/>
    </xf>
    <xf numFmtId="0" fontId="49" fillId="0" borderId="0" xfId="0" applyFont="1" applyAlignment="1" applyProtection="1">
      <alignment horizontal="center"/>
    </xf>
    <xf numFmtId="0" fontId="49" fillId="0" borderId="0" xfId="0" applyFont="1" applyAlignment="1" applyProtection="1">
      <alignment horizontal="center" wrapText="1"/>
    </xf>
    <xf numFmtId="0" fontId="43" fillId="0" borderId="0" xfId="0" applyFont="1" applyBorder="1" applyAlignment="1" applyProtection="1">
      <alignment wrapText="1"/>
    </xf>
    <xf numFmtId="0" fontId="43" fillId="0" borderId="0" xfId="0" applyFont="1" applyBorder="1" applyProtection="1"/>
    <xf numFmtId="17" fontId="43" fillId="0" borderId="0" xfId="0" applyNumberFormat="1" applyFont="1" applyFill="1" applyBorder="1" applyAlignment="1" applyProtection="1">
      <alignment wrapText="1"/>
    </xf>
    <xf numFmtId="0" fontId="43" fillId="0" borderId="0" xfId="0" applyFont="1" applyBorder="1"/>
    <xf numFmtId="0" fontId="43" fillId="0" borderId="0" xfId="0" applyNumberFormat="1" applyFont="1" applyBorder="1" applyAlignment="1" applyProtection="1">
      <alignment horizontal="left"/>
    </xf>
    <xf numFmtId="15" fontId="43" fillId="0" borderId="0" xfId="0" applyNumberFormat="1" applyFont="1" applyBorder="1" applyAlignment="1" applyProtection="1">
      <alignment horizontal="left"/>
    </xf>
    <xf numFmtId="177" fontId="43" fillId="0" borderId="0" xfId="0" applyNumberFormat="1" applyFont="1" applyBorder="1" applyAlignment="1" applyProtection="1">
      <alignment horizontal="right"/>
    </xf>
    <xf numFmtId="0" fontId="43" fillId="0" borderId="0" xfId="0" applyFont="1" applyFill="1" applyBorder="1" applyProtection="1"/>
    <xf numFmtId="0" fontId="41" fillId="0" borderId="0" xfId="0" applyFont="1" applyBorder="1" applyProtection="1"/>
    <xf numFmtId="0" fontId="43" fillId="0" borderId="0" xfId="4" applyFont="1"/>
    <xf numFmtId="0" fontId="49" fillId="0" borderId="0" xfId="0" applyFont="1" applyBorder="1"/>
    <xf numFmtId="15" fontId="41" fillId="0" borderId="0" xfId="0" applyNumberFormat="1" applyFont="1" applyBorder="1" applyAlignment="1" applyProtection="1">
      <alignment horizontal="left"/>
    </xf>
    <xf numFmtId="0" fontId="43" fillId="0" borderId="0" xfId="0" applyNumberFormat="1" applyFont="1" applyFill="1" applyBorder="1" applyAlignment="1" applyProtection="1">
      <alignment horizontal="left"/>
    </xf>
    <xf numFmtId="0" fontId="41" fillId="0" borderId="0" xfId="0" applyFont="1" applyFill="1" applyBorder="1" applyProtection="1"/>
    <xf numFmtId="0" fontId="49" fillId="0" borderId="0" xfId="0" applyFont="1" applyBorder="1" applyProtection="1"/>
    <xf numFmtId="0" fontId="51" fillId="0" borderId="0" xfId="0" applyFont="1" applyBorder="1"/>
    <xf numFmtId="0" fontId="52" fillId="0" borderId="0" xfId="0" applyFont="1" applyBorder="1"/>
    <xf numFmtId="15" fontId="51" fillId="0" borderId="0" xfId="0" applyNumberFormat="1" applyFont="1" applyBorder="1" applyAlignment="1" applyProtection="1">
      <alignment horizontal="left"/>
    </xf>
    <xf numFmtId="0" fontId="51" fillId="0" borderId="0" xfId="0" applyFont="1" applyBorder="1" applyProtection="1"/>
    <xf numFmtId="15" fontId="53" fillId="0" borderId="0" xfId="0" applyNumberFormat="1" applyFont="1" applyBorder="1" applyAlignment="1" applyProtection="1">
      <alignment horizontal="left"/>
    </xf>
    <xf numFmtId="0" fontId="53" fillId="0" borderId="0" xfId="0" applyFont="1" applyBorder="1" applyProtection="1"/>
    <xf numFmtId="0" fontId="56" fillId="3" borderId="0" xfId="0" applyFont="1" applyFill="1" applyProtection="1"/>
    <xf numFmtId="0" fontId="43" fillId="3" borderId="0" xfId="0" applyFont="1" applyFill="1" applyProtection="1"/>
    <xf numFmtId="0" fontId="43" fillId="0" borderId="0" xfId="0" applyFont="1" applyProtection="1">
      <protection hidden="1"/>
    </xf>
    <xf numFmtId="0" fontId="43" fillId="3" borderId="4" xfId="0" applyFont="1" applyFill="1" applyBorder="1" applyAlignment="1" applyProtection="1">
      <alignment horizontal="right"/>
    </xf>
    <xf numFmtId="0" fontId="43" fillId="0" borderId="37" xfId="0" applyFont="1" applyFill="1" applyBorder="1" applyAlignment="1" applyProtection="1">
      <alignment horizontal="right"/>
      <protection locked="0"/>
    </xf>
    <xf numFmtId="0" fontId="43" fillId="3" borderId="0" xfId="0" applyFont="1" applyFill="1" applyBorder="1" applyProtection="1"/>
    <xf numFmtId="0" fontId="43" fillId="0" borderId="1" xfId="0" applyFont="1" applyFill="1" applyBorder="1" applyAlignment="1" applyProtection="1">
      <alignment horizontal="right"/>
      <protection locked="0"/>
    </xf>
    <xf numFmtId="0" fontId="43" fillId="3" borderId="16" xfId="0" applyFont="1" applyFill="1" applyBorder="1" applyProtection="1"/>
    <xf numFmtId="0" fontId="43" fillId="0" borderId="4" xfId="0" applyFont="1" applyFill="1" applyBorder="1" applyProtection="1">
      <protection locked="0"/>
    </xf>
    <xf numFmtId="0" fontId="43" fillId="18" borderId="15" xfId="0" applyFont="1" applyFill="1" applyBorder="1" applyProtection="1"/>
    <xf numFmtId="0" fontId="43" fillId="6" borderId="18" xfId="0" applyFont="1" applyFill="1" applyBorder="1" applyProtection="1"/>
    <xf numFmtId="0" fontId="43" fillId="9" borderId="27" xfId="3" applyFont="1" applyFill="1" applyBorder="1" applyAlignment="1" applyProtection="1">
      <alignment horizontal="center"/>
    </xf>
    <xf numFmtId="0" fontId="43" fillId="6" borderId="36" xfId="0" applyFont="1" applyFill="1" applyBorder="1" applyProtection="1"/>
    <xf numFmtId="0" fontId="43" fillId="12" borderId="27" xfId="3" applyFont="1" applyFill="1" applyBorder="1" applyAlignment="1" applyProtection="1">
      <alignment horizontal="center"/>
    </xf>
    <xf numFmtId="0" fontId="43" fillId="0" borderId="0" xfId="0" applyFont="1" applyFill="1" applyBorder="1" applyAlignment="1" applyProtection="1">
      <alignment horizontal="left"/>
      <protection hidden="1"/>
    </xf>
    <xf numFmtId="183" fontId="43" fillId="0" borderId="1" xfId="0" applyNumberFormat="1" applyFont="1" applyFill="1" applyBorder="1" applyProtection="1">
      <protection locked="0"/>
    </xf>
    <xf numFmtId="0" fontId="43" fillId="3" borderId="10" xfId="0" applyFont="1" applyFill="1" applyBorder="1" applyAlignment="1" applyProtection="1">
      <alignment horizontal="center"/>
    </xf>
    <xf numFmtId="0" fontId="43" fillId="12" borderId="37" xfId="3" applyFont="1" applyFill="1" applyBorder="1" applyAlignment="1" applyProtection="1">
      <alignment horizontal="center"/>
    </xf>
    <xf numFmtId="14" fontId="43" fillId="0" borderId="1" xfId="0" applyNumberFormat="1" applyFont="1" applyFill="1" applyBorder="1" applyProtection="1">
      <protection locked="0"/>
    </xf>
    <xf numFmtId="14" fontId="43" fillId="3" borderId="8" xfId="0" applyNumberFormat="1" applyFont="1" applyFill="1" applyBorder="1" applyProtection="1"/>
    <xf numFmtId="11" fontId="43" fillId="0" borderId="1" xfId="0" applyNumberFormat="1" applyFont="1" applyFill="1" applyBorder="1" applyAlignment="1" applyProtection="1">
      <alignment horizontal="right"/>
      <protection locked="0"/>
    </xf>
    <xf numFmtId="0" fontId="43" fillId="0" borderId="1" xfId="0" applyFont="1" applyFill="1" applyBorder="1" applyProtection="1">
      <protection locked="0"/>
    </xf>
    <xf numFmtId="0" fontId="43" fillId="3" borderId="10" xfId="0" applyFont="1" applyFill="1" applyBorder="1" applyProtection="1"/>
    <xf numFmtId="0" fontId="43" fillId="0" borderId="1" xfId="0" applyFont="1" applyBorder="1" applyProtection="1">
      <protection locked="0"/>
    </xf>
    <xf numFmtId="2" fontId="43" fillId="3" borderId="8" xfId="0" applyNumberFormat="1" applyFont="1" applyFill="1" applyBorder="1" applyProtection="1"/>
    <xf numFmtId="0" fontId="43" fillId="10" borderId="27" xfId="3" applyFont="1" applyFill="1" applyBorder="1" applyAlignment="1" applyProtection="1">
      <alignment horizontal="center"/>
    </xf>
    <xf numFmtId="179" fontId="43" fillId="3" borderId="33" xfId="0" applyNumberFormat="1" applyFont="1" applyFill="1" applyBorder="1" applyProtection="1"/>
    <xf numFmtId="0" fontId="43" fillId="18" borderId="27" xfId="0" applyFont="1" applyFill="1" applyBorder="1" applyProtection="1"/>
    <xf numFmtId="179" fontId="43" fillId="3" borderId="26" xfId="0" applyNumberFormat="1" applyFont="1" applyFill="1" applyBorder="1" applyProtection="1"/>
    <xf numFmtId="179" fontId="43" fillId="3" borderId="38" xfId="2" applyNumberFormat="1" applyFont="1" applyFill="1" applyBorder="1" applyProtection="1"/>
    <xf numFmtId="0" fontId="43" fillId="8" borderId="36" xfId="0" applyFont="1" applyFill="1" applyBorder="1" applyProtection="1"/>
    <xf numFmtId="0" fontId="43" fillId="11" borderId="27" xfId="3" applyFont="1" applyFill="1" applyBorder="1" applyAlignment="1" applyProtection="1">
      <alignment horizontal="center"/>
    </xf>
    <xf numFmtId="0" fontId="43" fillId="0" borderId="2" xfId="0" applyFont="1" applyFill="1" applyBorder="1" applyProtection="1"/>
    <xf numFmtId="0" fontId="43" fillId="3" borderId="3" xfId="0" applyFont="1" applyFill="1" applyBorder="1" applyProtection="1"/>
    <xf numFmtId="15" fontId="43" fillId="0" borderId="0" xfId="0" applyNumberFormat="1" applyFont="1" applyFill="1" applyBorder="1" applyProtection="1">
      <protection locked="0"/>
    </xf>
    <xf numFmtId="4" fontId="43" fillId="0" borderId="0" xfId="0" applyNumberFormat="1" applyFont="1" applyFill="1" applyBorder="1" applyProtection="1">
      <protection locked="0"/>
    </xf>
    <xf numFmtId="0" fontId="43" fillId="8" borderId="18" xfId="0" applyFont="1" applyFill="1" applyBorder="1" applyProtection="1"/>
    <xf numFmtId="0" fontId="43" fillId="13" borderId="27" xfId="3" applyFont="1" applyFill="1" applyBorder="1" applyAlignment="1" applyProtection="1">
      <alignment horizontal="center"/>
    </xf>
    <xf numFmtId="0" fontId="43" fillId="3" borderId="18" xfId="0" applyFont="1" applyFill="1" applyBorder="1" applyProtection="1"/>
    <xf numFmtId="0" fontId="58" fillId="3" borderId="0" xfId="0" applyFont="1" applyFill="1" applyBorder="1" applyAlignment="1" applyProtection="1">
      <alignment horizontal="left"/>
    </xf>
    <xf numFmtId="0" fontId="58" fillId="3" borderId="7" xfId="0" applyFont="1" applyFill="1" applyBorder="1" applyAlignment="1" applyProtection="1">
      <alignment horizontal="left"/>
    </xf>
    <xf numFmtId="0" fontId="43" fillId="3" borderId="21" xfId="0" applyFont="1" applyFill="1" applyBorder="1" applyProtection="1"/>
    <xf numFmtId="0" fontId="58" fillId="3" borderId="8" xfId="0" applyFont="1" applyFill="1" applyBorder="1" applyAlignment="1" applyProtection="1">
      <alignment horizontal="left"/>
    </xf>
    <xf numFmtId="0" fontId="58" fillId="3" borderId="9" xfId="0" applyFont="1" applyFill="1" applyBorder="1" applyAlignment="1" applyProtection="1">
      <alignment horizontal="left"/>
    </xf>
    <xf numFmtId="0" fontId="43" fillId="6" borderId="21" xfId="0" applyFont="1" applyFill="1" applyBorder="1" applyProtection="1"/>
    <xf numFmtId="4" fontId="43" fillId="0" borderId="7" xfId="0" applyNumberFormat="1" applyFont="1" applyFill="1" applyBorder="1" applyProtection="1">
      <protection locked="0"/>
    </xf>
    <xf numFmtId="0" fontId="43" fillId="3" borderId="0" xfId="0" applyFont="1" applyFill="1" applyAlignment="1" applyProtection="1">
      <alignment horizontal="left"/>
    </xf>
    <xf numFmtId="0" fontId="43" fillId="0" borderId="0" xfId="0" applyFont="1" applyProtection="1"/>
    <xf numFmtId="15" fontId="43" fillId="0" borderId="30" xfId="0" applyNumberFormat="1" applyFont="1" applyFill="1" applyBorder="1" applyAlignment="1" applyProtection="1">
      <alignment horizontal="center"/>
      <protection locked="0"/>
    </xf>
    <xf numFmtId="15" fontId="43" fillId="0" borderId="9" xfId="0" applyNumberFormat="1" applyFont="1" applyFill="1" applyBorder="1" applyAlignment="1" applyProtection="1">
      <alignment horizontal="center"/>
      <protection locked="0"/>
    </xf>
    <xf numFmtId="0" fontId="60" fillId="9" borderId="60" xfId="0" applyFont="1" applyFill="1" applyBorder="1" applyProtection="1"/>
    <xf numFmtId="0" fontId="60" fillId="0" borderId="0" xfId="0" quotePrefix="1" applyFont="1" applyBorder="1" applyProtection="1"/>
    <xf numFmtId="0" fontId="60" fillId="0" borderId="0" xfId="0" applyFont="1" applyBorder="1" applyProtection="1"/>
    <xf numFmtId="0" fontId="60" fillId="0" borderId="61" xfId="0" quotePrefix="1" applyFont="1" applyBorder="1" applyProtection="1"/>
    <xf numFmtId="0" fontId="59" fillId="3" borderId="0" xfId="0" applyFont="1" applyFill="1" applyBorder="1" applyAlignment="1" applyProtection="1">
      <alignment horizontal="center"/>
    </xf>
    <xf numFmtId="0" fontId="60" fillId="10" borderId="60" xfId="0" applyFont="1" applyFill="1" applyBorder="1" applyProtection="1"/>
    <xf numFmtId="0" fontId="60" fillId="11" borderId="0" xfId="0" applyFont="1" applyFill="1" applyBorder="1" applyProtection="1"/>
    <xf numFmtId="4" fontId="43" fillId="3" borderId="11" xfId="0" applyNumberFormat="1" applyFont="1" applyFill="1" applyBorder="1" applyAlignment="1" applyProtection="1">
      <alignment horizontal="right"/>
    </xf>
    <xf numFmtId="0" fontId="43" fillId="3" borderId="5" xfId="0" applyFont="1" applyFill="1" applyBorder="1" applyAlignment="1" applyProtection="1">
      <alignment horizontal="right"/>
    </xf>
    <xf numFmtId="4" fontId="43" fillId="0" borderId="27" xfId="0" applyNumberFormat="1" applyFont="1" applyBorder="1" applyProtection="1"/>
    <xf numFmtId="0" fontId="43" fillId="3" borderId="8" xfId="0" applyFont="1" applyFill="1" applyBorder="1" applyProtection="1"/>
    <xf numFmtId="0" fontId="43" fillId="3" borderId="0" xfId="0" applyFont="1" applyFill="1" applyBorder="1" applyAlignment="1" applyProtection="1">
      <alignment horizontal="center"/>
    </xf>
    <xf numFmtId="0" fontId="43" fillId="3" borderId="9" xfId="0" applyFont="1" applyFill="1" applyBorder="1" applyProtection="1"/>
    <xf numFmtId="0" fontId="60" fillId="12" borderId="62" xfId="0" applyFont="1" applyFill="1" applyBorder="1" applyProtection="1"/>
    <xf numFmtId="0" fontId="60" fillId="0" borderId="63" xfId="0" quotePrefix="1" applyFont="1" applyBorder="1" applyProtection="1"/>
    <xf numFmtId="0" fontId="60" fillId="0" borderId="63" xfId="0" applyFont="1" applyBorder="1" applyProtection="1"/>
    <xf numFmtId="0" fontId="60" fillId="13" borderId="63" xfId="0" applyFont="1" applyFill="1" applyBorder="1" applyProtection="1"/>
    <xf numFmtId="0" fontId="60" fillId="0" borderId="64" xfId="0" quotePrefix="1" applyFont="1" applyBorder="1" applyProtection="1"/>
    <xf numFmtId="0" fontId="58" fillId="0" borderId="0" xfId="0" applyFont="1" applyFill="1" applyBorder="1" applyAlignment="1" applyProtection="1"/>
    <xf numFmtId="0" fontId="43" fillId="0" borderId="0" xfId="0" applyFont="1" applyFill="1" applyBorder="1" applyAlignment="1" applyProtection="1">
      <alignment horizontal="center"/>
    </xf>
    <xf numFmtId="0" fontId="48" fillId="19" borderId="0" xfId="0" applyFont="1" applyFill="1" applyBorder="1" applyAlignment="1"/>
    <xf numFmtId="0" fontId="48" fillId="19" borderId="0" xfId="0" applyFont="1" applyFill="1" applyBorder="1"/>
    <xf numFmtId="0" fontId="43" fillId="19" borderId="0" xfId="0" applyFont="1" applyFill="1"/>
    <xf numFmtId="0" fontId="61" fillId="19" borderId="0" xfId="0" applyFont="1" applyFill="1" applyBorder="1" applyAlignment="1">
      <alignment horizontal="left"/>
    </xf>
    <xf numFmtId="0" fontId="43" fillId="0" borderId="37" xfId="0" applyFont="1" applyBorder="1" applyProtection="1">
      <protection locked="0"/>
    </xf>
    <xf numFmtId="0" fontId="61" fillId="19" borderId="0" xfId="0" applyFont="1" applyFill="1" applyBorder="1"/>
    <xf numFmtId="0" fontId="43" fillId="0" borderId="2" xfId="0" applyFont="1" applyBorder="1" applyProtection="1">
      <protection locked="0"/>
    </xf>
    <xf numFmtId="0" fontId="61" fillId="19" borderId="0" xfId="0" applyFont="1" applyFill="1" applyBorder="1" applyAlignment="1">
      <alignment horizontal="left" vertical="top" wrapText="1"/>
    </xf>
    <xf numFmtId="0" fontId="43" fillId="0" borderId="0" xfId="0" applyFont="1" applyAlignment="1">
      <alignment vertical="top" wrapText="1"/>
    </xf>
    <xf numFmtId="0" fontId="61" fillId="0" borderId="0" xfId="0" applyFont="1" applyFill="1" applyBorder="1"/>
    <xf numFmtId="183" fontId="43" fillId="0" borderId="1" xfId="0" applyNumberFormat="1" applyFont="1" applyBorder="1" applyAlignment="1" applyProtection="1">
      <alignment horizontal="left"/>
      <protection locked="0"/>
    </xf>
    <xf numFmtId="188" fontId="43" fillId="0" borderId="1" xfId="0" applyNumberFormat="1" applyFont="1" applyBorder="1" applyAlignment="1" applyProtection="1">
      <alignment horizontal="left"/>
      <protection locked="0"/>
    </xf>
    <xf numFmtId="0" fontId="63" fillId="0" borderId="0" xfId="0" applyFont="1" applyAlignment="1" applyProtection="1">
      <alignment horizontal="center" vertical="center"/>
    </xf>
    <xf numFmtId="1" fontId="59" fillId="0" borderId="0" xfId="0" applyNumberFormat="1" applyFont="1" applyAlignment="1" applyProtection="1">
      <alignment vertical="center"/>
    </xf>
    <xf numFmtId="0" fontId="59" fillId="0" borderId="0" xfId="0" applyFont="1" applyProtection="1"/>
    <xf numFmtId="0" fontId="59" fillId="0" borderId="0" xfId="0" applyFont="1"/>
    <xf numFmtId="0" fontId="44" fillId="0" borderId="37" xfId="0" applyFont="1" applyFill="1" applyBorder="1" applyAlignment="1" applyProtection="1">
      <alignment horizontal="left"/>
    </xf>
    <xf numFmtId="0" fontId="43" fillId="0" borderId="0" xfId="0" applyFont="1" applyBorder="1" applyAlignment="1" applyProtection="1">
      <alignment horizontal="left"/>
    </xf>
    <xf numFmtId="0" fontId="44" fillId="0" borderId="0" xfId="0" applyFont="1" applyAlignment="1" applyProtection="1">
      <alignment horizontal="center"/>
    </xf>
    <xf numFmtId="0" fontId="44" fillId="0" borderId="31" xfId="0" applyFont="1" applyBorder="1" applyAlignment="1" applyProtection="1">
      <alignment horizontal="left"/>
    </xf>
    <xf numFmtId="0" fontId="44" fillId="0" borderId="14" xfId="0" applyFont="1" applyBorder="1" applyAlignment="1" applyProtection="1">
      <alignment horizontal="left"/>
    </xf>
    <xf numFmtId="181" fontId="44" fillId="0" borderId="0" xfId="0" applyNumberFormat="1" applyFont="1" applyBorder="1" applyAlignment="1" applyProtection="1">
      <alignment horizontal="right"/>
    </xf>
    <xf numFmtId="0" fontId="44" fillId="0" borderId="8" xfId="0" applyFont="1" applyBorder="1" applyAlignment="1" applyProtection="1">
      <alignment horizontal="left"/>
    </xf>
    <xf numFmtId="0" fontId="44" fillId="0" borderId="21" xfId="0" applyFont="1" applyBorder="1" applyAlignment="1" applyProtection="1">
      <alignment horizontal="left"/>
    </xf>
    <xf numFmtId="0" fontId="44" fillId="0" borderId="0" xfId="0" applyFont="1" applyProtection="1"/>
    <xf numFmtId="0" fontId="58" fillId="0" borderId="0" xfId="0" applyFont="1" applyFill="1" applyBorder="1" applyAlignment="1" applyProtection="1">
      <alignment horizontal="center"/>
    </xf>
    <xf numFmtId="0" fontId="41" fillId="0" borderId="0" xfId="0" applyFont="1" applyAlignment="1" applyProtection="1">
      <alignment horizontal="center"/>
    </xf>
    <xf numFmtId="0" fontId="41" fillId="0" borderId="0" xfId="0" applyFont="1" applyAlignment="1" applyProtection="1">
      <alignment horizontal="right"/>
    </xf>
    <xf numFmtId="0" fontId="49" fillId="0" borderId="0" xfId="0" applyFont="1" applyBorder="1" applyAlignment="1" applyProtection="1">
      <alignment horizontal="center"/>
      <protection locked="0"/>
    </xf>
    <xf numFmtId="1" fontId="41" fillId="0" borderId="0" xfId="0" applyNumberFormat="1" applyFont="1" applyFill="1" applyBorder="1" applyProtection="1"/>
    <xf numFmtId="1" fontId="43" fillId="0" borderId="0" xfId="0" applyNumberFormat="1" applyFont="1" applyFill="1" applyBorder="1" applyProtection="1"/>
    <xf numFmtId="2" fontId="43" fillId="0" borderId="0" xfId="0" applyNumberFormat="1" applyFont="1" applyFill="1" applyBorder="1" applyProtection="1"/>
    <xf numFmtId="0" fontId="43" fillId="0" borderId="0" xfId="0" applyFont="1" applyFill="1" applyProtection="1"/>
    <xf numFmtId="14" fontId="59" fillId="0" borderId="0" xfId="0" applyNumberFormat="1" applyFont="1" applyProtection="1"/>
    <xf numFmtId="0" fontId="43" fillId="0" borderId="0" xfId="0" applyFont="1" applyBorder="1" applyAlignment="1" applyProtection="1">
      <alignment horizontal="center"/>
      <protection locked="0"/>
    </xf>
    <xf numFmtId="0" fontId="43" fillId="0" borderId="0" xfId="0" applyFont="1" applyBorder="1" applyProtection="1">
      <protection locked="0"/>
    </xf>
    <xf numFmtId="0" fontId="44" fillId="0" borderId="0" xfId="0" applyFont="1"/>
    <xf numFmtId="0" fontId="44" fillId="0" borderId="3" xfId="0" applyFont="1" applyBorder="1" applyProtection="1"/>
    <xf numFmtId="0" fontId="44" fillId="0" borderId="34" xfId="0" applyFont="1" applyBorder="1" applyProtection="1"/>
    <xf numFmtId="180" fontId="44" fillId="0" borderId="0" xfId="0" applyNumberFormat="1" applyFont="1" applyFill="1" applyBorder="1" applyProtection="1"/>
    <xf numFmtId="0" fontId="44" fillId="0" borderId="4" xfId="0" applyFont="1" applyBorder="1" applyProtection="1"/>
    <xf numFmtId="0" fontId="44" fillId="0" borderId="7" xfId="0" applyFont="1" applyBorder="1" applyProtection="1"/>
    <xf numFmtId="0" fontId="41" fillId="0" borderId="0" xfId="0" applyFont="1" applyBorder="1" applyAlignment="1" applyProtection="1">
      <alignment horizontal="left"/>
    </xf>
    <xf numFmtId="178" fontId="41" fillId="0" borderId="7" xfId="0" applyNumberFormat="1" applyFont="1" applyBorder="1" applyAlignment="1" applyProtection="1">
      <alignment horizontal="right"/>
    </xf>
    <xf numFmtId="0" fontId="44" fillId="0" borderId="0" xfId="0" applyNumberFormat="1" applyFont="1" applyBorder="1" applyProtection="1"/>
    <xf numFmtId="0" fontId="47" fillId="0" borderId="0" xfId="0" applyFont="1" applyBorder="1" applyAlignment="1" applyProtection="1">
      <alignment horizontal="left"/>
    </xf>
    <xf numFmtId="0" fontId="43" fillId="0" borderId="0" xfId="0" applyFont="1" applyBorder="1" applyAlignment="1" applyProtection="1">
      <alignment horizontal="centerContinuous"/>
    </xf>
    <xf numFmtId="179" fontId="41" fillId="0" borderId="7" xfId="0" applyNumberFormat="1" applyFont="1" applyBorder="1" applyAlignment="1" applyProtection="1">
      <alignment horizontal="right"/>
    </xf>
    <xf numFmtId="2" fontId="44" fillId="0" borderId="0" xfId="0" applyNumberFormat="1" applyFont="1" applyFill="1" applyBorder="1" applyProtection="1"/>
    <xf numFmtId="0" fontId="44" fillId="0" borderId="19" xfId="0" applyFont="1" applyFill="1" applyBorder="1" applyProtection="1"/>
    <xf numFmtId="0" fontId="44" fillId="0" borderId="9" xfId="0" applyFont="1" applyFill="1" applyBorder="1" applyProtection="1"/>
    <xf numFmtId="0" fontId="49" fillId="0" borderId="5" xfId="0" applyFont="1" applyBorder="1" applyAlignment="1" applyProtection="1">
      <alignment horizontal="centerContinuous"/>
    </xf>
    <xf numFmtId="1" fontId="59" fillId="0" borderId="0" xfId="0" applyNumberFormat="1" applyFont="1"/>
    <xf numFmtId="0" fontId="64" fillId="0" borderId="0" xfId="0" applyFont="1" applyBorder="1" applyAlignment="1" applyProtection="1">
      <alignment horizontal="left"/>
    </xf>
    <xf numFmtId="0" fontId="58" fillId="0" borderId="0" xfId="0" applyFont="1" applyFill="1" applyBorder="1" applyAlignment="1" applyProtection="1">
      <alignment horizontal="left"/>
    </xf>
    <xf numFmtId="1" fontId="59" fillId="0" borderId="0" xfId="0" applyNumberFormat="1" applyFont="1" applyProtection="1"/>
    <xf numFmtId="0" fontId="43" fillId="0" borderId="0" xfId="0" applyFont="1" applyBorder="1" applyAlignment="1" applyProtection="1">
      <alignment horizontal="center"/>
    </xf>
    <xf numFmtId="2" fontId="43" fillId="0" borderId="0" xfId="0" applyNumberFormat="1" applyFont="1" applyFill="1" applyBorder="1" applyAlignment="1" applyProtection="1"/>
    <xf numFmtId="0" fontId="43" fillId="0" borderId="0" xfId="0" applyFont="1" applyFill="1" applyAlignment="1" applyProtection="1"/>
    <xf numFmtId="0" fontId="43" fillId="0" borderId="0" xfId="0" applyFont="1" applyAlignment="1" applyProtection="1"/>
    <xf numFmtId="0" fontId="44" fillId="0" borderId="0" xfId="0" applyFont="1" applyAlignment="1" applyProtection="1"/>
    <xf numFmtId="0" fontId="44" fillId="0" borderId="0" xfId="0" applyFont="1" applyAlignment="1"/>
    <xf numFmtId="0" fontId="43" fillId="0" borderId="25" xfId="4" applyFont="1" applyBorder="1" applyProtection="1">
      <protection locked="0"/>
    </xf>
    <xf numFmtId="0" fontId="43" fillId="0" borderId="31" xfId="4" applyFont="1" applyBorder="1" applyProtection="1">
      <protection locked="0"/>
    </xf>
    <xf numFmtId="0" fontId="63" fillId="0" borderId="31" xfId="4" applyFont="1" applyBorder="1" applyAlignment="1" applyProtection="1">
      <alignment horizontal="center" vertical="center"/>
      <protection locked="0"/>
    </xf>
    <xf numFmtId="0" fontId="55" fillId="0" borderId="31" xfId="4" applyFont="1" applyBorder="1" applyProtection="1">
      <protection locked="0"/>
    </xf>
    <xf numFmtId="0" fontId="59" fillId="0" borderId="31" xfId="4" applyFont="1" applyBorder="1" applyProtection="1">
      <protection locked="0"/>
    </xf>
    <xf numFmtId="1" fontId="59" fillId="0" borderId="31" xfId="4" applyNumberFormat="1" applyFont="1" applyBorder="1" applyAlignment="1" applyProtection="1">
      <alignment vertical="center"/>
      <protection locked="0"/>
    </xf>
    <xf numFmtId="0" fontId="59" fillId="0" borderId="0" xfId="4" applyFont="1" applyProtection="1">
      <protection locked="0"/>
    </xf>
    <xf numFmtId="0" fontId="43" fillId="0" borderId="0" xfId="4" applyFont="1" applyFill="1" applyProtection="1">
      <protection locked="0"/>
    </xf>
    <xf numFmtId="0" fontId="43" fillId="0" borderId="0" xfId="4" quotePrefix="1" applyFont="1" applyFill="1" applyProtection="1">
      <protection locked="0"/>
    </xf>
    <xf numFmtId="4" fontId="59" fillId="0" borderId="0" xfId="4" applyNumberFormat="1" applyFont="1" applyProtection="1">
      <protection locked="0"/>
    </xf>
    <xf numFmtId="0" fontId="59" fillId="0" borderId="0" xfId="4" quotePrefix="1" applyFont="1" applyProtection="1">
      <protection locked="0"/>
    </xf>
    <xf numFmtId="0" fontId="56" fillId="0" borderId="0" xfId="4" applyFont="1" applyAlignment="1" applyProtection="1">
      <alignment wrapText="1"/>
      <protection locked="0"/>
    </xf>
    <xf numFmtId="0" fontId="59" fillId="0" borderId="0" xfId="4" applyFont="1"/>
    <xf numFmtId="0" fontId="66" fillId="0" borderId="19" xfId="4" applyFont="1" applyFill="1" applyBorder="1" applyAlignment="1" applyProtection="1">
      <protection locked="0"/>
    </xf>
    <xf numFmtId="0" fontId="66" fillId="0" borderId="8" xfId="4" applyFont="1" applyFill="1" applyBorder="1" applyAlignment="1" applyProtection="1">
      <protection locked="0"/>
    </xf>
    <xf numFmtId="0" fontId="59" fillId="0" borderId="11" xfId="4" applyFont="1" applyBorder="1" applyProtection="1">
      <protection locked="0"/>
    </xf>
    <xf numFmtId="0" fontId="59" fillId="0" borderId="5" xfId="4" applyFont="1" applyBorder="1" applyProtection="1">
      <protection locked="0"/>
    </xf>
    <xf numFmtId="14" fontId="43" fillId="0" borderId="0" xfId="4" applyNumberFormat="1" applyFont="1" applyFill="1" applyProtection="1">
      <protection locked="0"/>
    </xf>
    <xf numFmtId="0" fontId="67" fillId="0" borderId="12" xfId="4" applyFont="1" applyBorder="1" applyProtection="1">
      <protection locked="0"/>
    </xf>
    <xf numFmtId="1" fontId="67" fillId="0" borderId="50" xfId="4" applyNumberFormat="1" applyFont="1" applyBorder="1" applyProtection="1">
      <protection locked="0"/>
    </xf>
    <xf numFmtId="0" fontId="69" fillId="0" borderId="3" xfId="4" applyFont="1" applyBorder="1" applyProtection="1">
      <protection locked="0"/>
    </xf>
    <xf numFmtId="0" fontId="69" fillId="0" borderId="10" xfId="4" applyFont="1" applyBorder="1" applyProtection="1">
      <protection locked="0"/>
    </xf>
    <xf numFmtId="1" fontId="59" fillId="0" borderId="0" xfId="4" applyNumberFormat="1" applyFont="1" applyProtection="1">
      <protection locked="0"/>
    </xf>
    <xf numFmtId="2" fontId="59" fillId="0" borderId="0" xfId="4" applyNumberFormat="1" applyFont="1" applyAlignment="1" applyProtection="1">
      <alignment horizontal="right"/>
      <protection locked="0"/>
    </xf>
    <xf numFmtId="14" fontId="59" fillId="0" borderId="0" xfId="4" applyNumberFormat="1" applyFont="1" applyProtection="1">
      <protection locked="0"/>
    </xf>
    <xf numFmtId="0" fontId="67" fillId="0" borderId="21" xfId="4" applyFont="1" applyBorder="1" applyProtection="1">
      <protection locked="0"/>
    </xf>
    <xf numFmtId="0" fontId="67" fillId="0" borderId="38" xfId="4" applyFont="1" applyBorder="1" applyProtection="1">
      <protection locked="0"/>
    </xf>
    <xf numFmtId="0" fontId="69" fillId="0" borderId="19" xfId="4" applyFont="1" applyBorder="1" applyProtection="1">
      <protection locked="0"/>
    </xf>
    <xf numFmtId="0" fontId="69" fillId="0" borderId="8" xfId="4" applyFont="1" applyBorder="1" applyProtection="1">
      <protection locked="0"/>
    </xf>
    <xf numFmtId="0" fontId="44" fillId="0" borderId="0" xfId="4" applyFont="1" applyProtection="1">
      <protection locked="0"/>
    </xf>
    <xf numFmtId="0" fontId="43" fillId="0" borderId="0" xfId="4" applyNumberFormat="1" applyFont="1" applyFill="1" applyProtection="1">
      <protection locked="0"/>
    </xf>
    <xf numFmtId="0" fontId="67" fillId="0" borderId="22" xfId="4" applyFont="1" applyBorder="1" applyProtection="1">
      <protection locked="0"/>
    </xf>
    <xf numFmtId="0" fontId="69" fillId="0" borderId="11" xfId="4" applyFont="1" applyBorder="1" applyProtection="1">
      <protection locked="0"/>
    </xf>
    <xf numFmtId="0" fontId="69" fillId="0" borderId="5" xfId="4" applyFont="1" applyBorder="1" applyProtection="1">
      <protection locked="0"/>
    </xf>
    <xf numFmtId="0" fontId="59" fillId="0" borderId="0" xfId="4" applyFont="1" applyAlignment="1" applyProtection="1">
      <alignment horizontal="center"/>
      <protection locked="0"/>
    </xf>
    <xf numFmtId="0" fontId="44" fillId="0" borderId="0" xfId="4" applyFont="1" applyAlignment="1" applyProtection="1">
      <alignment wrapText="1"/>
      <protection locked="0"/>
    </xf>
    <xf numFmtId="0" fontId="41" fillId="0" borderId="0" xfId="4" applyFont="1" applyAlignment="1" applyProtection="1">
      <alignment horizontal="center" wrapText="1"/>
      <protection locked="0"/>
    </xf>
    <xf numFmtId="0" fontId="56" fillId="0" borderId="12" xfId="4" applyFont="1" applyBorder="1" applyAlignment="1" applyProtection="1">
      <alignment horizontal="center" wrapText="1"/>
      <protection locked="0"/>
    </xf>
    <xf numFmtId="0" fontId="56" fillId="0" borderId="51" xfId="4" applyFont="1" applyBorder="1" applyAlignment="1" applyProtection="1">
      <alignment horizontal="left" wrapText="1"/>
      <protection locked="0"/>
    </xf>
    <xf numFmtId="0" fontId="56" fillId="0" borderId="51" xfId="4" applyFont="1" applyBorder="1" applyAlignment="1" applyProtection="1">
      <alignment horizontal="center" wrapText="1"/>
      <protection locked="0"/>
    </xf>
    <xf numFmtId="0" fontId="56" fillId="0" borderId="13" xfId="4" applyFont="1" applyBorder="1" applyAlignment="1" applyProtection="1">
      <alignment horizontal="center" wrapText="1"/>
      <protection locked="0"/>
    </xf>
    <xf numFmtId="0" fontId="56" fillId="0" borderId="57" xfId="4" applyFont="1" applyBorder="1" applyAlignment="1" applyProtection="1">
      <alignment horizontal="center" wrapText="1"/>
      <protection locked="0"/>
    </xf>
    <xf numFmtId="0" fontId="56" fillId="0" borderId="43" xfId="4" applyFont="1" applyBorder="1" applyAlignment="1" applyProtection="1">
      <alignment horizontal="center" wrapText="1"/>
      <protection locked="0"/>
    </xf>
    <xf numFmtId="0" fontId="56" fillId="0" borderId="50" xfId="4" applyFont="1" applyBorder="1" applyAlignment="1" applyProtection="1">
      <alignment horizontal="center" wrapText="1"/>
      <protection locked="0"/>
    </xf>
    <xf numFmtId="0" fontId="41" fillId="0" borderId="0" xfId="4" applyFont="1" applyAlignment="1" applyProtection="1">
      <alignment horizontal="center"/>
      <protection locked="0"/>
    </xf>
    <xf numFmtId="14" fontId="43" fillId="0" borderId="28" xfId="4" applyNumberFormat="1" applyFont="1" applyFill="1" applyBorder="1" applyProtection="1">
      <protection locked="0"/>
    </xf>
    <xf numFmtId="14" fontId="43" fillId="0" borderId="0" xfId="4" applyNumberFormat="1" applyFont="1" applyFill="1" applyAlignment="1" applyProtection="1">
      <alignment wrapText="1"/>
      <protection locked="0"/>
    </xf>
    <xf numFmtId="0" fontId="61" fillId="0" borderId="28" xfId="4" applyFont="1" applyBorder="1" applyProtection="1">
      <protection locked="0"/>
    </xf>
    <xf numFmtId="1" fontId="61" fillId="0" borderId="45" xfId="4" applyNumberFormat="1" applyFont="1" applyFill="1" applyBorder="1" applyProtection="1">
      <protection locked="0"/>
    </xf>
    <xf numFmtId="1" fontId="61" fillId="0" borderId="28" xfId="4" applyNumberFormat="1" applyFont="1" applyFill="1" applyBorder="1" applyProtection="1">
      <protection locked="0"/>
    </xf>
    <xf numFmtId="0" fontId="61" fillId="0" borderId="28" xfId="4" applyFont="1" applyFill="1" applyBorder="1" applyProtection="1">
      <protection locked="0"/>
    </xf>
    <xf numFmtId="0" fontId="61" fillId="0" borderId="44" xfId="4" applyFont="1" applyFill="1" applyBorder="1" applyProtection="1">
      <protection locked="0"/>
    </xf>
    <xf numFmtId="185" fontId="61" fillId="0" borderId="26" xfId="4" applyNumberFormat="1" applyFont="1" applyFill="1" applyBorder="1" applyProtection="1">
      <protection locked="0"/>
    </xf>
    <xf numFmtId="14" fontId="61" fillId="0" borderId="53" xfId="4" applyNumberFormat="1" applyFont="1" applyFill="1" applyBorder="1" applyProtection="1">
      <protection locked="0"/>
    </xf>
    <xf numFmtId="0" fontId="61" fillId="0" borderId="69" xfId="4" applyFont="1" applyFill="1" applyBorder="1" applyProtection="1">
      <protection locked="0"/>
    </xf>
    <xf numFmtId="0" fontId="59" fillId="0" borderId="0" xfId="4" quotePrefix="1" applyNumberFormat="1" applyFont="1" applyProtection="1">
      <protection locked="0"/>
    </xf>
    <xf numFmtId="182" fontId="43" fillId="0" borderId="0" xfId="4" quotePrefix="1" applyNumberFormat="1" applyFont="1" applyFill="1" applyAlignment="1" applyProtection="1">
      <alignment wrapText="1"/>
      <protection locked="0"/>
    </xf>
    <xf numFmtId="0" fontId="47" fillId="0" borderId="0" xfId="4" applyFont="1" applyFill="1" applyBorder="1" applyProtection="1">
      <protection locked="0"/>
    </xf>
    <xf numFmtId="1" fontId="43" fillId="0" borderId="0" xfId="4" applyNumberFormat="1" applyFont="1" applyFill="1" applyProtection="1">
      <protection locked="0"/>
    </xf>
    <xf numFmtId="4" fontId="43" fillId="0" borderId="0" xfId="4" applyNumberFormat="1" applyFont="1" applyFill="1" applyProtection="1">
      <protection locked="0"/>
    </xf>
    <xf numFmtId="3" fontId="59" fillId="0" borderId="0" xfId="4" applyNumberFormat="1" applyFont="1" applyProtection="1">
      <protection locked="0"/>
    </xf>
    <xf numFmtId="4" fontId="43" fillId="0" borderId="0" xfId="4" quotePrefix="1" applyNumberFormat="1" applyFont="1" applyFill="1" applyProtection="1">
      <protection locked="0"/>
    </xf>
    <xf numFmtId="0" fontId="47" fillId="21" borderId="0" xfId="4" applyFont="1" applyFill="1" applyBorder="1" applyProtection="1">
      <protection locked="0"/>
    </xf>
    <xf numFmtId="0" fontId="59" fillId="21" borderId="0" xfId="4" applyFont="1" applyFill="1" applyProtection="1">
      <protection locked="0"/>
    </xf>
    <xf numFmtId="0" fontId="59" fillId="21" borderId="0" xfId="4" quotePrefix="1" applyNumberFormat="1" applyFont="1" applyFill="1" applyProtection="1">
      <protection locked="0"/>
    </xf>
    <xf numFmtId="182" fontId="43" fillId="21" borderId="0" xfId="4" quotePrefix="1" applyNumberFormat="1" applyFont="1" applyFill="1" applyAlignment="1" applyProtection="1">
      <alignment wrapText="1"/>
      <protection locked="0"/>
    </xf>
    <xf numFmtId="0" fontId="43" fillId="21" borderId="0" xfId="4" applyFont="1" applyFill="1" applyProtection="1">
      <protection locked="0"/>
    </xf>
    <xf numFmtId="0" fontId="61" fillId="0" borderId="47" xfId="4" applyFont="1" applyBorder="1" applyProtection="1">
      <protection locked="0"/>
    </xf>
    <xf numFmtId="1" fontId="61" fillId="0" borderId="49" xfId="4" applyNumberFormat="1" applyFont="1" applyFill="1" applyBorder="1" applyProtection="1">
      <protection locked="0"/>
    </xf>
    <xf numFmtId="1" fontId="61" fillId="0" borderId="47" xfId="4" applyNumberFormat="1" applyFont="1" applyFill="1" applyBorder="1" applyProtection="1">
      <protection locked="0"/>
    </xf>
    <xf numFmtId="0" fontId="61" fillId="0" borderId="47" xfId="4" applyFont="1" applyFill="1" applyBorder="1" applyProtection="1">
      <protection locked="0"/>
    </xf>
    <xf numFmtId="0" fontId="61" fillId="0" borderId="48" xfId="4" applyFont="1" applyFill="1" applyBorder="1" applyProtection="1">
      <protection locked="0"/>
    </xf>
    <xf numFmtId="185" fontId="61" fillId="0" borderId="66" xfId="4" applyNumberFormat="1" applyFont="1" applyFill="1" applyBorder="1" applyProtection="1">
      <protection locked="0"/>
    </xf>
    <xf numFmtId="14" fontId="61" fillId="0" borderId="56" xfId="4" applyNumberFormat="1" applyFont="1" applyFill="1" applyBorder="1" applyProtection="1">
      <protection locked="0"/>
    </xf>
    <xf numFmtId="0" fontId="61" fillId="0" borderId="73" xfId="4" applyFont="1" applyFill="1" applyBorder="1" applyProtection="1">
      <protection locked="0"/>
    </xf>
    <xf numFmtId="185" fontId="56" fillId="0" borderId="17" xfId="4" applyNumberFormat="1" applyFont="1" applyFill="1" applyBorder="1" applyProtection="1">
      <protection locked="0"/>
    </xf>
    <xf numFmtId="185" fontId="56" fillId="0" borderId="33" xfId="4" applyNumberFormat="1" applyFont="1" applyFill="1" applyBorder="1" applyProtection="1">
      <protection locked="0"/>
    </xf>
    <xf numFmtId="185" fontId="56" fillId="0" borderId="116" xfId="4" applyNumberFormat="1" applyFont="1" applyFill="1" applyBorder="1" applyProtection="1">
      <protection locked="0"/>
    </xf>
    <xf numFmtId="0" fontId="61" fillId="0" borderId="8" xfId="4" applyFont="1" applyBorder="1" applyAlignment="1" applyProtection="1">
      <alignment vertical="center"/>
      <protection locked="0"/>
    </xf>
    <xf numFmtId="0" fontId="43" fillId="0" borderId="0" xfId="0" applyFont="1"/>
    <xf numFmtId="193" fontId="43" fillId="3" borderId="32" xfId="0" applyNumberFormat="1" applyFont="1" applyFill="1" applyBorder="1" applyProtection="1">
      <protection locked="0"/>
    </xf>
    <xf numFmtId="0" fontId="43" fillId="0" borderId="54" xfId="0" applyFont="1" applyBorder="1"/>
    <xf numFmtId="1" fontId="43" fillId="0" borderId="54" xfId="0" applyNumberFormat="1" applyFont="1" applyBorder="1"/>
    <xf numFmtId="0" fontId="44" fillId="0" borderId="0" xfId="0" applyFont="1" applyAlignment="1">
      <alignment horizontal="right"/>
    </xf>
    <xf numFmtId="178" fontId="43" fillId="0" borderId="54" xfId="2" applyNumberFormat="1" applyFont="1" applyBorder="1" applyAlignment="1">
      <alignment horizontal="left"/>
    </xf>
    <xf numFmtId="0" fontId="76" fillId="0" borderId="7" xfId="0" applyFont="1" applyBorder="1" applyAlignment="1">
      <alignment vertical="center"/>
    </xf>
    <xf numFmtId="0" fontId="46" fillId="15" borderId="3" xfId="0" applyFont="1" applyFill="1" applyBorder="1"/>
    <xf numFmtId="0" fontId="44" fillId="15" borderId="10" xfId="0" applyFont="1" applyFill="1" applyBorder="1"/>
    <xf numFmtId="0" fontId="46" fillId="15" borderId="51" xfId="0" applyFont="1" applyFill="1" applyBorder="1" applyAlignment="1">
      <alignment horizontal="center" vertical="center"/>
    </xf>
    <xf numFmtId="0" fontId="46" fillId="15" borderId="34" xfId="0" applyFont="1" applyFill="1" applyBorder="1" applyAlignment="1">
      <alignment horizontal="center" vertical="center"/>
    </xf>
    <xf numFmtId="0" fontId="44" fillId="0" borderId="26" xfId="0" applyFont="1" applyBorder="1"/>
    <xf numFmtId="0" fontId="44" fillId="0" borderId="53" xfId="0" applyFont="1" applyBorder="1"/>
    <xf numFmtId="0" fontId="44" fillId="0" borderId="28" xfId="0" applyFont="1" applyBorder="1" applyAlignment="1">
      <alignment horizontal="center"/>
    </xf>
    <xf numFmtId="0" fontId="44" fillId="0" borderId="69" xfId="0" applyFont="1" applyBorder="1" applyAlignment="1">
      <alignment horizontal="center"/>
    </xf>
    <xf numFmtId="0" fontId="44" fillId="0" borderId="66" xfId="0" applyFont="1" applyBorder="1"/>
    <xf numFmtId="0" fontId="44" fillId="0" borderId="56" xfId="0" applyFont="1" applyBorder="1"/>
    <xf numFmtId="0" fontId="44" fillId="0" borderId="49" xfId="0" applyFont="1" applyBorder="1"/>
    <xf numFmtId="0" fontId="44" fillId="0" borderId="47" xfId="0" applyFont="1" applyBorder="1" applyAlignment="1">
      <alignment horizontal="center"/>
    </xf>
    <xf numFmtId="0" fontId="44" fillId="0" borderId="73" xfId="0" applyFont="1" applyBorder="1" applyAlignment="1">
      <alignment horizontal="center"/>
    </xf>
    <xf numFmtId="0" fontId="44" fillId="0" borderId="4" xfId="0" applyFont="1" applyBorder="1"/>
    <xf numFmtId="0" fontId="44" fillId="0" borderId="0" xfId="0" applyFont="1" applyBorder="1"/>
    <xf numFmtId="0" fontId="44" fillId="0" borderId="36" xfId="0" applyFont="1" applyBorder="1"/>
    <xf numFmtId="0" fontId="79" fillId="0" borderId="4" xfId="0" applyFont="1" applyBorder="1"/>
    <xf numFmtId="0" fontId="44" fillId="0" borderId="68" xfId="0" applyFont="1" applyBorder="1"/>
    <xf numFmtId="0" fontId="44" fillId="0" borderId="54" xfId="0" applyFont="1" applyBorder="1"/>
    <xf numFmtId="0" fontId="44" fillId="0" borderId="52" xfId="0" applyFont="1" applyBorder="1"/>
    <xf numFmtId="0" fontId="44" fillId="0" borderId="41" xfId="0" applyFont="1" applyBorder="1" applyAlignment="1">
      <alignment horizontal="center"/>
    </xf>
    <xf numFmtId="0" fontId="44" fillId="0" borderId="74" xfId="0" applyFont="1" applyBorder="1" applyAlignment="1">
      <alignment horizontal="center"/>
    </xf>
    <xf numFmtId="0" fontId="76" fillId="0" borderId="0" xfId="0" applyFont="1" applyAlignment="1">
      <alignment vertical="center"/>
    </xf>
    <xf numFmtId="0" fontId="43" fillId="21" borderId="0" xfId="0" applyFont="1" applyFill="1"/>
    <xf numFmtId="0" fontId="76" fillId="15" borderId="70" xfId="0" applyFont="1" applyFill="1" applyBorder="1" applyAlignment="1">
      <alignment vertical="center"/>
    </xf>
    <xf numFmtId="0" fontId="76" fillId="15" borderId="71" xfId="0" applyFont="1" applyFill="1" applyBorder="1" applyAlignment="1">
      <alignment vertical="center"/>
    </xf>
    <xf numFmtId="0" fontId="76" fillId="15" borderId="72" xfId="0" applyFont="1" applyFill="1" applyBorder="1" applyAlignment="1">
      <alignment vertical="center"/>
    </xf>
    <xf numFmtId="0" fontId="46" fillId="15" borderId="26" xfId="0" applyFont="1" applyFill="1" applyBorder="1"/>
    <xf numFmtId="0" fontId="44" fillId="15" borderId="53" xfId="0" applyFont="1" applyFill="1" applyBorder="1"/>
    <xf numFmtId="0" fontId="44" fillId="15" borderId="53" xfId="0" applyFont="1" applyFill="1" applyBorder="1" applyAlignment="1">
      <alignment horizontal="center"/>
    </xf>
    <xf numFmtId="0" fontId="44" fillId="15" borderId="69" xfId="0" applyFont="1" applyFill="1" applyBorder="1" applyAlignment="1">
      <alignment horizontal="center"/>
    </xf>
    <xf numFmtId="0" fontId="44" fillId="0" borderId="83" xfId="0" applyFont="1" applyBorder="1"/>
    <xf numFmtId="0" fontId="44" fillId="0" borderId="84" xfId="0" applyFont="1" applyBorder="1"/>
    <xf numFmtId="0" fontId="44" fillId="0" borderId="29" xfId="0" applyFont="1" applyBorder="1" applyAlignment="1">
      <alignment horizontal="center"/>
    </xf>
    <xf numFmtId="0" fontId="44" fillId="0" borderId="75" xfId="0" applyFont="1" applyBorder="1" applyAlignment="1">
      <alignment horizontal="center"/>
    </xf>
    <xf numFmtId="44" fontId="43" fillId="0" borderId="54" xfId="0" applyNumberFormat="1" applyFont="1" applyBorder="1" applyAlignment="1">
      <alignment horizontal="left"/>
    </xf>
    <xf numFmtId="0" fontId="80" fillId="0" borderId="0" xfId="0" applyFont="1" applyAlignment="1">
      <alignment wrapText="1"/>
    </xf>
    <xf numFmtId="0" fontId="59" fillId="0" borderId="54" xfId="0" applyFont="1" applyBorder="1"/>
    <xf numFmtId="0" fontId="59" fillId="21" borderId="0" xfId="0" applyFont="1" applyFill="1"/>
    <xf numFmtId="0" fontId="59" fillId="0" borderId="56" xfId="0" applyFont="1" applyBorder="1"/>
    <xf numFmtId="0" fontId="43" fillId="0" borderId="56" xfId="0" applyFont="1" applyBorder="1"/>
    <xf numFmtId="0" fontId="81" fillId="0" borderId="0" xfId="0" applyFont="1" applyAlignment="1">
      <alignment horizontal="center"/>
    </xf>
    <xf numFmtId="0" fontId="43" fillId="0" borderId="0" xfId="0" applyFont="1" applyBorder="1" applyAlignment="1"/>
    <xf numFmtId="0" fontId="59" fillId="0" borderId="0" xfId="0" applyFont="1" applyAlignment="1">
      <alignment vertical="top" wrapText="1"/>
    </xf>
    <xf numFmtId="0" fontId="43" fillId="0" borderId="0" xfId="0" applyFont="1" applyBorder="1" applyAlignment="1">
      <alignment wrapText="1"/>
    </xf>
    <xf numFmtId="0" fontId="59" fillId="0" borderId="0" xfId="0" applyFont="1" applyBorder="1" applyAlignment="1"/>
    <xf numFmtId="0" fontId="59" fillId="0" borderId="0" xfId="0" applyFont="1" applyAlignment="1"/>
    <xf numFmtId="0" fontId="59" fillId="21" borderId="54" xfId="0" applyFont="1" applyFill="1" applyBorder="1" applyAlignment="1"/>
    <xf numFmtId="0" fontId="43" fillId="0" borderId="0" xfId="0" applyNumberFormat="1" applyFont="1" applyBorder="1" applyAlignment="1"/>
    <xf numFmtId="0" fontId="43" fillId="21" borderId="0" xfId="0" applyFont="1" applyFill="1" applyBorder="1" applyAlignment="1"/>
    <xf numFmtId="0" fontId="59" fillId="0" borderId="0" xfId="0" applyFont="1" applyBorder="1" applyAlignment="1">
      <alignment horizontal="right"/>
    </xf>
    <xf numFmtId="0" fontId="43" fillId="21" borderId="54" xfId="0" applyFont="1" applyFill="1" applyBorder="1" applyAlignment="1"/>
    <xf numFmtId="0" fontId="59" fillId="0" borderId="0" xfId="0" applyFont="1" applyBorder="1" applyAlignment="1">
      <alignment vertical="center" wrapText="1"/>
    </xf>
    <xf numFmtId="0" fontId="59" fillId="0" borderId="0" xfId="0" applyFont="1" applyBorder="1"/>
    <xf numFmtId="0" fontId="82" fillId="0" borderId="0" xfId="0" applyFont="1" applyAlignment="1">
      <alignment horizontal="center"/>
    </xf>
    <xf numFmtId="0" fontId="83" fillId="0" borderId="0" xfId="0" applyFont="1"/>
    <xf numFmtId="0" fontId="48" fillId="0" borderId="54" xfId="0" applyFont="1" applyBorder="1" applyAlignment="1">
      <alignment horizontal="center" wrapText="1"/>
    </xf>
    <xf numFmtId="0" fontId="59" fillId="0" borderId="0" xfId="0" applyFont="1" applyAlignment="1">
      <alignment wrapText="1"/>
    </xf>
    <xf numFmtId="0" fontId="59" fillId="0" borderId="0" xfId="0" applyFont="1" applyAlignment="1">
      <alignment vertical="center"/>
    </xf>
    <xf numFmtId="0" fontId="59" fillId="0" borderId="0" xfId="0" applyFont="1" applyAlignment="1">
      <alignment vertical="center" wrapText="1"/>
    </xf>
    <xf numFmtId="0" fontId="48" fillId="0" borderId="54" xfId="0" applyFont="1" applyBorder="1" applyAlignment="1">
      <alignment horizontal="center" vertical="center" wrapText="1"/>
    </xf>
    <xf numFmtId="0" fontId="59" fillId="0" borderId="0" xfId="0" applyFont="1" applyBorder="1" applyAlignment="1">
      <alignment vertical="justify" wrapText="1"/>
    </xf>
    <xf numFmtId="0" fontId="59" fillId="0" borderId="0" xfId="0" applyFont="1" applyBorder="1" applyAlignment="1">
      <alignment vertical="top"/>
    </xf>
    <xf numFmtId="0" fontId="59" fillId="0" borderId="0" xfId="0" applyFont="1" applyBorder="1" applyAlignment="1">
      <alignment horizontal="center" vertical="justify" wrapText="1"/>
    </xf>
    <xf numFmtId="0" fontId="59" fillId="0" borderId="54" xfId="0" applyFont="1" applyBorder="1" applyAlignment="1">
      <alignment vertical="justify" wrapText="1"/>
    </xf>
    <xf numFmtId="0" fontId="59" fillId="0" borderId="0" xfId="0" applyFont="1" applyBorder="1" applyAlignment="1">
      <alignment horizontal="left" vertical="justify" wrapText="1"/>
    </xf>
    <xf numFmtId="0" fontId="59" fillId="22" borderId="0" xfId="0" applyFont="1" applyFill="1" applyBorder="1" applyAlignment="1">
      <alignment vertical="justify" wrapText="1"/>
    </xf>
    <xf numFmtId="0" fontId="59" fillId="0" borderId="0" xfId="0" applyFont="1" applyBorder="1" applyAlignment="1">
      <alignment horizontal="left" vertical="top"/>
    </xf>
    <xf numFmtId="0" fontId="59" fillId="22" borderId="54" xfId="0" applyFont="1" applyFill="1" applyBorder="1" applyAlignment="1">
      <alignment vertical="justify" wrapText="1"/>
    </xf>
    <xf numFmtId="0" fontId="43" fillId="0" borderId="0" xfId="0" applyFont="1" applyFill="1" applyBorder="1"/>
    <xf numFmtId="0" fontId="59" fillId="0" borderId="0" xfId="0" applyFont="1" applyFill="1" applyBorder="1"/>
    <xf numFmtId="0" fontId="59" fillId="0" borderId="0" xfId="0" applyFont="1" applyBorder="1" applyAlignment="1">
      <alignment wrapText="1"/>
    </xf>
    <xf numFmtId="0" fontId="59" fillId="0" borderId="0" xfId="0" applyFont="1" applyBorder="1" applyAlignment="1">
      <alignment vertical="center"/>
    </xf>
    <xf numFmtId="0" fontId="48" fillId="0" borderId="0" xfId="0" applyFont="1" applyBorder="1" applyAlignment="1">
      <alignment horizontal="center" vertical="center" wrapText="1"/>
    </xf>
    <xf numFmtId="0" fontId="43" fillId="0" borderId="48" xfId="0" applyFont="1" applyBorder="1"/>
    <xf numFmtId="0" fontId="43" fillId="0" borderId="49" xfId="0" applyFont="1" applyBorder="1"/>
    <xf numFmtId="0" fontId="84" fillId="0" borderId="0" xfId="0" applyFont="1" applyAlignment="1"/>
    <xf numFmtId="0" fontId="43" fillId="0" borderId="42" xfId="0" applyFont="1" applyBorder="1"/>
    <xf numFmtId="0" fontId="84" fillId="0" borderId="52" xfId="0" applyFont="1" applyBorder="1" applyAlignment="1"/>
    <xf numFmtId="0" fontId="48" fillId="0" borderId="0" xfId="0" applyFont="1" applyAlignment="1">
      <alignment horizontal="center"/>
    </xf>
    <xf numFmtId="0" fontId="85" fillId="0" borderId="0" xfId="0" applyFont="1" applyAlignment="1">
      <alignment horizontal="center" vertical="center"/>
    </xf>
    <xf numFmtId="0" fontId="59" fillId="0" borderId="0" xfId="0" applyFont="1" applyFill="1" applyBorder="1" applyAlignment="1"/>
    <xf numFmtId="0" fontId="59" fillId="0" borderId="0" xfId="0" applyFont="1" applyFill="1" applyBorder="1" applyAlignment="1">
      <alignment wrapText="1"/>
    </xf>
    <xf numFmtId="0" fontId="59" fillId="0" borderId="0" xfId="0" applyFont="1" applyFill="1" applyBorder="1" applyAlignment="1">
      <alignment vertical="center" wrapText="1"/>
    </xf>
    <xf numFmtId="0" fontId="59" fillId="0" borderId="0" xfId="0" applyFont="1" applyFill="1" applyBorder="1" applyAlignment="1">
      <alignment vertical="top" wrapText="1"/>
    </xf>
    <xf numFmtId="0" fontId="80" fillId="0" borderId="0" xfId="0" applyFont="1" applyAlignment="1">
      <alignment vertical="center"/>
    </xf>
    <xf numFmtId="0" fontId="80" fillId="0" borderId="0" xfId="0" applyFont="1" applyFill="1" applyBorder="1" applyAlignment="1">
      <alignment vertical="top" wrapText="1"/>
    </xf>
    <xf numFmtId="0" fontId="59" fillId="0" borderId="44" xfId="0" applyFont="1" applyFill="1" applyBorder="1" applyAlignment="1"/>
    <xf numFmtId="0" fontId="59" fillId="0" borderId="45" xfId="0" applyFont="1" applyFill="1" applyBorder="1" applyAlignment="1"/>
    <xf numFmtId="0" fontId="59" fillId="0" borderId="55" xfId="0" applyFont="1" applyFill="1" applyBorder="1" applyAlignment="1"/>
    <xf numFmtId="0" fontId="59" fillId="0" borderId="0" xfId="0" applyFont="1" applyFill="1" applyBorder="1" applyAlignment="1">
      <alignment vertical="center"/>
    </xf>
    <xf numFmtId="0" fontId="69" fillId="0" borderId="0" xfId="0" applyFont="1" applyAlignment="1">
      <alignment vertical="center" wrapText="1"/>
    </xf>
    <xf numFmtId="0" fontId="69" fillId="0" borderId="0" xfId="0" applyFont="1" applyAlignment="1">
      <alignment wrapText="1"/>
    </xf>
    <xf numFmtId="0" fontId="86" fillId="0" borderId="0" xfId="0" applyFont="1" applyAlignment="1">
      <alignment horizontal="center"/>
    </xf>
    <xf numFmtId="0" fontId="59" fillId="0" borderId="0" xfId="0" applyFont="1" applyAlignment="1">
      <alignment horizontal="left" vertical="center" indent="5"/>
    </xf>
    <xf numFmtId="0" fontId="59" fillId="21" borderId="0" xfId="0" applyFont="1" applyFill="1" applyAlignment="1">
      <alignment wrapText="1"/>
    </xf>
    <xf numFmtId="0" fontId="48" fillId="0" borderId="0" xfId="0" applyFont="1"/>
    <xf numFmtId="0" fontId="43" fillId="21" borderId="54" xfId="0" applyFont="1" applyFill="1" applyBorder="1"/>
    <xf numFmtId="0" fontId="83" fillId="0" borderId="0" xfId="0" applyFont="1" applyAlignment="1">
      <alignment horizontal="center"/>
    </xf>
    <xf numFmtId="0" fontId="88" fillId="0" borderId="0" xfId="0" applyFont="1" applyAlignment="1">
      <alignment horizontal="center"/>
    </xf>
    <xf numFmtId="0" fontId="43" fillId="0" borderId="0" xfId="0" applyFont="1" applyAlignment="1">
      <alignment horizontal="left" vertical="top" wrapText="1"/>
    </xf>
    <xf numFmtId="0" fontId="61" fillId="0" borderId="0" xfId="0" applyFont="1"/>
    <xf numFmtId="178" fontId="61" fillId="0" borderId="0" xfId="0" applyNumberFormat="1" applyFont="1"/>
    <xf numFmtId="0" fontId="91" fillId="0" borderId="0" xfId="0" applyFont="1"/>
    <xf numFmtId="0" fontId="92" fillId="0" borderId="0" xfId="0" applyFont="1" applyAlignment="1">
      <alignment shrinkToFit="1"/>
    </xf>
    <xf numFmtId="0" fontId="78" fillId="2" borderId="11" xfId="0" applyFont="1" applyFill="1" applyBorder="1"/>
    <xf numFmtId="0" fontId="43" fillId="2" borderId="5" xfId="0" applyFont="1" applyFill="1" applyBorder="1"/>
    <xf numFmtId="178" fontId="61" fillId="2" borderId="5" xfId="0" applyNumberFormat="1" applyFont="1" applyFill="1" applyBorder="1"/>
    <xf numFmtId="0" fontId="61" fillId="2" borderId="5" xfId="0" applyFont="1" applyFill="1" applyBorder="1"/>
    <xf numFmtId="178" fontId="61" fillId="2" borderId="78" xfId="0" applyNumberFormat="1" applyFont="1" applyFill="1" applyBorder="1"/>
    <xf numFmtId="178" fontId="61" fillId="2" borderId="80" xfId="0" applyNumberFormat="1" applyFont="1" applyFill="1" applyBorder="1" applyProtection="1">
      <protection locked="0"/>
    </xf>
    <xf numFmtId="178" fontId="57" fillId="1" borderId="0" xfId="0" applyNumberFormat="1" applyFont="1" applyFill="1"/>
    <xf numFmtId="0" fontId="78" fillId="5" borderId="25" xfId="0" applyFont="1" applyFill="1" applyBorder="1"/>
    <xf numFmtId="0" fontId="43" fillId="5" borderId="31" xfId="0" applyFont="1" applyFill="1" applyBorder="1"/>
    <xf numFmtId="178" fontId="61" fillId="5" borderId="31" xfId="0" applyNumberFormat="1" applyFont="1" applyFill="1" applyBorder="1"/>
    <xf numFmtId="0" fontId="61" fillId="5" borderId="31" xfId="0" applyFont="1" applyFill="1" applyBorder="1"/>
    <xf numFmtId="178" fontId="61" fillId="5" borderId="79" xfId="0" applyNumberFormat="1" applyFont="1" applyFill="1" applyBorder="1"/>
    <xf numFmtId="178" fontId="61" fillId="5" borderId="81" xfId="0" applyNumberFormat="1" applyFont="1" applyFill="1" applyBorder="1" applyProtection="1">
      <protection locked="0"/>
    </xf>
    <xf numFmtId="178" fontId="57" fillId="7" borderId="0" xfId="0" applyNumberFormat="1" applyFont="1" applyFill="1"/>
    <xf numFmtId="178" fontId="90" fillId="0" borderId="0" xfId="0" applyNumberFormat="1" applyFont="1" applyAlignment="1">
      <alignment vertical="center"/>
    </xf>
    <xf numFmtId="178" fontId="43" fillId="0" borderId="0" xfId="0" applyNumberFormat="1" applyFont="1"/>
    <xf numFmtId="178" fontId="94" fillId="0" borderId="0" xfId="0" applyNumberFormat="1" applyFont="1" applyAlignment="1">
      <alignment horizontal="right"/>
    </xf>
    <xf numFmtId="0" fontId="61" fillId="0" borderId="0" xfId="0" applyFont="1" applyAlignment="1">
      <alignment horizontal="right"/>
    </xf>
    <xf numFmtId="0" fontId="61" fillId="0" borderId="0" xfId="0" applyFont="1" applyBorder="1" applyAlignment="1" applyProtection="1">
      <alignment horizontal="left"/>
    </xf>
    <xf numFmtId="2" fontId="61" fillId="0" borderId="0" xfId="0" applyNumberFormat="1" applyFont="1" applyAlignment="1">
      <alignment horizontal="left"/>
    </xf>
    <xf numFmtId="0" fontId="95" fillId="0" borderId="0" xfId="0" applyFont="1"/>
    <xf numFmtId="178" fontId="96" fillId="0" borderId="0" xfId="0" applyNumberFormat="1" applyFont="1"/>
    <xf numFmtId="178" fontId="61" fillId="0" borderId="80" xfId="0" applyNumberFormat="1" applyFont="1" applyBorder="1" applyProtection="1">
      <protection locked="0"/>
    </xf>
    <xf numFmtId="178" fontId="61" fillId="0" borderId="80" xfId="0" applyNumberFormat="1" applyFont="1" applyFill="1" applyBorder="1" applyProtection="1">
      <protection locked="0"/>
    </xf>
    <xf numFmtId="178" fontId="61" fillId="0" borderId="82" xfId="0" applyNumberFormat="1" applyFont="1" applyBorder="1" applyProtection="1"/>
    <xf numFmtId="178" fontId="43" fillId="0" borderId="0" xfId="0" applyNumberFormat="1" applyFont="1" applyBorder="1"/>
    <xf numFmtId="178" fontId="93" fillId="0" borderId="44" xfId="0" applyNumberFormat="1" applyFont="1" applyBorder="1" applyAlignment="1">
      <alignment vertical="center"/>
    </xf>
    <xf numFmtId="0" fontId="97" fillId="0" borderId="0" xfId="0" applyFont="1" applyAlignment="1"/>
    <xf numFmtId="0" fontId="59" fillId="0" borderId="0" xfId="0" applyFont="1" applyBorder="1" applyAlignment="1">
      <alignment vertical="top" wrapText="1"/>
    </xf>
    <xf numFmtId="0" fontId="22" fillId="14" borderId="0" xfId="0" applyFont="1" applyFill="1" applyBorder="1" applyAlignment="1" applyProtection="1">
      <alignment vertical="center" wrapText="1"/>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0" fontId="20" fillId="14" borderId="0" xfId="0" applyFont="1" applyFill="1" applyBorder="1" applyAlignment="1" applyProtection="1">
      <alignment horizontal="left"/>
    </xf>
    <xf numFmtId="0" fontId="20" fillId="14" borderId="56" xfId="0" applyFont="1" applyFill="1" applyBorder="1" applyAlignment="1" applyProtection="1">
      <alignment horizontal="center"/>
    </xf>
    <xf numFmtId="0" fontId="20" fillId="14" borderId="54" xfId="0" applyFont="1" applyFill="1" applyBorder="1" applyAlignment="1" applyProtection="1">
      <alignment horizontal="center"/>
    </xf>
    <xf numFmtId="0" fontId="21" fillId="14" borderId="54" xfId="0" applyFont="1" applyFill="1" applyBorder="1" applyAlignment="1" applyProtection="1">
      <alignment horizontal="center"/>
    </xf>
    <xf numFmtId="0" fontId="21" fillId="14" borderId="0" xfId="0" applyFont="1" applyFill="1" applyBorder="1" applyAlignment="1" applyProtection="1">
      <alignment horizontal="left"/>
    </xf>
    <xf numFmtId="44" fontId="20" fillId="14" borderId="0" xfId="2" applyFont="1" applyFill="1" applyBorder="1" applyAlignment="1" applyProtection="1">
      <alignment horizontal="center"/>
    </xf>
    <xf numFmtId="44" fontId="21" fillId="14" borderId="0" xfId="2" applyFont="1" applyFill="1" applyBorder="1" applyAlignment="1" applyProtection="1">
      <alignment horizontal="center"/>
    </xf>
    <xf numFmtId="0" fontId="22" fillId="14" borderId="0" xfId="0" applyFont="1" applyFill="1" applyBorder="1" applyAlignment="1" applyProtection="1">
      <alignment horizontal="left" vertical="top" indent="2"/>
    </xf>
    <xf numFmtId="0" fontId="22" fillId="14" borderId="7" xfId="0" applyFont="1" applyFill="1" applyBorder="1" applyAlignment="1" applyProtection="1">
      <alignment horizontal="left" vertical="top" indent="2"/>
    </xf>
    <xf numFmtId="0" fontId="22" fillId="14" borderId="0" xfId="0" applyFont="1" applyFill="1" applyBorder="1" applyAlignment="1" applyProtection="1">
      <alignment wrapText="1"/>
    </xf>
    <xf numFmtId="0" fontId="21" fillId="14" borderId="54" xfId="0" applyFont="1" applyFill="1" applyBorder="1" applyAlignment="1" applyProtection="1">
      <alignment horizontal="left"/>
    </xf>
    <xf numFmtId="44" fontId="21" fillId="14" borderId="0" xfId="2" applyFont="1" applyFill="1" applyBorder="1" applyAlignment="1" applyProtection="1">
      <alignment horizontal="center"/>
    </xf>
    <xf numFmtId="0" fontId="22" fillId="18" borderId="0" xfId="0" applyFont="1" applyFill="1" applyBorder="1"/>
    <xf numFmtId="0" fontId="22" fillId="18" borderId="0" xfId="0" applyFont="1" applyFill="1" applyBorder="1" applyAlignment="1" applyProtection="1">
      <alignment vertical="center" wrapText="1"/>
    </xf>
    <xf numFmtId="192" fontId="20" fillId="16" borderId="0" xfId="2" applyNumberFormat="1" applyFont="1" applyFill="1" applyBorder="1" applyAlignment="1" applyProtection="1">
      <alignment horizontal="center"/>
    </xf>
    <xf numFmtId="0" fontId="104" fillId="0" borderId="0" xfId="0" applyFont="1" applyAlignment="1">
      <alignment vertical="top" wrapText="1"/>
    </xf>
    <xf numFmtId="0" fontId="20" fillId="14" borderId="117" xfId="0" applyFont="1" applyFill="1" applyBorder="1" applyProtection="1"/>
    <xf numFmtId="0" fontId="20" fillId="14" borderId="117" xfId="0" applyFont="1" applyFill="1" applyBorder="1" applyAlignment="1" applyProtection="1">
      <alignment horizontal="center"/>
    </xf>
    <xf numFmtId="0" fontId="19" fillId="18" borderId="0" xfId="0" applyFont="1" applyFill="1"/>
    <xf numFmtId="0" fontId="102" fillId="14" borderId="4" xfId="0" applyFont="1" applyFill="1" applyBorder="1" applyAlignment="1" applyProtection="1"/>
    <xf numFmtId="1" fontId="101" fillId="14" borderId="0" xfId="0" applyNumberFormat="1" applyFont="1" applyFill="1" applyBorder="1" applyAlignment="1" applyProtection="1">
      <alignment horizontal="center"/>
    </xf>
    <xf numFmtId="0" fontId="102" fillId="14" borderId="0" xfId="0" applyFont="1" applyFill="1" applyBorder="1" applyProtection="1"/>
    <xf numFmtId="0" fontId="30" fillId="14" borderId="0" xfId="0" applyFont="1" applyFill="1" applyBorder="1" applyAlignment="1" applyProtection="1">
      <alignment horizontal="left"/>
    </xf>
    <xf numFmtId="0" fontId="30" fillId="14" borderId="8" xfId="0" applyFont="1" applyFill="1" applyBorder="1" applyAlignment="1" applyProtection="1">
      <alignment horizontal="left"/>
    </xf>
    <xf numFmtId="0" fontId="30" fillId="14" borderId="7" xfId="0" applyFont="1" applyFill="1" applyBorder="1" applyAlignment="1" applyProtection="1">
      <alignment horizontal="left"/>
    </xf>
    <xf numFmtId="0" fontId="30" fillId="14" borderId="9" xfId="0" applyFont="1" applyFill="1" applyBorder="1" applyAlignment="1" applyProtection="1">
      <alignment horizontal="left"/>
    </xf>
    <xf numFmtId="0" fontId="102" fillId="14" borderId="0" xfId="0" applyFont="1" applyFill="1" applyBorder="1" applyAlignment="1" applyProtection="1"/>
    <xf numFmtId="0" fontId="100" fillId="18" borderId="4" xfId="0" applyFont="1" applyFill="1" applyBorder="1"/>
    <xf numFmtId="0" fontId="100" fillId="18" borderId="4" xfId="0" applyFont="1" applyFill="1" applyBorder="1" applyAlignment="1" applyProtection="1">
      <alignment vertical="center" wrapText="1"/>
    </xf>
    <xf numFmtId="0" fontId="102" fillId="16" borderId="4" xfId="0" applyFont="1" applyFill="1" applyBorder="1" applyProtection="1"/>
    <xf numFmtId="0" fontId="102" fillId="16" borderId="4" xfId="0" applyFont="1" applyFill="1" applyBorder="1" applyAlignment="1" applyProtection="1">
      <alignment horizontal="center"/>
    </xf>
    <xf numFmtId="44" fontId="102" fillId="16" borderId="4" xfId="2" applyFont="1" applyFill="1" applyBorder="1" applyAlignment="1" applyProtection="1">
      <alignment horizontal="center"/>
    </xf>
    <xf numFmtId="0" fontId="101" fillId="18" borderId="4" xfId="0" applyFont="1" applyFill="1" applyBorder="1" applyAlignment="1" applyProtection="1"/>
    <xf numFmtId="192" fontId="102" fillId="16" borderId="4" xfId="2" applyNumberFormat="1" applyFont="1" applyFill="1" applyBorder="1" applyAlignment="1" applyProtection="1">
      <alignment horizontal="center"/>
    </xf>
    <xf numFmtId="44" fontId="101" fillId="16" borderId="4" xfId="2" applyFont="1" applyFill="1" applyBorder="1" applyAlignment="1" applyProtection="1">
      <alignment horizontal="center"/>
    </xf>
    <xf numFmtId="0" fontId="101" fillId="18" borderId="4" xfId="0" applyFont="1" applyFill="1" applyBorder="1" applyAlignment="1" applyProtection="1">
      <alignment horizontal="center"/>
    </xf>
    <xf numFmtId="0" fontId="103" fillId="16" borderId="4" xfId="0" applyFont="1" applyFill="1" applyBorder="1" applyAlignment="1" applyProtection="1">
      <alignment horizontal="left" wrapText="1" indent="1"/>
    </xf>
    <xf numFmtId="0" fontId="104" fillId="0" borderId="0" xfId="0" applyFont="1" applyAlignment="1">
      <alignment horizontal="left" vertical="top" wrapText="1"/>
    </xf>
    <xf numFmtId="0" fontId="43" fillId="0" borderId="0" xfId="0" applyFont="1" applyAlignment="1">
      <alignment horizontal="left" vertical="top"/>
    </xf>
    <xf numFmtId="0" fontId="43" fillId="0" borderId="0" xfId="0" quotePrefix="1" applyFont="1" applyAlignment="1">
      <alignment horizontal="left" vertical="top" wrapText="1"/>
    </xf>
    <xf numFmtId="0" fontId="0" fillId="0" borderId="0" xfId="0" applyAlignment="1">
      <alignment horizontal="left" vertical="top"/>
    </xf>
    <xf numFmtId="0" fontId="21" fillId="18" borderId="4" xfId="0" applyFont="1" applyFill="1" applyBorder="1" applyAlignment="1" applyProtection="1">
      <alignment vertical="center"/>
    </xf>
    <xf numFmtId="0" fontId="21" fillId="18" borderId="4" xfId="0" applyFont="1" applyFill="1" applyBorder="1" applyAlignment="1">
      <alignment vertical="top"/>
    </xf>
    <xf numFmtId="0" fontId="21" fillId="16" borderId="4" xfId="0" applyFont="1" applyFill="1" applyBorder="1" applyAlignment="1" applyProtection="1">
      <alignment horizontal="left" vertical="top"/>
    </xf>
    <xf numFmtId="44" fontId="22" fillId="16" borderId="4" xfId="2" applyFont="1" applyFill="1" applyBorder="1" applyAlignment="1" applyProtection="1">
      <alignment horizontal="left" vertical="top"/>
    </xf>
    <xf numFmtId="0" fontId="21" fillId="18" borderId="4" xfId="0" applyFont="1" applyFill="1" applyBorder="1" applyAlignment="1" applyProtection="1">
      <alignment horizontal="left" vertical="top"/>
    </xf>
    <xf numFmtId="44" fontId="21" fillId="16" borderId="4" xfId="2" applyFont="1" applyFill="1" applyBorder="1" applyAlignment="1" applyProtection="1">
      <alignment horizontal="left" vertical="top"/>
    </xf>
    <xf numFmtId="0" fontId="22" fillId="18" borderId="7" xfId="0" applyFont="1" applyFill="1" applyBorder="1" applyAlignment="1" applyProtection="1">
      <alignment vertical="center" wrapText="1"/>
    </xf>
    <xf numFmtId="0" fontId="22" fillId="18" borderId="7" xfId="0" applyFont="1" applyFill="1" applyBorder="1"/>
    <xf numFmtId="0" fontId="20" fillId="16" borderId="7" xfId="0" applyFont="1" applyFill="1" applyBorder="1" applyProtection="1"/>
    <xf numFmtId="0" fontId="20" fillId="16" borderId="7" xfId="0" applyFont="1" applyFill="1" applyBorder="1" applyAlignment="1" applyProtection="1">
      <alignment horizontal="center"/>
    </xf>
    <xf numFmtId="44" fontId="20" fillId="16" borderId="7" xfId="2" applyFont="1" applyFill="1" applyBorder="1" applyAlignment="1" applyProtection="1">
      <alignment horizontal="center"/>
    </xf>
    <xf numFmtId="192" fontId="20" fillId="16" borderId="7" xfId="2" applyNumberFormat="1" applyFont="1" applyFill="1" applyBorder="1" applyAlignment="1" applyProtection="1">
      <alignment horizontal="center"/>
    </xf>
    <xf numFmtId="44" fontId="20" fillId="16" borderId="8" xfId="2" applyFont="1" applyFill="1" applyBorder="1" applyAlignment="1" applyProtection="1">
      <alignment horizontal="center"/>
    </xf>
    <xf numFmtId="44" fontId="20" fillId="16" borderId="9" xfId="2" applyFont="1" applyFill="1" applyBorder="1" applyAlignment="1" applyProtection="1">
      <alignment horizontal="center"/>
    </xf>
    <xf numFmtId="44" fontId="22" fillId="16" borderId="19" xfId="2" applyFont="1" applyFill="1" applyBorder="1" applyAlignment="1" applyProtection="1">
      <alignment horizontal="left" vertical="top"/>
    </xf>
    <xf numFmtId="0" fontId="33" fillId="14" borderId="0" xfId="0" applyFont="1" applyFill="1" applyBorder="1" applyProtection="1"/>
    <xf numFmtId="0" fontId="33" fillId="14" borderId="0" xfId="0" applyFont="1" applyFill="1" applyBorder="1" applyAlignment="1" applyProtection="1">
      <alignment horizontal="right"/>
    </xf>
    <xf numFmtId="44" fontId="20" fillId="16" borderId="4" xfId="2" applyFont="1" applyFill="1" applyBorder="1" applyAlignment="1" applyProtection="1">
      <alignment horizontal="left" vertical="top"/>
    </xf>
    <xf numFmtId="0" fontId="20" fillId="14" borderId="118" xfId="0" applyFont="1" applyFill="1" applyBorder="1" applyProtection="1"/>
    <xf numFmtId="0" fontId="20" fillId="14" borderId="119" xfId="0" applyFont="1" applyFill="1" applyBorder="1" applyProtection="1"/>
    <xf numFmtId="0" fontId="20" fillId="14" borderId="130" xfId="0" applyFont="1" applyFill="1" applyBorder="1" applyProtection="1"/>
    <xf numFmtId="0" fontId="20" fillId="20" borderId="118" xfId="0" applyFont="1" applyFill="1" applyBorder="1" applyProtection="1"/>
    <xf numFmtId="0" fontId="20" fillId="20" borderId="119" xfId="0" applyFont="1" applyFill="1" applyBorder="1" applyProtection="1"/>
    <xf numFmtId="0" fontId="20" fillId="20" borderId="133" xfId="0" applyFont="1" applyFill="1" applyBorder="1" applyProtection="1"/>
    <xf numFmtId="187" fontId="21" fillId="20" borderId="134" xfId="0" applyNumberFormat="1" applyFont="1" applyFill="1" applyBorder="1" applyAlignment="1" applyProtection="1">
      <alignment horizontal="left"/>
    </xf>
    <xf numFmtId="0" fontId="21" fillId="25" borderId="136" xfId="0" applyFont="1" applyFill="1" applyBorder="1" applyAlignment="1" applyProtection="1">
      <alignment horizontal="center"/>
    </xf>
    <xf numFmtId="0" fontId="21" fillId="14" borderId="133" xfId="0" applyFont="1" applyFill="1" applyBorder="1" applyProtection="1"/>
    <xf numFmtId="0" fontId="21" fillId="14" borderId="134" xfId="0" applyFont="1" applyFill="1" applyBorder="1" applyAlignment="1" applyProtection="1">
      <alignment horizontal="left"/>
    </xf>
    <xf numFmtId="0" fontId="20" fillId="14" borderId="132" xfId="0" applyFont="1" applyFill="1" applyBorder="1" applyAlignment="1" applyProtection="1">
      <alignment horizontal="left"/>
    </xf>
    <xf numFmtId="0" fontId="20" fillId="14" borderId="120" xfId="0" applyFont="1" applyFill="1" applyBorder="1" applyProtection="1"/>
    <xf numFmtId="0" fontId="20" fillId="14" borderId="76" xfId="0" applyFont="1" applyFill="1" applyBorder="1" applyProtection="1"/>
    <xf numFmtId="0" fontId="20" fillId="14" borderId="76" xfId="0" applyFont="1" applyFill="1" applyBorder="1" applyAlignment="1" applyProtection="1">
      <alignment horizontal="center"/>
    </xf>
    <xf numFmtId="0" fontId="20" fillId="14" borderId="121" xfId="0" applyFont="1" applyFill="1" applyBorder="1" applyProtection="1"/>
    <xf numFmtId="0" fontId="21" fillId="14" borderId="117" xfId="0" applyFont="1" applyFill="1" applyBorder="1" applyAlignment="1" applyProtection="1">
      <alignment horizontal="right"/>
    </xf>
    <xf numFmtId="0" fontId="11" fillId="14" borderId="129" xfId="0" applyFont="1" applyFill="1" applyBorder="1" applyAlignment="1" applyProtection="1">
      <alignment horizontal="right" vertical="center"/>
    </xf>
    <xf numFmtId="0" fontId="20" fillId="14" borderId="53" xfId="0" applyFont="1" applyFill="1" applyBorder="1" applyAlignment="1" applyProtection="1">
      <alignment horizontal="left" vertical="center"/>
    </xf>
    <xf numFmtId="0" fontId="11" fillId="14" borderId="44" xfId="0" applyFont="1" applyFill="1" applyBorder="1" applyAlignment="1" applyProtection="1">
      <alignment horizontal="right" vertical="center"/>
    </xf>
    <xf numFmtId="0" fontId="43" fillId="0" borderId="0" xfId="0" quotePrefix="1" applyFont="1" applyAlignment="1">
      <alignment vertical="top" wrapText="1"/>
    </xf>
    <xf numFmtId="0" fontId="20" fillId="14" borderId="0" xfId="0" applyFont="1" applyFill="1" applyBorder="1" applyAlignment="1" applyProtection="1">
      <alignment wrapText="1"/>
    </xf>
    <xf numFmtId="0" fontId="20" fillId="14" borderId="8" xfId="0" applyFont="1" applyFill="1" applyBorder="1" applyAlignment="1" applyProtection="1">
      <alignment wrapText="1"/>
    </xf>
    <xf numFmtId="0" fontId="20" fillId="14" borderId="0" xfId="0" applyFont="1" applyFill="1" applyBorder="1" applyAlignment="1" applyProtection="1"/>
    <xf numFmtId="0" fontId="59" fillId="0" borderId="0" xfId="0" applyFont="1" applyAlignment="1">
      <alignment horizontal="left"/>
    </xf>
    <xf numFmtId="0" fontId="107" fillId="0" borderId="0" xfId="0" applyFont="1" applyBorder="1" applyAlignment="1"/>
    <xf numFmtId="0" fontId="30" fillId="14" borderId="0" xfId="0" applyFont="1" applyFill="1" applyBorder="1" applyAlignment="1" applyProtection="1"/>
    <xf numFmtId="0" fontId="30" fillId="14" borderId="0" xfId="0" quotePrefix="1" applyFont="1" applyFill="1" applyBorder="1" applyAlignment="1" applyProtection="1">
      <alignment horizontal="right" vertical="center"/>
    </xf>
    <xf numFmtId="0" fontId="30" fillId="14" borderId="0" xfId="0" applyNumberFormat="1" applyFont="1" applyFill="1" applyBorder="1" applyAlignment="1" applyProtection="1">
      <alignment vertical="top"/>
    </xf>
    <xf numFmtId="0" fontId="59" fillId="0" borderId="0" xfId="0" applyFont="1" applyFill="1" applyBorder="1" applyAlignment="1">
      <alignment vertical="justify" wrapText="1"/>
    </xf>
    <xf numFmtId="0" fontId="59" fillId="21" borderId="54" xfId="0" applyFont="1" applyFill="1" applyBorder="1"/>
    <xf numFmtId="0" fontId="43" fillId="0" borderId="0" xfId="0" applyFont="1"/>
    <xf numFmtId="0" fontId="20" fillId="14" borderId="0" xfId="0" applyFont="1" applyFill="1" applyBorder="1" applyAlignment="1" applyProtection="1">
      <alignment horizontal="left"/>
    </xf>
    <xf numFmtId="1" fontId="21" fillId="14" borderId="54" xfId="0" applyNumberFormat="1" applyFont="1" applyFill="1" applyBorder="1" applyAlignment="1" applyProtection="1">
      <alignment horizontal="left"/>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20" fillId="14" borderId="54" xfId="0" applyFont="1" applyFill="1" applyBorder="1" applyAlignment="1" applyProtection="1">
      <alignment horizontal="center"/>
    </xf>
    <xf numFmtId="0" fontId="20" fillId="14" borderId="0" xfId="0" applyFont="1" applyFill="1" applyBorder="1" applyAlignment="1" applyProtection="1">
      <alignment horizontal="center"/>
    </xf>
    <xf numFmtId="0" fontId="80" fillId="29" borderId="0" xfId="0" applyFont="1" applyFill="1" applyBorder="1" applyAlignment="1">
      <alignment horizontal="center" vertical="center"/>
    </xf>
    <xf numFmtId="0" fontId="80" fillId="29" borderId="0" xfId="0" applyFont="1" applyFill="1" applyBorder="1" applyAlignment="1">
      <alignment horizontal="center"/>
    </xf>
    <xf numFmtId="0" fontId="80" fillId="29" borderId="0" xfId="0" applyFont="1" applyFill="1" applyBorder="1"/>
    <xf numFmtId="0" fontId="110" fillId="29" borderId="0" xfId="0" applyFont="1" applyFill="1" applyBorder="1"/>
    <xf numFmtId="0" fontId="48" fillId="0" borderId="0" xfId="0" applyFont="1" applyBorder="1"/>
    <xf numFmtId="0" fontId="21" fillId="14" borderId="7" xfId="0" applyFont="1" applyFill="1" applyBorder="1" applyAlignment="1" applyProtection="1"/>
    <xf numFmtId="0" fontId="20" fillId="14" borderId="137" xfId="0" applyFont="1" applyFill="1" applyBorder="1" applyAlignment="1" applyProtection="1">
      <alignment horizontal="left"/>
    </xf>
    <xf numFmtId="186" fontId="21" fillId="14" borderId="109" xfId="0" applyNumberFormat="1" applyFont="1" applyFill="1" applyBorder="1" applyAlignment="1" applyProtection="1"/>
    <xf numFmtId="186" fontId="27" fillId="14" borderId="109" xfId="0" applyNumberFormat="1" applyFont="1" applyFill="1" applyBorder="1" applyAlignment="1" applyProtection="1">
      <alignment horizontal="center"/>
    </xf>
    <xf numFmtId="0" fontId="8" fillId="14" borderId="109" xfId="0" applyFont="1" applyFill="1" applyBorder="1" applyProtection="1"/>
    <xf numFmtId="0" fontId="25" fillId="14" borderId="109" xfId="0" applyFont="1" applyFill="1" applyBorder="1" applyAlignment="1" applyProtection="1">
      <alignment horizontal="center"/>
    </xf>
    <xf numFmtId="0" fontId="25" fillId="14" borderId="109" xfId="0" applyFont="1" applyFill="1" applyBorder="1" applyProtection="1"/>
    <xf numFmtId="0" fontId="20" fillId="14" borderId="109" xfId="0" applyFont="1" applyFill="1" applyBorder="1" applyProtection="1"/>
    <xf numFmtId="0" fontId="20" fillId="14" borderId="138" xfId="0" applyFont="1" applyFill="1" applyBorder="1" applyProtection="1"/>
    <xf numFmtId="1" fontId="21" fillId="14" borderId="139" xfId="0" applyNumberFormat="1" applyFont="1" applyFill="1" applyBorder="1" applyAlignment="1" applyProtection="1"/>
    <xf numFmtId="0" fontId="24" fillId="14" borderId="54" xfId="0" applyFont="1" applyFill="1" applyBorder="1" applyProtection="1"/>
    <xf numFmtId="0" fontId="20" fillId="14" borderId="74" xfId="0" applyFont="1" applyFill="1" applyBorder="1" applyAlignment="1" applyProtection="1">
      <alignment horizontal="right"/>
    </xf>
    <xf numFmtId="0" fontId="20" fillId="14" borderId="139" xfId="0" applyFont="1" applyFill="1" applyBorder="1" applyProtection="1"/>
    <xf numFmtId="0" fontId="20" fillId="14" borderId="141" xfId="0" applyFont="1" applyFill="1" applyBorder="1" applyProtection="1"/>
    <xf numFmtId="0" fontId="20" fillId="14" borderId="6" xfId="0" applyFont="1" applyFill="1" applyBorder="1" applyProtection="1"/>
    <xf numFmtId="0" fontId="24" fillId="14" borderId="25" xfId="0" applyFont="1" applyFill="1" applyBorder="1" applyProtection="1"/>
    <xf numFmtId="0" fontId="78" fillId="19" borderId="0" xfId="0" applyFont="1" applyFill="1" applyBorder="1" applyAlignment="1">
      <alignment horizontal="left"/>
    </xf>
    <xf numFmtId="0" fontId="33" fillId="14" borderId="0" xfId="0" applyFont="1" applyFill="1" applyBorder="1" applyAlignment="1" applyProtection="1">
      <alignment horizontal="center"/>
    </xf>
    <xf numFmtId="0" fontId="20" fillId="16" borderId="56" xfId="0" applyFont="1" applyFill="1" applyBorder="1" applyAlignment="1" applyProtection="1">
      <alignment horizontal="center" vertical="center"/>
    </xf>
    <xf numFmtId="0" fontId="20" fillId="16" borderId="56" xfId="0" applyFont="1" applyFill="1" applyBorder="1" applyAlignment="1" applyProtection="1">
      <alignment vertical="center"/>
    </xf>
    <xf numFmtId="0" fontId="20" fillId="16" borderId="73" xfId="0" applyFont="1" applyFill="1" applyBorder="1" applyAlignment="1" applyProtection="1">
      <alignment vertical="center"/>
    </xf>
    <xf numFmtId="0" fontId="20" fillId="16" borderId="0" xfId="0" applyFont="1" applyFill="1" applyBorder="1" applyAlignment="1" applyProtection="1">
      <alignment horizontal="center" vertical="center"/>
    </xf>
    <xf numFmtId="0" fontId="33" fillId="16" borderId="0" xfId="0" applyFont="1" applyFill="1" applyBorder="1" applyAlignment="1" applyProtection="1">
      <alignment horizontal="right" vertical="center"/>
    </xf>
    <xf numFmtId="0" fontId="20" fillId="16" borderId="0" xfId="0" applyFont="1" applyFill="1" applyBorder="1" applyAlignment="1" applyProtection="1">
      <alignment vertical="center"/>
    </xf>
    <xf numFmtId="0" fontId="20" fillId="16" borderId="7" xfId="0" applyFont="1" applyFill="1" applyBorder="1" applyAlignment="1" applyProtection="1">
      <alignment vertical="center"/>
    </xf>
    <xf numFmtId="0" fontId="20" fillId="16" borderId="19" xfId="0" applyFont="1" applyFill="1" applyBorder="1" applyProtection="1"/>
    <xf numFmtId="0" fontId="20" fillId="16" borderId="8" xfId="0" applyFont="1" applyFill="1" applyBorder="1" applyAlignment="1" applyProtection="1">
      <alignment horizontal="center"/>
    </xf>
    <xf numFmtId="0" fontId="20" fillId="16" borderId="8" xfId="0" applyFont="1" applyFill="1" applyBorder="1" applyAlignment="1" applyProtection="1">
      <alignment horizontal="center" vertical="center"/>
    </xf>
    <xf numFmtId="0" fontId="20" fillId="16" borderId="8" xfId="0" applyFont="1" applyFill="1" applyBorder="1" applyAlignment="1" applyProtection="1">
      <alignment vertical="center"/>
    </xf>
    <xf numFmtId="0" fontId="20" fillId="16" borderId="9" xfId="0" applyFont="1" applyFill="1" applyBorder="1" applyAlignment="1" applyProtection="1">
      <alignment vertical="center"/>
    </xf>
    <xf numFmtId="0" fontId="20" fillId="14" borderId="114" xfId="0" applyFont="1" applyFill="1" applyBorder="1" applyProtection="1"/>
    <xf numFmtId="186" fontId="27" fillId="14" borderId="114" xfId="0" applyNumberFormat="1" applyFont="1" applyFill="1" applyBorder="1" applyAlignment="1" applyProtection="1">
      <alignment horizontal="center"/>
    </xf>
    <xf numFmtId="0" fontId="8" fillId="14" borderId="114" xfId="0" applyFont="1" applyFill="1" applyBorder="1" applyProtection="1"/>
    <xf numFmtId="0" fontId="21" fillId="14" borderId="114" xfId="0" applyFont="1" applyFill="1" applyBorder="1" applyAlignment="1" applyProtection="1"/>
    <xf numFmtId="0" fontId="43" fillId="0" borderId="5" xfId="0" applyFont="1" applyBorder="1" applyProtection="1">
      <protection locked="0"/>
    </xf>
    <xf numFmtId="1" fontId="21" fillId="14" borderId="10" xfId="0" applyNumberFormat="1" applyFont="1" applyFill="1" applyBorder="1" applyAlignment="1" applyProtection="1">
      <alignment horizontal="left"/>
    </xf>
    <xf numFmtId="0" fontId="20" fillId="14" borderId="10" xfId="0" applyFont="1" applyFill="1" applyBorder="1" applyProtection="1"/>
    <xf numFmtId="0" fontId="20" fillId="14" borderId="34" xfId="0" applyFont="1" applyFill="1" applyBorder="1" applyProtection="1"/>
    <xf numFmtId="0" fontId="21" fillId="14" borderId="4" xfId="0" applyFont="1" applyFill="1" applyBorder="1" applyAlignment="1" applyProtection="1"/>
    <xf numFmtId="0" fontId="25" fillId="16" borderId="8" xfId="0" applyFont="1" applyFill="1" applyBorder="1" applyAlignment="1" applyProtection="1">
      <alignment vertical="center"/>
    </xf>
    <xf numFmtId="0" fontId="20" fillId="14" borderId="66" xfId="0" applyFont="1" applyFill="1" applyBorder="1" applyProtection="1"/>
    <xf numFmtId="0" fontId="20" fillId="14" borderId="143" xfId="0" applyFont="1" applyFill="1" applyBorder="1" applyProtection="1"/>
    <xf numFmtId="0" fontId="41" fillId="30" borderId="37" xfId="0" applyFont="1" applyFill="1" applyBorder="1" applyAlignment="1" applyProtection="1">
      <alignment horizontal="center"/>
    </xf>
    <xf numFmtId="0" fontId="43" fillId="30" borderId="31" xfId="0" applyFont="1" applyFill="1" applyBorder="1" applyProtection="1"/>
    <xf numFmtId="0" fontId="43" fillId="30" borderId="6" xfId="0" applyFont="1" applyFill="1" applyBorder="1" applyProtection="1"/>
    <xf numFmtId="0" fontId="43" fillId="30" borderId="4" xfId="0" applyFont="1" applyFill="1" applyBorder="1" applyProtection="1"/>
    <xf numFmtId="0" fontId="43" fillId="30" borderId="0" xfId="0" applyFont="1" applyFill="1" applyBorder="1" applyProtection="1"/>
    <xf numFmtId="0" fontId="41" fillId="30" borderId="32" xfId="0" applyFont="1" applyFill="1" applyBorder="1" applyAlignment="1" applyProtection="1">
      <alignment horizontal="center"/>
    </xf>
    <xf numFmtId="0" fontId="43" fillId="30" borderId="66" xfId="0" applyFont="1" applyFill="1" applyBorder="1" applyProtection="1"/>
    <xf numFmtId="0" fontId="43" fillId="30" borderId="65" xfId="0" applyFont="1" applyFill="1" applyBorder="1" applyProtection="1"/>
    <xf numFmtId="0" fontId="43" fillId="30" borderId="7" xfId="0" applyFont="1" applyFill="1" applyBorder="1" applyProtection="1"/>
    <xf numFmtId="0" fontId="43" fillId="30" borderId="1" xfId="0" applyFont="1" applyFill="1" applyBorder="1" applyProtection="1"/>
    <xf numFmtId="0" fontId="43" fillId="30" borderId="68" xfId="0" applyFont="1" applyFill="1" applyBorder="1" applyProtection="1"/>
    <xf numFmtId="179" fontId="43" fillId="30" borderId="67" xfId="0" applyNumberFormat="1" applyFont="1" applyFill="1" applyBorder="1" applyProtection="1"/>
    <xf numFmtId="0" fontId="44" fillId="30" borderId="0" xfId="0" applyFont="1" applyFill="1" applyBorder="1" applyAlignment="1" applyProtection="1">
      <alignment horizontal="center"/>
    </xf>
    <xf numFmtId="0" fontId="43" fillId="30" borderId="26" xfId="0" applyFont="1" applyFill="1" applyBorder="1" applyProtection="1"/>
    <xf numFmtId="179" fontId="43" fillId="30" borderId="17" xfId="0" applyNumberFormat="1" applyFont="1" applyFill="1" applyBorder="1" applyProtection="1"/>
    <xf numFmtId="0" fontId="45" fillId="30" borderId="0" xfId="0" applyFont="1" applyFill="1" applyBorder="1" applyProtection="1"/>
    <xf numFmtId="0" fontId="43" fillId="30" borderId="2" xfId="0" applyFont="1" applyFill="1" applyBorder="1" applyProtection="1"/>
    <xf numFmtId="0" fontId="43" fillId="30" borderId="19" xfId="0" applyFont="1" applyFill="1" applyBorder="1" applyProtection="1"/>
    <xf numFmtId="179" fontId="43" fillId="30" borderId="39" xfId="0" applyNumberFormat="1" applyFont="1" applyFill="1" applyBorder="1" applyProtection="1"/>
    <xf numFmtId="0" fontId="46" fillId="30" borderId="0" xfId="0" applyFont="1" applyFill="1" applyBorder="1" applyAlignment="1" applyProtection="1">
      <alignment horizontal="left"/>
    </xf>
    <xf numFmtId="0" fontId="47" fillId="30" borderId="0" xfId="0" applyFont="1" applyFill="1" applyBorder="1" applyProtection="1"/>
    <xf numFmtId="0" fontId="46" fillId="30" borderId="0" xfId="0" applyFont="1" applyFill="1" applyBorder="1" applyAlignment="1" applyProtection="1">
      <alignment horizontal="centerContinuous"/>
    </xf>
    <xf numFmtId="0" fontId="43" fillId="30" borderId="4" xfId="0" quotePrefix="1" applyFont="1" applyFill="1" applyBorder="1" applyAlignment="1" applyProtection="1">
      <alignment horizontal="center" vertical="center" wrapText="1"/>
    </xf>
    <xf numFmtId="0" fontId="43" fillId="30" borderId="4" xfId="0" applyFont="1" applyFill="1" applyBorder="1" applyAlignment="1" applyProtection="1">
      <alignment horizontal="center" vertical="center" wrapText="1"/>
    </xf>
    <xf numFmtId="0" fontId="48" fillId="30" borderId="57" xfId="0" applyFont="1" applyFill="1" applyBorder="1" applyAlignment="1" applyProtection="1">
      <alignment horizontal="center" vertical="center" wrapText="1"/>
    </xf>
    <xf numFmtId="0" fontId="48" fillId="30" borderId="12" xfId="0" applyFont="1" applyFill="1" applyBorder="1" applyAlignment="1" applyProtection="1">
      <alignment horizontal="center" vertical="center" wrapText="1"/>
    </xf>
    <xf numFmtId="0" fontId="43" fillId="30" borderId="3" xfId="0" applyFont="1" applyFill="1" applyBorder="1" applyAlignment="1" applyProtection="1">
      <alignment horizontal="center" vertical="center" wrapText="1"/>
    </xf>
    <xf numFmtId="0" fontId="48" fillId="30" borderId="10" xfId="0" applyFont="1" applyFill="1" applyBorder="1" applyAlignment="1" applyProtection="1">
      <alignment horizontal="center" vertical="center" wrapText="1"/>
    </xf>
    <xf numFmtId="0" fontId="49" fillId="30" borderId="10" xfId="0" applyFont="1" applyFill="1" applyBorder="1" applyAlignment="1" applyProtection="1">
      <alignment horizontal="center" vertical="center" wrapText="1"/>
    </xf>
    <xf numFmtId="0" fontId="43" fillId="30" borderId="10" xfId="0" applyFont="1" applyFill="1" applyBorder="1" applyAlignment="1" applyProtection="1">
      <alignment wrapText="1"/>
    </xf>
    <xf numFmtId="0" fontId="43" fillId="30" borderId="34" xfId="0" applyFont="1" applyFill="1" applyBorder="1" applyAlignment="1" applyProtection="1">
      <alignment wrapText="1"/>
    </xf>
    <xf numFmtId="0" fontId="43" fillId="30" borderId="3" xfId="0" applyFont="1" applyFill="1" applyBorder="1" applyAlignment="1" applyProtection="1">
      <alignment wrapText="1"/>
    </xf>
    <xf numFmtId="0" fontId="49" fillId="30" borderId="0" xfId="0" applyFont="1" applyFill="1" applyBorder="1" applyProtection="1"/>
    <xf numFmtId="0" fontId="49" fillId="30" borderId="7" xfId="0" quotePrefix="1" applyFont="1" applyFill="1" applyBorder="1" applyProtection="1"/>
    <xf numFmtId="0" fontId="49" fillId="30" borderId="4" xfId="0" applyFont="1" applyFill="1" applyBorder="1" applyProtection="1"/>
    <xf numFmtId="0" fontId="49" fillId="30" borderId="7" xfId="0" applyFont="1" applyFill="1" applyBorder="1" applyProtection="1"/>
    <xf numFmtId="179" fontId="49" fillId="30" borderId="4" xfId="0" applyNumberFormat="1" applyFont="1" applyFill="1" applyBorder="1" applyProtection="1"/>
    <xf numFmtId="179" fontId="49" fillId="30" borderId="0" xfId="0" applyNumberFormat="1" applyFont="1" applyFill="1" applyBorder="1" applyProtection="1"/>
    <xf numFmtId="179" fontId="49" fillId="30" borderId="7" xfId="0" applyNumberFormat="1" applyFont="1" applyFill="1" applyBorder="1" applyProtection="1"/>
    <xf numFmtId="0" fontId="43" fillId="30" borderId="4" xfId="0" applyFont="1" applyFill="1" applyBorder="1" applyAlignment="1" applyProtection="1"/>
    <xf numFmtId="0" fontId="43" fillId="30" borderId="0" xfId="0" applyFont="1" applyFill="1" applyBorder="1" applyAlignment="1" applyProtection="1"/>
    <xf numFmtId="0" fontId="46" fillId="30" borderId="0" xfId="0" applyFont="1" applyFill="1" applyBorder="1" applyAlignment="1" applyProtection="1">
      <alignment horizontal="center"/>
    </xf>
    <xf numFmtId="0" fontId="49" fillId="30" borderId="0" xfId="0" applyFont="1" applyFill="1" applyBorder="1" applyAlignment="1" applyProtection="1"/>
    <xf numFmtId="0" fontId="49" fillId="30" borderId="7" xfId="0" quotePrefix="1" applyFont="1" applyFill="1" applyBorder="1" applyAlignment="1" applyProtection="1"/>
    <xf numFmtId="0" fontId="49" fillId="30" borderId="4" xfId="0" applyFont="1" applyFill="1" applyBorder="1" applyAlignment="1" applyProtection="1"/>
    <xf numFmtId="0" fontId="49" fillId="30" borderId="7" xfId="0" applyFont="1" applyFill="1" applyBorder="1" applyAlignment="1" applyProtection="1"/>
    <xf numFmtId="179" fontId="49" fillId="30" borderId="4" xfId="0" applyNumberFormat="1" applyFont="1" applyFill="1" applyBorder="1" applyAlignment="1" applyProtection="1"/>
    <xf numFmtId="0" fontId="44" fillId="0" borderId="0" xfId="0" applyFont="1" applyFill="1" applyBorder="1" applyAlignment="1" applyProtection="1"/>
    <xf numFmtId="0" fontId="44" fillId="0" borderId="0" xfId="0" applyFont="1" applyFill="1" applyBorder="1" applyProtection="1"/>
    <xf numFmtId="0" fontId="43" fillId="30" borderId="19" xfId="0" applyFont="1" applyFill="1" applyBorder="1" applyAlignment="1" applyProtection="1"/>
    <xf numFmtId="0" fontId="44" fillId="30" borderId="8" xfId="0" applyFont="1" applyFill="1" applyBorder="1" applyAlignment="1" applyProtection="1">
      <alignment horizontal="center"/>
    </xf>
    <xf numFmtId="0" fontId="43" fillId="30" borderId="8" xfId="0" applyFont="1" applyFill="1" applyBorder="1" applyAlignment="1" applyProtection="1"/>
    <xf numFmtId="0" fontId="46" fillId="30" borderId="8" xfId="0" applyFont="1" applyFill="1" applyBorder="1" applyAlignment="1" applyProtection="1">
      <alignment horizontal="center"/>
    </xf>
    <xf numFmtId="0" fontId="49" fillId="30" borderId="8" xfId="0" applyFont="1" applyFill="1" applyBorder="1" applyAlignment="1" applyProtection="1"/>
    <xf numFmtId="0" fontId="49" fillId="30" borderId="9" xfId="0" quotePrefix="1" applyFont="1" applyFill="1" applyBorder="1" applyAlignment="1" applyProtection="1"/>
    <xf numFmtId="0" fontId="49" fillId="30" borderId="19" xfId="0" applyFont="1" applyFill="1" applyBorder="1" applyAlignment="1" applyProtection="1"/>
    <xf numFmtId="0" fontId="49" fillId="30" borderId="9" xfId="0" applyFont="1" applyFill="1" applyBorder="1" applyAlignment="1" applyProtection="1"/>
    <xf numFmtId="179" fontId="49" fillId="30" borderId="19" xfId="0" applyNumberFormat="1" applyFont="1" applyFill="1" applyBorder="1" applyAlignment="1" applyProtection="1"/>
    <xf numFmtId="179" fontId="49" fillId="30" borderId="8" xfId="0" applyNumberFormat="1" applyFont="1" applyFill="1" applyBorder="1" applyProtection="1"/>
    <xf numFmtId="179" fontId="49" fillId="30" borderId="9" xfId="0" applyNumberFormat="1" applyFont="1" applyFill="1" applyBorder="1" applyProtection="1"/>
    <xf numFmtId="0" fontId="44" fillId="0" borderId="8" xfId="0" applyFont="1" applyFill="1" applyBorder="1" applyAlignment="1" applyProtection="1"/>
    <xf numFmtId="0" fontId="44" fillId="0" borderId="9" xfId="0" applyFont="1" applyFill="1" applyBorder="1" applyAlignment="1" applyProtection="1"/>
    <xf numFmtId="0" fontId="43" fillId="30" borderId="3" xfId="0" applyFont="1" applyFill="1" applyBorder="1" applyAlignment="1" applyProtection="1">
      <alignment horizontal="center" wrapText="1"/>
    </xf>
    <xf numFmtId="0" fontId="43" fillId="30" borderId="10" xfId="0" applyFont="1" applyFill="1" applyBorder="1" applyAlignment="1" applyProtection="1">
      <alignment horizontal="center" wrapText="1"/>
    </xf>
    <xf numFmtId="0" fontId="43" fillId="30" borderId="34" xfId="0" applyFont="1" applyFill="1" applyBorder="1" applyAlignment="1" applyProtection="1">
      <alignment horizontal="center" wrapText="1"/>
    </xf>
    <xf numFmtId="187" fontId="21" fillId="20" borderId="0" xfId="0" applyNumberFormat="1" applyFont="1" applyFill="1" applyBorder="1" applyAlignment="1" applyProtection="1">
      <alignment horizontal="left"/>
    </xf>
    <xf numFmtId="187" fontId="21" fillId="20" borderId="119" xfId="0" applyNumberFormat="1" applyFont="1" applyFill="1" applyBorder="1" applyAlignment="1" applyProtection="1">
      <alignment horizontal="left"/>
    </xf>
    <xf numFmtId="0" fontId="43" fillId="3" borderId="14" xfId="0" applyFont="1" applyFill="1" applyBorder="1" applyProtection="1"/>
    <xf numFmtId="0" fontId="112" fillId="14" borderId="4" xfId="0" applyFont="1" applyFill="1" applyBorder="1" applyAlignment="1" applyProtection="1">
      <alignment vertical="top"/>
    </xf>
    <xf numFmtId="0" fontId="43" fillId="0" borderId="0" xfId="0" applyFont="1"/>
    <xf numFmtId="0" fontId="107" fillId="0" borderId="0" xfId="0" applyFont="1" applyFill="1" applyBorder="1" applyAlignment="1"/>
    <xf numFmtId="0" fontId="48" fillId="0" borderId="0" xfId="0" applyFont="1" applyFill="1" applyBorder="1"/>
    <xf numFmtId="0" fontId="61" fillId="0" borderId="0" xfId="0" applyFont="1" applyAlignment="1">
      <alignment vertical="center"/>
    </xf>
    <xf numFmtId="0" fontId="78" fillId="0" borderId="8" xfId="0" applyFont="1" applyBorder="1" applyAlignment="1"/>
    <xf numFmtId="0" fontId="43" fillId="0" borderId="0" xfId="0" applyFont="1" applyAlignment="1"/>
    <xf numFmtId="0" fontId="61" fillId="0" borderId="0" xfId="0" quotePrefix="1" applyFont="1" applyAlignment="1">
      <alignment horizontal="right" vertical="top"/>
    </xf>
    <xf numFmtId="0" fontId="61" fillId="0" borderId="0" xfId="0" applyFont="1" applyBorder="1" applyAlignment="1">
      <alignment vertical="center"/>
    </xf>
    <xf numFmtId="0" fontId="43" fillId="0" borderId="8" xfId="0" applyFont="1" applyBorder="1"/>
    <xf numFmtId="0" fontId="43" fillId="0" borderId="0" xfId="0" applyFont="1"/>
    <xf numFmtId="0" fontId="43" fillId="0" borderId="0" xfId="0" applyFont="1" applyAlignment="1">
      <alignment vertical="top"/>
    </xf>
    <xf numFmtId="0" fontId="59" fillId="0" borderId="0" xfId="0" applyFont="1" applyFill="1" applyBorder="1" applyAlignment="1">
      <alignment vertical="top"/>
    </xf>
    <xf numFmtId="0" fontId="61" fillId="0" borderId="0" xfId="0" applyFont="1" applyFill="1" applyBorder="1" applyAlignment="1">
      <alignment vertical="top"/>
    </xf>
    <xf numFmtId="0" fontId="43" fillId="0" borderId="0" xfId="0" applyFont="1" applyFill="1" applyBorder="1" applyAlignment="1">
      <alignment vertical="top"/>
    </xf>
    <xf numFmtId="0" fontId="61" fillId="0" borderId="0" xfId="0" applyFont="1" applyAlignment="1">
      <alignment vertical="top"/>
    </xf>
    <xf numFmtId="0" fontId="43" fillId="21" borderId="0" xfId="0" applyFont="1" applyFill="1" applyAlignment="1">
      <alignment vertical="top"/>
    </xf>
    <xf numFmtId="0" fontId="43" fillId="13" borderId="27" xfId="3" applyFont="1" applyFill="1" applyBorder="1" applyAlignment="1" applyProtection="1">
      <alignment horizontal="center" shrinkToFit="1"/>
    </xf>
    <xf numFmtId="0" fontId="20" fillId="14" borderId="0" xfId="0" applyFont="1" applyFill="1" applyBorder="1" applyAlignment="1" applyProtection="1">
      <alignment horizontal="left"/>
    </xf>
    <xf numFmtId="187" fontId="21" fillId="14" borderId="54" xfId="0" applyNumberFormat="1" applyFont="1" applyFill="1" applyBorder="1" applyAlignment="1" applyProtection="1">
      <alignment horizontal="left"/>
    </xf>
    <xf numFmtId="0" fontId="20" fillId="14" borderId="54" xfId="0" applyFont="1" applyFill="1" applyBorder="1" applyProtection="1"/>
    <xf numFmtId="0" fontId="105" fillId="14" borderId="0" xfId="0" applyFont="1" applyFill="1" applyBorder="1" applyProtection="1"/>
    <xf numFmtId="0" fontId="33" fillId="14" borderId="0" xfId="0" applyFont="1" applyFill="1" applyBorder="1" applyAlignment="1" applyProtection="1">
      <alignment horizontal="center" vertical="center"/>
    </xf>
    <xf numFmtId="0" fontId="33" fillId="14" borderId="0" xfId="0" applyFont="1" applyFill="1" applyBorder="1" applyAlignment="1" applyProtection="1">
      <alignment horizontal="right" vertical="center"/>
    </xf>
    <xf numFmtId="0" fontId="105" fillId="14" borderId="0" xfId="0" applyFont="1" applyFill="1" applyBorder="1" applyAlignment="1" applyProtection="1">
      <alignment horizontal="left" vertical="center"/>
    </xf>
    <xf numFmtId="0" fontId="40" fillId="18" borderId="0" xfId="0" applyFont="1" applyFill="1" applyAlignment="1">
      <alignment horizontal="left" vertical="center"/>
    </xf>
    <xf numFmtId="0" fontId="43" fillId="0" borderId="0" xfId="0" applyNumberFormat="1" applyFont="1" applyBorder="1" applyAlignment="1" applyProtection="1">
      <alignment horizontal="left" wrapText="1"/>
    </xf>
    <xf numFmtId="11" fontId="43" fillId="0" borderId="1" xfId="0" applyNumberFormat="1" applyFont="1" applyFill="1" applyBorder="1" applyAlignment="1" applyProtection="1">
      <alignment horizontal="right"/>
    </xf>
    <xf numFmtId="0" fontId="43" fillId="0" borderId="0" xfId="0" applyFont="1"/>
    <xf numFmtId="0" fontId="43" fillId="0" borderId="0" xfId="0" applyFont="1"/>
    <xf numFmtId="0" fontId="0" fillId="0" borderId="0" xfId="0" applyAlignment="1">
      <alignment wrapText="1"/>
    </xf>
    <xf numFmtId="0" fontId="43" fillId="0" borderId="0" xfId="0" applyFont="1"/>
    <xf numFmtId="0" fontId="22" fillId="14" borderId="0" xfId="0" applyFont="1" applyFill="1" applyBorder="1" applyAlignment="1" applyProtection="1">
      <alignment wrapText="1"/>
    </xf>
    <xf numFmtId="0" fontId="22" fillId="14" borderId="7" xfId="0" applyFont="1" applyFill="1" applyBorder="1" applyAlignment="1" applyProtection="1">
      <alignment wrapText="1"/>
    </xf>
    <xf numFmtId="0" fontId="22" fillId="14" borderId="0" xfId="0" applyFont="1" applyFill="1" applyBorder="1" applyAlignment="1" applyProtection="1">
      <alignment vertical="top" wrapText="1"/>
    </xf>
    <xf numFmtId="0" fontId="22" fillId="14" borderId="7" xfId="0" applyFont="1" applyFill="1" applyBorder="1" applyAlignment="1" applyProtection="1">
      <alignment vertical="top" wrapText="1"/>
    </xf>
    <xf numFmtId="0" fontId="43" fillId="0" borderId="0" xfId="0" applyFont="1"/>
    <xf numFmtId="0" fontId="20" fillId="14" borderId="4" xfId="0" quotePrefix="1" applyFont="1" applyFill="1" applyBorder="1" applyAlignment="1" applyProtection="1"/>
    <xf numFmtId="0" fontId="20" fillId="14" borderId="4" xfId="0" applyFont="1" applyFill="1" applyBorder="1" applyAlignment="1" applyProtection="1">
      <alignment horizontal="left" vertical="top" indent="2"/>
    </xf>
    <xf numFmtId="0" fontId="20" fillId="14" borderId="118" xfId="0" applyFont="1" applyFill="1" applyBorder="1" applyAlignment="1" applyProtection="1">
      <alignment horizontal="left" indent="2"/>
    </xf>
    <xf numFmtId="0" fontId="22" fillId="14" borderId="117" xfId="0" applyFont="1" applyFill="1" applyBorder="1" applyAlignment="1" applyProtection="1">
      <alignment horizontal="left" indent="2"/>
    </xf>
    <xf numFmtId="0" fontId="20" fillId="14" borderId="117" xfId="0" applyFont="1" applyFill="1" applyBorder="1" applyAlignment="1" applyProtection="1">
      <alignment horizontal="left" indent="2"/>
    </xf>
    <xf numFmtId="0" fontId="44" fillId="0" borderId="0" xfId="0" applyFont="1" applyBorder="1" applyAlignment="1" applyProtection="1">
      <alignment horizontal="right"/>
    </xf>
    <xf numFmtId="0" fontId="43" fillId="0" borderId="0" xfId="0" applyFont="1"/>
    <xf numFmtId="0" fontId="43" fillId="27" borderId="37" xfId="3" applyFont="1" applyFill="1" applyBorder="1" applyAlignment="1" applyProtection="1">
      <alignment horizontal="center"/>
    </xf>
    <xf numFmtId="0" fontId="60" fillId="27" borderId="0" xfId="0" applyFont="1" applyFill="1" applyBorder="1" applyProtection="1"/>
    <xf numFmtId="0" fontId="44" fillId="0" borderId="13" xfId="4" quotePrefix="1" applyFont="1" applyBorder="1" applyAlignment="1" applyProtection="1">
      <alignment horizontal="center" wrapText="1"/>
    </xf>
    <xf numFmtId="3" fontId="70" fillId="0" borderId="69" xfId="4" applyNumberFormat="1" applyFont="1" applyFill="1" applyBorder="1" applyProtection="1"/>
    <xf numFmtId="3" fontId="70" fillId="0" borderId="69" xfId="4" quotePrefix="1" applyNumberFormat="1" applyFont="1" applyFill="1" applyBorder="1" applyProtection="1"/>
    <xf numFmtId="3" fontId="70" fillId="0" borderId="73" xfId="4" quotePrefix="1" applyNumberFormat="1" applyFont="1" applyFill="1" applyBorder="1" applyProtection="1"/>
    <xf numFmtId="3" fontId="61" fillId="0" borderId="33" xfId="4" applyNumberFormat="1" applyFont="1" applyBorder="1" applyProtection="1"/>
    <xf numFmtId="3" fontId="61" fillId="0" borderId="116" xfId="4" applyNumberFormat="1" applyFont="1" applyBorder="1" applyProtection="1"/>
    <xf numFmtId="0" fontId="61" fillId="0" borderId="35" xfId="4" applyFont="1" applyBorder="1" applyProtection="1"/>
    <xf numFmtId="0" fontId="61" fillId="0" borderId="46" xfId="4" applyFont="1" applyBorder="1" applyProtection="1"/>
    <xf numFmtId="0" fontId="61" fillId="0" borderId="28" xfId="4" applyFont="1" applyBorder="1" applyProtection="1"/>
    <xf numFmtId="0" fontId="61" fillId="0" borderId="47" xfId="4" applyFont="1" applyBorder="1" applyProtection="1"/>
    <xf numFmtId="0" fontId="61" fillId="0" borderId="28" xfId="4" applyFont="1" applyBorder="1" applyAlignment="1" applyProtection="1">
      <alignment horizontal="left"/>
    </xf>
    <xf numFmtId="0" fontId="61" fillId="0" borderId="47" xfId="4" applyFont="1" applyBorder="1" applyAlignment="1" applyProtection="1">
      <alignment horizontal="left"/>
    </xf>
    <xf numFmtId="0" fontId="43" fillId="4" borderId="4" xfId="0" applyFont="1" applyFill="1" applyBorder="1" applyProtection="1">
      <protection hidden="1"/>
    </xf>
    <xf numFmtId="0" fontId="43" fillId="4" borderId="0" xfId="0" applyFont="1" applyFill="1" applyBorder="1" applyProtection="1">
      <protection hidden="1"/>
    </xf>
    <xf numFmtId="0" fontId="43" fillId="4" borderId="44" xfId="0" applyFont="1" applyFill="1" applyBorder="1" applyAlignment="1" applyProtection="1">
      <alignment horizontal="center"/>
      <protection hidden="1"/>
    </xf>
    <xf numFmtId="0" fontId="43" fillId="4" borderId="53" xfId="0" applyFont="1" applyFill="1" applyBorder="1" applyAlignment="1" applyProtection="1">
      <alignment horizontal="center"/>
      <protection hidden="1"/>
    </xf>
    <xf numFmtId="0" fontId="43" fillId="4" borderId="45" xfId="0" applyFont="1" applyFill="1" applyBorder="1" applyAlignment="1" applyProtection="1">
      <alignment horizontal="center"/>
      <protection hidden="1"/>
    </xf>
    <xf numFmtId="14" fontId="43" fillId="0" borderId="59" xfId="0" applyNumberFormat="1" applyFont="1" applyFill="1" applyBorder="1" applyProtection="1">
      <protection hidden="1"/>
    </xf>
    <xf numFmtId="0" fontId="43" fillId="4" borderId="36" xfId="0" applyFont="1" applyFill="1" applyBorder="1" applyProtection="1">
      <protection hidden="1"/>
    </xf>
    <xf numFmtId="14" fontId="43" fillId="0" borderId="41" xfId="0" applyNumberFormat="1" applyFont="1" applyFill="1" applyBorder="1" applyProtection="1">
      <protection hidden="1"/>
    </xf>
    <xf numFmtId="0" fontId="43" fillId="4" borderId="19" xfId="0" applyFont="1" applyFill="1" applyBorder="1" applyProtection="1">
      <protection hidden="1"/>
    </xf>
    <xf numFmtId="0" fontId="43" fillId="4" borderId="8" xfId="0" applyFont="1" applyFill="1" applyBorder="1" applyProtection="1">
      <protection hidden="1"/>
    </xf>
    <xf numFmtId="0" fontId="43" fillId="4" borderId="27" xfId="0" applyFont="1" applyFill="1" applyBorder="1" applyProtection="1">
      <protection hidden="1"/>
    </xf>
    <xf numFmtId="0" fontId="43" fillId="4" borderId="12" xfId="0" applyFont="1" applyFill="1" applyBorder="1"/>
    <xf numFmtId="14" fontId="43" fillId="0" borderId="13" xfId="0" applyNumberFormat="1" applyFont="1" applyBorder="1" applyProtection="1">
      <protection locked="0"/>
    </xf>
    <xf numFmtId="14" fontId="43" fillId="4" borderId="14" xfId="0" applyNumberFormat="1" applyFont="1" applyFill="1" applyBorder="1" applyProtection="1">
      <protection locked="0"/>
    </xf>
    <xf numFmtId="14" fontId="43" fillId="4" borderId="6" xfId="0" applyNumberFormat="1" applyFont="1" applyFill="1" applyBorder="1" applyProtection="1">
      <protection locked="0"/>
    </xf>
    <xf numFmtId="0" fontId="43" fillId="4" borderId="5" xfId="0" applyFont="1" applyFill="1" applyBorder="1"/>
    <xf numFmtId="181" fontId="43" fillId="4" borderId="15" xfId="0" applyNumberFormat="1" applyFont="1" applyFill="1" applyBorder="1"/>
    <xf numFmtId="0" fontId="43" fillId="4" borderId="16" xfId="0" applyFont="1" applyFill="1" applyBorder="1"/>
    <xf numFmtId="1" fontId="43" fillId="0" borderId="17" xfId="0" applyNumberFormat="1" applyFont="1" applyBorder="1" applyProtection="1">
      <protection locked="0"/>
    </xf>
    <xf numFmtId="1" fontId="43" fillId="4" borderId="18" xfId="0" applyNumberFormat="1" applyFont="1" applyFill="1" applyBorder="1" applyProtection="1">
      <protection locked="0"/>
    </xf>
    <xf numFmtId="1" fontId="43" fillId="4" borderId="7" xfId="0" applyNumberFormat="1" applyFont="1" applyFill="1" applyBorder="1" applyProtection="1">
      <protection locked="0"/>
    </xf>
    <xf numFmtId="0" fontId="43" fillId="4" borderId="0" xfId="0" applyFont="1" applyFill="1" applyBorder="1"/>
    <xf numFmtId="0" fontId="43" fillId="4" borderId="7" xfId="0" applyFont="1" applyFill="1" applyBorder="1"/>
    <xf numFmtId="0" fontId="43" fillId="4" borderId="19" xfId="0" applyFont="1" applyFill="1" applyBorder="1"/>
    <xf numFmtId="2" fontId="43" fillId="0" borderId="20" xfId="0" applyNumberFormat="1" applyFont="1" applyBorder="1" applyProtection="1">
      <protection locked="0"/>
    </xf>
    <xf numFmtId="2" fontId="43" fillId="4" borderId="21" xfId="0" applyNumberFormat="1" applyFont="1" applyFill="1" applyBorder="1" applyProtection="1">
      <protection locked="0"/>
    </xf>
    <xf numFmtId="2" fontId="43" fillId="4" borderId="9" xfId="0" applyNumberFormat="1" applyFont="1" applyFill="1" applyBorder="1" applyProtection="1">
      <protection locked="0"/>
    </xf>
    <xf numFmtId="0" fontId="43" fillId="4" borderId="22" xfId="0" applyFont="1" applyFill="1" applyBorder="1"/>
    <xf numFmtId="180" fontId="43" fillId="0" borderId="23" xfId="0" applyNumberFormat="1" applyFont="1" applyBorder="1" applyProtection="1">
      <protection locked="0"/>
    </xf>
    <xf numFmtId="0" fontId="43" fillId="4" borderId="4" xfId="0" applyFont="1" applyFill="1" applyBorder="1"/>
    <xf numFmtId="14" fontId="43" fillId="0" borderId="24" xfId="0" applyNumberFormat="1" applyFont="1" applyBorder="1" applyAlignment="1" applyProtection="1">
      <alignment horizontal="center"/>
      <protection locked="0"/>
    </xf>
    <xf numFmtId="14" fontId="43" fillId="4" borderId="18" xfId="0" applyNumberFormat="1" applyFont="1" applyFill="1" applyBorder="1" applyAlignment="1" applyProtection="1">
      <alignment horizontal="center"/>
      <protection locked="0"/>
    </xf>
    <xf numFmtId="14" fontId="43" fillId="4" borderId="7" xfId="0" applyNumberFormat="1" applyFont="1" applyFill="1" applyBorder="1" applyAlignment="1" applyProtection="1">
      <alignment horizontal="center"/>
      <protection locked="0"/>
    </xf>
    <xf numFmtId="0" fontId="43" fillId="4" borderId="25" xfId="0" applyFont="1" applyFill="1" applyBorder="1"/>
    <xf numFmtId="180" fontId="43" fillId="4" borderId="24" xfId="0" applyNumberFormat="1" applyFont="1" applyFill="1" applyBorder="1"/>
    <xf numFmtId="0" fontId="43" fillId="4" borderId="26" xfId="0" applyFont="1" applyFill="1" applyBorder="1"/>
    <xf numFmtId="14" fontId="43" fillId="4" borderId="17" xfId="0" applyNumberFormat="1" applyFont="1" applyFill="1" applyBorder="1"/>
    <xf numFmtId="0" fontId="43" fillId="4" borderId="18" xfId="0" applyFont="1" applyFill="1" applyBorder="1" applyAlignment="1">
      <alignment horizontal="right"/>
    </xf>
    <xf numFmtId="0" fontId="43" fillId="4" borderId="15" xfId="0" applyFont="1" applyFill="1" applyBorder="1"/>
    <xf numFmtId="14" fontId="43" fillId="4" borderId="23" xfId="0" applyNumberFormat="1" applyFont="1" applyFill="1" applyBorder="1"/>
    <xf numFmtId="0" fontId="43" fillId="4" borderId="21" xfId="0" applyFont="1" applyFill="1" applyBorder="1"/>
    <xf numFmtId="14" fontId="43" fillId="4" borderId="7" xfId="0" applyNumberFormat="1" applyFont="1" applyFill="1" applyBorder="1"/>
    <xf numFmtId="0" fontId="43" fillId="4" borderId="18" xfId="0" applyFont="1" applyFill="1" applyBorder="1"/>
    <xf numFmtId="0" fontId="43" fillId="4" borderId="11" xfId="0" applyFont="1" applyFill="1" applyBorder="1"/>
    <xf numFmtId="14" fontId="43" fillId="5" borderId="27" xfId="0" applyNumberFormat="1" applyFont="1" applyFill="1" applyBorder="1"/>
    <xf numFmtId="0" fontId="43" fillId="4" borderId="8" xfId="0" applyFont="1" applyFill="1" applyBorder="1"/>
    <xf numFmtId="181" fontId="43" fillId="4" borderId="9" xfId="0" applyNumberFormat="1" applyFont="1" applyFill="1" applyBorder="1"/>
    <xf numFmtId="0" fontId="43" fillId="4" borderId="11" xfId="0" applyFont="1" applyFill="1" applyBorder="1" applyProtection="1"/>
    <xf numFmtId="1" fontId="43" fillId="5" borderId="27" xfId="0" applyNumberFormat="1" applyFont="1" applyFill="1" applyBorder="1" applyProtection="1"/>
    <xf numFmtId="0" fontId="43" fillId="4" borderId="9" xfId="0" applyFont="1" applyFill="1" applyBorder="1"/>
    <xf numFmtId="0" fontId="43" fillId="4" borderId="8" xfId="0" applyFont="1" applyFill="1" applyBorder="1" applyProtection="1"/>
    <xf numFmtId="181" fontId="43" fillId="4" borderId="9" xfId="0" applyNumberFormat="1" applyFont="1" applyFill="1" applyBorder="1" applyProtection="1"/>
    <xf numFmtId="0" fontId="43" fillId="0" borderId="0" xfId="0" applyFont="1" applyAlignment="1">
      <alignment horizontal="right"/>
    </xf>
    <xf numFmtId="0" fontId="59" fillId="0" borderId="0" xfId="4" applyFont="1" applyAlignment="1" applyProtection="1">
      <alignment horizontal="center" vertical="center" wrapText="1"/>
      <protection locked="0"/>
    </xf>
    <xf numFmtId="194" fontId="43" fillId="0" borderId="144" xfId="4" applyNumberFormat="1" applyFont="1" applyBorder="1" applyProtection="1">
      <protection locked="0"/>
    </xf>
    <xf numFmtId="0" fontId="43" fillId="0" borderId="0" xfId="0" applyFont="1" applyAlignment="1">
      <alignment vertical="center"/>
    </xf>
    <xf numFmtId="0" fontId="52" fillId="0" borderId="0" xfId="0" applyFont="1" applyAlignment="1">
      <alignment vertical="top" wrapText="1"/>
    </xf>
    <xf numFmtId="0" fontId="22" fillId="14" borderId="4" xfId="0" applyFont="1" applyFill="1" applyBorder="1" applyProtection="1"/>
    <xf numFmtId="0" fontId="9" fillId="14" borderId="0" xfId="0" applyFont="1" applyFill="1" applyBorder="1" applyAlignment="1" applyProtection="1">
      <alignment horizontal="center" vertical="top"/>
    </xf>
    <xf numFmtId="0" fontId="9" fillId="14" borderId="0" xfId="0" applyFont="1" applyFill="1" applyBorder="1" applyAlignment="1" applyProtection="1">
      <alignment horizontal="center"/>
    </xf>
    <xf numFmtId="0" fontId="43" fillId="0" borderId="0" xfId="0" applyFont="1"/>
    <xf numFmtId="14" fontId="43" fillId="0" borderId="0" xfId="0" applyNumberFormat="1" applyFont="1" applyAlignment="1">
      <alignment vertical="top"/>
    </xf>
    <xf numFmtId="0" fontId="49" fillId="0" borderId="0" xfId="0" applyFont="1"/>
    <xf numFmtId="195" fontId="44" fillId="0" borderId="28" xfId="0" applyNumberFormat="1" applyFont="1" applyBorder="1" applyAlignment="1">
      <alignment horizontal="center"/>
    </xf>
    <xf numFmtId="195" fontId="44" fillId="0" borderId="69" xfId="0" applyNumberFormat="1" applyFont="1" applyBorder="1" applyAlignment="1">
      <alignment horizontal="center"/>
    </xf>
    <xf numFmtId="195" fontId="44" fillId="0" borderId="47" xfId="0" applyNumberFormat="1" applyFont="1" applyBorder="1" applyAlignment="1">
      <alignment horizontal="center"/>
    </xf>
    <xf numFmtId="195" fontId="44" fillId="0" borderId="73" xfId="0" applyNumberFormat="1" applyFont="1" applyBorder="1" applyAlignment="1">
      <alignment horizontal="center"/>
    </xf>
    <xf numFmtId="195" fontId="44" fillId="0" borderId="59" xfId="0" applyNumberFormat="1" applyFont="1" applyBorder="1" applyAlignment="1">
      <alignment horizontal="center"/>
    </xf>
    <xf numFmtId="195" fontId="44" fillId="0" borderId="7" xfId="0" applyNumberFormat="1" applyFont="1" applyBorder="1" applyAlignment="1">
      <alignment horizontal="center"/>
    </xf>
    <xf numFmtId="195" fontId="44" fillId="0" borderId="41" xfId="0" applyNumberFormat="1" applyFont="1" applyBorder="1" applyAlignment="1">
      <alignment horizontal="center"/>
    </xf>
    <xf numFmtId="195" fontId="44" fillId="0" borderId="74" xfId="0" applyNumberFormat="1" applyFont="1" applyBorder="1" applyAlignment="1">
      <alignment horizontal="center"/>
    </xf>
    <xf numFmtId="195" fontId="44" fillId="0" borderId="17" xfId="0" applyNumberFormat="1" applyFont="1" applyBorder="1" applyAlignment="1">
      <alignment horizontal="center"/>
    </xf>
    <xf numFmtId="195" fontId="44" fillId="15" borderId="53" xfId="0" applyNumberFormat="1" applyFont="1" applyFill="1" applyBorder="1" applyAlignment="1">
      <alignment horizontal="center"/>
    </xf>
    <xf numFmtId="195" fontId="44" fillId="15" borderId="69" xfId="0" applyNumberFormat="1" applyFont="1" applyFill="1" applyBorder="1" applyAlignment="1">
      <alignment horizontal="center"/>
    </xf>
    <xf numFmtId="0" fontId="108" fillId="29" borderId="0" xfId="0" applyFont="1" applyFill="1" applyBorder="1"/>
    <xf numFmtId="0" fontId="4" fillId="0" borderId="1" xfId="3" applyBorder="1" applyAlignment="1" applyProtection="1">
      <protection locked="0"/>
    </xf>
    <xf numFmtId="0" fontId="0" fillId="0" borderId="1" xfId="0" applyBorder="1" applyAlignment="1">
      <alignment horizontal="right"/>
    </xf>
    <xf numFmtId="0" fontId="49" fillId="0" borderId="0" xfId="0" applyFont="1" applyAlignment="1">
      <alignment wrapText="1"/>
    </xf>
    <xf numFmtId="0" fontId="43" fillId="0" borderId="0" xfId="0" applyFont="1"/>
    <xf numFmtId="0" fontId="49" fillId="0" borderId="0" xfId="0" applyFont="1" applyProtection="1">
      <protection hidden="1"/>
    </xf>
    <xf numFmtId="0" fontId="43" fillId="0" borderId="0" xfId="0" applyFont="1" applyAlignment="1">
      <alignment wrapText="1"/>
    </xf>
    <xf numFmtId="0" fontId="1" fillId="0" borderId="0" xfId="0" applyFont="1" applyProtection="1">
      <protection hidden="1"/>
    </xf>
    <xf numFmtId="0" fontId="54" fillId="3" borderId="25" xfId="0" applyFont="1" applyFill="1" applyBorder="1" applyAlignment="1" applyProtection="1"/>
    <xf numFmtId="0" fontId="123" fillId="3" borderId="31" xfId="0" applyFont="1" applyFill="1" applyBorder="1" applyAlignment="1" applyProtection="1">
      <alignment horizontal="right" vertical="center"/>
    </xf>
    <xf numFmtId="0" fontId="124" fillId="3" borderId="31" xfId="0" applyFont="1" applyFill="1" applyBorder="1" applyAlignment="1" applyProtection="1">
      <alignment horizontal="left" vertical="center"/>
    </xf>
    <xf numFmtId="0" fontId="43" fillId="0" borderId="0" xfId="0" applyFont="1" applyFill="1" applyBorder="1" applyAlignment="1" applyProtection="1">
      <alignment horizontal="left"/>
    </xf>
    <xf numFmtId="0" fontId="4" fillId="0" borderId="0" xfId="3" applyAlignment="1" applyProtection="1"/>
    <xf numFmtId="0" fontId="112" fillId="14" borderId="4" xfId="0" applyFont="1" applyFill="1" applyBorder="1" applyAlignment="1" applyProtection="1">
      <alignment horizontal="left" vertical="top"/>
    </xf>
    <xf numFmtId="0" fontId="112" fillId="14" borderId="4" xfId="0" quotePrefix="1" applyFont="1" applyFill="1" applyBorder="1" applyAlignment="1" applyProtection="1">
      <alignment horizontal="left" vertical="top"/>
    </xf>
    <xf numFmtId="0" fontId="112" fillId="14" borderId="0" xfId="0" quotePrefix="1" applyFont="1" applyFill="1" applyBorder="1" applyAlignment="1" applyProtection="1">
      <alignment horizontal="left"/>
    </xf>
    <xf numFmtId="0" fontId="125" fillId="14" borderId="4" xfId="0" quotePrefix="1" applyFont="1" applyFill="1" applyBorder="1" applyProtection="1"/>
    <xf numFmtId="0" fontId="125" fillId="14" borderId="0" xfId="0" applyFont="1" applyFill="1" applyBorder="1" applyProtection="1"/>
    <xf numFmtId="0" fontId="125" fillId="14" borderId="4" xfId="0" applyFont="1" applyFill="1" applyBorder="1" applyProtection="1"/>
    <xf numFmtId="0" fontId="126" fillId="14" borderId="4" xfId="0" applyFont="1" applyFill="1" applyBorder="1" applyAlignment="1" applyProtection="1"/>
    <xf numFmtId="0" fontId="126" fillId="14" borderId="0" xfId="0" applyFont="1" applyFill="1" applyBorder="1" applyAlignment="1" applyProtection="1"/>
    <xf numFmtId="0" fontId="112" fillId="14" borderId="0" xfId="0" applyFont="1" applyFill="1" applyBorder="1" applyAlignment="1" applyProtection="1">
      <alignment horizontal="left" vertical="top"/>
    </xf>
    <xf numFmtId="0" fontId="125" fillId="14" borderId="4" xfId="0" applyFont="1" applyFill="1" applyBorder="1" applyAlignment="1" applyProtection="1">
      <alignment shrinkToFit="1"/>
    </xf>
    <xf numFmtId="0" fontId="125" fillId="14" borderId="0" xfId="0" applyFont="1" applyFill="1" applyBorder="1" applyAlignment="1" applyProtection="1">
      <alignment shrinkToFit="1"/>
    </xf>
    <xf numFmtId="0" fontId="112" fillId="14" borderId="4" xfId="0" applyFont="1" applyFill="1" applyBorder="1" applyProtection="1"/>
    <xf numFmtId="0" fontId="125" fillId="14" borderId="7" xfId="0" applyFont="1" applyFill="1" applyBorder="1" applyAlignment="1" applyProtection="1">
      <alignment horizontal="left"/>
    </xf>
    <xf numFmtId="0" fontId="126" fillId="14" borderId="4" xfId="0" applyFont="1" applyFill="1" applyBorder="1" applyAlignment="1" applyProtection="1">
      <alignment horizontal="left" indent="1"/>
    </xf>
    <xf numFmtId="0" fontId="126" fillId="14" borderId="0" xfId="0" applyFont="1" applyFill="1" applyBorder="1" applyAlignment="1" applyProtection="1">
      <alignment horizontal="left" indent="1"/>
    </xf>
    <xf numFmtId="0" fontId="126" fillId="14" borderId="0" xfId="0" applyFont="1" applyFill="1" applyBorder="1" applyProtection="1"/>
    <xf numFmtId="0" fontId="126" fillId="14" borderId="7" xfId="0" applyFont="1" applyFill="1" applyBorder="1" applyAlignment="1" applyProtection="1"/>
    <xf numFmtId="192" fontId="20" fillId="16" borderId="4" xfId="2" applyNumberFormat="1" applyFont="1" applyFill="1" applyBorder="1" applyAlignment="1" applyProtection="1">
      <alignment horizontal="left" vertical="top"/>
    </xf>
    <xf numFmtId="0" fontId="20" fillId="16" borderId="4" xfId="2" applyNumberFormat="1" applyFont="1" applyFill="1" applyBorder="1" applyAlignment="1" applyProtection="1">
      <alignment horizontal="left" indent="1"/>
    </xf>
    <xf numFmtId="180" fontId="43" fillId="0" borderId="0" xfId="0" applyNumberFormat="1" applyFont="1" applyAlignment="1">
      <alignment horizontal="left" vertical="top"/>
    </xf>
    <xf numFmtId="0" fontId="43" fillId="0" borderId="0" xfId="0" applyFont="1"/>
    <xf numFmtId="0" fontId="43" fillId="0" borderId="0" xfId="0" applyFont="1"/>
    <xf numFmtId="0" fontId="128" fillId="29" borderId="0" xfId="0" applyFont="1" applyFill="1" applyBorder="1"/>
    <xf numFmtId="14" fontId="43" fillId="0" borderId="0" xfId="0" applyNumberFormat="1" applyFont="1"/>
    <xf numFmtId="0" fontId="49" fillId="0" borderId="0" xfId="0" applyFont="1" applyAlignment="1">
      <alignment vertical="top" wrapText="1"/>
    </xf>
    <xf numFmtId="0" fontId="43" fillId="0" borderId="0" xfId="0" applyFont="1"/>
    <xf numFmtId="0" fontId="20" fillId="14" borderId="0" xfId="0" applyFont="1" applyFill="1" applyBorder="1" applyAlignment="1" applyProtection="1">
      <alignment horizontal="left" vertical="top" wrapText="1"/>
    </xf>
    <xf numFmtId="0" fontId="20" fillId="14" borderId="0" xfId="0" applyFont="1" applyFill="1" applyBorder="1" applyAlignment="1" applyProtection="1">
      <alignment horizontal="left"/>
    </xf>
    <xf numFmtId="0" fontId="21" fillId="14" borderId="54" xfId="0" applyFont="1" applyFill="1" applyBorder="1" applyAlignment="1" applyProtection="1">
      <alignment horizontal="left"/>
    </xf>
    <xf numFmtId="0" fontId="20" fillId="14" borderId="0" xfId="0" applyFont="1" applyFill="1" applyBorder="1" applyAlignment="1" applyProtection="1">
      <alignment horizontal="center"/>
    </xf>
    <xf numFmtId="0" fontId="21" fillId="14" borderId="54" xfId="0" applyFont="1" applyFill="1" applyBorder="1" applyAlignment="1" applyProtection="1">
      <alignment horizontal="center"/>
    </xf>
    <xf numFmtId="187" fontId="21" fillId="14" borderId="0" xfId="0" applyNumberFormat="1" applyFont="1" applyFill="1" applyBorder="1" applyAlignment="1" applyProtection="1">
      <alignment horizontal="left"/>
    </xf>
    <xf numFmtId="187" fontId="21" fillId="20" borderId="54" xfId="0" applyNumberFormat="1" applyFont="1" applyFill="1" applyBorder="1" applyAlignment="1" applyProtection="1">
      <alignment horizontal="left"/>
    </xf>
    <xf numFmtId="0" fontId="43" fillId="0" borderId="0" xfId="0" applyFont="1"/>
    <xf numFmtId="0" fontId="35" fillId="14" borderId="0" xfId="0" applyFont="1" applyFill="1" applyBorder="1" applyAlignment="1" applyProtection="1">
      <alignment vertical="center" wrapText="1"/>
    </xf>
    <xf numFmtId="0" fontId="20" fillId="14" borderId="118" xfId="0" applyFont="1" applyFill="1" applyBorder="1" applyAlignment="1" applyProtection="1">
      <alignment vertical="top" wrapText="1"/>
    </xf>
    <xf numFmtId="0" fontId="20" fillId="14" borderId="119" xfId="0" applyFont="1" applyFill="1" applyBorder="1" applyAlignment="1" applyProtection="1">
      <alignment vertical="top" wrapText="1"/>
    </xf>
    <xf numFmtId="0" fontId="20" fillId="14" borderId="118" xfId="0" quotePrefix="1" applyFont="1" applyFill="1" applyBorder="1" applyAlignment="1" applyProtection="1">
      <alignment vertical="center" wrapText="1"/>
    </xf>
    <xf numFmtId="0" fontId="20" fillId="14" borderId="0" xfId="0" quotePrefix="1" applyFont="1" applyFill="1" applyBorder="1" applyAlignment="1" applyProtection="1">
      <alignment vertical="center" wrapText="1"/>
    </xf>
    <xf numFmtId="0" fontId="20" fillId="14" borderId="119" xfId="0" quotePrefix="1" applyFont="1" applyFill="1" applyBorder="1" applyAlignment="1" applyProtection="1">
      <alignment vertical="center" wrapText="1"/>
    </xf>
    <xf numFmtId="0" fontId="130" fillId="0" borderId="0" xfId="0" applyFont="1"/>
    <xf numFmtId="0" fontId="132" fillId="0" borderId="0" xfId="0" applyFont="1" applyAlignment="1">
      <alignment horizontal="center"/>
    </xf>
    <xf numFmtId="0" fontId="130" fillId="0" borderId="0" xfId="0" applyFont="1" applyAlignment="1"/>
    <xf numFmtId="0" fontId="43" fillId="0" borderId="0" xfId="0" applyFont="1"/>
    <xf numFmtId="0" fontId="61" fillId="0" borderId="0" xfId="0" applyFont="1" applyFill="1" applyBorder="1" applyAlignment="1">
      <alignment vertical="top" wrapText="1"/>
    </xf>
    <xf numFmtId="0" fontId="61" fillId="0" borderId="0" xfId="0" applyFont="1" applyFill="1" applyBorder="1" applyAlignment="1">
      <alignment wrapText="1"/>
    </xf>
    <xf numFmtId="14" fontId="78" fillId="0" borderId="0" xfId="0" applyNumberFormat="1" applyFont="1" applyBorder="1" applyAlignment="1"/>
    <xf numFmtId="0" fontId="136" fillId="0" borderId="0" xfId="0" applyFont="1" applyFill="1" applyBorder="1" applyAlignment="1"/>
    <xf numFmtId="0" fontId="136" fillId="0" borderId="0" xfId="0" applyFont="1" applyFill="1" applyBorder="1" applyAlignment="1">
      <alignment vertical="center"/>
    </xf>
    <xf numFmtId="0" fontId="61" fillId="0" borderId="0" xfId="0" applyFont="1" applyFill="1" applyBorder="1" applyAlignment="1">
      <alignment vertical="center" wrapText="1"/>
    </xf>
    <xf numFmtId="0" fontId="50" fillId="30" borderId="25" xfId="0" applyFont="1" applyFill="1" applyBorder="1" applyAlignment="1" applyProtection="1">
      <alignment horizontal="center"/>
    </xf>
    <xf numFmtId="0" fontId="50" fillId="30" borderId="6" xfId="0" applyFont="1" applyFill="1" applyBorder="1" applyAlignment="1" applyProtection="1">
      <alignment horizontal="center"/>
    </xf>
    <xf numFmtId="0" fontId="48" fillId="30" borderId="0" xfId="0" applyFont="1" applyFill="1" applyBorder="1" applyAlignment="1" applyProtection="1">
      <alignment horizontal="center" vertical="center" wrapText="1"/>
    </xf>
    <xf numFmtId="0" fontId="48" fillId="30" borderId="10" xfId="0" applyFont="1" applyFill="1" applyBorder="1" applyAlignment="1" applyProtection="1">
      <alignment horizontal="center" vertical="center" wrapText="1"/>
    </xf>
    <xf numFmtId="0" fontId="48" fillId="30" borderId="56" xfId="0" applyFont="1" applyFill="1" applyBorder="1" applyAlignment="1" applyProtection="1">
      <alignment horizontal="center" vertical="center" wrapText="1"/>
    </xf>
    <xf numFmtId="0" fontId="42" fillId="30" borderId="3" xfId="0" applyFont="1" applyFill="1" applyBorder="1" applyAlignment="1" applyProtection="1">
      <alignment horizontal="center"/>
    </xf>
    <xf numFmtId="0" fontId="42" fillId="30" borderId="34" xfId="0" applyFont="1" applyFill="1" applyBorder="1" applyAlignment="1" applyProtection="1">
      <alignment horizontal="center"/>
    </xf>
    <xf numFmtId="0" fontId="47" fillId="30" borderId="0" xfId="0" quotePrefix="1" applyFont="1" applyFill="1" applyBorder="1" applyAlignment="1" applyProtection="1">
      <alignment horizontal="center"/>
    </xf>
    <xf numFmtId="0" fontId="48" fillId="30" borderId="10" xfId="0" applyFont="1" applyFill="1" applyBorder="1" applyAlignment="1" applyProtection="1">
      <alignment horizontal="center" vertical="center"/>
    </xf>
    <xf numFmtId="0" fontId="48" fillId="30" borderId="34" xfId="0" applyFont="1" applyFill="1" applyBorder="1" applyAlignment="1" applyProtection="1">
      <alignment horizontal="center" vertical="center"/>
    </xf>
    <xf numFmtId="49" fontId="48" fillId="0" borderId="8" xfId="0" applyNumberFormat="1" applyFont="1" applyFill="1" applyBorder="1" applyAlignment="1" applyProtection="1">
      <alignment horizontal="center" vertical="center"/>
      <protection locked="0"/>
    </xf>
    <xf numFmtId="49" fontId="48" fillId="0" borderId="9" xfId="0" applyNumberFormat="1" applyFont="1" applyFill="1" applyBorder="1" applyAlignment="1" applyProtection="1">
      <alignment horizontal="center" vertical="center"/>
      <protection locked="0"/>
    </xf>
    <xf numFmtId="0" fontId="48" fillId="30" borderId="0" xfId="0" applyFont="1" applyFill="1" applyBorder="1" applyAlignment="1" applyProtection="1">
      <alignment horizontal="center" vertical="center"/>
    </xf>
    <xf numFmtId="0" fontId="48" fillId="30" borderId="8" xfId="0" applyFont="1" applyFill="1" applyBorder="1" applyAlignment="1" applyProtection="1">
      <alignment horizontal="center" vertical="center"/>
    </xf>
    <xf numFmtId="0" fontId="58" fillId="10" borderId="0" xfId="0" applyFont="1" applyFill="1" applyBorder="1" applyAlignment="1" applyProtection="1">
      <alignment horizontal="center"/>
    </xf>
    <xf numFmtId="0" fontId="42" fillId="0" borderId="85" xfId="0" applyFont="1" applyBorder="1" applyAlignment="1" applyProtection="1">
      <alignment horizontal="center"/>
    </xf>
    <xf numFmtId="0" fontId="42" fillId="0" borderId="86" xfId="0" applyFont="1" applyBorder="1" applyAlignment="1" applyProtection="1">
      <alignment horizontal="center"/>
    </xf>
    <xf numFmtId="0" fontId="42" fillId="0" borderId="87" xfId="0" applyFont="1" applyBorder="1" applyAlignment="1" applyProtection="1">
      <alignment horizontal="center"/>
    </xf>
    <xf numFmtId="0" fontId="58" fillId="13" borderId="0" xfId="0" applyFont="1" applyFill="1" applyBorder="1" applyAlignment="1" applyProtection="1">
      <alignment horizontal="center"/>
    </xf>
    <xf numFmtId="0" fontId="58" fillId="12" borderId="55"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7" xfId="0" applyFont="1" applyFill="1" applyBorder="1" applyAlignment="1" applyProtection="1">
      <alignment horizontal="center"/>
    </xf>
    <xf numFmtId="0" fontId="58" fillId="11" borderId="0" xfId="0" applyFont="1" applyFill="1" applyBorder="1" applyAlignment="1" applyProtection="1">
      <alignment horizontal="center"/>
    </xf>
    <xf numFmtId="0" fontId="58" fillId="13" borderId="55" xfId="0" applyFont="1" applyFill="1" applyBorder="1" applyAlignment="1" applyProtection="1">
      <alignment horizontal="center"/>
    </xf>
    <xf numFmtId="0" fontId="58" fillId="13" borderId="9" xfId="0" applyFont="1" applyFill="1" applyBorder="1" applyAlignment="1" applyProtection="1">
      <alignment horizontal="center"/>
    </xf>
    <xf numFmtId="0" fontId="58" fillId="10" borderId="55" xfId="0" applyFont="1" applyFill="1" applyBorder="1" applyAlignment="1" applyProtection="1">
      <alignment horizontal="center"/>
    </xf>
    <xf numFmtId="0" fontId="58" fillId="10" borderId="7" xfId="0" applyFont="1" applyFill="1" applyBorder="1" applyAlignment="1" applyProtection="1">
      <alignment horizontal="center"/>
    </xf>
    <xf numFmtId="0" fontId="57" fillId="3" borderId="31" xfId="0" applyFont="1" applyFill="1" applyBorder="1" applyAlignment="1" applyProtection="1">
      <alignment horizontal="center" vertical="center"/>
    </xf>
    <xf numFmtId="0" fontId="43" fillId="0" borderId="31" xfId="0" applyFont="1" applyBorder="1"/>
    <xf numFmtId="0" fontId="43" fillId="0" borderId="6" xfId="0" applyFont="1" applyBorder="1"/>
    <xf numFmtId="0" fontId="43" fillId="0" borderId="0" xfId="0" applyFont="1"/>
    <xf numFmtId="0" fontId="43" fillId="0" borderId="7" xfId="0" applyFont="1" applyBorder="1"/>
    <xf numFmtId="0" fontId="54" fillId="3" borderId="5" xfId="0" applyFont="1" applyFill="1" applyBorder="1" applyAlignment="1" applyProtection="1">
      <alignment horizontal="center"/>
    </xf>
    <xf numFmtId="0" fontId="54" fillId="3" borderId="15" xfId="0" applyFont="1" applyFill="1" applyBorder="1" applyAlignment="1" applyProtection="1">
      <alignment horizontal="center"/>
    </xf>
    <xf numFmtId="0" fontId="59" fillId="3" borderId="3" xfId="0" applyFont="1" applyFill="1" applyBorder="1" applyAlignment="1" applyProtection="1">
      <alignment horizontal="center"/>
    </xf>
    <xf numFmtId="0" fontId="59" fillId="3" borderId="34" xfId="0" applyFont="1" applyFill="1" applyBorder="1" applyAlignment="1" applyProtection="1">
      <alignment horizontal="center"/>
    </xf>
    <xf numFmtId="0" fontId="58" fillId="9" borderId="0" xfId="0" applyFont="1" applyFill="1" applyBorder="1" applyAlignment="1" applyProtection="1">
      <alignment horizontal="center"/>
    </xf>
    <xf numFmtId="0" fontId="59" fillId="3" borderId="68" xfId="0" applyFont="1" applyFill="1" applyBorder="1" applyAlignment="1" applyProtection="1">
      <alignment horizontal="center"/>
    </xf>
    <xf numFmtId="0" fontId="59" fillId="3" borderId="74" xfId="0" applyFont="1" applyFill="1" applyBorder="1" applyAlignment="1" applyProtection="1">
      <alignment horizontal="center"/>
    </xf>
    <xf numFmtId="0" fontId="44" fillId="0" borderId="0" xfId="0" applyFont="1" applyAlignment="1" applyProtection="1">
      <alignment horizontal="center" wrapText="1" shrinkToFit="1"/>
      <protection hidden="1"/>
    </xf>
    <xf numFmtId="0" fontId="58" fillId="27" borderId="0" xfId="0" applyFont="1" applyFill="1" applyBorder="1" applyAlignment="1" applyProtection="1">
      <alignment horizontal="center"/>
    </xf>
    <xf numFmtId="0" fontId="58" fillId="31" borderId="0" xfId="0" applyFont="1" applyFill="1" applyBorder="1" applyAlignment="1" applyProtection="1">
      <alignment horizontal="center"/>
    </xf>
    <xf numFmtId="0" fontId="57" fillId="3" borderId="6" xfId="0" applyFont="1" applyFill="1" applyBorder="1" applyAlignment="1" applyProtection="1">
      <alignment horizontal="center" vertical="center"/>
    </xf>
    <xf numFmtId="0" fontId="57" fillId="3" borderId="54" xfId="0" applyFont="1" applyFill="1" applyBorder="1" applyAlignment="1" applyProtection="1">
      <alignment horizontal="center" vertical="center"/>
    </xf>
    <xf numFmtId="0" fontId="57" fillId="3" borderId="7" xfId="0" applyFont="1" applyFill="1" applyBorder="1" applyAlignment="1" applyProtection="1">
      <alignment horizontal="center" vertical="center"/>
    </xf>
    <xf numFmtId="0" fontId="58" fillId="11" borderId="55" xfId="0" applyFont="1" applyFill="1" applyBorder="1" applyAlignment="1" applyProtection="1">
      <alignment horizontal="center"/>
    </xf>
    <xf numFmtId="0" fontId="58" fillId="11" borderId="7" xfId="0" applyFont="1" applyFill="1" applyBorder="1" applyAlignment="1" applyProtection="1">
      <alignment horizontal="center"/>
    </xf>
    <xf numFmtId="0" fontId="62" fillId="19" borderId="0" xfId="0" applyFont="1" applyFill="1" applyBorder="1" applyAlignment="1">
      <alignment horizontal="center"/>
    </xf>
    <xf numFmtId="0" fontId="43" fillId="0" borderId="37" xfId="0" applyFont="1" applyBorder="1" applyAlignment="1" applyProtection="1">
      <alignment horizontal="left" vertical="top"/>
      <protection locked="0"/>
    </xf>
    <xf numFmtId="0" fontId="43" fillId="0" borderId="1" xfId="0" applyFont="1" applyBorder="1" applyAlignment="1" applyProtection="1">
      <alignment horizontal="left" vertical="top"/>
      <protection locked="0"/>
    </xf>
    <xf numFmtId="0" fontId="42" fillId="0" borderId="11" xfId="0" applyFont="1" applyBorder="1" applyAlignment="1" applyProtection="1">
      <alignment horizontal="center"/>
    </xf>
    <xf numFmtId="0" fontId="42" fillId="0" borderId="5" xfId="0" applyFont="1" applyBorder="1" applyAlignment="1" applyProtection="1">
      <alignment horizontal="center"/>
    </xf>
    <xf numFmtId="0" fontId="42" fillId="0" borderId="15" xfId="0" applyFont="1" applyBorder="1" applyAlignment="1" applyProtection="1">
      <alignment horizontal="center"/>
    </xf>
    <xf numFmtId="181" fontId="49" fillId="0" borderId="5" xfId="0" applyNumberFormat="1" applyFont="1" applyBorder="1" applyAlignment="1" applyProtection="1">
      <alignment horizontal="right"/>
    </xf>
    <xf numFmtId="181" fontId="49" fillId="0" borderId="15" xfId="0" applyNumberFormat="1" applyFont="1" applyBorder="1" applyAlignment="1" applyProtection="1">
      <alignment horizontal="right"/>
    </xf>
    <xf numFmtId="0" fontId="46" fillId="0" borderId="0" xfId="0" applyFont="1" applyBorder="1" applyAlignment="1" applyProtection="1">
      <alignment horizontal="center"/>
    </xf>
    <xf numFmtId="0" fontId="46" fillId="0" borderId="31" xfId="0" applyFont="1" applyBorder="1" applyAlignment="1" applyProtection="1">
      <alignment horizontal="center"/>
    </xf>
    <xf numFmtId="0" fontId="48" fillId="0" borderId="0" xfId="0" applyFont="1" applyAlignment="1" applyProtection="1">
      <alignment horizontal="center" vertical="center" wrapText="1"/>
    </xf>
    <xf numFmtId="0" fontId="49" fillId="0" borderId="11" xfId="0" applyFont="1" applyBorder="1" applyAlignment="1" applyProtection="1">
      <alignment horizontal="center"/>
    </xf>
    <xf numFmtId="0" fontId="49" fillId="0" borderId="15" xfId="0" applyFont="1" applyBorder="1" applyAlignment="1" applyProtection="1">
      <alignment horizontal="center"/>
    </xf>
    <xf numFmtId="181" fontId="44" fillId="0" borderId="88" xfId="0" applyNumberFormat="1" applyFont="1" applyBorder="1" applyAlignment="1" applyProtection="1">
      <alignment horizontal="right"/>
    </xf>
    <xf numFmtId="181" fontId="44" fillId="0" borderId="6" xfId="0" applyNumberFormat="1" applyFont="1" applyBorder="1" applyAlignment="1" applyProtection="1">
      <alignment horizontal="right"/>
    </xf>
    <xf numFmtId="0" fontId="44" fillId="0" borderId="11" xfId="0" applyFont="1" applyBorder="1" applyAlignment="1" applyProtection="1">
      <alignment horizontal="left"/>
    </xf>
    <xf numFmtId="0" fontId="44" fillId="0" borderId="15" xfId="0" applyFont="1" applyBorder="1" applyAlignment="1" applyProtection="1">
      <alignment horizontal="left"/>
    </xf>
    <xf numFmtId="181" fontId="44" fillId="0" borderId="8" xfId="0" applyNumberFormat="1" applyFont="1" applyBorder="1" applyAlignment="1" applyProtection="1">
      <alignment horizontal="right"/>
    </xf>
    <xf numFmtId="181" fontId="44" fillId="0" borderId="9" xfId="0" applyNumberFormat="1" applyFont="1" applyBorder="1" applyAlignment="1" applyProtection="1">
      <alignment horizontal="right"/>
    </xf>
    <xf numFmtId="0" fontId="58" fillId="0" borderId="31" xfId="0" applyFont="1" applyBorder="1" applyAlignment="1" applyProtection="1">
      <alignment horizontal="center"/>
    </xf>
    <xf numFmtId="0" fontId="41" fillId="0" borderId="25" xfId="0" applyFont="1" applyBorder="1" applyAlignment="1" applyProtection="1">
      <alignment horizontal="left" shrinkToFit="1"/>
    </xf>
    <xf numFmtId="0" fontId="41" fillId="0" borderId="31" xfId="0" applyFont="1" applyBorder="1" applyAlignment="1" applyProtection="1">
      <alignment horizontal="left" shrinkToFit="1"/>
    </xf>
    <xf numFmtId="0" fontId="41" fillId="0" borderId="6" xfId="0" applyFont="1" applyBorder="1" applyAlignment="1" applyProtection="1">
      <alignment horizontal="left" shrinkToFit="1"/>
    </xf>
    <xf numFmtId="0" fontId="114" fillId="0" borderId="11" xfId="0" applyFont="1" applyBorder="1" applyAlignment="1">
      <alignment horizontal="center"/>
    </xf>
    <xf numFmtId="0" fontId="114" fillId="0" borderId="5" xfId="0" applyFont="1" applyBorder="1" applyAlignment="1">
      <alignment horizontal="center"/>
    </xf>
    <xf numFmtId="0" fontId="114" fillId="0" borderId="15" xfId="0" applyFont="1" applyBorder="1" applyAlignment="1">
      <alignment horizontal="center"/>
    </xf>
    <xf numFmtId="0" fontId="57" fillId="0" borderId="4" xfId="0" applyFont="1" applyBorder="1" applyAlignment="1" applyProtection="1">
      <alignment horizontal="center"/>
      <protection hidden="1"/>
    </xf>
    <xf numFmtId="0" fontId="57" fillId="0" borderId="0" xfId="0" applyFont="1" applyBorder="1" applyAlignment="1" applyProtection="1">
      <alignment horizontal="center"/>
      <protection hidden="1"/>
    </xf>
    <xf numFmtId="0" fontId="58" fillId="0" borderId="0" xfId="0" applyFont="1" applyFill="1" applyBorder="1" applyAlignment="1" applyProtection="1">
      <alignment horizontal="center"/>
    </xf>
    <xf numFmtId="187" fontId="22" fillId="14" borderId="53" xfId="2" applyNumberFormat="1" applyFont="1" applyFill="1" applyBorder="1" applyAlignment="1" applyProtection="1">
      <alignment horizontal="right"/>
    </xf>
    <xf numFmtId="0" fontId="30" fillId="14" borderId="0" xfId="0" applyFont="1" applyFill="1" applyBorder="1" applyAlignment="1" applyProtection="1">
      <alignment horizontal="left" indent="2" shrinkToFit="1"/>
    </xf>
    <xf numFmtId="192" fontId="22" fillId="14" borderId="53" xfId="1" applyNumberFormat="1" applyFont="1" applyFill="1" applyBorder="1" applyAlignment="1" applyProtection="1">
      <alignment horizontal="right"/>
    </xf>
    <xf numFmtId="0" fontId="24" fillId="14" borderId="4" xfId="0" quotePrefix="1" applyFont="1" applyFill="1" applyBorder="1" applyAlignment="1" applyProtection="1">
      <alignment horizontal="left" wrapText="1"/>
    </xf>
    <xf numFmtId="0" fontId="24" fillId="14" borderId="0" xfId="0" quotePrefix="1" applyFont="1" applyFill="1" applyBorder="1" applyAlignment="1" applyProtection="1">
      <alignment horizontal="left" wrapText="1"/>
    </xf>
    <xf numFmtId="0" fontId="24" fillId="14" borderId="7" xfId="0" quotePrefix="1" applyFont="1" applyFill="1" applyBorder="1" applyAlignment="1" applyProtection="1">
      <alignment horizontal="left" wrapText="1"/>
    </xf>
    <xf numFmtId="0" fontId="24" fillId="14" borderId="4" xfId="0" applyFont="1" applyFill="1" applyBorder="1" applyAlignment="1" applyProtection="1">
      <alignment horizontal="left" vertical="top" wrapText="1"/>
    </xf>
    <xf numFmtId="0" fontId="24" fillId="14" borderId="0" xfId="0" applyFont="1" applyFill="1" applyBorder="1" applyAlignment="1" applyProtection="1">
      <alignment horizontal="left" vertical="top" wrapText="1"/>
    </xf>
    <xf numFmtId="0" fontId="24" fillId="14" borderId="7" xfId="0" applyFont="1" applyFill="1" applyBorder="1" applyAlignment="1" applyProtection="1">
      <alignment horizontal="left" vertical="top" wrapText="1"/>
    </xf>
    <xf numFmtId="0" fontId="20" fillId="14" borderId="4" xfId="0" applyFont="1" applyFill="1" applyBorder="1" applyAlignment="1" applyProtection="1">
      <alignment horizontal="left" wrapText="1"/>
    </xf>
    <xf numFmtId="0" fontId="20" fillId="14" borderId="0" xfId="0" applyFont="1" applyFill="1" applyBorder="1" applyAlignment="1" applyProtection="1">
      <alignment horizontal="left" wrapText="1"/>
    </xf>
    <xf numFmtId="0" fontId="20" fillId="14" borderId="7" xfId="0" applyFont="1" applyFill="1" applyBorder="1" applyAlignment="1" applyProtection="1">
      <alignment horizontal="left" wrapText="1"/>
    </xf>
    <xf numFmtId="0" fontId="20" fillId="14" borderId="4" xfId="0" quotePrefix="1" applyFont="1" applyFill="1" applyBorder="1" applyAlignment="1" applyProtection="1">
      <alignment horizontal="left" vertical="top" wrapText="1"/>
    </xf>
    <xf numFmtId="0" fontId="20" fillId="14" borderId="0" xfId="0" applyFont="1" applyFill="1" applyBorder="1" applyAlignment="1" applyProtection="1">
      <alignment horizontal="left" vertical="top" wrapText="1"/>
    </xf>
    <xf numFmtId="0" fontId="20" fillId="14" borderId="7" xfId="0" applyFont="1" applyFill="1" applyBorder="1" applyAlignment="1" applyProtection="1">
      <alignment horizontal="left" vertical="top" wrapText="1"/>
    </xf>
    <xf numFmtId="0" fontId="20" fillId="14" borderId="4" xfId="0" applyFont="1" applyFill="1" applyBorder="1" applyAlignment="1" applyProtection="1">
      <alignment horizontal="left" vertical="top" wrapText="1"/>
    </xf>
    <xf numFmtId="0" fontId="24" fillId="14" borderId="4" xfId="0" applyFont="1" applyFill="1" applyBorder="1" applyAlignment="1" applyProtection="1">
      <alignment horizontal="left" wrapText="1"/>
    </xf>
    <xf numFmtId="0" fontId="24" fillId="14" borderId="0" xfId="0" applyFont="1" applyFill="1" applyBorder="1" applyAlignment="1" applyProtection="1">
      <alignment horizontal="left" wrapText="1"/>
    </xf>
    <xf numFmtId="0" fontId="24" fillId="14" borderId="7" xfId="0" applyFont="1" applyFill="1" applyBorder="1" applyAlignment="1" applyProtection="1">
      <alignment horizontal="left" wrapText="1"/>
    </xf>
    <xf numFmtId="0" fontId="30" fillId="14" borderId="8" xfId="0" applyFont="1" applyFill="1" applyBorder="1" applyAlignment="1" applyProtection="1">
      <alignment horizontal="left" indent="2" shrinkToFit="1"/>
    </xf>
    <xf numFmtId="0" fontId="30" fillId="14" borderId="19" xfId="0" applyFont="1" applyFill="1" applyBorder="1" applyAlignment="1" applyProtection="1">
      <alignment horizontal="left" indent="1" shrinkToFit="1"/>
    </xf>
    <xf numFmtId="0" fontId="30" fillId="14" borderId="8" xfId="0" applyFont="1" applyFill="1" applyBorder="1" applyAlignment="1" applyProtection="1">
      <alignment horizontal="left" indent="1" shrinkToFit="1"/>
    </xf>
    <xf numFmtId="0" fontId="30" fillId="14" borderId="4" xfId="0" applyFont="1" applyFill="1" applyBorder="1" applyAlignment="1" applyProtection="1">
      <alignment horizontal="left" indent="1" shrinkToFit="1"/>
    </xf>
    <xf numFmtId="0" fontId="30" fillId="14" borderId="0" xfId="0" applyFont="1" applyFill="1" applyBorder="1" applyAlignment="1" applyProtection="1">
      <alignment horizontal="left" indent="1" shrinkToFit="1"/>
    </xf>
    <xf numFmtId="0" fontId="21" fillId="24" borderId="122" xfId="0" applyFont="1" applyFill="1" applyBorder="1" applyAlignment="1" applyProtection="1">
      <alignment horizontal="center" vertical="top"/>
    </xf>
    <xf numFmtId="0" fontId="21" fillId="24" borderId="90" xfId="0" applyFont="1" applyFill="1" applyBorder="1" applyAlignment="1" applyProtection="1">
      <alignment horizontal="center" vertical="top"/>
    </xf>
    <xf numFmtId="0" fontId="21" fillId="24" borderId="123" xfId="0" applyFont="1" applyFill="1" applyBorder="1" applyAlignment="1" applyProtection="1">
      <alignment horizontal="center" vertical="top"/>
    </xf>
    <xf numFmtId="0" fontId="119" fillId="16" borderId="118" xfId="3" applyFont="1" applyFill="1" applyBorder="1" applyAlignment="1" applyProtection="1">
      <alignment horizontal="center" vertical="center"/>
    </xf>
    <xf numFmtId="0" fontId="119" fillId="16" borderId="0" xfId="3" applyFont="1" applyFill="1" applyBorder="1" applyAlignment="1" applyProtection="1">
      <alignment horizontal="center" vertical="center"/>
    </xf>
    <xf numFmtId="0" fontId="119" fillId="16" borderId="119" xfId="3" applyFont="1" applyFill="1" applyBorder="1" applyAlignment="1" applyProtection="1">
      <alignment horizontal="center" vertical="center"/>
    </xf>
    <xf numFmtId="0" fontId="22" fillId="14" borderId="0" xfId="0" applyFont="1" applyFill="1" applyBorder="1" applyAlignment="1" applyProtection="1">
      <alignment horizontal="left" vertical="center" wrapText="1"/>
    </xf>
    <xf numFmtId="0" fontId="22" fillId="18" borderId="118" xfId="0" applyFont="1" applyFill="1" applyBorder="1" applyAlignment="1" applyProtection="1">
      <alignment horizontal="center" vertical="center" wrapText="1"/>
    </xf>
    <xf numFmtId="0" fontId="22" fillId="18" borderId="0" xfId="0" applyFont="1" applyFill="1" applyBorder="1" applyAlignment="1" applyProtection="1">
      <alignment horizontal="center" vertical="center" wrapText="1"/>
    </xf>
    <xf numFmtId="0" fontId="22" fillId="18" borderId="119" xfId="0" applyFont="1" applyFill="1" applyBorder="1" applyAlignment="1" applyProtection="1">
      <alignment horizontal="center" vertical="center" wrapText="1"/>
    </xf>
    <xf numFmtId="0" fontId="22" fillId="18" borderId="120" xfId="0" applyFont="1" applyFill="1" applyBorder="1" applyAlignment="1" applyProtection="1">
      <alignment horizontal="center" vertical="center" wrapText="1"/>
    </xf>
    <xf numFmtId="0" fontId="22" fillId="18" borderId="76" xfId="0" applyFont="1" applyFill="1" applyBorder="1" applyAlignment="1" applyProtection="1">
      <alignment horizontal="center" vertical="center" wrapText="1"/>
    </xf>
    <xf numFmtId="0" fontId="22" fillId="18" borderId="121" xfId="0" applyFont="1" applyFill="1" applyBorder="1" applyAlignment="1" applyProtection="1">
      <alignment horizontal="center" vertical="center" wrapText="1"/>
    </xf>
    <xf numFmtId="0" fontId="106" fillId="18" borderId="118" xfId="0" applyFont="1" applyFill="1" applyBorder="1" applyAlignment="1">
      <alignment horizontal="center"/>
    </xf>
    <xf numFmtId="0" fontId="106" fillId="18" borderId="0" xfId="0" applyFont="1" applyFill="1" applyBorder="1" applyAlignment="1">
      <alignment horizontal="center"/>
    </xf>
    <xf numFmtId="0" fontId="106" fillId="18" borderId="119" xfId="0" applyFont="1" applyFill="1" applyBorder="1" applyAlignment="1">
      <alignment horizontal="center"/>
    </xf>
    <xf numFmtId="0" fontId="106" fillId="0" borderId="118" xfId="0" applyFont="1" applyBorder="1" applyAlignment="1">
      <alignment horizontal="center"/>
    </xf>
    <xf numFmtId="0" fontId="106" fillId="0" borderId="0" xfId="0" applyFont="1" applyBorder="1" applyAlignment="1">
      <alignment horizontal="center"/>
    </xf>
    <xf numFmtId="0" fontId="106" fillId="0" borderId="119" xfId="0" applyFont="1" applyBorder="1" applyAlignment="1">
      <alignment horizontal="center"/>
    </xf>
    <xf numFmtId="0" fontId="22" fillId="18" borderId="145" xfId="0" applyFont="1" applyFill="1" applyBorder="1" applyAlignment="1" applyProtection="1">
      <alignment horizontal="center" wrapText="1"/>
    </xf>
    <xf numFmtId="0" fontId="22" fillId="18" borderId="117" xfId="0" applyFont="1" applyFill="1" applyBorder="1" applyAlignment="1" applyProtection="1">
      <alignment horizontal="center" wrapText="1"/>
    </xf>
    <xf numFmtId="0" fontId="22" fillId="18" borderId="146" xfId="0" applyFont="1" applyFill="1" applyBorder="1" applyAlignment="1" applyProtection="1">
      <alignment horizontal="center" wrapText="1"/>
    </xf>
    <xf numFmtId="0" fontId="22" fillId="18" borderId="118" xfId="0" applyFont="1" applyFill="1" applyBorder="1" applyAlignment="1" applyProtection="1">
      <alignment horizontal="center" wrapText="1"/>
    </xf>
    <xf numFmtId="0" fontId="22" fillId="18" borderId="0" xfId="0" applyFont="1" applyFill="1" applyBorder="1" applyAlignment="1" applyProtection="1">
      <alignment horizontal="center" wrapText="1"/>
    </xf>
    <xf numFmtId="0" fontId="22" fillId="18" borderId="119" xfId="0" applyFont="1" applyFill="1" applyBorder="1" applyAlignment="1" applyProtection="1">
      <alignment horizontal="center" wrapText="1"/>
    </xf>
    <xf numFmtId="0" fontId="125" fillId="14" borderId="0" xfId="0" applyFont="1" applyFill="1" applyBorder="1" applyAlignment="1" applyProtection="1">
      <alignment horizontal="left" vertical="top" wrapText="1"/>
    </xf>
    <xf numFmtId="0" fontId="125" fillId="14" borderId="7" xfId="0" applyFont="1" applyFill="1" applyBorder="1" applyAlignment="1" applyProtection="1">
      <alignment horizontal="left" vertical="top" wrapText="1"/>
    </xf>
    <xf numFmtId="0" fontId="20" fillId="14" borderId="25" xfId="0" applyFont="1" applyFill="1" applyBorder="1" applyAlignment="1" applyProtection="1">
      <alignment horizontal="left" wrapText="1"/>
    </xf>
    <xf numFmtId="0" fontId="20" fillId="14" borderId="31" xfId="0" applyFont="1" applyFill="1" applyBorder="1" applyAlignment="1" applyProtection="1">
      <alignment horizontal="left" wrapText="1"/>
    </xf>
    <xf numFmtId="0" fontId="20" fillId="14" borderId="6" xfId="0" applyFont="1" applyFill="1" applyBorder="1" applyAlignment="1" applyProtection="1">
      <alignment horizontal="left" wrapText="1"/>
    </xf>
    <xf numFmtId="1" fontId="21" fillId="14" borderId="54" xfId="0" applyNumberFormat="1" applyFont="1" applyFill="1" applyBorder="1" applyAlignment="1" applyProtection="1">
      <alignment horizontal="center"/>
    </xf>
    <xf numFmtId="0" fontId="21" fillId="14" borderId="54" xfId="0" applyFont="1" applyFill="1" applyBorder="1" applyAlignment="1" applyProtection="1">
      <alignment horizontal="center"/>
    </xf>
    <xf numFmtId="0" fontId="21" fillId="25" borderId="11" xfId="0" applyFont="1" applyFill="1" applyBorder="1" applyAlignment="1" applyProtection="1">
      <alignment horizontal="center"/>
    </xf>
    <xf numFmtId="0" fontId="21" fillId="25" borderId="5" xfId="0" applyFont="1" applyFill="1" applyBorder="1" applyAlignment="1" applyProtection="1">
      <alignment horizontal="center"/>
    </xf>
    <xf numFmtId="0" fontId="21" fillId="25" borderId="15" xfId="0" applyFont="1" applyFill="1" applyBorder="1" applyAlignment="1" applyProtection="1">
      <alignment horizontal="center"/>
    </xf>
    <xf numFmtId="189" fontId="21" fillId="16" borderId="48" xfId="0" applyNumberFormat="1" applyFont="1" applyFill="1" applyBorder="1" applyAlignment="1" applyProtection="1">
      <alignment horizontal="center" vertical="center"/>
    </xf>
    <xf numFmtId="189" fontId="21" fillId="16" borderId="49" xfId="0" applyNumberFormat="1" applyFont="1" applyFill="1" applyBorder="1" applyAlignment="1" applyProtection="1">
      <alignment horizontal="center" vertical="center"/>
    </xf>
    <xf numFmtId="189" fontId="21" fillId="16" borderId="42" xfId="0" applyNumberFormat="1" applyFont="1" applyFill="1" applyBorder="1" applyAlignment="1" applyProtection="1">
      <alignment horizontal="center" vertical="center"/>
    </xf>
    <xf numFmtId="189" fontId="21" fillId="16" borderId="52" xfId="0" applyNumberFormat="1" applyFont="1" applyFill="1" applyBorder="1" applyAlignment="1" applyProtection="1">
      <alignment horizontal="center" vertical="center"/>
    </xf>
    <xf numFmtId="0" fontId="20" fillId="16" borderId="46" xfId="0" applyFont="1" applyFill="1" applyBorder="1" applyAlignment="1" applyProtection="1">
      <alignment horizontal="left" vertical="center" wrapText="1"/>
    </xf>
    <xf numFmtId="0" fontId="20" fillId="16" borderId="16" xfId="0" applyFont="1" applyFill="1" applyBorder="1" applyAlignment="1" applyProtection="1">
      <alignment horizontal="left" vertical="center" wrapText="1"/>
    </xf>
    <xf numFmtId="0" fontId="21" fillId="14" borderId="25" xfId="0" applyFont="1" applyFill="1" applyBorder="1" applyAlignment="1" applyProtection="1">
      <alignment horizontal="left" wrapText="1" shrinkToFit="1"/>
    </xf>
    <xf numFmtId="0" fontId="21" fillId="14" borderId="31" xfId="0" applyFont="1" applyFill="1" applyBorder="1" applyAlignment="1" applyProtection="1">
      <alignment horizontal="left" wrapText="1" shrinkToFit="1"/>
    </xf>
    <xf numFmtId="0" fontId="21" fillId="14" borderId="6" xfId="0" applyFont="1" applyFill="1" applyBorder="1" applyAlignment="1" applyProtection="1">
      <alignment horizontal="left" wrapText="1" shrinkToFit="1"/>
    </xf>
    <xf numFmtId="0" fontId="21" fillId="14" borderId="4" xfId="0" applyFont="1" applyFill="1" applyBorder="1" applyAlignment="1" applyProtection="1">
      <alignment horizontal="left" wrapText="1" shrinkToFit="1"/>
    </xf>
    <xf numFmtId="0" fontId="21" fillId="14" borderId="0" xfId="0" applyFont="1" applyFill="1" applyBorder="1" applyAlignment="1" applyProtection="1">
      <alignment horizontal="left" wrapText="1" shrinkToFit="1"/>
    </xf>
    <xf numFmtId="0" fontId="21" fillId="14" borderId="7" xfId="0" applyFont="1" applyFill="1" applyBorder="1" applyAlignment="1" applyProtection="1">
      <alignment horizontal="left" wrapText="1" shrinkToFit="1"/>
    </xf>
    <xf numFmtId="0" fontId="21" fillId="14" borderId="68" xfId="0" applyFont="1" applyFill="1" applyBorder="1" applyAlignment="1" applyProtection="1">
      <alignment horizontal="left" wrapText="1" shrinkToFit="1"/>
    </xf>
    <xf numFmtId="0" fontId="21" fillId="14" borderId="54" xfId="0" applyFont="1" applyFill="1" applyBorder="1" applyAlignment="1" applyProtection="1">
      <alignment horizontal="left" wrapText="1" shrinkToFit="1"/>
    </xf>
    <xf numFmtId="0" fontId="21" fillId="14" borderId="74" xfId="0" applyFont="1" applyFill="1" applyBorder="1" applyAlignment="1" applyProtection="1">
      <alignment horizontal="left" wrapText="1" shrinkToFit="1"/>
    </xf>
    <xf numFmtId="191" fontId="21" fillId="16" borderId="47" xfId="0" applyNumberFormat="1" applyFont="1" applyFill="1" applyBorder="1" applyAlignment="1" applyProtection="1">
      <alignment horizontal="center" vertical="center"/>
    </xf>
    <xf numFmtId="191" fontId="21" fillId="16" borderId="41" xfId="0" applyNumberFormat="1" applyFont="1" applyFill="1" applyBorder="1" applyAlignment="1" applyProtection="1">
      <alignment horizontal="center" vertical="center"/>
    </xf>
    <xf numFmtId="187" fontId="21" fillId="14" borderId="54" xfId="0" applyNumberFormat="1" applyFont="1" applyFill="1" applyBorder="1" applyAlignment="1" applyProtection="1">
      <alignment horizontal="left"/>
    </xf>
    <xf numFmtId="187" fontId="21" fillId="14" borderId="74" xfId="0" applyNumberFormat="1" applyFont="1" applyFill="1" applyBorder="1" applyAlignment="1" applyProtection="1">
      <alignment horizontal="left"/>
    </xf>
    <xf numFmtId="0" fontId="20" fillId="16" borderId="84" xfId="0" applyFont="1" applyFill="1" applyBorder="1" applyAlignment="1" applyProtection="1">
      <alignment horizontal="center"/>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192" fontId="20" fillId="14" borderId="53" xfId="2" applyNumberFormat="1" applyFont="1" applyFill="1" applyBorder="1" applyAlignment="1" applyProtection="1">
      <alignment horizontal="center"/>
    </xf>
    <xf numFmtId="192" fontId="20" fillId="14" borderId="69" xfId="2" applyNumberFormat="1" applyFont="1" applyFill="1" applyBorder="1" applyAlignment="1" applyProtection="1">
      <alignment horizontal="center"/>
    </xf>
    <xf numFmtId="183" fontId="21" fillId="14" borderId="68" xfId="0" applyNumberFormat="1" applyFont="1" applyFill="1" applyBorder="1" applyAlignment="1" applyProtection="1">
      <alignment horizontal="left"/>
    </xf>
    <xf numFmtId="183" fontId="21" fillId="14" borderId="54" xfId="0" applyNumberFormat="1" applyFont="1" applyFill="1" applyBorder="1" applyAlignment="1" applyProtection="1">
      <alignment horizontal="left"/>
    </xf>
    <xf numFmtId="190" fontId="21" fillId="16" borderId="48" xfId="0" applyNumberFormat="1" applyFont="1" applyFill="1" applyBorder="1" applyAlignment="1" applyProtection="1">
      <alignment horizontal="center" vertical="center"/>
    </xf>
    <xf numFmtId="190" fontId="21" fillId="16" borderId="56" xfId="0" applyNumberFormat="1" applyFont="1" applyFill="1" applyBorder="1" applyAlignment="1" applyProtection="1">
      <alignment horizontal="center" vertical="center"/>
    </xf>
    <xf numFmtId="190" fontId="21" fillId="16" borderId="49" xfId="0" applyNumberFormat="1" applyFont="1" applyFill="1" applyBorder="1" applyAlignment="1" applyProtection="1">
      <alignment horizontal="center" vertical="center"/>
    </xf>
    <xf numFmtId="190" fontId="21" fillId="16" borderId="42" xfId="0" applyNumberFormat="1" applyFont="1" applyFill="1" applyBorder="1" applyAlignment="1" applyProtection="1">
      <alignment horizontal="center" vertical="center"/>
    </xf>
    <xf numFmtId="190" fontId="21" fillId="16" borderId="54" xfId="0" applyNumberFormat="1" applyFont="1" applyFill="1" applyBorder="1" applyAlignment="1" applyProtection="1">
      <alignment horizontal="center" vertical="center"/>
    </xf>
    <xf numFmtId="190" fontId="21" fillId="16" borderId="52" xfId="0" applyNumberFormat="1" applyFont="1" applyFill="1" applyBorder="1" applyAlignment="1" applyProtection="1">
      <alignment horizontal="center" vertical="center"/>
    </xf>
    <xf numFmtId="0" fontId="20" fillId="16" borderId="47" xfId="0" applyFont="1" applyFill="1" applyBorder="1" applyAlignment="1" applyProtection="1">
      <alignment horizontal="center" vertical="center"/>
    </xf>
    <xf numFmtId="0" fontId="20" fillId="16" borderId="59" xfId="0" applyFont="1" applyFill="1" applyBorder="1" applyAlignment="1" applyProtection="1">
      <alignment horizontal="center" vertical="center"/>
    </xf>
    <xf numFmtId="0" fontId="20" fillId="16" borderId="140" xfId="0" applyFont="1" applyFill="1" applyBorder="1" applyAlignment="1" applyProtection="1">
      <alignment horizontal="center" vertical="center"/>
    </xf>
    <xf numFmtId="0" fontId="21" fillId="14" borderId="114" xfId="0" applyFont="1" applyFill="1" applyBorder="1" applyAlignment="1" applyProtection="1">
      <alignment horizontal="left"/>
    </xf>
    <xf numFmtId="0" fontId="21" fillId="14" borderId="142" xfId="0" applyFont="1" applyFill="1" applyBorder="1" applyAlignment="1" applyProtection="1">
      <alignment horizontal="left"/>
    </xf>
    <xf numFmtId="0" fontId="20" fillId="14" borderId="4" xfId="0" applyFont="1" applyFill="1" applyBorder="1" applyAlignment="1" applyProtection="1">
      <alignment horizontal="left"/>
    </xf>
    <xf numFmtId="0" fontId="20" fillId="14" borderId="0" xfId="0" applyFont="1" applyFill="1" applyBorder="1" applyAlignment="1" applyProtection="1">
      <alignment horizontal="left"/>
    </xf>
    <xf numFmtId="0" fontId="20" fillId="14" borderId="36" xfId="0" applyFont="1" applyFill="1" applyBorder="1" applyAlignment="1" applyProtection="1">
      <alignment horizontal="left"/>
    </xf>
    <xf numFmtId="0" fontId="20" fillId="14" borderId="48" xfId="0" applyFont="1" applyFill="1" applyBorder="1" applyAlignment="1" applyProtection="1">
      <alignment horizontal="center" vertical="center" wrapText="1"/>
    </xf>
    <xf numFmtId="0" fontId="20" fillId="14" borderId="56" xfId="0" applyFont="1" applyFill="1" applyBorder="1" applyAlignment="1" applyProtection="1">
      <alignment horizontal="center" vertical="center" wrapText="1"/>
    </xf>
    <xf numFmtId="0" fontId="20" fillId="14" borderId="73" xfId="0" applyFont="1" applyFill="1" applyBorder="1" applyAlignment="1" applyProtection="1">
      <alignment horizontal="center" vertical="center" wrapText="1"/>
    </xf>
    <xf numFmtId="0" fontId="20" fillId="14" borderId="42" xfId="0" applyFont="1" applyFill="1" applyBorder="1" applyAlignment="1" applyProtection="1">
      <alignment horizontal="center" vertical="center" wrapText="1"/>
    </xf>
    <xf numFmtId="0" fontId="20" fillId="14" borderId="54" xfId="0" applyFont="1" applyFill="1" applyBorder="1" applyAlignment="1" applyProtection="1">
      <alignment horizontal="center" vertical="center" wrapText="1"/>
    </xf>
    <xf numFmtId="0" fontId="20" fillId="14" borderId="74" xfId="0" applyFont="1" applyFill="1" applyBorder="1" applyAlignment="1" applyProtection="1">
      <alignment horizontal="center" vertical="center" wrapText="1"/>
    </xf>
    <xf numFmtId="0" fontId="20" fillId="18" borderId="4" xfId="0" applyFont="1" applyFill="1" applyBorder="1" applyAlignment="1" applyProtection="1">
      <alignment horizontal="left" vertical="top" wrapText="1" indent="1"/>
    </xf>
    <xf numFmtId="0" fontId="20" fillId="18" borderId="0" xfId="0" applyFont="1" applyFill="1" applyBorder="1" applyAlignment="1" applyProtection="1">
      <alignment horizontal="left" vertical="top" wrapText="1" indent="1"/>
    </xf>
    <xf numFmtId="0" fontId="20" fillId="18" borderId="7" xfId="0" applyFont="1" applyFill="1" applyBorder="1" applyAlignment="1" applyProtection="1">
      <alignment horizontal="left" vertical="top" wrapText="1" indent="1"/>
    </xf>
    <xf numFmtId="0" fontId="125" fillId="14" borderId="31" xfId="0" applyFont="1" applyFill="1" applyBorder="1" applyAlignment="1" applyProtection="1">
      <alignment horizontal="left" vertical="top" wrapText="1"/>
    </xf>
    <xf numFmtId="0" fontId="125" fillId="14" borderId="6" xfId="0" applyFont="1" applyFill="1" applyBorder="1" applyAlignment="1" applyProtection="1">
      <alignment horizontal="left" vertical="top" wrapText="1"/>
    </xf>
    <xf numFmtId="0" fontId="21" fillId="14" borderId="54" xfId="0" applyFont="1" applyFill="1" applyBorder="1" applyAlignment="1" applyProtection="1">
      <alignment horizontal="left"/>
    </xf>
    <xf numFmtId="0" fontId="21" fillId="14" borderId="74" xfId="0" applyFont="1" applyFill="1" applyBorder="1" applyAlignment="1" applyProtection="1">
      <alignment horizontal="left"/>
    </xf>
    <xf numFmtId="0" fontId="21" fillId="25" borderId="89" xfId="0" applyFont="1" applyFill="1" applyBorder="1" applyAlignment="1" applyProtection="1">
      <alignment horizontal="center"/>
    </xf>
    <xf numFmtId="0" fontId="21" fillId="25" borderId="90" xfId="0" applyFont="1" applyFill="1" applyBorder="1" applyAlignment="1" applyProtection="1">
      <alignment horizontal="center"/>
    </xf>
    <xf numFmtId="0" fontId="21" fillId="25" borderId="91" xfId="0" applyFont="1" applyFill="1" applyBorder="1" applyAlignment="1" applyProtection="1">
      <alignment horizontal="center"/>
    </xf>
    <xf numFmtId="0" fontId="21" fillId="14" borderId="68" xfId="0" applyFont="1" applyFill="1" applyBorder="1" applyAlignment="1" applyProtection="1">
      <alignment horizontal="left"/>
    </xf>
    <xf numFmtId="0" fontId="113" fillId="14" borderId="19" xfId="0" applyFont="1" applyFill="1" applyBorder="1" applyAlignment="1" applyProtection="1">
      <alignment horizontal="center" vertical="top"/>
    </xf>
    <xf numFmtId="0" fontId="113" fillId="14" borderId="8" xfId="0" applyFont="1" applyFill="1" applyBorder="1" applyAlignment="1" applyProtection="1">
      <alignment horizontal="center" vertical="top"/>
    </xf>
    <xf numFmtId="0" fontId="113" fillId="14" borderId="9" xfId="0" applyFont="1" applyFill="1" applyBorder="1" applyAlignment="1" applyProtection="1">
      <alignment horizontal="center" vertical="top"/>
    </xf>
    <xf numFmtId="0" fontId="20" fillId="14" borderId="50" xfId="0" applyFont="1" applyFill="1" applyBorder="1" applyAlignment="1" applyProtection="1">
      <alignment horizontal="center"/>
    </xf>
    <xf numFmtId="0" fontId="20" fillId="14" borderId="10" xfId="0" applyFont="1" applyFill="1" applyBorder="1" applyAlignment="1" applyProtection="1">
      <alignment horizontal="center"/>
    </xf>
    <xf numFmtId="0" fontId="20" fillId="14" borderId="43" xfId="0" applyFont="1" applyFill="1" applyBorder="1" applyAlignment="1" applyProtection="1">
      <alignment horizontal="center"/>
    </xf>
    <xf numFmtId="0" fontId="20" fillId="14" borderId="48" xfId="0" applyFont="1" applyFill="1" applyBorder="1" applyAlignment="1" applyProtection="1">
      <alignment horizontal="center"/>
    </xf>
    <xf numFmtId="0" fontId="20" fillId="14" borderId="56" xfId="0" applyFont="1" applyFill="1" applyBorder="1" applyAlignment="1" applyProtection="1">
      <alignment horizontal="center"/>
    </xf>
    <xf numFmtId="0" fontId="20" fillId="14" borderId="73" xfId="0" applyFont="1" applyFill="1" applyBorder="1" applyAlignment="1" applyProtection="1">
      <alignment horizontal="center"/>
    </xf>
    <xf numFmtId="0" fontId="20" fillId="14" borderId="42" xfId="0" applyFont="1" applyFill="1" applyBorder="1" applyAlignment="1" applyProtection="1">
      <alignment horizontal="center"/>
    </xf>
    <xf numFmtId="0" fontId="20" fillId="14" borderId="54" xfId="0" applyFont="1" applyFill="1" applyBorder="1" applyAlignment="1" applyProtection="1">
      <alignment horizontal="center"/>
    </xf>
    <xf numFmtId="0" fontId="20" fillId="14" borderId="74" xfId="0" applyFont="1" applyFill="1" applyBorder="1" applyAlignment="1" applyProtection="1">
      <alignment horizontal="center"/>
    </xf>
    <xf numFmtId="0" fontId="21" fillId="14" borderId="0" xfId="0" applyFont="1" applyFill="1" applyBorder="1" applyAlignment="1" applyProtection="1">
      <alignment horizontal="center"/>
    </xf>
    <xf numFmtId="0" fontId="21" fillId="14" borderId="7" xfId="0" applyFont="1" applyFill="1" applyBorder="1" applyAlignment="1" applyProtection="1">
      <alignment horizontal="center"/>
    </xf>
    <xf numFmtId="0" fontId="20" fillId="14" borderId="4" xfId="0" quotePrefix="1" applyFont="1" applyFill="1" applyBorder="1" applyAlignment="1" applyProtection="1">
      <alignment horizontal="left" wrapText="1"/>
    </xf>
    <xf numFmtId="0" fontId="20" fillId="14" borderId="0" xfId="0" quotePrefix="1" applyFont="1" applyFill="1" applyBorder="1" applyAlignment="1" applyProtection="1">
      <alignment horizontal="left" wrapText="1"/>
    </xf>
    <xf numFmtId="0" fontId="20" fillId="14" borderId="7" xfId="0" quotePrefix="1" applyFont="1" applyFill="1" applyBorder="1" applyAlignment="1" applyProtection="1">
      <alignment horizontal="left" wrapText="1"/>
    </xf>
    <xf numFmtId="0" fontId="22" fillId="14" borderId="0" xfId="0" applyFont="1" applyFill="1" applyBorder="1" applyAlignment="1" applyProtection="1">
      <alignment horizontal="left" vertical="top" wrapText="1"/>
    </xf>
    <xf numFmtId="0" fontId="22" fillId="14" borderId="0" xfId="0" applyFont="1" applyFill="1" applyBorder="1" applyAlignment="1" applyProtection="1">
      <alignment vertical="top" wrapText="1"/>
    </xf>
    <xf numFmtId="44" fontId="20" fillId="14" borderId="53" xfId="2" applyFont="1" applyFill="1" applyBorder="1" applyAlignment="1" applyProtection="1">
      <alignment horizontal="center"/>
    </xf>
    <xf numFmtId="44" fontId="20" fillId="14" borderId="69" xfId="2" applyFont="1" applyFill="1" applyBorder="1" applyAlignment="1" applyProtection="1">
      <alignment horizontal="center"/>
    </xf>
    <xf numFmtId="44" fontId="21" fillId="14" borderId="8" xfId="2" applyFont="1" applyFill="1" applyBorder="1" applyAlignment="1" applyProtection="1">
      <alignment horizontal="center"/>
    </xf>
    <xf numFmtId="44" fontId="21" fillId="14" borderId="9" xfId="2" applyFont="1" applyFill="1" applyBorder="1" applyAlignment="1" applyProtection="1">
      <alignment horizontal="center"/>
    </xf>
    <xf numFmtId="0" fontId="22" fillId="14" borderId="0" xfId="0" applyFont="1" applyFill="1" applyBorder="1" applyAlignment="1" applyProtection="1">
      <alignment vertical="justify" wrapText="1"/>
    </xf>
    <xf numFmtId="0" fontId="22" fillId="14" borderId="0" xfId="0" applyFont="1" applyFill="1" applyBorder="1" applyAlignment="1" applyProtection="1">
      <alignment horizontal="justify" vertical="center" wrapText="1"/>
    </xf>
    <xf numFmtId="0" fontId="22" fillId="14" borderId="0" xfId="0" applyFont="1" applyFill="1" applyBorder="1" applyAlignment="1" applyProtection="1">
      <alignment wrapText="1"/>
    </xf>
    <xf numFmtId="0" fontId="22" fillId="14" borderId="0" xfId="0" applyFont="1" applyFill="1" applyBorder="1" applyAlignment="1" applyProtection="1">
      <alignment vertical="center" wrapText="1"/>
    </xf>
    <xf numFmtId="0" fontId="21" fillId="14" borderId="0" xfId="0" applyNumberFormat="1" applyFont="1" applyFill="1" applyBorder="1" applyAlignment="1" applyProtection="1">
      <alignment vertical="top" wrapText="1"/>
    </xf>
    <xf numFmtId="0" fontId="22" fillId="14" borderId="0" xfId="0" applyNumberFormat="1" applyFont="1" applyFill="1" applyBorder="1" applyAlignment="1" applyProtection="1">
      <alignment vertical="top" wrapText="1"/>
    </xf>
    <xf numFmtId="176" fontId="20" fillId="14" borderId="54" xfId="2" applyNumberFormat="1" applyFont="1" applyFill="1" applyBorder="1" applyAlignment="1" applyProtection="1">
      <alignment horizontal="center"/>
    </xf>
    <xf numFmtId="176" fontId="20" fillId="14" borderId="74" xfId="2" applyNumberFormat="1" applyFont="1" applyFill="1" applyBorder="1" applyAlignment="1" applyProtection="1">
      <alignment horizontal="center"/>
    </xf>
    <xf numFmtId="44" fontId="21" fillId="14" borderId="31" xfId="2" applyFont="1" applyFill="1" applyBorder="1" applyAlignment="1" applyProtection="1">
      <alignment horizontal="center"/>
    </xf>
    <xf numFmtId="44" fontId="21" fillId="14" borderId="6" xfId="2" applyFont="1" applyFill="1" applyBorder="1" applyAlignment="1" applyProtection="1">
      <alignment horizontal="center"/>
    </xf>
    <xf numFmtId="0" fontId="24" fillId="14" borderId="25" xfId="0" applyFont="1" applyFill="1" applyBorder="1" applyAlignment="1" applyProtection="1">
      <alignment horizontal="left" vertical="top" wrapText="1"/>
    </xf>
    <xf numFmtId="0" fontId="24" fillId="14" borderId="31" xfId="0" applyFont="1" applyFill="1" applyBorder="1" applyAlignment="1" applyProtection="1">
      <alignment horizontal="left" vertical="top" wrapText="1"/>
    </xf>
    <xf numFmtId="0" fontId="24" fillId="14" borderId="6" xfId="0" applyFont="1" applyFill="1" applyBorder="1" applyAlignment="1" applyProtection="1">
      <alignment horizontal="left" vertical="top" wrapText="1"/>
    </xf>
    <xf numFmtId="0" fontId="21" fillId="16" borderId="19" xfId="0" applyFont="1" applyFill="1" applyBorder="1" applyAlignment="1" applyProtection="1">
      <alignment horizontal="center"/>
    </xf>
    <xf numFmtId="0" fontId="21" fillId="16" borderId="8" xfId="0" applyFont="1" applyFill="1" applyBorder="1" applyAlignment="1" applyProtection="1">
      <alignment horizontal="center"/>
    </xf>
    <xf numFmtId="0" fontId="21" fillId="16" borderId="9" xfId="0" applyFont="1" applyFill="1" applyBorder="1" applyAlignment="1" applyProtection="1">
      <alignment horizontal="center"/>
    </xf>
    <xf numFmtId="192" fontId="22" fillId="14" borderId="54" xfId="1" applyNumberFormat="1" applyFont="1" applyFill="1" applyBorder="1" applyAlignment="1" applyProtection="1">
      <alignment horizontal="right"/>
    </xf>
    <xf numFmtId="187" fontId="22" fillId="14" borderId="54" xfId="2" applyNumberFormat="1" applyFont="1" applyFill="1" applyBorder="1" applyAlignment="1" applyProtection="1">
      <alignment horizontal="right"/>
    </xf>
    <xf numFmtId="0" fontId="35" fillId="14" borderId="0" xfId="0" applyFont="1" applyFill="1" applyBorder="1" applyAlignment="1" applyProtection="1">
      <alignment horizontal="center" vertical="center" wrapText="1"/>
    </xf>
    <xf numFmtId="0" fontId="20" fillId="14" borderId="0" xfId="0" quotePrefix="1" applyFont="1" applyFill="1" applyBorder="1" applyAlignment="1" applyProtection="1">
      <alignment horizontal="left" vertical="top" wrapText="1"/>
    </xf>
    <xf numFmtId="0" fontId="20" fillId="14" borderId="7" xfId="0" quotePrefix="1" applyFont="1" applyFill="1" applyBorder="1" applyAlignment="1" applyProtection="1">
      <alignment horizontal="left" vertical="top" wrapText="1"/>
    </xf>
    <xf numFmtId="0" fontId="21" fillId="25" borderId="135" xfId="0" applyFont="1" applyFill="1" applyBorder="1" applyAlignment="1" applyProtection="1">
      <alignment horizontal="center"/>
    </xf>
    <xf numFmtId="0" fontId="20" fillId="14" borderId="124" xfId="0" applyFont="1" applyFill="1" applyBorder="1" applyAlignment="1" applyProtection="1">
      <alignment horizontal="left" vertical="top" wrapText="1"/>
    </xf>
    <xf numFmtId="0" fontId="20" fillId="14" borderId="31" xfId="0" applyFont="1" applyFill="1" applyBorder="1" applyAlignment="1" applyProtection="1">
      <alignment horizontal="left" vertical="top" wrapText="1"/>
    </xf>
    <xf numFmtId="0" fontId="20" fillId="14" borderId="125" xfId="0" applyFont="1" applyFill="1" applyBorder="1" applyAlignment="1" applyProtection="1">
      <alignment horizontal="left" vertical="top" wrapText="1"/>
    </xf>
    <xf numFmtId="0" fontId="20" fillId="14" borderId="118" xfId="0" applyFont="1" applyFill="1" applyBorder="1" applyAlignment="1" applyProtection="1">
      <alignment horizontal="left" vertical="top" wrapText="1"/>
    </xf>
    <xf numFmtId="0" fontId="20" fillId="14" borderId="119" xfId="0" applyFont="1" applyFill="1" applyBorder="1" applyAlignment="1" applyProtection="1">
      <alignment horizontal="left" vertical="top" wrapText="1"/>
    </xf>
    <xf numFmtId="0" fontId="20" fillId="14" borderId="118" xfId="0" quotePrefix="1" applyFont="1" applyFill="1" applyBorder="1" applyAlignment="1" applyProtection="1">
      <alignment horizontal="left" vertical="center" wrapText="1"/>
    </xf>
    <xf numFmtId="0" fontId="20" fillId="14" borderId="0" xfId="0" quotePrefix="1" applyFont="1" applyFill="1" applyBorder="1" applyAlignment="1" applyProtection="1">
      <alignment horizontal="left" vertical="center" wrapText="1"/>
    </xf>
    <xf numFmtId="0" fontId="20" fillId="14" borderId="119" xfId="0" quotePrefix="1" applyFont="1" applyFill="1" applyBorder="1" applyAlignment="1" applyProtection="1">
      <alignment horizontal="left" vertical="center" wrapText="1"/>
    </xf>
    <xf numFmtId="0" fontId="30" fillId="14" borderId="131" xfId="0" quotePrefix="1" applyFont="1" applyFill="1" applyBorder="1" applyAlignment="1" applyProtection="1">
      <alignment horizontal="left" vertical="center" wrapText="1"/>
    </xf>
    <xf numFmtId="0" fontId="30" fillId="14" borderId="56" xfId="0" quotePrefix="1" applyFont="1" applyFill="1" applyBorder="1" applyAlignment="1" applyProtection="1">
      <alignment horizontal="left" vertical="center" wrapText="1"/>
    </xf>
    <xf numFmtId="0" fontId="30" fillId="14" borderId="132" xfId="0" quotePrefix="1" applyFont="1" applyFill="1" applyBorder="1" applyAlignment="1" applyProtection="1">
      <alignment horizontal="left" vertical="center" wrapText="1"/>
    </xf>
    <xf numFmtId="0" fontId="30" fillId="14" borderId="118" xfId="0" quotePrefix="1" applyFont="1" applyFill="1" applyBorder="1" applyAlignment="1" applyProtection="1">
      <alignment horizontal="left" vertical="center" wrapText="1"/>
    </xf>
    <xf numFmtId="0" fontId="30" fillId="14" borderId="0" xfId="0" quotePrefix="1" applyFont="1" applyFill="1" applyBorder="1" applyAlignment="1" applyProtection="1">
      <alignment horizontal="left" vertical="center" wrapText="1"/>
    </xf>
    <xf numFmtId="0" fontId="30" fillId="14" borderId="119" xfId="0" quotePrefix="1" applyFont="1" applyFill="1" applyBorder="1" applyAlignment="1" applyProtection="1">
      <alignment horizontal="left" vertical="center" wrapText="1"/>
    </xf>
    <xf numFmtId="0" fontId="21" fillId="25" borderId="126" xfId="0" applyFont="1" applyFill="1" applyBorder="1" applyAlignment="1" applyProtection="1">
      <alignment horizontal="center"/>
    </xf>
    <xf numFmtId="0" fontId="21" fillId="25" borderId="127" xfId="0" applyFont="1" applyFill="1" applyBorder="1" applyAlignment="1" applyProtection="1">
      <alignment horizontal="center"/>
    </xf>
    <xf numFmtId="0" fontId="21" fillId="25" borderId="128" xfId="0" applyFont="1" applyFill="1" applyBorder="1" applyAlignment="1" applyProtection="1">
      <alignment horizontal="center"/>
    </xf>
    <xf numFmtId="0" fontId="5" fillId="0" borderId="0" xfId="4" applyFont="1" applyBorder="1" applyAlignment="1" applyProtection="1">
      <alignment horizontal="left" vertical="center"/>
      <protection locked="0"/>
    </xf>
    <xf numFmtId="0" fontId="5" fillId="0" borderId="7" xfId="4" applyFont="1" applyBorder="1" applyAlignment="1" applyProtection="1">
      <alignment horizontal="left" vertical="center"/>
      <protection locked="0"/>
    </xf>
    <xf numFmtId="0" fontId="1" fillId="0" borderId="25" xfId="4" applyFont="1" applyBorder="1" applyAlignment="1" applyProtection="1">
      <alignment horizontal="left" vertical="center" wrapText="1"/>
      <protection locked="0"/>
    </xf>
    <xf numFmtId="0" fontId="1" fillId="0" borderId="31" xfId="4" applyFont="1" applyBorder="1" applyAlignment="1" applyProtection="1">
      <alignment horizontal="left" vertical="center" wrapText="1"/>
      <protection locked="0"/>
    </xf>
    <xf numFmtId="0" fontId="1" fillId="0" borderId="6" xfId="4" applyFont="1" applyBorder="1" applyAlignment="1" applyProtection="1">
      <alignment horizontal="left" vertical="center" wrapText="1"/>
      <protection locked="0"/>
    </xf>
    <xf numFmtId="0" fontId="1" fillId="0" borderId="4" xfId="4" applyFont="1" applyBorder="1" applyAlignment="1" applyProtection="1">
      <alignment horizontal="left" vertical="center" wrapText="1"/>
      <protection locked="0"/>
    </xf>
    <xf numFmtId="0" fontId="1" fillId="0" borderId="0" xfId="4" applyFont="1" applyBorder="1" applyAlignment="1" applyProtection="1">
      <alignment horizontal="left" vertical="center" wrapText="1"/>
      <protection locked="0"/>
    </xf>
    <xf numFmtId="0" fontId="1" fillId="0" borderId="7" xfId="4" applyFont="1" applyBorder="1" applyAlignment="1" applyProtection="1">
      <alignment horizontal="left" vertical="center" wrapText="1"/>
      <protection locked="0"/>
    </xf>
    <xf numFmtId="0" fontId="71" fillId="0" borderId="11" xfId="4" applyFont="1" applyBorder="1" applyAlignment="1" applyProtection="1">
      <alignment horizontal="center"/>
      <protection locked="0"/>
    </xf>
    <xf numFmtId="0" fontId="71" fillId="0" borderId="5" xfId="4" applyFont="1" applyBorder="1" applyAlignment="1" applyProtection="1">
      <alignment horizontal="center"/>
      <protection locked="0"/>
    </xf>
    <xf numFmtId="0" fontId="71" fillId="0" borderId="15" xfId="4" applyFont="1" applyBorder="1" applyAlignment="1" applyProtection="1">
      <alignment horizontal="center"/>
      <protection locked="0"/>
    </xf>
    <xf numFmtId="14" fontId="61" fillId="0" borderId="44" xfId="4" applyNumberFormat="1" applyFont="1" applyFill="1" applyBorder="1" applyAlignment="1" applyProtection="1">
      <alignment horizontal="center"/>
      <protection locked="0"/>
    </xf>
    <xf numFmtId="14" fontId="61" fillId="0" borderId="69" xfId="4" applyNumberFormat="1" applyFont="1" applyFill="1" applyBorder="1" applyAlignment="1" applyProtection="1">
      <alignment horizontal="center"/>
      <protection locked="0"/>
    </xf>
    <xf numFmtId="14" fontId="61" fillId="0" borderId="48" xfId="4" applyNumberFormat="1" applyFont="1" applyFill="1" applyBorder="1" applyAlignment="1" applyProtection="1">
      <alignment horizontal="center"/>
      <protection locked="0"/>
    </xf>
    <xf numFmtId="14" fontId="61" fillId="0" borderId="73" xfId="4" applyNumberFormat="1" applyFont="1" applyFill="1" applyBorder="1" applyAlignment="1" applyProtection="1">
      <alignment horizontal="center"/>
      <protection locked="0"/>
    </xf>
    <xf numFmtId="0" fontId="56" fillId="0" borderId="26" xfId="4" applyFont="1" applyBorder="1" applyAlignment="1" applyProtection="1">
      <alignment horizontal="center" wrapText="1"/>
      <protection locked="0"/>
    </xf>
    <xf numFmtId="0" fontId="56" fillId="0" borderId="45" xfId="4" applyFont="1" applyBorder="1" applyAlignment="1" applyProtection="1">
      <alignment horizontal="center" wrapText="1"/>
      <protection locked="0"/>
    </xf>
    <xf numFmtId="0" fontId="61" fillId="0" borderId="19" xfId="4" applyFont="1" applyBorder="1" applyAlignment="1" applyProtection="1">
      <alignment horizontal="left" vertical="center"/>
      <protection locked="0"/>
    </xf>
    <xf numFmtId="0" fontId="61" fillId="0" borderId="8" xfId="4" applyFont="1" applyBorder="1" applyAlignment="1" applyProtection="1">
      <alignment horizontal="left" vertical="center"/>
      <protection locked="0"/>
    </xf>
    <xf numFmtId="0" fontId="61" fillId="0" borderId="9" xfId="4" applyFont="1" applyBorder="1" applyAlignment="1" applyProtection="1">
      <alignment horizontal="left" vertical="center"/>
      <protection locked="0"/>
    </xf>
    <xf numFmtId="0" fontId="5" fillId="0" borderId="4" xfId="4" applyFont="1" applyBorder="1" applyAlignment="1" applyProtection="1">
      <alignment horizontal="left" vertical="center"/>
      <protection locked="0"/>
    </xf>
    <xf numFmtId="0" fontId="65" fillId="0" borderId="31" xfId="4" applyFont="1" applyBorder="1" applyAlignment="1" applyProtection="1">
      <alignment horizontal="right" vertical="center" wrapText="1"/>
    </xf>
    <xf numFmtId="0" fontId="65" fillId="0" borderId="6" xfId="4" applyFont="1" applyBorder="1" applyAlignment="1" applyProtection="1">
      <alignment horizontal="right" vertical="center" wrapText="1"/>
    </xf>
    <xf numFmtId="1" fontId="57" fillId="0" borderId="5" xfId="4" applyNumberFormat="1" applyFont="1" applyBorder="1" applyAlignment="1" applyProtection="1">
      <alignment horizontal="right" shrinkToFit="1"/>
    </xf>
    <xf numFmtId="1" fontId="57" fillId="0" borderId="15" xfId="4" applyNumberFormat="1" applyFont="1" applyBorder="1" applyAlignment="1" applyProtection="1">
      <alignment horizontal="right" shrinkToFit="1"/>
    </xf>
    <xf numFmtId="0" fontId="68" fillId="0" borderId="50" xfId="4" applyFont="1" applyBorder="1" applyAlignment="1" applyProtection="1">
      <alignment horizontal="left" shrinkToFit="1"/>
    </xf>
    <xf numFmtId="0" fontId="68" fillId="0" borderId="10" xfId="4" applyFont="1" applyBorder="1" applyAlignment="1" applyProtection="1">
      <alignment horizontal="left" shrinkToFit="1"/>
    </xf>
    <xf numFmtId="0" fontId="68" fillId="0" borderId="43" xfId="4" applyFont="1" applyBorder="1" applyAlignment="1" applyProtection="1">
      <alignment horizontal="left" shrinkToFit="1"/>
    </xf>
    <xf numFmtId="184" fontId="68" fillId="0" borderId="5" xfId="4" applyNumberFormat="1" applyFont="1" applyBorder="1" applyAlignment="1" applyProtection="1">
      <alignment horizontal="left"/>
    </xf>
    <xf numFmtId="184" fontId="68" fillId="0" borderId="15" xfId="4" applyNumberFormat="1" applyFont="1" applyBorder="1" applyAlignment="1" applyProtection="1">
      <alignment horizontal="left"/>
    </xf>
    <xf numFmtId="15" fontId="48" fillId="0" borderId="10" xfId="4" applyNumberFormat="1" applyFont="1" applyBorder="1" applyAlignment="1" applyProtection="1">
      <alignment horizontal="right" shrinkToFit="1"/>
    </xf>
    <xf numFmtId="15" fontId="48" fillId="0" borderId="34" xfId="4" applyNumberFormat="1" applyFont="1" applyBorder="1" applyAlignment="1" applyProtection="1">
      <alignment horizontal="right" shrinkToFit="1"/>
    </xf>
    <xf numFmtId="0" fontId="61" fillId="0" borderId="8" xfId="4" applyFont="1" applyBorder="1" applyAlignment="1" applyProtection="1">
      <alignment horizontal="center" shrinkToFit="1"/>
    </xf>
    <xf numFmtId="0" fontId="61" fillId="0" borderId="9" xfId="4" applyFont="1" applyBorder="1" applyAlignment="1" applyProtection="1">
      <alignment horizontal="center" shrinkToFit="1"/>
    </xf>
    <xf numFmtId="0" fontId="57" fillId="0" borderId="5" xfId="4" applyFont="1" applyFill="1" applyBorder="1" applyAlignment="1" applyProtection="1">
      <alignment horizontal="center"/>
    </xf>
    <xf numFmtId="0" fontId="57" fillId="0" borderId="15" xfId="4" applyFont="1" applyFill="1" applyBorder="1" applyAlignment="1" applyProtection="1">
      <alignment horizontal="center"/>
    </xf>
    <xf numFmtId="3" fontId="122" fillId="0" borderId="5" xfId="4" applyNumberFormat="1" applyFont="1" applyBorder="1" applyAlignment="1" applyProtection="1">
      <alignment horizontal="right"/>
    </xf>
    <xf numFmtId="3" fontId="122" fillId="0" borderId="15" xfId="4" applyNumberFormat="1" applyFont="1" applyBorder="1" applyAlignment="1" applyProtection="1">
      <alignment horizontal="right"/>
    </xf>
    <xf numFmtId="0" fontId="56" fillId="0" borderId="66" xfId="4" applyFont="1" applyBorder="1" applyAlignment="1" applyProtection="1">
      <alignment horizontal="center" wrapText="1"/>
      <protection locked="0"/>
    </xf>
    <xf numFmtId="0" fontId="56" fillId="0" borderId="49" xfId="4" applyFont="1" applyBorder="1" applyAlignment="1" applyProtection="1">
      <alignment horizontal="center" wrapText="1"/>
      <protection locked="0"/>
    </xf>
    <xf numFmtId="0" fontId="59" fillId="0" borderId="0" xfId="4" applyFont="1" applyAlignment="1" applyProtection="1">
      <alignment horizontal="center"/>
      <protection locked="0"/>
    </xf>
    <xf numFmtId="0" fontId="68" fillId="0" borderId="58" xfId="4" applyFont="1" applyBorder="1" applyAlignment="1" applyProtection="1">
      <alignment horizontal="left"/>
    </xf>
    <xf numFmtId="0" fontId="68" fillId="0" borderId="84" xfId="4" applyFont="1" applyBorder="1" applyAlignment="1" applyProtection="1">
      <alignment horizontal="left"/>
    </xf>
    <xf numFmtId="0" fontId="68" fillId="0" borderId="75" xfId="4" applyFont="1" applyBorder="1" applyAlignment="1" applyProtection="1">
      <alignment horizontal="left"/>
    </xf>
    <xf numFmtId="0" fontId="67" fillId="0" borderId="11" xfId="4" applyFont="1" applyBorder="1" applyAlignment="1" applyProtection="1">
      <alignment horizontal="left"/>
      <protection locked="0"/>
    </xf>
    <xf numFmtId="0" fontId="67" fillId="0" borderId="5" xfId="4" applyFont="1" applyBorder="1" applyAlignment="1" applyProtection="1">
      <alignment horizontal="left"/>
      <protection locked="0"/>
    </xf>
    <xf numFmtId="0" fontId="67" fillId="0" borderId="40" xfId="4" applyFont="1" applyBorder="1" applyAlignment="1" applyProtection="1">
      <alignment horizontal="left"/>
      <protection locked="0"/>
    </xf>
    <xf numFmtId="15" fontId="48" fillId="0" borderId="84" xfId="4" applyNumberFormat="1" applyFont="1" applyBorder="1" applyAlignment="1" applyProtection="1">
      <alignment horizontal="right" shrinkToFit="1"/>
    </xf>
    <xf numFmtId="15" fontId="48" fillId="0" borderId="75" xfId="4" applyNumberFormat="1" applyFont="1" applyBorder="1" applyAlignment="1" applyProtection="1">
      <alignment horizontal="right" shrinkToFit="1"/>
    </xf>
    <xf numFmtId="0" fontId="56" fillId="0" borderId="3" xfId="4" applyFont="1" applyBorder="1" applyAlignment="1" applyProtection="1">
      <alignment horizontal="center" wrapText="1"/>
      <protection locked="0"/>
    </xf>
    <xf numFmtId="0" fontId="56" fillId="0" borderId="43" xfId="4" applyFont="1" applyBorder="1" applyAlignment="1" applyProtection="1">
      <alignment horizontal="center" wrapText="1"/>
      <protection locked="0"/>
    </xf>
    <xf numFmtId="0" fontId="56" fillId="0" borderId="50" xfId="4" applyFont="1" applyBorder="1" applyAlignment="1" applyProtection="1">
      <alignment horizontal="center" wrapText="1"/>
      <protection locked="0"/>
    </xf>
    <xf numFmtId="0" fontId="56" fillId="0" borderId="10" xfId="4" applyFont="1" applyBorder="1" applyAlignment="1" applyProtection="1">
      <alignment horizontal="center" wrapText="1"/>
      <protection locked="0"/>
    </xf>
    <xf numFmtId="0" fontId="56" fillId="0" borderId="4" xfId="4" applyFont="1" applyBorder="1" applyAlignment="1" applyProtection="1">
      <alignment horizontal="center" wrapText="1"/>
      <protection locked="0"/>
    </xf>
    <xf numFmtId="0" fontId="56" fillId="0" borderId="36" xfId="4" applyFont="1" applyBorder="1" applyAlignment="1" applyProtection="1">
      <alignment horizontal="center" wrapText="1"/>
      <protection locked="0"/>
    </xf>
    <xf numFmtId="0" fontId="115" fillId="0" borderId="0" xfId="4" applyFont="1" applyAlignment="1" applyProtection="1">
      <alignment horizontal="center"/>
      <protection locked="0"/>
    </xf>
    <xf numFmtId="0" fontId="59" fillId="0" borderId="0" xfId="0" applyFont="1" applyAlignment="1">
      <alignment horizontal="left" vertical="center" wrapText="1"/>
    </xf>
    <xf numFmtId="0" fontId="59" fillId="0" borderId="0" xfId="0" applyFont="1" applyAlignment="1">
      <alignment horizontal="justify" vertical="center"/>
    </xf>
    <xf numFmtId="0" fontId="59" fillId="0" borderId="0" xfId="0" applyFont="1" applyAlignment="1">
      <alignment horizontal="justify" vertical="center" wrapText="1"/>
    </xf>
    <xf numFmtId="0" fontId="59" fillId="0" borderId="0" xfId="0" applyFont="1" applyAlignment="1">
      <alignment horizontal="left"/>
    </xf>
    <xf numFmtId="0" fontId="59" fillId="0" borderId="54" xfId="0" applyFont="1" applyBorder="1" applyAlignment="1">
      <alignment horizontal="center"/>
    </xf>
    <xf numFmtId="0" fontId="59" fillId="0" borderId="0" xfId="0" applyFont="1" applyAlignment="1">
      <alignment horizontal="right"/>
    </xf>
    <xf numFmtId="0" fontId="59" fillId="0" borderId="0" xfId="0" applyFont="1" applyAlignment="1">
      <alignment horizontal="left" vertical="top" wrapText="1"/>
    </xf>
    <xf numFmtId="0" fontId="59" fillId="0" borderId="0" xfId="0" applyFont="1" applyBorder="1" applyAlignment="1">
      <alignment horizontal="left" wrapText="1"/>
    </xf>
    <xf numFmtId="0" fontId="59" fillId="0" borderId="54" xfId="0" applyFont="1" applyBorder="1" applyAlignment="1">
      <alignment horizontal="left" wrapText="1"/>
    </xf>
    <xf numFmtId="0" fontId="83" fillId="0" borderId="0" xfId="0" applyFont="1" applyAlignment="1">
      <alignment horizontal="center" vertical="center"/>
    </xf>
    <xf numFmtId="0" fontId="59" fillId="0" borderId="0" xfId="0" applyFont="1" applyAlignment="1">
      <alignment horizontal="distributed" vertical="center"/>
    </xf>
    <xf numFmtId="0" fontId="61" fillId="0" borderId="0" xfId="0" applyFont="1" applyFill="1" applyBorder="1" applyAlignment="1">
      <alignment horizontal="justify" vertical="top" wrapText="1"/>
    </xf>
    <xf numFmtId="0" fontId="49" fillId="0" borderId="0" xfId="0" applyFont="1" applyFill="1" applyBorder="1" applyAlignment="1">
      <alignment horizontal="center" vertical="center" wrapText="1"/>
    </xf>
    <xf numFmtId="0" fontId="61" fillId="0" borderId="0" xfId="0" applyFont="1" applyAlignment="1">
      <alignment horizontal="justify" vertical="top" wrapText="1"/>
    </xf>
    <xf numFmtId="0" fontId="61" fillId="0" borderId="0" xfId="0" applyFont="1" applyAlignment="1">
      <alignment horizontal="left" vertical="top" wrapText="1"/>
    </xf>
    <xf numFmtId="0" fontId="61" fillId="0" borderId="0" xfId="0" applyFont="1" applyFill="1" applyBorder="1" applyAlignment="1">
      <alignment horizontal="left" vertical="top" wrapText="1"/>
    </xf>
    <xf numFmtId="0" fontId="61" fillId="0" borderId="0" xfId="0" applyFont="1" applyFill="1" applyBorder="1" applyAlignment="1">
      <alignment horizontal="left" wrapText="1"/>
    </xf>
    <xf numFmtId="14" fontId="78" fillId="0" borderId="8" xfId="0" applyNumberFormat="1" applyFont="1" applyBorder="1" applyAlignment="1">
      <alignment horizontal="left"/>
    </xf>
    <xf numFmtId="0" fontId="83" fillId="0" borderId="0" xfId="0" applyFont="1" applyAlignment="1">
      <alignment horizontal="center"/>
    </xf>
    <xf numFmtId="0" fontId="59" fillId="0" borderId="0" xfId="0" applyFont="1" applyFill="1" applyBorder="1" applyAlignment="1">
      <alignment horizontal="left" vertical="center" wrapText="1"/>
    </xf>
    <xf numFmtId="0" fontId="17" fillId="29" borderId="0" xfId="0" applyFont="1" applyFill="1" applyBorder="1" applyAlignment="1">
      <alignment horizontal="center"/>
    </xf>
    <xf numFmtId="0" fontId="17" fillId="29" borderId="0" xfId="0" applyFont="1" applyFill="1" applyBorder="1" applyAlignment="1">
      <alignment horizontal="left" shrinkToFit="1"/>
    </xf>
    <xf numFmtId="0" fontId="61" fillId="0" borderId="0" xfId="0" applyFont="1" applyBorder="1" applyAlignment="1">
      <alignment horizontal="left"/>
    </xf>
    <xf numFmtId="0" fontId="55" fillId="0" borderId="0" xfId="0" applyFont="1" applyBorder="1" applyAlignment="1">
      <alignment horizontal="left"/>
    </xf>
    <xf numFmtId="0" fontId="38" fillId="29" borderId="0" xfId="0" applyFont="1" applyFill="1" applyBorder="1" applyAlignment="1">
      <alignment horizontal="center"/>
    </xf>
    <xf numFmtId="0" fontId="59" fillId="0" borderId="0" xfId="0" applyFont="1" applyBorder="1" applyAlignment="1">
      <alignment horizontal="left" vertical="top" wrapText="1"/>
    </xf>
    <xf numFmtId="0" fontId="59" fillId="0" borderId="0" xfId="0" applyFont="1" applyAlignment="1">
      <alignment horizontal="left" wrapText="1"/>
    </xf>
    <xf numFmtId="0" fontId="48" fillId="0" borderId="0" xfId="0" applyFont="1" applyBorder="1" applyAlignment="1">
      <alignment horizontal="left" vertical="center" wrapText="1"/>
    </xf>
    <xf numFmtId="0" fontId="48" fillId="0" borderId="54" xfId="0" applyFont="1" applyBorder="1" applyAlignment="1">
      <alignment horizontal="center"/>
    </xf>
    <xf numFmtId="0" fontId="59" fillId="0" borderId="0" xfId="0" applyNumberFormat="1" applyFont="1" applyBorder="1" applyAlignment="1">
      <alignment horizontal="left" vertical="center" wrapText="1"/>
    </xf>
    <xf numFmtId="0" fontId="78" fillId="0" borderId="108" xfId="0" applyFont="1" applyBorder="1" applyAlignment="1">
      <alignment horizontal="left" vertical="top" wrapText="1" indent="3"/>
    </xf>
    <xf numFmtId="0" fontId="43" fillId="0" borderId="109" xfId="0" applyFont="1" applyBorder="1" applyAlignment="1">
      <alignment horizontal="left" vertical="top" indent="3"/>
    </xf>
    <xf numFmtId="0" fontId="43" fillId="0" borderId="110" xfId="0" applyFont="1" applyBorder="1" applyAlignment="1">
      <alignment horizontal="left" vertical="top" indent="3"/>
    </xf>
    <xf numFmtId="0" fontId="43" fillId="0" borderId="111" xfId="0" applyFont="1" applyBorder="1" applyAlignment="1">
      <alignment horizontal="left" vertical="top" indent="3"/>
    </xf>
    <xf numFmtId="0" fontId="43" fillId="0" borderId="0" xfId="0" applyFont="1" applyAlignment="1">
      <alignment horizontal="left" vertical="top" indent="3"/>
    </xf>
    <xf numFmtId="0" fontId="43" fillId="0" borderId="112" xfId="0" applyFont="1" applyBorder="1" applyAlignment="1">
      <alignment horizontal="left" vertical="top" indent="3"/>
    </xf>
    <xf numFmtId="0" fontId="43" fillId="0" borderId="113" xfId="0" applyFont="1" applyBorder="1" applyAlignment="1">
      <alignment horizontal="left" vertical="top" indent="3"/>
    </xf>
    <xf numFmtId="0" fontId="43" fillId="0" borderId="114" xfId="0" applyFont="1" applyBorder="1" applyAlignment="1">
      <alignment horizontal="left" vertical="top" indent="3"/>
    </xf>
    <xf numFmtId="0" fontId="43" fillId="0" borderId="115" xfId="0" applyFont="1" applyBorder="1" applyAlignment="1">
      <alignment horizontal="left" vertical="top" indent="3"/>
    </xf>
    <xf numFmtId="0" fontId="48" fillId="0" borderId="54" xfId="0" applyFont="1" applyBorder="1" applyAlignment="1">
      <alignment horizontal="center" vertical="center" wrapText="1"/>
    </xf>
    <xf numFmtId="0" fontId="61" fillId="0" borderId="0" xfId="0" applyFont="1" applyBorder="1" applyAlignment="1">
      <alignment horizontal="left" vertical="top" wrapText="1"/>
    </xf>
    <xf numFmtId="0" fontId="59" fillId="0" borderId="0" xfId="0" applyFont="1" applyAlignment="1">
      <alignment horizontal="center" vertical="center" wrapText="1"/>
    </xf>
    <xf numFmtId="0" fontId="134" fillId="0" borderId="0" xfId="0" applyFont="1" applyAlignment="1">
      <alignment horizontal="center" vertical="center"/>
    </xf>
    <xf numFmtId="0" fontId="69" fillId="0" borderId="0" xfId="0" applyFont="1" applyAlignment="1">
      <alignment horizontal="center" vertical="center"/>
    </xf>
    <xf numFmtId="0" fontId="72" fillId="0" borderId="0" xfId="0" applyFont="1" applyAlignment="1">
      <alignment horizontal="right" vertical="center" textRotation="90"/>
    </xf>
    <xf numFmtId="0" fontId="20" fillId="23" borderId="53" xfId="0" applyFont="1" applyFill="1" applyBorder="1" applyAlignment="1" applyProtection="1">
      <alignment horizontal="center"/>
    </xf>
    <xf numFmtId="0" fontId="30" fillId="14" borderId="0" xfId="0" applyFont="1" applyFill="1" applyBorder="1" applyAlignment="1" applyProtection="1">
      <alignment horizontal="left" vertical="top" wrapText="1"/>
    </xf>
    <xf numFmtId="0" fontId="15" fillId="0" borderId="4" xfId="0" applyFont="1" applyBorder="1" applyAlignment="1">
      <alignment horizontal="left" vertical="top" wrapText="1" indent="2"/>
    </xf>
    <xf numFmtId="0" fontId="15" fillId="0" borderId="0" xfId="0" applyFont="1" applyBorder="1" applyAlignment="1">
      <alignment horizontal="left" vertical="top" wrapText="1" indent="2"/>
    </xf>
    <xf numFmtId="0" fontId="15" fillId="0" borderId="7" xfId="0" applyFont="1" applyBorder="1" applyAlignment="1">
      <alignment horizontal="left" vertical="top" wrapText="1" indent="2"/>
    </xf>
    <xf numFmtId="0" fontId="21" fillId="26" borderId="11" xfId="0" applyFont="1" applyFill="1" applyBorder="1" applyAlignment="1" applyProtection="1">
      <alignment horizontal="center"/>
    </xf>
    <xf numFmtId="0" fontId="21" fillId="26" borderId="5" xfId="0" applyFont="1" applyFill="1" applyBorder="1" applyAlignment="1" applyProtection="1">
      <alignment horizontal="center"/>
    </xf>
    <xf numFmtId="0" fontId="21" fillId="26" borderId="15" xfId="0" applyFont="1" applyFill="1" applyBorder="1" applyAlignment="1" applyProtection="1">
      <alignment horizontal="center"/>
    </xf>
    <xf numFmtId="0" fontId="20" fillId="14" borderId="25" xfId="0" applyFont="1" applyFill="1" applyBorder="1" applyAlignment="1" applyProtection="1">
      <alignment horizontal="left" vertical="center"/>
    </xf>
    <xf numFmtId="0" fontId="20" fillId="14" borderId="31" xfId="0" applyFont="1" applyFill="1" applyBorder="1" applyAlignment="1" applyProtection="1">
      <alignment horizontal="left" vertical="center"/>
    </xf>
    <xf numFmtId="0" fontId="20" fillId="14" borderId="6" xfId="0" applyFont="1" applyFill="1" applyBorder="1" applyAlignment="1" applyProtection="1">
      <alignment horizontal="left" vertical="center"/>
    </xf>
    <xf numFmtId="0" fontId="20" fillId="14" borderId="19" xfId="0" applyFont="1" applyFill="1" applyBorder="1" applyAlignment="1" applyProtection="1">
      <alignment horizontal="left" vertical="center"/>
    </xf>
    <xf numFmtId="0" fontId="20" fillId="14" borderId="8" xfId="0" applyFont="1" applyFill="1" applyBorder="1" applyAlignment="1" applyProtection="1">
      <alignment horizontal="left" vertical="center"/>
    </xf>
    <xf numFmtId="0" fontId="20" fillId="14" borderId="9" xfId="0" applyFont="1" applyFill="1" applyBorder="1" applyAlignment="1" applyProtection="1">
      <alignment horizontal="left" vertical="center"/>
    </xf>
    <xf numFmtId="0" fontId="30" fillId="14" borderId="0" xfId="0" applyNumberFormat="1" applyFont="1" applyFill="1" applyBorder="1" applyAlignment="1" applyProtection="1">
      <alignment horizontal="left" vertical="top" wrapText="1"/>
    </xf>
    <xf numFmtId="0" fontId="20" fillId="23" borderId="47" xfId="0" applyFont="1" applyFill="1" applyBorder="1" applyAlignment="1" applyProtection="1">
      <alignment horizontal="center" vertical="center"/>
    </xf>
    <xf numFmtId="0" fontId="20" fillId="23" borderId="59" xfId="0" applyFont="1" applyFill="1" applyBorder="1" applyAlignment="1" applyProtection="1">
      <alignment horizontal="center" vertical="center"/>
    </xf>
    <xf numFmtId="0" fontId="20" fillId="23" borderId="41" xfId="0" applyFont="1" applyFill="1" applyBorder="1" applyAlignment="1" applyProtection="1">
      <alignment horizontal="center" vertical="center"/>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13" fillId="17" borderId="0" xfId="0" applyFont="1" applyFill="1" applyBorder="1" applyAlignment="1" applyProtection="1">
      <alignment horizontal="justify" vertical="top" wrapText="1"/>
    </xf>
    <xf numFmtId="0" fontId="29" fillId="14" borderId="0" xfId="0" applyFont="1" applyFill="1" applyBorder="1" applyAlignment="1" applyProtection="1">
      <alignment horizontal="center" vertical="center" wrapText="1"/>
    </xf>
    <xf numFmtId="187" fontId="21" fillId="20" borderId="54" xfId="0" applyNumberFormat="1" applyFont="1" applyFill="1" applyBorder="1" applyAlignment="1" applyProtection="1">
      <alignment horizontal="left"/>
    </xf>
    <xf numFmtId="187" fontId="21" fillId="20" borderId="74" xfId="0" applyNumberFormat="1" applyFont="1" applyFill="1" applyBorder="1" applyAlignment="1" applyProtection="1">
      <alignment horizontal="left"/>
    </xf>
    <xf numFmtId="44" fontId="21" fillId="14" borderId="84" xfId="2" applyFont="1" applyFill="1" applyBorder="1" applyAlignment="1" applyProtection="1">
      <alignment horizontal="center"/>
    </xf>
    <xf numFmtId="44" fontId="21" fillId="14" borderId="75" xfId="2" applyFont="1" applyFill="1" applyBorder="1" applyAlignment="1" applyProtection="1">
      <alignment horizontal="center"/>
    </xf>
    <xf numFmtId="44" fontId="21" fillId="14" borderId="0" xfId="2" applyFont="1" applyFill="1" applyBorder="1" applyAlignment="1" applyProtection="1">
      <alignment horizontal="center"/>
    </xf>
    <xf numFmtId="0" fontId="21" fillId="14" borderId="8" xfId="0" applyFont="1" applyFill="1" applyBorder="1" applyAlignment="1" applyProtection="1">
      <alignment horizontal="left"/>
    </xf>
    <xf numFmtId="44" fontId="20" fillId="14" borderId="8" xfId="2" applyFont="1" applyFill="1" applyBorder="1" applyAlignment="1" applyProtection="1">
      <alignment horizontal="center"/>
    </xf>
    <xf numFmtId="44" fontId="20" fillId="14" borderId="9" xfId="2" applyFont="1" applyFill="1" applyBorder="1" applyAlignment="1" applyProtection="1">
      <alignment horizontal="center"/>
    </xf>
    <xf numFmtId="44" fontId="20" fillId="14" borderId="74" xfId="2" applyFont="1" applyFill="1" applyBorder="1" applyAlignment="1" applyProtection="1">
      <alignment horizontal="center"/>
    </xf>
    <xf numFmtId="0" fontId="21" fillId="0" borderId="25" xfId="0" applyFont="1" applyFill="1" applyBorder="1" applyAlignment="1" applyProtection="1">
      <alignment horizontal="left" wrapText="1"/>
    </xf>
    <xf numFmtId="0" fontId="21" fillId="0" borderId="31" xfId="0" applyFont="1" applyFill="1" applyBorder="1" applyAlignment="1" applyProtection="1">
      <alignment horizontal="left" wrapText="1"/>
    </xf>
    <xf numFmtId="0" fontId="21" fillId="0" borderId="6" xfId="0" applyFont="1" applyFill="1" applyBorder="1" applyAlignment="1" applyProtection="1">
      <alignment horizontal="left" wrapText="1"/>
    </xf>
    <xf numFmtId="0" fontId="21" fillId="0" borderId="4" xfId="0" applyFont="1" applyFill="1" applyBorder="1" applyAlignment="1" applyProtection="1">
      <alignment horizontal="left" wrapText="1"/>
    </xf>
    <xf numFmtId="0" fontId="21" fillId="0" borderId="0" xfId="0" applyFont="1" applyFill="1" applyBorder="1" applyAlignment="1" applyProtection="1">
      <alignment horizontal="left" wrapText="1"/>
    </xf>
    <xf numFmtId="0" fontId="21" fillId="0" borderId="7" xfId="0" applyFont="1" applyFill="1" applyBorder="1" applyAlignment="1" applyProtection="1">
      <alignment horizontal="left" wrapText="1"/>
    </xf>
    <xf numFmtId="0" fontId="21" fillId="0" borderId="68" xfId="0" applyFont="1" applyFill="1" applyBorder="1" applyAlignment="1" applyProtection="1">
      <alignment horizontal="left" wrapText="1"/>
    </xf>
    <xf numFmtId="0" fontId="21" fillId="0" borderId="54" xfId="0" applyFont="1" applyFill="1" applyBorder="1" applyAlignment="1" applyProtection="1">
      <alignment horizontal="left" wrapText="1"/>
    </xf>
    <xf numFmtId="0" fontId="21" fillId="0" borderId="74" xfId="0" applyFont="1" applyFill="1" applyBorder="1" applyAlignment="1" applyProtection="1">
      <alignment horizontal="left" wrapText="1"/>
    </xf>
    <xf numFmtId="187" fontId="21" fillId="14" borderId="0" xfId="0" applyNumberFormat="1" applyFont="1" applyFill="1" applyBorder="1" applyAlignment="1" applyProtection="1">
      <alignment horizontal="left"/>
    </xf>
    <xf numFmtId="0" fontId="21" fillId="14" borderId="74" xfId="0" applyFont="1" applyFill="1" applyBorder="1" applyAlignment="1" applyProtection="1">
      <alignment horizontal="center"/>
    </xf>
    <xf numFmtId="0" fontId="13" fillId="17" borderId="0" xfId="0" applyFont="1" applyFill="1" applyBorder="1" applyAlignment="1" applyProtection="1">
      <alignment horizontal="justify" vertical="top" wrapText="1" shrinkToFit="1"/>
    </xf>
    <xf numFmtId="187" fontId="21" fillId="16" borderId="0" xfId="0" applyNumberFormat="1" applyFont="1" applyFill="1" applyBorder="1" applyAlignment="1" applyProtection="1">
      <alignment horizontal="left"/>
    </xf>
    <xf numFmtId="187" fontId="21" fillId="16" borderId="7" xfId="0" applyNumberFormat="1" applyFont="1" applyFill="1" applyBorder="1" applyAlignment="1" applyProtection="1">
      <alignment horizontal="left"/>
    </xf>
    <xf numFmtId="0" fontId="30" fillId="14" borderId="0" xfId="0" applyFont="1" applyFill="1" applyBorder="1" applyAlignment="1" applyProtection="1">
      <alignment horizontal="justify" vertical="top" wrapText="1"/>
    </xf>
    <xf numFmtId="0" fontId="30" fillId="14" borderId="0" xfId="0" applyFont="1" applyFill="1" applyBorder="1" applyAlignment="1" applyProtection="1">
      <alignment horizontal="justify" vertical="center" wrapText="1"/>
    </xf>
    <xf numFmtId="0" fontId="31" fillId="14" borderId="0" xfId="0" applyFont="1" applyFill="1" applyBorder="1" applyAlignment="1" applyProtection="1">
      <alignment horizontal="center"/>
    </xf>
    <xf numFmtId="0" fontId="24" fillId="14" borderId="25" xfId="0" applyFont="1" applyFill="1" applyBorder="1" applyAlignment="1" applyProtection="1">
      <alignment horizontal="left" wrapText="1"/>
    </xf>
    <xf numFmtId="0" fontId="24" fillId="14" borderId="31" xfId="0" applyFont="1" applyFill="1" applyBorder="1" applyAlignment="1" applyProtection="1">
      <alignment horizontal="left" wrapText="1"/>
    </xf>
    <xf numFmtId="0" fontId="24" fillId="14" borderId="6" xfId="0" applyFont="1" applyFill="1" applyBorder="1" applyAlignment="1" applyProtection="1">
      <alignment horizontal="left" wrapText="1"/>
    </xf>
    <xf numFmtId="0" fontId="20" fillId="23" borderId="46" xfId="0" applyFont="1" applyFill="1" applyBorder="1" applyAlignment="1" applyProtection="1">
      <alignment horizontal="left" vertical="center" wrapText="1"/>
    </xf>
    <xf numFmtId="0" fontId="20" fillId="23" borderId="16" xfId="0" applyFont="1" applyFill="1" applyBorder="1" applyAlignment="1" applyProtection="1">
      <alignment horizontal="left" vertical="center" wrapText="1"/>
    </xf>
    <xf numFmtId="189" fontId="21" fillId="23" borderId="48" xfId="0" applyNumberFormat="1" applyFont="1" applyFill="1" applyBorder="1" applyAlignment="1" applyProtection="1">
      <alignment horizontal="center" vertical="center"/>
    </xf>
    <xf numFmtId="189" fontId="21" fillId="23" borderId="49" xfId="0" applyNumberFormat="1" applyFont="1" applyFill="1" applyBorder="1" applyAlignment="1" applyProtection="1">
      <alignment horizontal="center" vertical="center"/>
    </xf>
    <xf numFmtId="189" fontId="21" fillId="23" borderId="42" xfId="0" applyNumberFormat="1" applyFont="1" applyFill="1" applyBorder="1" applyAlignment="1" applyProtection="1">
      <alignment horizontal="center" vertical="center"/>
    </xf>
    <xf numFmtId="189" fontId="21" fillId="23" borderId="52" xfId="0" applyNumberFormat="1" applyFont="1" applyFill="1" applyBorder="1" applyAlignment="1" applyProtection="1">
      <alignment horizontal="center" vertical="center"/>
    </xf>
    <xf numFmtId="190" fontId="21" fillId="23" borderId="48" xfId="0" applyNumberFormat="1" applyFont="1" applyFill="1" applyBorder="1" applyAlignment="1" applyProtection="1">
      <alignment horizontal="center" vertical="center"/>
    </xf>
    <xf numFmtId="190" fontId="21" fillId="23" borderId="56" xfId="0" applyNumberFormat="1" applyFont="1" applyFill="1" applyBorder="1" applyAlignment="1" applyProtection="1">
      <alignment horizontal="center" vertical="center"/>
    </xf>
    <xf numFmtId="190" fontId="21" fillId="23" borderId="49" xfId="0" applyNumberFormat="1" applyFont="1" applyFill="1" applyBorder="1" applyAlignment="1" applyProtection="1">
      <alignment horizontal="center" vertical="center"/>
    </xf>
    <xf numFmtId="190" fontId="21" fillId="23" borderId="42" xfId="0" applyNumberFormat="1" applyFont="1" applyFill="1" applyBorder="1" applyAlignment="1" applyProtection="1">
      <alignment horizontal="center" vertical="center"/>
    </xf>
    <xf numFmtId="190" fontId="21" fillId="23" borderId="54" xfId="0" applyNumberFormat="1" applyFont="1" applyFill="1" applyBorder="1" applyAlignment="1" applyProtection="1">
      <alignment horizontal="center" vertical="center"/>
    </xf>
    <xf numFmtId="190" fontId="21" fillId="23" borderId="52" xfId="0" applyNumberFormat="1" applyFont="1" applyFill="1" applyBorder="1" applyAlignment="1" applyProtection="1">
      <alignment horizontal="center" vertical="center"/>
    </xf>
    <xf numFmtId="191" fontId="21" fillId="23" borderId="47" xfId="0" applyNumberFormat="1" applyFont="1" applyFill="1" applyBorder="1" applyAlignment="1" applyProtection="1">
      <alignment horizontal="center" vertical="center"/>
    </xf>
    <xf numFmtId="191" fontId="21" fillId="23" borderId="41" xfId="0" applyNumberFormat="1" applyFont="1" applyFill="1" applyBorder="1" applyAlignment="1" applyProtection="1">
      <alignment horizontal="center" vertical="center"/>
    </xf>
    <xf numFmtId="187" fontId="21" fillId="14" borderId="7" xfId="0" applyNumberFormat="1" applyFont="1" applyFill="1" applyBorder="1" applyAlignment="1" applyProtection="1">
      <alignment horizontal="left"/>
    </xf>
    <xf numFmtId="44" fontId="20" fillId="14" borderId="0" xfId="2" applyFont="1" applyFill="1" applyBorder="1" applyAlignment="1" applyProtection="1">
      <alignment horizontal="center"/>
    </xf>
    <xf numFmtId="44" fontId="20" fillId="14" borderId="54" xfId="2" applyFont="1" applyFill="1" applyBorder="1" applyAlignment="1" applyProtection="1">
      <alignment horizontal="center"/>
    </xf>
    <xf numFmtId="0" fontId="73" fillId="0" borderId="0" xfId="0" applyFont="1" applyAlignment="1">
      <alignment horizontal="center" vertical="top"/>
    </xf>
    <xf numFmtId="0" fontId="76" fillId="0" borderId="98" xfId="0" applyFont="1" applyBorder="1" applyAlignment="1">
      <alignment vertical="center"/>
    </xf>
    <xf numFmtId="0" fontId="76" fillId="0" borderId="99" xfId="0" applyFont="1" applyBorder="1" applyAlignment="1">
      <alignment vertical="center"/>
    </xf>
    <xf numFmtId="0" fontId="76" fillId="0" borderId="100" xfId="0" applyFont="1" applyBorder="1" applyAlignment="1">
      <alignment vertical="center"/>
    </xf>
    <xf numFmtId="0" fontId="76" fillId="0" borderId="101" xfId="0" applyFont="1" applyBorder="1" applyAlignment="1">
      <alignment vertical="center"/>
    </xf>
    <xf numFmtId="0" fontId="76" fillId="0" borderId="53" xfId="0" applyFont="1" applyBorder="1" applyAlignment="1">
      <alignment vertical="center"/>
    </xf>
    <xf numFmtId="0" fontId="76" fillId="0" borderId="102" xfId="0" applyFont="1" applyBorder="1" applyAlignment="1">
      <alignment vertical="center"/>
    </xf>
    <xf numFmtId="0" fontId="78" fillId="0" borderId="101" xfId="0" applyFont="1" applyBorder="1" applyAlignment="1">
      <alignment vertical="center"/>
    </xf>
    <xf numFmtId="0" fontId="78" fillId="0" borderId="53" xfId="0" applyFont="1" applyBorder="1" applyAlignment="1">
      <alignment vertical="center"/>
    </xf>
    <xf numFmtId="0" fontId="78" fillId="0" borderId="102" xfId="0" applyFont="1" applyBorder="1" applyAlignment="1">
      <alignment vertical="center"/>
    </xf>
    <xf numFmtId="187" fontId="74" fillId="0" borderId="0" xfId="0" applyNumberFormat="1" applyFont="1" applyBorder="1" applyAlignment="1">
      <alignment horizontal="left"/>
    </xf>
    <xf numFmtId="0" fontId="43" fillId="0" borderId="0" xfId="0" applyFont="1" applyBorder="1" applyAlignment="1">
      <alignment horizontal="left" wrapText="1"/>
    </xf>
    <xf numFmtId="0" fontId="43" fillId="0" borderId="54" xfId="0" applyFont="1" applyBorder="1" applyAlignment="1">
      <alignment horizontal="left" wrapText="1"/>
    </xf>
    <xf numFmtId="0" fontId="78" fillId="0" borderId="104" xfId="0" applyFont="1" applyBorder="1" applyAlignment="1">
      <alignment vertical="center"/>
    </xf>
    <xf numFmtId="0" fontId="78" fillId="0" borderId="105" xfId="0" applyFont="1" applyBorder="1" applyAlignment="1">
      <alignment vertical="center"/>
    </xf>
    <xf numFmtId="0" fontId="78" fillId="0" borderId="106" xfId="0" applyFont="1" applyBorder="1" applyAlignment="1">
      <alignment vertical="center"/>
    </xf>
    <xf numFmtId="0" fontId="43" fillId="0" borderId="92" xfId="0" applyFont="1" applyBorder="1" applyAlignment="1">
      <alignment horizontal="center"/>
    </xf>
    <xf numFmtId="0" fontId="43" fillId="0" borderId="28" xfId="0" applyFont="1" applyBorder="1" applyAlignment="1">
      <alignment horizontal="center"/>
    </xf>
    <xf numFmtId="0" fontId="43" fillId="0" borderId="95" xfId="0" applyFont="1" applyBorder="1" applyAlignment="1">
      <alignment horizontal="center"/>
    </xf>
    <xf numFmtId="0" fontId="43" fillId="0" borderId="103" xfId="0" applyFont="1" applyBorder="1" applyAlignment="1">
      <alignment horizontal="center"/>
    </xf>
    <xf numFmtId="0" fontId="43" fillId="0" borderId="107" xfId="0" applyFont="1" applyBorder="1" applyAlignment="1">
      <alignment horizontal="center"/>
    </xf>
    <xf numFmtId="0" fontId="43" fillId="0" borderId="97" xfId="0" applyFont="1" applyBorder="1" applyAlignment="1">
      <alignment horizontal="center"/>
    </xf>
    <xf numFmtId="0" fontId="44" fillId="0" borderId="92" xfId="0" applyFont="1" applyBorder="1" applyAlignment="1">
      <alignment horizontal="center" vertical="center" wrapText="1"/>
    </xf>
    <xf numFmtId="0" fontId="44" fillId="0" borderId="93" xfId="0" applyFont="1" applyBorder="1" applyAlignment="1">
      <alignment horizontal="center" vertical="center" wrapText="1"/>
    </xf>
    <xf numFmtId="0" fontId="44" fillId="0" borderId="28" xfId="0" applyFont="1" applyBorder="1" applyAlignment="1">
      <alignment horizontal="center" vertical="center" wrapText="1"/>
    </xf>
    <xf numFmtId="0" fontId="44" fillId="0" borderId="94" xfId="0" applyFont="1" applyBorder="1" applyAlignment="1">
      <alignment horizontal="center" vertical="center" wrapText="1"/>
    </xf>
    <xf numFmtId="0" fontId="56" fillId="0" borderId="28" xfId="0" applyFont="1" applyBorder="1" applyAlignment="1">
      <alignment horizontal="center" vertical="center" wrapText="1"/>
    </xf>
    <xf numFmtId="0" fontId="56" fillId="0" borderId="94" xfId="0" applyFont="1" applyBorder="1" applyAlignment="1">
      <alignment horizontal="center" vertical="center" wrapText="1"/>
    </xf>
    <xf numFmtId="0" fontId="43" fillId="0" borderId="95" xfId="0" applyFont="1" applyBorder="1" applyAlignment="1">
      <alignment horizontal="center" vertical="center"/>
    </xf>
    <xf numFmtId="0" fontId="43" fillId="0" borderId="96" xfId="0" applyFont="1" applyBorder="1" applyAlignment="1">
      <alignment horizontal="center" vertical="center"/>
    </xf>
    <xf numFmtId="195" fontId="44" fillId="0" borderId="48" xfId="0" applyNumberFormat="1" applyFont="1" applyBorder="1" applyAlignment="1">
      <alignment horizontal="center" vertical="center" wrapText="1"/>
    </xf>
    <xf numFmtId="195" fontId="44" fillId="0" borderId="73" xfId="0" applyNumberFormat="1" applyFont="1" applyBorder="1" applyAlignment="1">
      <alignment horizontal="center" vertical="center" wrapText="1"/>
    </xf>
    <xf numFmtId="195" fontId="44" fillId="0" borderId="55" xfId="0" applyNumberFormat="1" applyFont="1" applyBorder="1" applyAlignment="1">
      <alignment horizontal="center" vertical="center" wrapText="1"/>
    </xf>
    <xf numFmtId="195" fontId="44" fillId="0" borderId="7" xfId="0" applyNumberFormat="1" applyFont="1" applyBorder="1" applyAlignment="1">
      <alignment horizontal="center" vertical="center" wrapText="1"/>
    </xf>
    <xf numFmtId="195" fontId="44" fillId="0" borderId="42" xfId="0" applyNumberFormat="1" applyFont="1" applyBorder="1" applyAlignment="1">
      <alignment horizontal="center" vertical="center" wrapText="1"/>
    </xf>
    <xf numFmtId="195" fontId="44" fillId="0" borderId="74" xfId="0" applyNumberFormat="1" applyFont="1" applyBorder="1" applyAlignment="1">
      <alignment horizontal="center" vertical="center" wrapText="1"/>
    </xf>
    <xf numFmtId="0" fontId="107" fillId="0" borderId="0" xfId="0" applyFont="1" applyAlignment="1">
      <alignment horizontal="left" vertical="top" wrapText="1"/>
    </xf>
    <xf numFmtId="0" fontId="59" fillId="0" borderId="0" xfId="0" applyFont="1" applyAlignment="1">
      <alignment horizontal="justify" vertical="top" wrapText="1"/>
    </xf>
    <xf numFmtId="0" fontId="59" fillId="0" borderId="0" xfId="0" applyFont="1" applyBorder="1" applyAlignment="1">
      <alignment horizontal="distributed" vertical="center"/>
    </xf>
    <xf numFmtId="0" fontId="59" fillId="0" borderId="0" xfId="0" applyFont="1" applyBorder="1" applyAlignment="1">
      <alignment horizontal="center"/>
    </xf>
    <xf numFmtId="0" fontId="59" fillId="0" borderId="0" xfId="0" applyFont="1" applyBorder="1" applyAlignment="1">
      <alignment horizontal="justify" vertical="top" wrapText="1"/>
    </xf>
    <xf numFmtId="0" fontId="59" fillId="0" borderId="0" xfId="0" applyFont="1" applyAlignment="1">
      <alignment horizontal="justify" vertical="top"/>
    </xf>
    <xf numFmtId="20" fontId="59" fillId="0" borderId="28" xfId="0" applyNumberFormat="1" applyFont="1" applyFill="1" applyBorder="1" applyAlignment="1">
      <alignment horizontal="center"/>
    </xf>
    <xf numFmtId="0" fontId="59" fillId="0" borderId="54" xfId="0" applyFont="1" applyBorder="1" applyAlignment="1">
      <alignment horizontal="center" vertical="justify"/>
    </xf>
    <xf numFmtId="0" fontId="59" fillId="0" borderId="54" xfId="0" applyFont="1" applyBorder="1" applyAlignment="1">
      <alignment horizontal="center" vertical="top"/>
    </xf>
    <xf numFmtId="0" fontId="59" fillId="0" borderId="54" xfId="0" applyFont="1" applyBorder="1" applyAlignment="1">
      <alignment horizontal="center" vertical="justify" wrapText="1"/>
    </xf>
    <xf numFmtId="0" fontId="59" fillId="0" borderId="0" xfId="0" applyFont="1" applyBorder="1" applyAlignment="1">
      <alignment horizontal="justify" vertical="center" wrapText="1"/>
    </xf>
    <xf numFmtId="0" fontId="43" fillId="0" borderId="0" xfId="0" applyFont="1" applyAlignment="1">
      <alignment horizontal="justify" vertical="top" wrapText="1"/>
    </xf>
    <xf numFmtId="0" fontId="43" fillId="0" borderId="54" xfId="0" applyFont="1" applyBorder="1" applyAlignment="1">
      <alignment horizontal="center"/>
    </xf>
    <xf numFmtId="0" fontId="43" fillId="0" borderId="0" xfId="0" applyFont="1" applyAlignment="1">
      <alignment horizontal="justify" wrapText="1"/>
    </xf>
    <xf numFmtId="0" fontId="93" fillId="0" borderId="44" xfId="0" applyFont="1" applyBorder="1" applyAlignment="1">
      <alignment vertical="center"/>
    </xf>
    <xf numFmtId="0" fontId="59" fillId="0" borderId="53" xfId="0" applyFont="1" applyBorder="1" applyAlignment="1">
      <alignment vertical="center"/>
    </xf>
    <xf numFmtId="0" fontId="59" fillId="0" borderId="45" xfId="0" applyFont="1" applyBorder="1" applyAlignment="1">
      <alignment vertical="center"/>
    </xf>
    <xf numFmtId="0" fontId="59" fillId="0" borderId="53" xfId="0" applyFont="1" applyBorder="1" applyAlignment="1"/>
    <xf numFmtId="0" fontId="59" fillId="0" borderId="45" xfId="0" applyFont="1" applyBorder="1" applyAlignment="1"/>
    <xf numFmtId="0" fontId="89" fillId="0" borderId="0" xfId="0" applyFont="1" applyAlignment="1"/>
    <xf numFmtId="0" fontId="48" fillId="0" borderId="0" xfId="0" applyFont="1" applyBorder="1" applyAlignment="1">
      <alignment horizontal="left" vertical="center" shrinkToFit="1"/>
    </xf>
    <xf numFmtId="178" fontId="93" fillId="27" borderId="11" xfId="0" applyNumberFormat="1" applyFont="1" applyFill="1" applyBorder="1" applyAlignment="1">
      <alignment horizontal="right"/>
    </xf>
    <xf numFmtId="178" fontId="93" fillId="27" borderId="5" xfId="0" applyNumberFormat="1" applyFont="1" applyFill="1" applyBorder="1" applyAlignment="1">
      <alignment horizontal="right"/>
    </xf>
    <xf numFmtId="178" fontId="93" fillId="27" borderId="15" xfId="0" applyNumberFormat="1" applyFont="1" applyFill="1" applyBorder="1" applyAlignment="1">
      <alignment horizontal="right"/>
    </xf>
    <xf numFmtId="178" fontId="59" fillId="0" borderId="53" xfId="0" applyNumberFormat="1" applyFont="1" applyBorder="1" applyAlignment="1"/>
    <xf numFmtId="0" fontId="90" fillId="0" borderId="0" xfId="0" applyFont="1" applyAlignment="1">
      <alignment horizontal="center" wrapText="1"/>
    </xf>
    <xf numFmtId="0" fontId="59" fillId="0" borderId="56" xfId="0" applyFont="1" applyBorder="1" applyAlignment="1">
      <alignment horizontal="left" vertical="top"/>
    </xf>
    <xf numFmtId="0" fontId="59" fillId="0" borderId="0" xfId="0" applyFont="1" applyBorder="1" applyAlignment="1">
      <alignment horizontal="left" vertical="top"/>
    </xf>
  </cellXfs>
  <cellStyles count="5">
    <cellStyle name="Comma" xfId="1" builtinId="3"/>
    <cellStyle name="Currency" xfId="2" builtinId="4"/>
    <cellStyle name="Hyperlink" xfId="3" builtinId="8"/>
    <cellStyle name="Normal" xfId="0" builtinId="0"/>
    <cellStyle name="Normal 2" xfId="4" xr:uid="{00000000-0005-0000-0000-000004000000}"/>
  </cellStyles>
  <dxfs count="102">
    <dxf>
      <font>
        <color rgb="FFFFFFFF"/>
      </font>
    </dxf>
    <dxf>
      <font>
        <color theme="0"/>
      </font>
    </dxf>
    <dxf>
      <font>
        <color rgb="FFFFFFFF"/>
      </font>
    </dxf>
    <dxf>
      <font>
        <color theme="0"/>
      </font>
    </dxf>
    <dxf>
      <font>
        <color rgb="FFFFFFFF"/>
      </font>
    </dxf>
    <dxf>
      <font>
        <color theme="0"/>
      </font>
    </dxf>
    <dxf>
      <font>
        <color rgb="FFFFFFFF"/>
      </font>
    </dxf>
    <dxf>
      <font>
        <color theme="0"/>
      </font>
    </dxf>
    <dxf>
      <font>
        <color rgb="FFFFFFFF"/>
      </font>
    </dxf>
    <dxf>
      <font>
        <color rgb="FFFFFFFF"/>
      </font>
    </dxf>
    <dxf>
      <font>
        <color rgb="FFFFFFFF"/>
      </font>
    </dxf>
    <dxf>
      <font>
        <color rgb="FFFFFFFF"/>
      </font>
    </dxf>
    <dxf>
      <font>
        <color theme="0"/>
      </font>
    </dxf>
    <dxf>
      <font>
        <color theme="0"/>
      </font>
    </dxf>
    <dxf>
      <font>
        <color theme="0"/>
      </font>
    </dxf>
    <dxf>
      <font>
        <color theme="0" tint="-4.9989318521683403E-2"/>
      </font>
    </dxf>
    <dxf>
      <font>
        <color rgb="FFFFFFFF"/>
      </font>
    </dxf>
    <dxf>
      <font>
        <color theme="0"/>
      </font>
    </dxf>
    <dxf>
      <font>
        <color rgb="FFFFFFFF"/>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theme="0"/>
      </font>
    </dxf>
    <dxf>
      <font>
        <color rgb="FFFFFFFF"/>
      </font>
    </dxf>
    <dxf>
      <font>
        <color theme="0"/>
      </font>
    </dxf>
    <dxf>
      <font>
        <color rgb="FFFFFFFF"/>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FFFF"/>
      </font>
    </dxf>
    <dxf>
      <font>
        <color rgb="FFFFFFFF"/>
      </font>
    </dxf>
    <dxf>
      <font>
        <color rgb="FFFFFFFF"/>
      </font>
    </dxf>
    <dxf>
      <font>
        <color rgb="FFFFFFFF"/>
      </font>
    </dxf>
    <dxf>
      <font>
        <color rgb="FFFFFFFF"/>
      </font>
    </dxf>
    <dxf>
      <font>
        <color theme="0"/>
      </font>
    </dxf>
    <dxf>
      <font>
        <color rgb="FFFFFFFF"/>
      </font>
    </dxf>
    <dxf>
      <font>
        <color theme="0"/>
      </font>
    </dxf>
    <dxf>
      <font>
        <color rgb="FFFFFFFF"/>
      </font>
    </dxf>
    <dxf>
      <font>
        <color theme="0"/>
      </font>
    </dxf>
    <dxf>
      <font>
        <color theme="0"/>
      </font>
    </dxf>
    <dxf>
      <font>
        <color rgb="FFFFFFFF"/>
      </font>
    </dxf>
    <dxf>
      <font>
        <color theme="0"/>
      </font>
    </dxf>
    <dxf>
      <font>
        <color rgb="FFFFFFFF"/>
      </font>
    </dxf>
    <dxf>
      <font>
        <color rgb="FFFFFFFF"/>
      </font>
    </dxf>
    <dxf>
      <font>
        <color theme="0"/>
      </font>
    </dxf>
    <dxf>
      <font>
        <color theme="0"/>
      </font>
    </dxf>
    <dxf>
      <font>
        <color rgb="FFFFFFFF"/>
      </font>
    </dxf>
    <dxf>
      <font>
        <color theme="0"/>
      </font>
    </dxf>
    <dxf>
      <font>
        <color rgb="FF9C0006"/>
      </font>
      <fill>
        <patternFill>
          <bgColor rgb="FFFFC7CE"/>
        </patternFill>
      </fill>
    </dxf>
    <dxf>
      <font>
        <color rgb="FF9C0006"/>
      </font>
      <fill>
        <patternFill>
          <bgColor rgb="FFFFC7CE"/>
        </patternFill>
      </fill>
    </dxf>
    <dxf>
      <font>
        <color rgb="FFFFFFFF"/>
      </font>
    </dxf>
    <dxf>
      <font>
        <color rgb="FFFFFFFF"/>
      </font>
    </dxf>
    <dxf>
      <font>
        <color rgb="FFFFFFFF"/>
      </font>
    </dxf>
    <dxf>
      <font>
        <color rgb="FFFFFFFF"/>
      </font>
    </dxf>
    <dxf>
      <font>
        <color theme="0"/>
      </font>
    </dxf>
    <dxf>
      <font>
        <color theme="0"/>
      </font>
    </dxf>
    <dxf>
      <font>
        <color theme="0"/>
      </font>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B1A0C7"/>
      <color rgb="FFE31DB9"/>
      <color rgb="FFA0F4F4"/>
      <color rgb="FFFA06C6"/>
      <color rgb="FF59CB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9.emf"/></Relationships>
</file>

<file path=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0</xdr:rowOff>
    </xdr:from>
    <xdr:to>
      <xdr:col>0</xdr:col>
      <xdr:colOff>1291062</xdr:colOff>
      <xdr:row>1</xdr:row>
      <xdr:rowOff>53789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0" b="100000" l="0" r="100000">
                      <a14:foregroundMark x1="41734" y1="34201" x2="41734" y2="34201"/>
                      <a14:foregroundMark x1="60434" y1="45725" x2="60434" y2="45725"/>
                      <a14:foregroundMark x1="69783" y1="40149" x2="69783" y2="40149"/>
                      <a14:foregroundMark x1="84417" y1="42751" x2="84417" y2="42751"/>
                      <a14:foregroundMark x1="30217" y1="40149" x2="30217" y2="40149"/>
                      <a14:foregroundMark x1="7317" y1="45725" x2="7317" y2="45725"/>
                    </a14:backgroundRemoval>
                  </a14:imgEffect>
                </a14:imgLayer>
              </a14:imgProps>
            </a:ext>
            <a:ext uri="{28A0092B-C50C-407E-A947-70E740481C1C}">
              <a14:useLocalDpi xmlns:a14="http://schemas.microsoft.com/office/drawing/2010/main" val="0"/>
            </a:ext>
          </a:extLst>
        </a:blip>
        <a:stretch>
          <a:fillRect/>
        </a:stretch>
      </xdr:blipFill>
      <xdr:spPr>
        <a:xfrm>
          <a:off x="28576" y="0"/>
          <a:ext cx="1262486" cy="3765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5</xdr:row>
      <xdr:rowOff>0</xdr:rowOff>
    </xdr:from>
    <xdr:to>
      <xdr:col>15</xdr:col>
      <xdr:colOff>523875</xdr:colOff>
      <xdr:row>7</xdr:row>
      <xdr:rowOff>104775</xdr:rowOff>
    </xdr:to>
    <xdr:sp macro="" textlink="">
      <xdr:nvSpPr>
        <xdr:cNvPr id="4" name="Print_long" hidden="1">
          <a:extLst>
            <a:ext uri="{63B3BB69-23CF-44E3-9099-C40C66FF867C}">
              <a14:compatExt xmlns:a14="http://schemas.microsoft.com/office/drawing/2010/main" spid="_x0000_s121857"/>
            </a:ext>
            <a:ext uri="{FF2B5EF4-FFF2-40B4-BE49-F238E27FC236}">
              <a16:creationId xmlns:a16="http://schemas.microsoft.com/office/drawing/2014/main" id="{00000000-0008-0000-0500-000004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0</xdr:colOff>
      <xdr:row>9</xdr:row>
      <xdr:rowOff>0</xdr:rowOff>
    </xdr:from>
    <xdr:to>
      <xdr:col>15</xdr:col>
      <xdr:colOff>523875</xdr:colOff>
      <xdr:row>11</xdr:row>
      <xdr:rowOff>76200</xdr:rowOff>
    </xdr:to>
    <xdr:sp macro="" textlink="">
      <xdr:nvSpPr>
        <xdr:cNvPr id="5" name="Print_short" hidden="1">
          <a:extLst>
            <a:ext uri="{63B3BB69-23CF-44E3-9099-C40C66FF867C}">
              <a14:compatExt xmlns:a14="http://schemas.microsoft.com/office/drawing/2010/main" spid="_x0000_s121858"/>
            </a:ext>
            <a:ext uri="{FF2B5EF4-FFF2-40B4-BE49-F238E27FC236}">
              <a16:creationId xmlns:a16="http://schemas.microsoft.com/office/drawing/2014/main" id="{00000000-0008-0000-0500-000005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0</xdr:colOff>
      <xdr:row>5</xdr:row>
      <xdr:rowOff>0</xdr:rowOff>
    </xdr:from>
    <xdr:to>
      <xdr:col>15</xdr:col>
      <xdr:colOff>523875</xdr:colOff>
      <xdr:row>7</xdr:row>
      <xdr:rowOff>104775</xdr:rowOff>
    </xdr:to>
    <xdr:pic macro="[0]!Sheet36.Print_long_Click">
      <xdr:nvPicPr>
        <xdr:cNvPr id="121857" name="Print_long">
          <a:extLst>
            <a:ext uri="{FF2B5EF4-FFF2-40B4-BE49-F238E27FC236}">
              <a16:creationId xmlns:a16="http://schemas.microsoft.com/office/drawing/2014/main" id="{00000000-0008-0000-0500-000001DC01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0" y="1333500"/>
          <a:ext cx="1752600" cy="504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0</xdr:colOff>
      <xdr:row>9</xdr:row>
      <xdr:rowOff>0</xdr:rowOff>
    </xdr:from>
    <xdr:to>
      <xdr:col>15</xdr:col>
      <xdr:colOff>523875</xdr:colOff>
      <xdr:row>11</xdr:row>
      <xdr:rowOff>76200</xdr:rowOff>
    </xdr:to>
    <xdr:pic macro="[0]!Sheet36.Print_short_Click">
      <xdr:nvPicPr>
        <xdr:cNvPr id="121858" name="Print_short">
          <a:extLst>
            <a:ext uri="{FF2B5EF4-FFF2-40B4-BE49-F238E27FC236}">
              <a16:creationId xmlns:a16="http://schemas.microsoft.com/office/drawing/2014/main" id="{00000000-0008-0000-0500-000002DC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0" y="1990725"/>
          <a:ext cx="17526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12</xdr:col>
      <xdr:colOff>419100</xdr:colOff>
      <xdr:row>11</xdr:row>
      <xdr:rowOff>161925</xdr:rowOff>
    </xdr:from>
    <xdr:ext cx="2038350" cy="609013"/>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934200" y="2676525"/>
          <a:ext cx="2038350"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Before</a:t>
          </a:r>
          <a:r>
            <a:rPr lang="en-US" sz="1100" b="1" baseline="0"/>
            <a:t> you print: </a:t>
          </a:r>
          <a:r>
            <a:rPr lang="en-US" sz="1100" b="1"/>
            <a:t>Did you enter birth date, gender, and email etc. in the </a:t>
          </a:r>
          <a:r>
            <a:rPr lang="en-US" sz="1100" b="1" u="sng"/>
            <a:t>Student Info </a:t>
          </a:r>
          <a:r>
            <a:rPr lang="en-US" sz="1100" b="1"/>
            <a:t>tab yet?</a:t>
          </a:r>
        </a:p>
      </xdr:txBody>
    </xdr:sp>
    <xdr:clientData/>
  </xdr:oneCellAnchor>
  <xdr:twoCellAnchor>
    <xdr:from>
      <xdr:col>3</xdr:col>
      <xdr:colOff>609600</xdr:colOff>
      <xdr:row>1</xdr:row>
      <xdr:rowOff>1</xdr:rowOff>
    </xdr:from>
    <xdr:to>
      <xdr:col>5</xdr:col>
      <xdr:colOff>0</xdr:colOff>
      <xdr:row>1</xdr:row>
      <xdr:rowOff>1</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0" name="Straight Connector 9">
          <a:extLst>
            <a:ext uri="{FF2B5EF4-FFF2-40B4-BE49-F238E27FC236}">
              <a16:creationId xmlns:a16="http://schemas.microsoft.com/office/drawing/2014/main" id="{00000000-0008-0000-0500-00000A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1" name="Straight Connector 10">
          <a:extLst>
            <a:ext uri="{FF2B5EF4-FFF2-40B4-BE49-F238E27FC236}">
              <a16:creationId xmlns:a16="http://schemas.microsoft.com/office/drawing/2014/main" id="{00000000-0008-0000-0500-00000B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editAs="oneCell">
    <xdr:from>
      <xdr:col>5</xdr:col>
      <xdr:colOff>144780</xdr:colOff>
      <xdr:row>0</xdr:row>
      <xdr:rowOff>22860</xdr:rowOff>
    </xdr:from>
    <xdr:to>
      <xdr:col>5</xdr:col>
      <xdr:colOff>700406</xdr:colOff>
      <xdr:row>1</xdr:row>
      <xdr:rowOff>83186</xdr:rowOff>
    </xdr:to>
    <xdr:pic>
      <xdr:nvPicPr>
        <xdr:cNvPr id="12" name="Picture 37">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7109460" y="22860"/>
          <a:ext cx="593726" cy="5937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609600</xdr:colOff>
      <xdr:row>1</xdr:row>
      <xdr:rowOff>1</xdr:rowOff>
    </xdr:from>
    <xdr:to>
      <xdr:col>5</xdr:col>
      <xdr:colOff>0</xdr:colOff>
      <xdr:row>1</xdr:row>
      <xdr:rowOff>1</xdr:rowOff>
    </xdr:to>
    <xdr:cxnSp macro="">
      <xdr:nvCxnSpPr>
        <xdr:cNvPr id="13" name="Straight Connector 12">
          <a:extLst>
            <a:ext uri="{FF2B5EF4-FFF2-40B4-BE49-F238E27FC236}">
              <a16:creationId xmlns:a16="http://schemas.microsoft.com/office/drawing/2014/main" id="{00000000-0008-0000-0500-00000D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4" name="Straight Connector 13">
          <a:extLst>
            <a:ext uri="{FF2B5EF4-FFF2-40B4-BE49-F238E27FC236}">
              <a16:creationId xmlns:a16="http://schemas.microsoft.com/office/drawing/2014/main" id="{00000000-0008-0000-0500-00000E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5" name="Straight Connector 14">
          <a:extLst>
            <a:ext uri="{FF2B5EF4-FFF2-40B4-BE49-F238E27FC236}">
              <a16:creationId xmlns:a16="http://schemas.microsoft.com/office/drawing/2014/main" id="{00000000-0008-0000-0500-00000F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6" name="Straight Connector 15">
          <a:extLst>
            <a:ext uri="{FF2B5EF4-FFF2-40B4-BE49-F238E27FC236}">
              <a16:creationId xmlns:a16="http://schemas.microsoft.com/office/drawing/2014/main" id="{00000000-0008-0000-0500-000010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7" name="Straight Connector 16">
          <a:extLst>
            <a:ext uri="{FF2B5EF4-FFF2-40B4-BE49-F238E27FC236}">
              <a16:creationId xmlns:a16="http://schemas.microsoft.com/office/drawing/2014/main" id="{00000000-0008-0000-0500-000011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8" name="Straight Connector 17">
          <a:extLst>
            <a:ext uri="{FF2B5EF4-FFF2-40B4-BE49-F238E27FC236}">
              <a16:creationId xmlns:a16="http://schemas.microsoft.com/office/drawing/2014/main" id="{00000000-0008-0000-0500-000012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1" name="Straight Connector 20">
          <a:extLst>
            <a:ext uri="{FF2B5EF4-FFF2-40B4-BE49-F238E27FC236}">
              <a16:creationId xmlns:a16="http://schemas.microsoft.com/office/drawing/2014/main" id="{00000000-0008-0000-0500-000015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editAs="oneCell">
    <xdr:from>
      <xdr:col>2</xdr:col>
      <xdr:colOff>771526</xdr:colOff>
      <xdr:row>0</xdr:row>
      <xdr:rowOff>28575</xdr:rowOff>
    </xdr:from>
    <xdr:to>
      <xdr:col>2</xdr:col>
      <xdr:colOff>2543176</xdr:colOff>
      <xdr:row>0</xdr:row>
      <xdr:rowOff>523875</xdr:rowOff>
    </xdr:to>
    <xdr:pic>
      <xdr:nvPicPr>
        <xdr:cNvPr id="22" name="Picture 21">
          <a:extLst>
            <a:ext uri="{FF2B5EF4-FFF2-40B4-BE49-F238E27FC236}">
              <a16:creationId xmlns:a16="http://schemas.microsoft.com/office/drawing/2014/main" id="{00000000-0008-0000-0500-000016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981201" y="28575"/>
          <a:ext cx="1771650" cy="495300"/>
        </a:xfrm>
        <a:prstGeom prst="rect">
          <a:avLst/>
        </a:prstGeom>
        <a:noFill/>
      </xdr:spPr>
    </xdr:pic>
    <xdr:clientData/>
  </xdr:twoCellAnchor>
  <xdr:twoCellAnchor>
    <xdr:from>
      <xdr:col>3</xdr:col>
      <xdr:colOff>609600</xdr:colOff>
      <xdr:row>1</xdr:row>
      <xdr:rowOff>1</xdr:rowOff>
    </xdr:from>
    <xdr:to>
      <xdr:col>5</xdr:col>
      <xdr:colOff>0</xdr:colOff>
      <xdr:row>1</xdr:row>
      <xdr:rowOff>1</xdr:rowOff>
    </xdr:to>
    <xdr:cxnSp macro="">
      <xdr:nvCxnSpPr>
        <xdr:cNvPr id="23" name="Straight Connector 22">
          <a:extLst>
            <a:ext uri="{FF2B5EF4-FFF2-40B4-BE49-F238E27FC236}">
              <a16:creationId xmlns:a16="http://schemas.microsoft.com/office/drawing/2014/main" id="{00000000-0008-0000-0500-000017000000}"/>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4" name="Straight Connector 23">
          <a:extLst>
            <a:ext uri="{FF2B5EF4-FFF2-40B4-BE49-F238E27FC236}">
              <a16:creationId xmlns:a16="http://schemas.microsoft.com/office/drawing/2014/main" id="{00000000-0008-0000-0500-000018000000}"/>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5" name="Straight Connector 24">
          <a:extLst>
            <a:ext uri="{FF2B5EF4-FFF2-40B4-BE49-F238E27FC236}">
              <a16:creationId xmlns:a16="http://schemas.microsoft.com/office/drawing/2014/main" id="{481C7A12-6E2C-4707-BF23-5D81B7E863C4}"/>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200025</xdr:colOff>
      <xdr:row>0</xdr:row>
      <xdr:rowOff>15875</xdr:rowOff>
    </xdr:from>
    <xdr:to>
      <xdr:col>5</xdr:col>
      <xdr:colOff>793751</xdr:colOff>
      <xdr:row>1</xdr:row>
      <xdr:rowOff>76201</xdr:rowOff>
    </xdr:to>
    <xdr:pic>
      <xdr:nvPicPr>
        <xdr:cNvPr id="6" name="Picture 37">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19875" y="15875"/>
          <a:ext cx="593726" cy="5937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790575</xdr:colOff>
      <xdr:row>0</xdr:row>
      <xdr:rowOff>28575</xdr:rowOff>
    </xdr:from>
    <xdr:to>
      <xdr:col>2</xdr:col>
      <xdr:colOff>2562225</xdr:colOff>
      <xdr:row>0</xdr:row>
      <xdr:rowOff>523875</xdr:rowOff>
    </xdr:to>
    <xdr:pic>
      <xdr:nvPicPr>
        <xdr:cNvPr id="5" name="Picture 4">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00250" y="28575"/>
          <a:ext cx="1771650" cy="495300"/>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oneCellAnchor>
    <xdr:from>
      <xdr:col>31</xdr:col>
      <xdr:colOff>459439</xdr:colOff>
      <xdr:row>26</xdr:row>
      <xdr:rowOff>112057</xdr:rowOff>
    </xdr:from>
    <xdr:ext cx="2357955" cy="405367"/>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550166" y="4314602"/>
          <a:ext cx="2357955" cy="40536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t> (maximum $250 for domestic students or $1000 for international students)</a:t>
          </a:r>
        </a:p>
      </xdr:txBody>
    </xdr:sp>
    <xdr:clientData/>
  </xdr:oneCellAnchor>
  <xdr:twoCellAnchor editAs="oneCell">
    <xdr:from>
      <xdr:col>0</xdr:col>
      <xdr:colOff>11205</xdr:colOff>
      <xdr:row>1</xdr:row>
      <xdr:rowOff>44824</xdr:rowOff>
    </xdr:from>
    <xdr:to>
      <xdr:col>2</xdr:col>
      <xdr:colOff>337296</xdr:colOff>
      <xdr:row>3</xdr:row>
      <xdr:rowOff>190501</xdr:rowOff>
    </xdr:to>
    <xdr:pic>
      <xdr:nvPicPr>
        <xdr:cNvPr id="4" name="Picture 3">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05" y="257736"/>
          <a:ext cx="1771650" cy="560294"/>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559593</xdr:colOff>
      <xdr:row>1</xdr:row>
      <xdr:rowOff>214313</xdr:rowOff>
    </xdr:to>
    <xdr:pic>
      <xdr:nvPicPr>
        <xdr:cNvPr id="6" name="Picture 5">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83531" cy="51196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352425</xdr:colOff>
      <xdr:row>0</xdr:row>
      <xdr:rowOff>76200</xdr:rowOff>
    </xdr:from>
    <xdr:to>
      <xdr:col>6</xdr:col>
      <xdr:colOff>292100</xdr:colOff>
      <xdr:row>4</xdr:row>
      <xdr:rowOff>116205</xdr:rowOff>
    </xdr:to>
    <xdr:pic>
      <xdr:nvPicPr>
        <xdr:cNvPr id="5" name="Picture 4">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950" y="76200"/>
          <a:ext cx="2597150" cy="87820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4" name="Picture 3">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57150"/>
          <a:ext cx="2597150" cy="878205"/>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2" name="Picture 1">
          <a:extLst>
            <a:ext uri="{FF2B5EF4-FFF2-40B4-BE49-F238E27FC236}">
              <a16:creationId xmlns:a16="http://schemas.microsoft.com/office/drawing/2014/main" id="{82EEB13D-AFF3-48C3-A5DD-5FD66462FBD4}"/>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2" name="Picture 1">
          <a:extLst>
            <a:ext uri="{FF2B5EF4-FFF2-40B4-BE49-F238E27FC236}">
              <a16:creationId xmlns:a16="http://schemas.microsoft.com/office/drawing/2014/main" id="{4BF79CCA-F9D3-408A-98AA-A99058712FF9}"/>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twoCellAnchor>
  <xdr:oneCellAnchor>
    <xdr:from>
      <xdr:col>16</xdr:col>
      <xdr:colOff>85725</xdr:colOff>
      <xdr:row>0</xdr:row>
      <xdr:rowOff>57150</xdr:rowOff>
    </xdr:from>
    <xdr:ext cx="2576195" cy="862965"/>
    <xdr:pic>
      <xdr:nvPicPr>
        <xdr:cNvPr id="3" name="Picture 2">
          <a:extLst>
            <a:ext uri="{FF2B5EF4-FFF2-40B4-BE49-F238E27FC236}">
              <a16:creationId xmlns:a16="http://schemas.microsoft.com/office/drawing/2014/main" id="{022EF71D-1770-4703-9550-A00669191E06}"/>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6</xdr:col>
      <xdr:colOff>581025</xdr:colOff>
      <xdr:row>0</xdr:row>
      <xdr:rowOff>0</xdr:rowOff>
    </xdr:from>
    <xdr:to>
      <xdr:col>11</xdr:col>
      <xdr:colOff>19050</xdr:colOff>
      <xdr:row>32</xdr:row>
      <xdr:rowOff>92075</xdr:rowOff>
    </xdr:to>
    <xdr:pic>
      <xdr:nvPicPr>
        <xdr:cNvPr id="146529" name="Picture 2">
          <a:extLst>
            <a:ext uri="{FF2B5EF4-FFF2-40B4-BE49-F238E27FC236}">
              <a16:creationId xmlns:a16="http://schemas.microsoft.com/office/drawing/2014/main" id="{00000000-0008-0000-0F00-0000613C02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657475" y="0"/>
          <a:ext cx="2743200" cy="6172200"/>
        </a:xfrm>
        <a:prstGeom prst="rect">
          <a:avLst/>
        </a:prstGeom>
        <a:noFill/>
        <a:ln w="76200">
          <a:solidFill>
            <a:srgbClr val="8EB4E3"/>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57150</xdr:colOff>
      <xdr:row>16</xdr:row>
      <xdr:rowOff>142875</xdr:rowOff>
    </xdr:from>
    <xdr:ext cx="2466976" cy="861390"/>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33350" y="3165475"/>
          <a:ext cx="2466976" cy="861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550" b="0">
              <a:solidFill>
                <a:schemeClr val="bg1"/>
              </a:solidFill>
              <a:latin typeface="Frutiger" panose="00000400000000000000" pitchFamily="2" charset="0"/>
            </a:rPr>
            <a:t>$500 Referral Reward!</a:t>
          </a:r>
        </a:p>
      </xdr:txBody>
    </xdr:sp>
    <xdr:clientData/>
  </xdr:oneCellAnchor>
  <xdr:oneCellAnchor>
    <xdr:from>
      <xdr:col>1</xdr:col>
      <xdr:colOff>57150</xdr:colOff>
      <xdr:row>1</xdr:row>
      <xdr:rowOff>47625</xdr:rowOff>
    </xdr:from>
    <xdr:ext cx="2466976" cy="2095500"/>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33350" y="247650"/>
          <a:ext cx="2466976" cy="2095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US" sz="4400" b="1">
              <a:solidFill>
                <a:schemeClr val="bg1"/>
              </a:solidFill>
              <a:latin typeface="Frutiger LT 45 Light" panose="020B0500000000000000" pitchFamily="34" charset="0"/>
            </a:rPr>
            <a:t>Our Referral Program</a:t>
          </a: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2</xdr:col>
      <xdr:colOff>200025</xdr:colOff>
      <xdr:row>0</xdr:row>
      <xdr:rowOff>95250</xdr:rowOff>
    </xdr:from>
    <xdr:to>
      <xdr:col>6</xdr:col>
      <xdr:colOff>139700</xdr:colOff>
      <xdr:row>4</xdr:row>
      <xdr:rowOff>135255</xdr:rowOff>
    </xdr:to>
    <xdr:pic>
      <xdr:nvPicPr>
        <xdr:cNvPr id="6" name="Picture 5">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95250"/>
          <a:ext cx="2597150" cy="878205"/>
        </a:xfrm>
        <a:prstGeom prst="rect">
          <a:avLst/>
        </a:prstGeom>
        <a:noFill/>
      </xdr:spPr>
    </xdr:pic>
    <xdr:clientData/>
  </xdr:twoCellAnchor>
  <xdr:twoCellAnchor editAs="oneCell">
    <xdr:from>
      <xdr:col>14</xdr:col>
      <xdr:colOff>228600</xdr:colOff>
      <xdr:row>0</xdr:row>
      <xdr:rowOff>123825</xdr:rowOff>
    </xdr:from>
    <xdr:to>
      <xdr:col>17</xdr:col>
      <xdr:colOff>539750</xdr:colOff>
      <xdr:row>4</xdr:row>
      <xdr:rowOff>163830</xdr:rowOff>
    </xdr:to>
    <xdr:pic>
      <xdr:nvPicPr>
        <xdr:cNvPr id="7" name="Picture 6">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123825"/>
          <a:ext cx="2597150" cy="878205"/>
        </a:xfrm>
        <a:prstGeom prst="rect">
          <a:avLst/>
        </a:prstGeom>
        <a:no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453444</xdr:colOff>
      <xdr:row>17</xdr:row>
      <xdr:rowOff>114300</xdr:rowOff>
    </xdr:from>
    <xdr:to>
      <xdr:col>8</xdr:col>
      <xdr:colOff>428140</xdr:colOff>
      <xdr:row>35</xdr:row>
      <xdr:rowOff>152400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a:off x="3123378" y="3826116"/>
          <a:ext cx="2999509" cy="1169650"/>
        </a:xfrm>
        <a:prstGeom prst="rect">
          <a:avLst/>
        </a:prstGeom>
      </xdr:spPr>
    </xdr:pic>
    <xdr:clientData/>
  </xdr:twoCellAnchor>
  <xdr:twoCellAnchor editAs="oneCell">
    <xdr:from>
      <xdr:col>7</xdr:col>
      <xdr:colOff>301266</xdr:colOff>
      <xdr:row>38</xdr:row>
      <xdr:rowOff>56795</xdr:rowOff>
    </xdr:from>
    <xdr:to>
      <xdr:col>8</xdr:col>
      <xdr:colOff>439440</xdr:colOff>
      <xdr:row>42</xdr:row>
      <xdr:rowOff>134355</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4694843">
          <a:off x="4239710" y="6434215"/>
          <a:ext cx="747196" cy="70390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44823</xdr:colOff>
      <xdr:row>1</xdr:row>
      <xdr:rowOff>78441</xdr:rowOff>
    </xdr:from>
    <xdr:to>
      <xdr:col>1</xdr:col>
      <xdr:colOff>797450</xdr:colOff>
      <xdr:row>3</xdr:row>
      <xdr:rowOff>168088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23" y="291353"/>
          <a:ext cx="1469803" cy="49305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552450</xdr:colOff>
      <xdr:row>58</xdr:row>
      <xdr:rowOff>66675</xdr:rowOff>
    </xdr:from>
    <xdr:to>
      <xdr:col>3</xdr:col>
      <xdr:colOff>85725</xdr:colOff>
      <xdr:row>63</xdr:row>
      <xdr:rowOff>57150</xdr:rowOff>
    </xdr:to>
    <xdr:sp macro="" textlink="">
      <xdr:nvSpPr>
        <xdr:cNvPr id="38927" name="WordArt 15">
          <a:extLst>
            <a:ext uri="{FF2B5EF4-FFF2-40B4-BE49-F238E27FC236}">
              <a16:creationId xmlns:a16="http://schemas.microsoft.com/office/drawing/2014/main" id="{00000000-0008-0000-1400-00000F980000}"/>
            </a:ext>
          </a:extLst>
        </xdr:cNvPr>
        <xdr:cNvSpPr>
          <a:spLocks noChangeArrowheads="1" noChangeShapeType="1" noTextEdit="1"/>
        </xdr:cNvSpPr>
      </xdr:nvSpPr>
      <xdr:spPr bwMode="auto">
        <a:xfrm>
          <a:off x="552450" y="7991475"/>
          <a:ext cx="1933575" cy="704850"/>
        </a:xfrm>
        <a:prstGeom prst="rect">
          <a:avLst/>
        </a:prstGeom>
      </xdr:spPr>
      <xdr:txBody>
        <a:bodyPr wrap="none" fromWordArt="1">
          <a:prstTxWarp prst="textSlantUp">
            <a:avLst>
              <a:gd name="adj" fmla="val 55556"/>
            </a:avLst>
          </a:prstTxWarp>
        </a:bodyPr>
        <a:lstStyle/>
        <a:p>
          <a:pPr algn="ctr" rtl="0"/>
          <a:r>
            <a:rPr lang="en-US" sz="3600" b="1" kern="10" spc="0">
              <a:ln w="9525" algn="ctr">
                <a:solidFill>
                  <a:srgbClr val="F2F2F2"/>
                </a:solidFill>
                <a:round/>
                <a:headEnd/>
                <a:tailEnd/>
              </a:ln>
              <a:solidFill>
                <a:srgbClr val="D8D8D8"/>
              </a:solidFill>
              <a:effectLst/>
              <a:latin typeface="Franklin Gothic Book" panose="020B0503020102020204" pitchFamily="34" charset="0"/>
            </a:rPr>
            <a:t>Place ID here</a:t>
          </a:r>
        </a:p>
      </xdr:txBody>
    </xdr:sp>
    <xdr:clientData/>
  </xdr:twoCellAnchor>
  <xdr:twoCellAnchor editAs="oneCell">
    <xdr:from>
      <xdr:col>2</xdr:col>
      <xdr:colOff>800099</xdr:colOff>
      <xdr:row>0</xdr:row>
      <xdr:rowOff>22225</xdr:rowOff>
    </xdr:from>
    <xdr:to>
      <xdr:col>6</xdr:col>
      <xdr:colOff>488441</xdr:colOff>
      <xdr:row>3</xdr:row>
      <xdr:rowOff>5127</xdr:rowOff>
    </xdr:to>
    <xdr:pic>
      <xdr:nvPicPr>
        <xdr:cNvPr id="7" name="Picture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00299" y="22225"/>
          <a:ext cx="1993392" cy="6687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499109</xdr:colOff>
      <xdr:row>4</xdr:row>
      <xdr:rowOff>41346</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9524</xdr:colOff>
      <xdr:row>0</xdr:row>
      <xdr:rowOff>66675</xdr:rowOff>
    </xdr:from>
    <xdr:to>
      <xdr:col>5</xdr:col>
      <xdr:colOff>499109</xdr:colOff>
      <xdr:row>4</xdr:row>
      <xdr:rowOff>41346</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66675"/>
          <a:ext cx="2423160" cy="8128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467359</xdr:colOff>
      <xdr:row>4</xdr:row>
      <xdr:rowOff>41346</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16810" cy="7874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16810" cy="7874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1</xdr:col>
      <xdr:colOff>1371600</xdr:colOff>
      <xdr:row>1</xdr:row>
      <xdr:rowOff>167640</xdr:rowOff>
    </xdr:to>
    <xdr:pic>
      <xdr:nvPicPr>
        <xdr:cNvPr id="5" name="Picture 4" descr="https://studentaidbc.ca/sites/studentaidbc.ca/themes/nutmeg/assets/img/logo-dt.png">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98882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iploma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date Log"/>
      <sheetName val="Navigation"/>
      <sheetName val="A+N+MCPCrt"/>
      <sheetName val="AccAdminDip"/>
      <sheetName val="AccBkCrt"/>
      <sheetName val="AccBusTechDip"/>
      <sheetName val="AccClrkCrt"/>
      <sheetName val="AccPayAdmDip"/>
      <sheetName val="AdminAsstDip"/>
      <sheetName val="AddWrkCrt"/>
      <sheetName val="BusAdminDip"/>
      <sheetName val="BusAdminCoop"/>
      <sheetName val="BusManCrt"/>
      <sheetName val="BusOffSkillsDip"/>
      <sheetName val="BusRecCrt"/>
      <sheetName val="BusSrvEssCoop"/>
      <sheetName val="CalCtrCstRepDip"/>
      <sheetName val="ComSrvWrkDip"/>
      <sheetName val="CsAwWrkDip"/>
      <sheetName val="CmpSrvTechCrt"/>
      <sheetName val="CmpSrvTechDip"/>
      <sheetName val="CmpSftSupDip"/>
      <sheetName val="CmpOffProCrt"/>
      <sheetName val="ConEvtPlnDip"/>
      <sheetName val="CusSrvRepCrt"/>
      <sheetName val="EntBusAppDip"/>
      <sheetName val="ExecAssDip"/>
      <sheetName val="GrphDesDip"/>
      <sheetName val="HRAdmCrt"/>
      <sheetName val="MrkAdmAssCrt"/>
      <sheetName val="MrkCordDip"/>
      <sheetName val="MCSASrvCrt"/>
      <sheetName val="MCSAWinCrt"/>
      <sheetName val="MedAdmAssCrt"/>
      <sheetName val="MOADip"/>
      <sheetName val="MOADipHUC"/>
      <sheetName val="MOFDACrt"/>
      <sheetName val="NetAdminDip"/>
      <sheetName val="OffAdmAssCrt"/>
      <sheetName val="OffAdminDip"/>
      <sheetName val="OffClkCrt"/>
      <sheetName val="PayAdmCrt"/>
      <sheetName val="PayClkCrt"/>
      <sheetName val="PCSupSpecDip"/>
      <sheetName val="PrjAdminDip"/>
      <sheetName val="PSACrt"/>
      <sheetName val="SalesAscCrt"/>
      <sheetName val="SalesProfDip"/>
      <sheetName val="SoftWebDevDip"/>
      <sheetName val="WebDesDip"/>
      <sheetName val="WebDevDip"/>
      <sheetName val="IndividualProgram"/>
      <sheetName val="ESLCourses"/>
      <sheetName val="Summary"/>
      <sheetName val="CSL Inst Appx"/>
      <sheetName val="PTIB Prog Info"/>
      <sheetName val="Reference"/>
    </sheetNames>
    <sheetDataSet>
      <sheetData sheetId="0"/>
      <sheetData sheetId="1"/>
      <sheetData sheetId="2">
        <row r="3">
          <cell r="D3" t="str">
            <v>UHG8</v>
          </cell>
        </row>
        <row r="4">
          <cell r="D4" t="str">
            <v>A+ NETWORK+ AND MCSA DESKTOP CERT. PREP</v>
          </cell>
        </row>
      </sheetData>
      <sheetData sheetId="3">
        <row r="3">
          <cell r="D3" t="str">
            <v>ZAJ7</v>
          </cell>
        </row>
        <row r="4">
          <cell r="D4" t="str">
            <v>ACCOUNTING ADMINISTRATOR DIPLOMA with SAGE</v>
          </cell>
        </row>
      </sheetData>
      <sheetData sheetId="4">
        <row r="3">
          <cell r="D3" t="str">
            <v>ZLJ8</v>
          </cell>
        </row>
        <row r="4">
          <cell r="D4" t="str">
            <v>ACCOUNTING BOOKKEEPER CERTIFICATE</v>
          </cell>
        </row>
      </sheetData>
      <sheetData sheetId="5">
        <row r="3">
          <cell r="D3" t="str">
            <v>ZIZ7</v>
          </cell>
        </row>
        <row r="4">
          <cell r="D4" t="str">
            <v>ACCOUNTING AND BUSINESS TECHNOLOGY DIPLOMA</v>
          </cell>
        </row>
      </sheetData>
      <sheetData sheetId="6">
        <row r="3">
          <cell r="D3" t="str">
            <v>ZLK8</v>
          </cell>
        </row>
        <row r="4">
          <cell r="D4" t="str">
            <v>ACCOUNTING CLERK CERTIFICATE</v>
          </cell>
        </row>
      </sheetData>
      <sheetData sheetId="7">
        <row r="3">
          <cell r="D3" t="str">
            <v>ZNV7</v>
          </cell>
        </row>
        <row r="4">
          <cell r="D4" t="str">
            <v>ACCOUNTING AND PAYROLL ADMINISTRATOR DIPLOMA</v>
          </cell>
        </row>
      </sheetData>
      <sheetData sheetId="8">
        <row r="3">
          <cell r="D3" t="str">
            <v>ZKT7</v>
          </cell>
        </row>
        <row r="4">
          <cell r="D4" t="str">
            <v>ADMINISTRATIVE ASSISTANT DIPLOMA</v>
          </cell>
        </row>
      </sheetData>
      <sheetData sheetId="9">
        <row r="3">
          <cell r="D3" t="str">
            <v>WAA8</v>
          </cell>
        </row>
        <row r="4">
          <cell r="D4" t="str">
            <v>ADDICTIONS WORKER CERTIFICATE</v>
          </cell>
        </row>
      </sheetData>
      <sheetData sheetId="10">
        <row r="3">
          <cell r="D3" t="str">
            <v>ZAS7</v>
          </cell>
        </row>
        <row r="4">
          <cell r="D4" t="str">
            <v>BUSINESS ADMINISTRATION DIPLOMA</v>
          </cell>
        </row>
      </sheetData>
      <sheetData sheetId="11">
        <row r="3">
          <cell r="D3" t="str">
            <v>ZAS7</v>
          </cell>
        </row>
        <row r="4">
          <cell r="D4" t="str">
            <v>BUSINESS ADMINISTRATION CO-OP DIPLOMA</v>
          </cell>
        </row>
      </sheetData>
      <sheetData sheetId="12">
        <row r="3">
          <cell r="D3" t="str">
            <v>ZBD8</v>
          </cell>
        </row>
        <row r="4">
          <cell r="D4" t="str">
            <v>BUSINESS MANAGEMENT CERTIFICATE</v>
          </cell>
        </row>
      </sheetData>
      <sheetData sheetId="13">
        <row r="3">
          <cell r="D3" t="str">
            <v>ZKJ7</v>
          </cell>
        </row>
        <row r="4">
          <cell r="D4" t="str">
            <v>BUSINESS OFFICE SKILLS DIPLOMA</v>
          </cell>
        </row>
      </sheetData>
      <sheetData sheetId="14">
        <row r="3">
          <cell r="D3" t="str">
            <v>ZKZ8</v>
          </cell>
        </row>
        <row r="4">
          <cell r="D4" t="str">
            <v>BUSINESS RECEPTIONIST CERTIFICATE</v>
          </cell>
        </row>
      </sheetData>
      <sheetData sheetId="15">
        <row r="3">
          <cell r="D3" t="str">
            <v>ZNP7</v>
          </cell>
        </row>
        <row r="4">
          <cell r="D4" t="str">
            <v>BUSINESS SERVICE ESSENTIALS CO-OP DIPLOMA</v>
          </cell>
        </row>
      </sheetData>
      <sheetData sheetId="16">
        <row r="3">
          <cell r="D3" t="str">
            <v>ZMQ7</v>
          </cell>
        </row>
        <row r="4">
          <cell r="D4" t="str">
            <v>CALL CENTRE CUSTOMER REPRESENTATIVE DIPLOMA</v>
          </cell>
        </row>
      </sheetData>
      <sheetData sheetId="17">
        <row r="3">
          <cell r="D3" t="str">
            <v>WAC7</v>
          </cell>
        </row>
        <row r="4">
          <cell r="D4" t="str">
            <v>COMMUNITY SERVICE WORKER DIPLOMA</v>
          </cell>
        </row>
      </sheetData>
      <sheetData sheetId="18">
        <row r="3">
          <cell r="D3" t="str">
            <v>WAD7</v>
          </cell>
        </row>
        <row r="4">
          <cell r="D4" t="str">
            <v>COMMUNITY SERVICE WORKER &amp; ADDICTION WORKER DIPLOMA</v>
          </cell>
        </row>
      </sheetData>
      <sheetData sheetId="19">
        <row r="3">
          <cell r="D3" t="str">
            <v>UHD8</v>
          </cell>
        </row>
        <row r="4">
          <cell r="D4" t="str">
            <v>COMPUTER SERVICE TECHNICIAN CERTIFICATE</v>
          </cell>
        </row>
      </sheetData>
      <sheetData sheetId="20">
        <row r="3">
          <cell r="D3" t="str">
            <v>UHD7</v>
          </cell>
        </row>
        <row r="4">
          <cell r="D4" t="str">
            <v>COMPUTER SERVICE TECHNICIAN DIPLOMA</v>
          </cell>
        </row>
      </sheetData>
      <sheetData sheetId="21"/>
      <sheetData sheetId="22">
        <row r="3">
          <cell r="D3" t="str">
            <v>ZDZ8</v>
          </cell>
        </row>
        <row r="4">
          <cell r="D4" t="str">
            <v>COMPUTERIZED OFFICE PROCEDURES CERTIFICATE</v>
          </cell>
        </row>
      </sheetData>
      <sheetData sheetId="23">
        <row r="3">
          <cell r="D3" t="str">
            <v>ZMN7</v>
          </cell>
        </row>
        <row r="4">
          <cell r="D4" t="str">
            <v>CONFERENCE AND EVENT PLANNER DIPLOMA</v>
          </cell>
        </row>
      </sheetData>
      <sheetData sheetId="24">
        <row r="3">
          <cell r="D3" t="str">
            <v>ZMQ8</v>
          </cell>
        </row>
        <row r="4">
          <cell r="D4" t="str">
            <v>CUSTOMER SERVICE REPRESENTATIVE CERTIFICATE</v>
          </cell>
        </row>
      </sheetData>
      <sheetData sheetId="25">
        <row r="3">
          <cell r="D3" t="str">
            <v>ZMX7</v>
          </cell>
        </row>
        <row r="4">
          <cell r="D4" t="str">
            <v>ENTREPRENEURIAL BUSINESS APPLICATIONS DIPLOMA</v>
          </cell>
        </row>
      </sheetData>
      <sheetData sheetId="26">
        <row r="3">
          <cell r="D3" t="str">
            <v>ZLG7</v>
          </cell>
        </row>
        <row r="4">
          <cell r="D4" t="str">
            <v>EXECUTIVE ASSISTANT DIPLOMA</v>
          </cell>
        </row>
      </sheetData>
      <sheetData sheetId="27">
        <row r="3">
          <cell r="D3" t="str">
            <v>XBG7</v>
          </cell>
        </row>
        <row r="4">
          <cell r="D4" t="str">
            <v>GRAPHIC DESIGNER DIPLOMA</v>
          </cell>
        </row>
      </sheetData>
      <sheetData sheetId="28">
        <row r="3">
          <cell r="D3" t="str">
            <v>ZPE8</v>
          </cell>
        </row>
        <row r="4">
          <cell r="D4" t="str">
            <v>HUMAN RESOURCES ADMINISTRATION CERTIFICATE</v>
          </cell>
        </row>
      </sheetData>
      <sheetData sheetId="29">
        <row r="3">
          <cell r="D3" t="str">
            <v>ZCZ8</v>
          </cell>
        </row>
        <row r="4">
          <cell r="D4" t="str">
            <v>MARKETING ADMINISTRATIVE ASSISTANT CERTIFICATE</v>
          </cell>
        </row>
      </sheetData>
      <sheetData sheetId="30">
        <row r="3">
          <cell r="D3" t="str">
            <v>ZDE7</v>
          </cell>
        </row>
        <row r="4">
          <cell r="D4" t="str">
            <v>MARKETING COORDINATOR DIPLOMA</v>
          </cell>
        </row>
      </sheetData>
      <sheetData sheetId="31">
        <row r="3">
          <cell r="D3" t="str">
            <v>UJA8</v>
          </cell>
        </row>
        <row r="4">
          <cell r="D4" t="str">
            <v>MCSA: WINDOWS SERVER CERTIFICATION PREPARATION</v>
          </cell>
        </row>
      </sheetData>
      <sheetData sheetId="32">
        <row r="4">
          <cell r="D4" t="str">
            <v>MCSA: WINDOWS CERTIFICATION PREPARATION</v>
          </cell>
        </row>
      </sheetData>
      <sheetData sheetId="33">
        <row r="3">
          <cell r="D3" t="str">
            <v>TES8</v>
          </cell>
        </row>
        <row r="4">
          <cell r="D4" t="str">
            <v>MEDICAL ADMINISTRATIVE ASSISTANT CERTIFICATE</v>
          </cell>
        </row>
      </sheetData>
      <sheetData sheetId="34">
        <row r="3">
          <cell r="D3" t="str">
            <v>TFZ7</v>
          </cell>
        </row>
        <row r="4">
          <cell r="D4" t="str">
            <v>MEDICAL OFFICE ASSISTANT DIPLOMA</v>
          </cell>
        </row>
      </sheetData>
      <sheetData sheetId="35">
        <row r="3">
          <cell r="D3" t="str">
            <v>TGE7</v>
          </cell>
        </row>
        <row r="4">
          <cell r="D4" t="str">
            <v>MEDICAL OFFICE ASSISTANT DIPLOMA W/ UNIT CLERK</v>
          </cell>
        </row>
      </sheetData>
      <sheetData sheetId="36">
        <row r="3">
          <cell r="D3" t="str">
            <v>TER8</v>
          </cell>
        </row>
        <row r="4">
          <cell r="D4" t="str">
            <v>MEDICAL OFFICE FRONT DESK ASSISTANT CERTIFICATE</v>
          </cell>
        </row>
      </sheetData>
      <sheetData sheetId="37">
        <row r="3">
          <cell r="D3" t="str">
            <v>UGS7</v>
          </cell>
        </row>
        <row r="4">
          <cell r="D4" t="str">
            <v>NETWORK ADMINISTRATOR DIPLOMA (SERVER 2016)</v>
          </cell>
        </row>
      </sheetData>
      <sheetData sheetId="38">
        <row r="3">
          <cell r="D3" t="str">
            <v>ZEL8</v>
          </cell>
        </row>
        <row r="4">
          <cell r="D4" t="str">
            <v>OFFICE ADMINISTRATION ASSISTANT CERTIFICATE</v>
          </cell>
        </row>
      </sheetData>
      <sheetData sheetId="39">
        <row r="3">
          <cell r="D3" t="str">
            <v>ZEY7</v>
          </cell>
        </row>
        <row r="4">
          <cell r="D4" t="str">
            <v>OFFICE ADMINISTRATION DIPLOMA</v>
          </cell>
        </row>
      </sheetData>
      <sheetData sheetId="40">
        <row r="3">
          <cell r="D3" t="str">
            <v>ZFA8</v>
          </cell>
        </row>
        <row r="4">
          <cell r="D4" t="str">
            <v>OFFICE CLERK CERTIFICATE</v>
          </cell>
        </row>
      </sheetData>
      <sheetData sheetId="41">
        <row r="3">
          <cell r="D3" t="str">
            <v>ZNW8</v>
          </cell>
        </row>
        <row r="4">
          <cell r="D4" t="str">
            <v>PAYROLL ADMINISTRATOR CERTIFICATE</v>
          </cell>
        </row>
      </sheetData>
      <sheetData sheetId="42">
        <row r="3">
          <cell r="D3" t="str">
            <v>ZPF8</v>
          </cell>
        </row>
        <row r="4">
          <cell r="D4" t="str">
            <v>PAYROLL CLERK CERTIFICATE</v>
          </cell>
        </row>
      </sheetData>
      <sheetData sheetId="43">
        <row r="3">
          <cell r="D3" t="str">
            <v>UES7</v>
          </cell>
        </row>
        <row r="4">
          <cell r="D4" t="str">
            <v>PC SUPPORT SPECIALIST DIPLOMA</v>
          </cell>
        </row>
      </sheetData>
      <sheetData sheetId="44">
        <row r="3">
          <cell r="D3" t="str">
            <v>ZOM7</v>
          </cell>
        </row>
        <row r="4">
          <cell r="D4" t="str">
            <v>PROJECT ADMINISTRATION DIPLOMA</v>
          </cell>
        </row>
      </sheetData>
      <sheetData sheetId="45">
        <row r="3">
          <cell r="D3" t="str">
            <v>GOVT.</v>
          </cell>
        </row>
        <row r="4">
          <cell r="D4" t="str">
            <v>PSA - COMPUTERIZED OFFICE SKILLS CERTIFICATE</v>
          </cell>
        </row>
      </sheetData>
      <sheetData sheetId="46">
        <row r="3">
          <cell r="D3" t="str">
            <v>ZPG8</v>
          </cell>
        </row>
        <row r="4">
          <cell r="D4" t="str">
            <v>SALES ASSOCIATE CERTIFICATE</v>
          </cell>
        </row>
      </sheetData>
      <sheetData sheetId="47">
        <row r="3">
          <cell r="D3" t="str">
            <v>ZKE7</v>
          </cell>
        </row>
        <row r="4">
          <cell r="D4" t="str">
            <v>SALES PROFESSIONAL DIPLOMA</v>
          </cell>
        </row>
      </sheetData>
      <sheetData sheetId="48">
        <row r="3">
          <cell r="D3" t="str">
            <v>UAN7</v>
          </cell>
        </row>
        <row r="4">
          <cell r="D4" t="str">
            <v>SOFTWARE AND WEB DEVELOPER DIPLOMA</v>
          </cell>
        </row>
      </sheetData>
      <sheetData sheetId="49">
        <row r="3">
          <cell r="D3" t="str">
            <v>UIE7</v>
          </cell>
        </row>
        <row r="4">
          <cell r="D4" t="str">
            <v>WEB DESIGNER DIPLOMA</v>
          </cell>
        </row>
      </sheetData>
      <sheetData sheetId="50">
        <row r="3">
          <cell r="D3" t="str">
            <v>UHK7</v>
          </cell>
        </row>
        <row r="4">
          <cell r="D4" t="str">
            <v>WEB DEVELOPER DIPLOMA</v>
          </cell>
        </row>
      </sheetData>
      <sheetData sheetId="51">
        <row r="3">
          <cell r="D3" t="str">
            <v>Non-CSL</v>
          </cell>
        </row>
        <row r="4">
          <cell r="D4" t="str">
            <v>INDIVIDUAL COURSES</v>
          </cell>
        </row>
      </sheetData>
      <sheetData sheetId="52">
        <row r="3">
          <cell r="D3" t="str">
            <v>Non-CSL</v>
          </cell>
        </row>
        <row r="4">
          <cell r="D4" t="str">
            <v>ENGLISH AS SECOND LANGUAGE</v>
          </cell>
        </row>
      </sheetData>
      <sheetData sheetId="53"/>
      <sheetData sheetId="54"/>
      <sheetData sheetId="55"/>
      <sheetData sheetId="5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ecure.academyol.com/Links/Download.aspx?FileID=3460" TargetMode="External"/><Relationship Id="rId13" Type="http://schemas.openxmlformats.org/officeDocument/2006/relationships/hyperlink" Target="http://secure.academyol.com/Links/Download.aspx?FileID=6082" TargetMode="External"/><Relationship Id="rId3" Type="http://schemas.openxmlformats.org/officeDocument/2006/relationships/hyperlink" Target="http://secure.academyol.com/Links/Download.aspx?FileID=3974" TargetMode="External"/><Relationship Id="rId7" Type="http://schemas.openxmlformats.org/officeDocument/2006/relationships/hyperlink" Target="http://secure.academyol.com/Links/Download.aspx?FileID=1149" TargetMode="External"/><Relationship Id="rId12" Type="http://schemas.openxmlformats.org/officeDocument/2006/relationships/hyperlink" Target="http://secure.academyol.com/Links/Download.aspx?FileID=3680" TargetMode="External"/><Relationship Id="rId2" Type="http://schemas.openxmlformats.org/officeDocument/2006/relationships/hyperlink" Target="http://secure.academyol.com/Links/Download.aspx?FileID=3962" TargetMode="External"/><Relationship Id="rId1" Type="http://schemas.openxmlformats.org/officeDocument/2006/relationships/hyperlink" Target="http://secure.academyol.com/Links/Download.aspx?FileID=3830" TargetMode="External"/><Relationship Id="rId6" Type="http://schemas.openxmlformats.org/officeDocument/2006/relationships/hyperlink" Target="http://secure.academyol.com/Links/Download.aspx?FileID=4283" TargetMode="External"/><Relationship Id="rId11" Type="http://schemas.openxmlformats.org/officeDocument/2006/relationships/hyperlink" Target="http://secure.academyol.com/Links/Download.aspx?FileID=3110" TargetMode="External"/><Relationship Id="rId5" Type="http://schemas.openxmlformats.org/officeDocument/2006/relationships/hyperlink" Target="http://secure.academyol.com/Links/Download.aspx?FileID=3680" TargetMode="External"/><Relationship Id="rId15" Type="http://schemas.openxmlformats.org/officeDocument/2006/relationships/printerSettings" Target="../printerSettings/printerSettings3.bin"/><Relationship Id="rId10" Type="http://schemas.openxmlformats.org/officeDocument/2006/relationships/hyperlink" Target="http://secure.academyol.com/Links/Download.aspx?FileID=4285" TargetMode="External"/><Relationship Id="rId4" Type="http://schemas.openxmlformats.org/officeDocument/2006/relationships/hyperlink" Target="http://secure.academyol.com/Links/Download.aspx?FileID=3676" TargetMode="External"/><Relationship Id="rId9" Type="http://schemas.openxmlformats.org/officeDocument/2006/relationships/hyperlink" Target="http://secure.academyol.com/Links/Download.aspx?FileID=3489" TargetMode="External"/><Relationship Id="rId14" Type="http://schemas.openxmlformats.org/officeDocument/2006/relationships/hyperlink" Target="http://secure.academyol.com/Links/Download.aspx?FileID=3223"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PTI@gov.bc.ca" TargetMode="External"/><Relationship Id="rId1" Type="http://schemas.openxmlformats.org/officeDocument/2006/relationships/hyperlink" Target="http://www.privatetraininginstitutions.gov.bc.ca/" TargetMode="External"/><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31"/>
  <sheetViews>
    <sheetView workbookViewId="0">
      <selection activeCell="C2" sqref="C2"/>
    </sheetView>
  </sheetViews>
  <sheetFormatPr defaultColWidth="8.77734375" defaultRowHeight="13.8"/>
  <cols>
    <col min="1" max="1" width="12.6640625" style="940" bestFit="1" customWidth="1"/>
    <col min="2" max="2" width="8.77734375" style="940"/>
    <col min="3" max="3" width="180.109375" style="940" customWidth="1"/>
    <col min="4" max="4" width="195.6640625" style="940" customWidth="1"/>
    <col min="5" max="16384" width="8.77734375" style="940"/>
  </cols>
  <sheetData>
    <row r="1" spans="1:4">
      <c r="A1" s="942" t="s">
        <v>1663</v>
      </c>
      <c r="B1" s="942" t="s">
        <v>1662</v>
      </c>
      <c r="C1" s="942" t="s">
        <v>1665</v>
      </c>
      <c r="D1" s="942" t="s">
        <v>1667</v>
      </c>
    </row>
    <row r="2" spans="1:4" s="1010" customFormat="1" ht="345">
      <c r="A2" s="941">
        <v>44440</v>
      </c>
      <c r="B2" s="833" t="s">
        <v>1862</v>
      </c>
      <c r="C2" s="334" t="s">
        <v>1863</v>
      </c>
    </row>
    <row r="3" spans="1:4" ht="277.2" customHeight="1">
      <c r="A3" s="941">
        <v>44279</v>
      </c>
      <c r="B3" s="833" t="s">
        <v>1802</v>
      </c>
      <c r="C3" s="991" t="s">
        <v>1803</v>
      </c>
    </row>
    <row r="4" spans="1:4" ht="179.4">
      <c r="B4" s="833" t="s">
        <v>1802</v>
      </c>
      <c r="C4" s="960" t="s">
        <v>1804</v>
      </c>
    </row>
    <row r="5" spans="1:4" ht="386.4">
      <c r="A5" s="941">
        <v>44004</v>
      </c>
      <c r="B5" s="833" t="s">
        <v>1682</v>
      </c>
      <c r="C5" s="689" t="s">
        <v>1735</v>
      </c>
      <c r="D5" s="957"/>
    </row>
    <row r="6" spans="1:4" ht="409.6">
      <c r="B6" s="833" t="s">
        <v>1682</v>
      </c>
      <c r="C6" s="960" t="s">
        <v>1736</v>
      </c>
    </row>
    <row r="7" spans="1:4" ht="124.2">
      <c r="B7" s="833" t="s">
        <v>1682</v>
      </c>
      <c r="C7" s="957" t="s">
        <v>1750</v>
      </c>
    </row>
    <row r="8" spans="1:4" ht="386.4">
      <c r="A8" s="941">
        <v>43658</v>
      </c>
      <c r="B8" s="833" t="s">
        <v>1664</v>
      </c>
      <c r="C8" s="334" t="s">
        <v>1670</v>
      </c>
      <c r="D8" s="334" t="s">
        <v>1666</v>
      </c>
    </row>
    <row r="31" spans="1:1">
      <c r="A31" s="990"/>
    </row>
  </sheetData>
  <phoneticPr fontId="117"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1"/>
  </sheetPr>
  <dimension ref="A1:P19"/>
  <sheetViews>
    <sheetView zoomScaleNormal="100" workbookViewId="0">
      <selection activeCell="B3" sqref="B3"/>
    </sheetView>
  </sheetViews>
  <sheetFormatPr defaultColWidth="9.33203125" defaultRowHeight="13.8"/>
  <cols>
    <col min="1" max="1" width="17.77734375" style="226" bestFit="1" customWidth="1"/>
    <col min="2" max="2" width="80.33203125" style="226" customWidth="1"/>
    <col min="3" max="3" width="36.44140625" style="226" bestFit="1" customWidth="1"/>
    <col min="4" max="4" width="27.77734375" style="226" customWidth="1"/>
    <col min="5" max="5" width="6.44140625" style="226" bestFit="1" customWidth="1"/>
    <col min="6" max="6" width="9.33203125" style="226"/>
    <col min="7" max="8" width="8.6640625" style="226" bestFit="1" customWidth="1"/>
    <col min="9" max="9" width="16" style="226" bestFit="1" customWidth="1"/>
    <col min="10" max="10" width="26.33203125" style="226" bestFit="1" customWidth="1"/>
    <col min="11" max="11" width="12.6640625" style="226" bestFit="1" customWidth="1"/>
    <col min="12" max="12" width="10.33203125" style="226" bestFit="1" customWidth="1"/>
    <col min="13" max="13" width="7.77734375" style="226" bestFit="1" customWidth="1"/>
    <col min="14" max="14" width="20.6640625" style="226" bestFit="1" customWidth="1"/>
    <col min="15" max="15" width="19" style="226" bestFit="1" customWidth="1"/>
    <col min="16" max="16" width="11.6640625" style="226" bestFit="1" customWidth="1"/>
    <col min="17" max="16384" width="9.33203125" style="226"/>
  </cols>
  <sheetData>
    <row r="1" spans="1:16" ht="18">
      <c r="A1" s="1017" t="s">
        <v>264</v>
      </c>
      <c r="B1" s="1018"/>
      <c r="C1" s="754" t="s">
        <v>263</v>
      </c>
      <c r="D1" s="1022" t="s">
        <v>262</v>
      </c>
      <c r="E1" s="1023"/>
      <c r="F1" s="755"/>
      <c r="G1" s="755"/>
      <c r="H1" s="755"/>
      <c r="I1" s="755"/>
      <c r="J1" s="755"/>
      <c r="K1" s="755"/>
      <c r="L1" s="755"/>
      <c r="M1" s="755"/>
      <c r="N1" s="755"/>
      <c r="O1" s="755"/>
      <c r="P1" s="756"/>
    </row>
    <row r="2" spans="1:16">
      <c r="A2" s="757"/>
      <c r="B2" s="758"/>
      <c r="C2" s="759" t="s">
        <v>261</v>
      </c>
      <c r="D2" s="760" t="s">
        <v>260</v>
      </c>
      <c r="E2" s="761"/>
      <c r="F2" s="758"/>
      <c r="G2" s="758"/>
      <c r="H2" s="758"/>
      <c r="I2" s="758"/>
      <c r="J2" s="758"/>
      <c r="K2" s="758"/>
      <c r="L2" s="758"/>
      <c r="M2" s="758"/>
      <c r="N2" s="758"/>
      <c r="O2" s="758"/>
      <c r="P2" s="762"/>
    </row>
    <row r="3" spans="1:16">
      <c r="A3" s="757" t="s">
        <v>251</v>
      </c>
      <c r="B3" s="965">
        <f>IF('Outline Info'!C1="Abbotsford",1,2)</f>
        <v>2</v>
      </c>
      <c r="C3" s="763" t="str">
        <f>VLOOKUP($B$3,$A$14:$P$19,14)</f>
        <v>Mon-Fri 9am-5pm</v>
      </c>
      <c r="D3" s="764" t="s">
        <v>138</v>
      </c>
      <c r="E3" s="765">
        <f>VLOOKUP($B$3,$A$14:$L$19,11)</f>
        <v>250</v>
      </c>
      <c r="F3" s="758"/>
      <c r="G3" s="758"/>
      <c r="H3" s="758"/>
      <c r="I3" s="758"/>
      <c r="J3" s="758"/>
      <c r="K3" s="758"/>
      <c r="L3" s="758"/>
      <c r="M3" s="758"/>
      <c r="N3" s="758"/>
      <c r="O3" s="758"/>
      <c r="P3" s="762"/>
    </row>
    <row r="4" spans="1:16">
      <c r="A4" s="757" t="s">
        <v>5</v>
      </c>
      <c r="B4" s="766" t="str">
        <f>VLOOKUP($B$3,$A$14:$I$19,2)</f>
        <v>201 - 20621 Logan Ave, Langley, BC, V3A 7R3</v>
      </c>
      <c r="C4" s="763">
        <f>VLOOKUP($B$3,$A$14:$P$19,15)</f>
        <v>0</v>
      </c>
      <c r="D4" s="767" t="s">
        <v>822</v>
      </c>
      <c r="E4" s="768">
        <f>VLOOKUP($B$3,$A$14:$M$19,13)</f>
        <v>4</v>
      </c>
      <c r="F4" s="758"/>
      <c r="G4" s="758"/>
      <c r="H4" s="758"/>
      <c r="I4" s="758"/>
      <c r="J4" s="758"/>
      <c r="K4" s="758"/>
      <c r="L4" s="758"/>
      <c r="M4" s="758"/>
      <c r="N4" s="758"/>
      <c r="O4" s="758"/>
      <c r="P4" s="762"/>
    </row>
    <row r="5" spans="1:16" ht="14.4" thickBot="1">
      <c r="A5" s="757" t="s">
        <v>259</v>
      </c>
      <c r="B5" s="769" t="s">
        <v>1188</v>
      </c>
      <c r="C5" s="770">
        <f>VLOOKUP($B$3,$A$14:$P$19,16)</f>
        <v>0</v>
      </c>
      <c r="D5" s="771" t="s">
        <v>139</v>
      </c>
      <c r="E5" s="772">
        <f>VLOOKUP($B$3,$A$14:$L$19,12)</f>
        <v>100</v>
      </c>
      <c r="F5" s="758"/>
      <c r="G5" s="758"/>
      <c r="H5" s="758"/>
      <c r="I5" s="758"/>
      <c r="J5" s="758"/>
      <c r="K5" s="758"/>
      <c r="L5" s="758"/>
      <c r="M5" s="758"/>
      <c r="N5" s="758"/>
      <c r="O5" s="758"/>
      <c r="P5" s="762"/>
    </row>
    <row r="6" spans="1:16">
      <c r="A6" s="757" t="s">
        <v>258</v>
      </c>
      <c r="B6" s="773" t="str">
        <f>VLOOKUP($B$3,$A$14:$I$19,3)</f>
        <v>(o/b 0833888 B.C. Ltd.)</v>
      </c>
      <c r="C6" s="774" t="s">
        <v>823</v>
      </c>
      <c r="D6" s="1024" t="s">
        <v>824</v>
      </c>
      <c r="E6" s="1024"/>
      <c r="F6" s="758"/>
      <c r="G6" s="758"/>
      <c r="H6" s="758"/>
      <c r="I6" s="758"/>
      <c r="J6" s="758"/>
      <c r="K6" s="758"/>
      <c r="L6" s="758"/>
      <c r="M6" s="758"/>
      <c r="N6" s="758"/>
      <c r="O6" s="758"/>
      <c r="P6" s="762"/>
    </row>
    <row r="7" spans="1:16">
      <c r="A7" s="757" t="s">
        <v>257</v>
      </c>
      <c r="B7" s="775" t="str">
        <f>VLOOKUP($B$3,$A$14:$I$19,4)</f>
        <v>Phone : (604) 532-4040                                             E-Mail : admin.langley@aolccbc.com                                             Fax : (604) 532-4001</v>
      </c>
      <c r="C7" s="758"/>
      <c r="D7" s="758"/>
      <c r="E7" s="758"/>
      <c r="F7" s="758"/>
      <c r="G7" s="758"/>
      <c r="H7" s="758"/>
      <c r="I7" s="758"/>
      <c r="J7" s="758"/>
      <c r="K7" s="758"/>
      <c r="L7" s="758"/>
      <c r="M7" s="758"/>
      <c r="N7" s="758"/>
      <c r="O7" s="758"/>
      <c r="P7" s="762"/>
    </row>
    <row r="8" spans="1:16" ht="46.5" customHeight="1">
      <c r="A8" s="776" t="s">
        <v>256</v>
      </c>
      <c r="B8" s="1019" t="str">
        <f>VLOOKUP($B$3,$A$14:$I$19,5)</f>
        <v>Langley</v>
      </c>
      <c r="C8" s="1019" t="str">
        <f>VLOOKUP($B$3,$A$14:$F$16,4)</f>
        <v>Phone : (604) 532-4040                                             E-Mail : admin.langley@aolccbc.com                                             Fax : (604) 532-4001</v>
      </c>
      <c r="D8" s="758"/>
      <c r="E8" s="758"/>
      <c r="F8" s="758"/>
      <c r="G8" s="758"/>
      <c r="H8" s="758"/>
      <c r="I8" s="758"/>
      <c r="J8" s="758"/>
      <c r="K8" s="758"/>
      <c r="L8" s="758"/>
      <c r="M8" s="758"/>
      <c r="N8" s="758"/>
      <c r="O8" s="758"/>
      <c r="P8" s="762"/>
    </row>
    <row r="9" spans="1:16" ht="16.5" customHeight="1">
      <c r="A9" s="777" t="s">
        <v>255</v>
      </c>
      <c r="B9" s="1019" t="str">
        <f>VLOOKUP($B$3,$A$14:$I$19,7)</f>
        <v>APPX</v>
      </c>
      <c r="C9" s="1019" t="str">
        <f>VLOOKUP($B$3,$A$14:$F$16,4)</f>
        <v>Phone : (604) 532-4040                                             E-Mail : admin.langley@aolccbc.com                                             Fax : (604) 532-4001</v>
      </c>
      <c r="D9" s="1029" t="s">
        <v>1760</v>
      </c>
      <c r="E9" s="1029" t="str">
        <f>VLOOKUP($B$3,$A$14:$F$16,4)</f>
        <v>Phone : (604) 532-4040                                             E-Mail : admin.langley@aolccbc.com                                             Fax : (604) 532-4001</v>
      </c>
      <c r="F9" s="758"/>
      <c r="G9" s="758"/>
      <c r="H9" s="758"/>
      <c r="I9" s="758"/>
      <c r="J9" s="758"/>
      <c r="K9" s="758"/>
      <c r="L9" s="758"/>
      <c r="M9" s="758"/>
      <c r="N9" s="758"/>
      <c r="O9" s="758"/>
      <c r="P9" s="762"/>
    </row>
    <row r="10" spans="1:16" ht="16.5" customHeight="1" thickBot="1">
      <c r="A10" s="777" t="s">
        <v>254</v>
      </c>
      <c r="B10" s="1019" t="str">
        <f>VLOOKUP($B$3,$A$14:$I$19,8)</f>
        <v>3501</v>
      </c>
      <c r="C10" s="1019"/>
      <c r="D10" s="1029" t="str">
        <f>VLOOKUP($B$3,$A$14:$J$16,10)</f>
        <v>Admissions Coordinator</v>
      </c>
      <c r="E10" s="1029"/>
      <c r="F10" s="758"/>
      <c r="G10" s="758"/>
      <c r="H10" s="758"/>
      <c r="I10" s="758"/>
      <c r="J10" s="758"/>
      <c r="K10" s="758"/>
      <c r="L10" s="758"/>
      <c r="M10" s="758"/>
      <c r="N10" s="758"/>
      <c r="O10" s="758"/>
      <c r="P10" s="762"/>
    </row>
    <row r="11" spans="1:16" ht="13.5" customHeight="1">
      <c r="A11" s="777"/>
      <c r="B11" s="778" t="s">
        <v>1241</v>
      </c>
      <c r="C11" s="779" t="s">
        <v>1242</v>
      </c>
      <c r="D11" s="1025" t="s">
        <v>253</v>
      </c>
      <c r="E11" s="1026"/>
      <c r="F11" s="758"/>
      <c r="G11" s="758"/>
      <c r="H11" s="758"/>
      <c r="I11" s="758"/>
      <c r="J11" s="758"/>
      <c r="K11" s="758"/>
      <c r="L11" s="758"/>
      <c r="M11" s="758"/>
      <c r="N11" s="758"/>
      <c r="O11" s="758"/>
      <c r="P11" s="762"/>
    </row>
    <row r="12" spans="1:16" ht="13.5" customHeight="1" thickBot="1">
      <c r="A12" s="776"/>
      <c r="B12" s="227">
        <v>1</v>
      </c>
      <c r="C12" s="228">
        <v>0.3</v>
      </c>
      <c r="D12" s="1027" t="s">
        <v>252</v>
      </c>
      <c r="E12" s="1028"/>
      <c r="F12" s="758"/>
      <c r="G12" s="758"/>
      <c r="H12" s="758"/>
      <c r="I12" s="758"/>
      <c r="J12" s="758"/>
      <c r="K12" s="758"/>
      <c r="L12" s="758"/>
      <c r="M12" s="758"/>
      <c r="N12" s="758"/>
      <c r="O12" s="758"/>
      <c r="P12" s="762"/>
    </row>
    <row r="13" spans="1:16" ht="33" customHeight="1">
      <c r="A13" s="780" t="s">
        <v>251</v>
      </c>
      <c r="B13" s="781" t="s">
        <v>250</v>
      </c>
      <c r="C13" s="781" t="s">
        <v>249</v>
      </c>
      <c r="D13" s="782" t="s">
        <v>248</v>
      </c>
      <c r="E13" s="1020" t="s">
        <v>247</v>
      </c>
      <c r="F13" s="1020"/>
      <c r="G13" s="783" t="s">
        <v>246</v>
      </c>
      <c r="H13" s="784" t="s">
        <v>245</v>
      </c>
      <c r="I13" s="785" t="s">
        <v>244</v>
      </c>
      <c r="J13" s="784" t="s">
        <v>243</v>
      </c>
      <c r="K13" s="785" t="s">
        <v>242</v>
      </c>
      <c r="L13" s="783" t="s">
        <v>241</v>
      </c>
      <c r="M13" s="784" t="s">
        <v>822</v>
      </c>
      <c r="N13" s="816" t="s">
        <v>240</v>
      </c>
      <c r="O13" s="817" t="s">
        <v>239</v>
      </c>
      <c r="P13" s="818" t="s">
        <v>238</v>
      </c>
    </row>
    <row r="14" spans="1:16" ht="15.75" customHeight="1">
      <c r="A14" s="757">
        <v>1</v>
      </c>
      <c r="B14" s="766" t="s">
        <v>1681</v>
      </c>
      <c r="C14" s="758" t="s">
        <v>237</v>
      </c>
      <c r="D14" s="775" t="s">
        <v>1573</v>
      </c>
      <c r="E14" s="1021" t="s">
        <v>236</v>
      </c>
      <c r="F14" s="1021"/>
      <c r="G14" s="786" t="s">
        <v>235</v>
      </c>
      <c r="H14" s="787" t="s">
        <v>655</v>
      </c>
      <c r="I14" s="788" t="s">
        <v>1187</v>
      </c>
      <c r="J14" s="789" t="s">
        <v>988</v>
      </c>
      <c r="K14" s="790">
        <v>250</v>
      </c>
      <c r="L14" s="791">
        <v>100</v>
      </c>
      <c r="M14" s="792">
        <v>4</v>
      </c>
      <c r="N14" s="801" t="s">
        <v>234</v>
      </c>
      <c r="O14" s="802"/>
      <c r="P14" s="229"/>
    </row>
    <row r="15" spans="1:16" ht="15.75" customHeight="1">
      <c r="A15" s="757">
        <v>2</v>
      </c>
      <c r="B15" s="766" t="s">
        <v>815</v>
      </c>
      <c r="C15" s="758" t="s">
        <v>233</v>
      </c>
      <c r="D15" s="775" t="s">
        <v>1574</v>
      </c>
      <c r="E15" s="1019" t="s">
        <v>232</v>
      </c>
      <c r="F15" s="1019"/>
      <c r="G15" s="786" t="s">
        <v>231</v>
      </c>
      <c r="H15" s="787" t="s">
        <v>654</v>
      </c>
      <c r="I15" s="788" t="s">
        <v>1187</v>
      </c>
      <c r="J15" s="789" t="s">
        <v>988</v>
      </c>
      <c r="K15" s="790">
        <v>250</v>
      </c>
      <c r="L15" s="791">
        <v>100</v>
      </c>
      <c r="M15" s="792">
        <v>4</v>
      </c>
      <c r="N15" s="801" t="s">
        <v>234</v>
      </c>
      <c r="O15" s="802"/>
      <c r="P15" s="229"/>
    </row>
    <row r="16" spans="1:16" ht="15.6" customHeight="1">
      <c r="A16" s="757">
        <v>3</v>
      </c>
      <c r="B16" s="766" t="s">
        <v>817</v>
      </c>
      <c r="C16" s="758" t="s">
        <v>230</v>
      </c>
      <c r="D16" s="775" t="s">
        <v>229</v>
      </c>
      <c r="E16" s="1019" t="s">
        <v>228</v>
      </c>
      <c r="F16" s="1019"/>
      <c r="G16" s="786" t="s">
        <v>227</v>
      </c>
      <c r="H16" s="787" t="s">
        <v>653</v>
      </c>
      <c r="I16" s="788" t="s">
        <v>758</v>
      </c>
      <c r="J16" s="789" t="s">
        <v>439</v>
      </c>
      <c r="K16" s="790">
        <v>250</v>
      </c>
      <c r="L16" s="791">
        <v>100</v>
      </c>
      <c r="M16" s="792">
        <v>4</v>
      </c>
      <c r="N16" s="801" t="s">
        <v>234</v>
      </c>
      <c r="O16" s="802"/>
      <c r="P16" s="229"/>
    </row>
    <row r="17" spans="1:16" ht="16.2">
      <c r="A17" s="793">
        <v>4</v>
      </c>
      <c r="B17" s="766" t="s">
        <v>442</v>
      </c>
      <c r="C17" s="794" t="s">
        <v>226</v>
      </c>
      <c r="D17" s="795" t="s">
        <v>443</v>
      </c>
      <c r="E17" s="1029" t="s">
        <v>225</v>
      </c>
      <c r="F17" s="1029"/>
      <c r="G17" s="796" t="s">
        <v>224</v>
      </c>
      <c r="H17" s="797" t="s">
        <v>656</v>
      </c>
      <c r="I17" s="798" t="s">
        <v>438</v>
      </c>
      <c r="J17" s="799" t="s">
        <v>439</v>
      </c>
      <c r="K17" s="800">
        <v>250</v>
      </c>
      <c r="L17" s="791">
        <v>100</v>
      </c>
      <c r="M17" s="792">
        <v>4</v>
      </c>
      <c r="N17" s="801" t="s">
        <v>213</v>
      </c>
      <c r="O17" s="801" t="s">
        <v>212</v>
      </c>
      <c r="P17" s="230" t="s">
        <v>211</v>
      </c>
    </row>
    <row r="18" spans="1:16" ht="16.2">
      <c r="A18" s="793">
        <v>5</v>
      </c>
      <c r="B18" s="766" t="s">
        <v>544</v>
      </c>
      <c r="C18" s="794" t="s">
        <v>223</v>
      </c>
      <c r="D18" s="795" t="s">
        <v>440</v>
      </c>
      <c r="E18" s="1029" t="s">
        <v>222</v>
      </c>
      <c r="F18" s="1029"/>
      <c r="G18" s="796" t="s">
        <v>221</v>
      </c>
      <c r="H18" s="797" t="s">
        <v>657</v>
      </c>
      <c r="I18" s="798" t="s">
        <v>441</v>
      </c>
      <c r="J18" s="799" t="s">
        <v>439</v>
      </c>
      <c r="K18" s="800">
        <v>250</v>
      </c>
      <c r="L18" s="791">
        <v>100</v>
      </c>
      <c r="M18" s="792">
        <v>4</v>
      </c>
      <c r="N18" s="801" t="s">
        <v>220</v>
      </c>
      <c r="O18" s="801"/>
      <c r="P18" s="230"/>
    </row>
    <row r="19" spans="1:16" ht="16.8" thickBot="1">
      <c r="A19" s="803">
        <v>6</v>
      </c>
      <c r="B19" s="804" t="s">
        <v>219</v>
      </c>
      <c r="C19" s="805" t="s">
        <v>218</v>
      </c>
      <c r="D19" s="806" t="s">
        <v>437</v>
      </c>
      <c r="E19" s="1030" t="s">
        <v>217</v>
      </c>
      <c r="F19" s="1030"/>
      <c r="G19" s="807" t="s">
        <v>216</v>
      </c>
      <c r="H19" s="808" t="s">
        <v>658</v>
      </c>
      <c r="I19" s="809" t="s">
        <v>438</v>
      </c>
      <c r="J19" s="810" t="s">
        <v>439</v>
      </c>
      <c r="K19" s="811">
        <v>250</v>
      </c>
      <c r="L19" s="812">
        <v>100</v>
      </c>
      <c r="M19" s="813">
        <v>4</v>
      </c>
      <c r="N19" s="814" t="s">
        <v>215</v>
      </c>
      <c r="O19" s="814" t="s">
        <v>214</v>
      </c>
      <c r="P19" s="815" t="s">
        <v>211</v>
      </c>
    </row>
  </sheetData>
  <sheetProtection selectLockedCells="1"/>
  <mergeCells count="17">
    <mergeCell ref="E18:F18"/>
    <mergeCell ref="E19:F19"/>
    <mergeCell ref="E17:F17"/>
    <mergeCell ref="E16:F16"/>
    <mergeCell ref="A1:B1"/>
    <mergeCell ref="B8:C8"/>
    <mergeCell ref="B9:C9"/>
    <mergeCell ref="B10:C10"/>
    <mergeCell ref="E15:F15"/>
    <mergeCell ref="E13:F13"/>
    <mergeCell ref="E14:F14"/>
    <mergeCell ref="D1:E1"/>
    <mergeCell ref="D6:E6"/>
    <mergeCell ref="D11:E11"/>
    <mergeCell ref="D12:E12"/>
    <mergeCell ref="D9:E9"/>
    <mergeCell ref="D10:E10"/>
  </mergeCells>
  <phoneticPr fontId="117" type="noConversion"/>
  <dataValidations count="1">
    <dataValidation type="list" allowBlank="1" showDropDown="1" showInputMessage="1" showErrorMessage="1" sqref="B3" xr:uid="{00000000-0002-0000-0100-000000000000}">
      <formula1>$A$14:$A$19</formula1>
    </dataValidation>
  </dataValidations>
  <pageMargins left="0.75" right="0.75" top="1" bottom="1" header="0.5" footer="0.5"/>
  <pageSetup orientation="portrait" horizontalDpi="300" verticalDpi="300" r:id="rId1"/>
  <headerFooter alignWithMargins="0"/>
  <ignoredErrors>
    <ignoredError sqref="H14:H19"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1"/>
    <pageSetUpPr fitToPage="1"/>
  </sheetPr>
  <dimension ref="A1:M301"/>
  <sheetViews>
    <sheetView zoomScaleNormal="100" workbookViewId="0">
      <pane xSplit="2" ySplit="1" topLeftCell="C2" activePane="bottomRight" state="frozen"/>
      <selection activeCell="B2" sqref="B2"/>
      <selection pane="topRight" activeCell="B2" sqref="B2"/>
      <selection pane="bottomLeft" activeCell="B2" sqref="B2"/>
      <selection pane="bottomRight" activeCell="A113" sqref="A113"/>
    </sheetView>
  </sheetViews>
  <sheetFormatPr defaultColWidth="9.33203125" defaultRowHeight="13.8"/>
  <cols>
    <col min="1" max="1" width="21.109375" style="238" bestFit="1" customWidth="1"/>
    <col min="2" max="2" width="59" style="238" bestFit="1" customWidth="1"/>
    <col min="3" max="3" width="12.6640625" style="238" bestFit="1" customWidth="1"/>
    <col min="4" max="4" width="12.33203125" style="238" bestFit="1" customWidth="1"/>
    <col min="5" max="5" width="11.33203125" style="238" bestFit="1" customWidth="1"/>
    <col min="6" max="6" width="17.44140625" style="238" bestFit="1" customWidth="1"/>
    <col min="7" max="7" width="14.44140625" style="238" bestFit="1" customWidth="1"/>
    <col min="8" max="8" width="11.44140625" style="238" bestFit="1" customWidth="1"/>
    <col min="9" max="9" width="12.44140625" style="238" bestFit="1" customWidth="1"/>
    <col min="10" max="10" width="14.77734375" style="238" bestFit="1" customWidth="1"/>
    <col min="11" max="11" width="15.77734375" style="238" bestFit="1" customWidth="1"/>
    <col min="12" max="12" width="37.44140625" style="238" bestFit="1" customWidth="1"/>
    <col min="13" max="13" width="56" style="238" bestFit="1" customWidth="1"/>
    <col min="14" max="16384" width="9.33203125" style="238"/>
  </cols>
  <sheetData>
    <row r="1" spans="1:13" ht="27.75" customHeight="1">
      <c r="A1" s="231" t="s">
        <v>175</v>
      </c>
      <c r="B1" s="231" t="s">
        <v>26</v>
      </c>
      <c r="C1" s="231" t="s">
        <v>415</v>
      </c>
      <c r="D1" s="232" t="s">
        <v>414</v>
      </c>
      <c r="E1" s="232" t="s">
        <v>413</v>
      </c>
      <c r="F1" s="231" t="s">
        <v>412</v>
      </c>
      <c r="G1" s="232" t="s">
        <v>411</v>
      </c>
      <c r="H1" s="231" t="s">
        <v>410</v>
      </c>
      <c r="I1" s="233" t="s">
        <v>409</v>
      </c>
      <c r="J1" s="234" t="s">
        <v>408</v>
      </c>
      <c r="K1" s="235" t="s">
        <v>407</v>
      </c>
      <c r="L1" s="236"/>
      <c r="M1" s="237" t="s">
        <v>436</v>
      </c>
    </row>
    <row r="2" spans="1:13">
      <c r="A2" s="239" t="s">
        <v>406</v>
      </c>
      <c r="B2" s="239" t="s">
        <v>1072</v>
      </c>
      <c r="C2" s="240"/>
      <c r="D2" s="241">
        <v>240</v>
      </c>
      <c r="E2" s="236">
        <v>4</v>
      </c>
      <c r="F2" s="236"/>
      <c r="G2" s="236"/>
      <c r="H2" s="935">
        <v>98</v>
      </c>
      <c r="I2" s="236">
        <v>0</v>
      </c>
      <c r="J2" s="242">
        <v>8503</v>
      </c>
      <c r="K2" s="243" t="s">
        <v>306</v>
      </c>
      <c r="L2" s="236"/>
      <c r="M2" s="244"/>
    </row>
    <row r="3" spans="1:13">
      <c r="A3" s="239" t="s">
        <v>405</v>
      </c>
      <c r="B3" s="239" t="s">
        <v>1073</v>
      </c>
      <c r="C3" s="240"/>
      <c r="D3" s="241">
        <v>440</v>
      </c>
      <c r="E3" s="236">
        <v>8</v>
      </c>
      <c r="F3" s="236"/>
      <c r="G3" s="236"/>
      <c r="H3" s="935">
        <v>98</v>
      </c>
      <c r="I3" s="236">
        <v>0</v>
      </c>
      <c r="J3" s="242">
        <v>8504</v>
      </c>
      <c r="K3" s="243" t="s">
        <v>306</v>
      </c>
      <c r="L3" s="236"/>
      <c r="M3" s="244"/>
    </row>
    <row r="4" spans="1:13">
      <c r="A4" s="239" t="s">
        <v>404</v>
      </c>
      <c r="B4" s="848" t="s">
        <v>1498</v>
      </c>
      <c r="C4" s="240" t="s">
        <v>403</v>
      </c>
      <c r="D4" s="241">
        <v>399</v>
      </c>
      <c r="E4" s="236">
        <v>27</v>
      </c>
      <c r="F4" s="236"/>
      <c r="G4" s="236"/>
      <c r="H4" s="236">
        <v>7</v>
      </c>
      <c r="I4" s="236">
        <v>1.5</v>
      </c>
      <c r="J4" s="242">
        <v>5814</v>
      </c>
      <c r="K4" s="243" t="s">
        <v>275</v>
      </c>
      <c r="L4" s="236"/>
      <c r="M4" s="988" t="s">
        <v>922</v>
      </c>
    </row>
    <row r="5" spans="1:13">
      <c r="A5" s="239" t="s">
        <v>269</v>
      </c>
      <c r="B5" s="239" t="s">
        <v>1499</v>
      </c>
      <c r="C5" s="240" t="s">
        <v>403</v>
      </c>
      <c r="D5" s="241">
        <v>399</v>
      </c>
      <c r="E5" s="236">
        <v>32</v>
      </c>
      <c r="F5" s="236"/>
      <c r="G5" s="236"/>
      <c r="H5" s="236">
        <v>7</v>
      </c>
      <c r="I5" s="236">
        <v>1.5</v>
      </c>
      <c r="J5" s="242">
        <v>5811</v>
      </c>
      <c r="K5" s="243" t="s">
        <v>275</v>
      </c>
      <c r="L5" s="236"/>
      <c r="M5" s="988" t="s">
        <v>923</v>
      </c>
    </row>
    <row r="6" spans="1:13">
      <c r="A6" s="239" t="s">
        <v>270</v>
      </c>
      <c r="B6" s="239" t="s">
        <v>1500</v>
      </c>
      <c r="C6" s="240" t="s">
        <v>403</v>
      </c>
      <c r="D6" s="241">
        <v>399</v>
      </c>
      <c r="E6" s="236">
        <v>21</v>
      </c>
      <c r="F6" s="236"/>
      <c r="G6" s="236"/>
      <c r="H6" s="236">
        <v>7</v>
      </c>
      <c r="I6" s="236">
        <v>1</v>
      </c>
      <c r="J6" s="242">
        <v>5812</v>
      </c>
      <c r="K6" s="243" t="s">
        <v>275</v>
      </c>
      <c r="L6" s="236"/>
      <c r="M6" s="987" t="s">
        <v>924</v>
      </c>
    </row>
    <row r="7" spans="1:13">
      <c r="A7" s="239" t="s">
        <v>271</v>
      </c>
      <c r="B7" s="239" t="s">
        <v>1501</v>
      </c>
      <c r="C7" s="240" t="s">
        <v>403</v>
      </c>
      <c r="D7" s="241">
        <v>399</v>
      </c>
      <c r="E7" s="236">
        <v>21</v>
      </c>
      <c r="F7" s="236"/>
      <c r="G7" s="236"/>
      <c r="H7" s="236">
        <v>7</v>
      </c>
      <c r="I7" s="236">
        <v>1</v>
      </c>
      <c r="J7" s="242">
        <v>5813</v>
      </c>
      <c r="K7" s="243" t="s">
        <v>275</v>
      </c>
      <c r="L7" s="236"/>
      <c r="M7" s="988" t="s">
        <v>925</v>
      </c>
    </row>
    <row r="8" spans="1:13">
      <c r="A8" s="239" t="s">
        <v>890</v>
      </c>
      <c r="B8" s="239" t="s">
        <v>283</v>
      </c>
      <c r="C8" s="240" t="s">
        <v>761</v>
      </c>
      <c r="D8" s="241">
        <v>389</v>
      </c>
      <c r="E8" s="242">
        <v>27</v>
      </c>
      <c r="F8" s="239"/>
      <c r="G8" s="242"/>
      <c r="H8" s="242">
        <v>5</v>
      </c>
      <c r="I8" s="242">
        <v>1.5</v>
      </c>
      <c r="J8" s="242">
        <v>7111</v>
      </c>
      <c r="K8" s="243" t="s">
        <v>763</v>
      </c>
      <c r="L8" s="236"/>
      <c r="M8" s="988" t="s">
        <v>926</v>
      </c>
    </row>
    <row r="9" spans="1:13">
      <c r="A9" s="239" t="s">
        <v>891</v>
      </c>
      <c r="B9" s="239" t="s">
        <v>402</v>
      </c>
      <c r="C9" s="240" t="s">
        <v>761</v>
      </c>
      <c r="D9" s="241">
        <v>389</v>
      </c>
      <c r="E9" s="242">
        <v>30</v>
      </c>
      <c r="F9" s="239"/>
      <c r="G9" s="242"/>
      <c r="H9" s="242">
        <v>5</v>
      </c>
      <c r="I9" s="242">
        <v>1.5</v>
      </c>
      <c r="J9" s="242">
        <v>7112</v>
      </c>
      <c r="K9" s="243" t="s">
        <v>763</v>
      </c>
      <c r="L9" s="236"/>
      <c r="M9" s="988" t="s">
        <v>927</v>
      </c>
    </row>
    <row r="10" spans="1:13">
      <c r="A10" s="239" t="s">
        <v>1531</v>
      </c>
      <c r="B10" s="239" t="s">
        <v>1532</v>
      </c>
      <c r="C10" s="240"/>
      <c r="D10" s="241">
        <v>4400</v>
      </c>
      <c r="E10" s="242">
        <v>880</v>
      </c>
      <c r="F10" s="239"/>
      <c r="G10" s="242"/>
      <c r="H10" s="935">
        <v>98</v>
      </c>
      <c r="I10" s="242"/>
      <c r="J10" s="242">
        <v>9100</v>
      </c>
      <c r="K10" s="243" t="s">
        <v>1514</v>
      </c>
      <c r="L10" s="236"/>
      <c r="M10" s="988"/>
    </row>
    <row r="11" spans="1:13">
      <c r="A11" s="239" t="s">
        <v>979</v>
      </c>
      <c r="B11" s="239" t="s">
        <v>401</v>
      </c>
      <c r="C11" s="240"/>
      <c r="D11" s="241">
        <v>657</v>
      </c>
      <c r="E11" s="242">
        <v>40</v>
      </c>
      <c r="F11" s="236"/>
      <c r="G11" s="236"/>
      <c r="H11" s="242">
        <v>9</v>
      </c>
      <c r="I11" s="242">
        <v>2</v>
      </c>
      <c r="J11" s="242">
        <v>7978</v>
      </c>
      <c r="K11" s="243" t="s">
        <v>275</v>
      </c>
      <c r="L11" s="236"/>
      <c r="M11" s="988" t="s">
        <v>928</v>
      </c>
    </row>
    <row r="12" spans="1:13">
      <c r="A12" s="239" t="s">
        <v>267</v>
      </c>
      <c r="B12" s="239" t="s">
        <v>285</v>
      </c>
      <c r="C12" s="240"/>
      <c r="D12" s="241">
        <v>499</v>
      </c>
      <c r="E12" s="236">
        <v>30</v>
      </c>
      <c r="F12" s="236"/>
      <c r="G12" s="236"/>
      <c r="H12" s="236">
        <v>9</v>
      </c>
      <c r="I12" s="236">
        <v>1.5</v>
      </c>
      <c r="J12" s="242">
        <v>5012</v>
      </c>
      <c r="K12" s="243" t="s">
        <v>275</v>
      </c>
      <c r="L12" s="236"/>
      <c r="M12" s="988" t="s">
        <v>929</v>
      </c>
    </row>
    <row r="13" spans="1:13">
      <c r="A13" s="239" t="s">
        <v>268</v>
      </c>
      <c r="B13" s="239" t="s">
        <v>286</v>
      </c>
      <c r="C13" s="240"/>
      <c r="D13" s="241">
        <v>449</v>
      </c>
      <c r="E13" s="236">
        <v>20</v>
      </c>
      <c r="F13" s="236"/>
      <c r="G13" s="236"/>
      <c r="H13" s="236">
        <v>9</v>
      </c>
      <c r="I13" s="236">
        <v>1</v>
      </c>
      <c r="J13" s="242">
        <v>5013</v>
      </c>
      <c r="K13" s="243" t="s">
        <v>275</v>
      </c>
      <c r="L13" s="236"/>
      <c r="M13" s="988" t="s">
        <v>930</v>
      </c>
    </row>
    <row r="14" spans="1:13">
      <c r="A14" s="239" t="s">
        <v>980</v>
      </c>
      <c r="B14" s="239" t="s">
        <v>981</v>
      </c>
      <c r="C14" s="240"/>
      <c r="D14" s="241">
        <v>499</v>
      </c>
      <c r="E14" s="242">
        <v>30</v>
      </c>
      <c r="F14" s="236"/>
      <c r="G14" s="236"/>
      <c r="H14" s="242">
        <v>9</v>
      </c>
      <c r="I14" s="242">
        <v>1.5</v>
      </c>
      <c r="J14" s="242">
        <v>7976</v>
      </c>
      <c r="K14" s="243" t="s">
        <v>763</v>
      </c>
      <c r="L14" s="236"/>
      <c r="M14" s="988" t="s">
        <v>1265</v>
      </c>
    </row>
    <row r="15" spans="1:13">
      <c r="A15" s="239" t="s">
        <v>400</v>
      </c>
      <c r="B15" s="239" t="s">
        <v>399</v>
      </c>
      <c r="C15" s="240"/>
      <c r="D15" s="241">
        <v>499</v>
      </c>
      <c r="E15" s="236">
        <v>30</v>
      </c>
      <c r="F15" s="236"/>
      <c r="G15" s="236"/>
      <c r="H15" s="236">
        <v>9</v>
      </c>
      <c r="I15" s="236">
        <v>1.5</v>
      </c>
      <c r="J15" s="242">
        <v>6978</v>
      </c>
      <c r="K15" s="243" t="s">
        <v>275</v>
      </c>
      <c r="L15" s="236"/>
      <c r="M15" s="988" t="s">
        <v>931</v>
      </c>
    </row>
    <row r="16" spans="1:13">
      <c r="A16" s="239" t="s">
        <v>398</v>
      </c>
      <c r="B16" s="239" t="s">
        <v>397</v>
      </c>
      <c r="C16" s="240"/>
      <c r="D16" s="241">
        <v>499</v>
      </c>
      <c r="E16" s="236">
        <v>30</v>
      </c>
      <c r="F16" s="236"/>
      <c r="G16" s="236"/>
      <c r="H16" s="236">
        <v>9</v>
      </c>
      <c r="I16" s="236">
        <v>1.5</v>
      </c>
      <c r="J16" s="242">
        <v>6979</v>
      </c>
      <c r="K16" s="243" t="s">
        <v>275</v>
      </c>
      <c r="L16" s="236"/>
      <c r="M16" s="988" t="s">
        <v>932</v>
      </c>
    </row>
    <row r="17" spans="1:13">
      <c r="A17" s="239" t="s">
        <v>864</v>
      </c>
      <c r="B17" s="239" t="s">
        <v>396</v>
      </c>
      <c r="C17" s="240" t="s">
        <v>865</v>
      </c>
      <c r="D17" s="241">
        <v>729</v>
      </c>
      <c r="E17" s="242">
        <v>40</v>
      </c>
      <c r="F17" s="236"/>
      <c r="G17" s="236"/>
      <c r="H17" s="242">
        <v>9</v>
      </c>
      <c r="I17" s="242">
        <v>2</v>
      </c>
      <c r="J17" s="242">
        <v>5221</v>
      </c>
      <c r="K17" s="243" t="s">
        <v>275</v>
      </c>
      <c r="L17" s="236"/>
      <c r="M17" s="988" t="s">
        <v>933</v>
      </c>
    </row>
    <row r="18" spans="1:13">
      <c r="A18" s="239" t="s">
        <v>395</v>
      </c>
      <c r="B18" s="239" t="s">
        <v>394</v>
      </c>
      <c r="C18" s="240"/>
      <c r="D18" s="241">
        <v>729</v>
      </c>
      <c r="E18" s="236">
        <v>40</v>
      </c>
      <c r="F18" s="236"/>
      <c r="G18" s="236"/>
      <c r="H18" s="236">
        <v>9</v>
      </c>
      <c r="I18" s="236">
        <v>2</v>
      </c>
      <c r="J18" s="242">
        <v>5227</v>
      </c>
      <c r="K18" s="243" t="s">
        <v>275</v>
      </c>
      <c r="L18" s="236"/>
      <c r="M18" s="988" t="s">
        <v>934</v>
      </c>
    </row>
    <row r="19" spans="1:13">
      <c r="A19" s="239" t="s">
        <v>393</v>
      </c>
      <c r="B19" s="239" t="s">
        <v>392</v>
      </c>
      <c r="C19" s="240"/>
      <c r="D19" s="241">
        <v>479</v>
      </c>
      <c r="E19" s="236">
        <v>30</v>
      </c>
      <c r="F19" s="236"/>
      <c r="G19" s="236"/>
      <c r="H19" s="236">
        <v>9</v>
      </c>
      <c r="I19" s="236">
        <v>1.5</v>
      </c>
      <c r="J19" s="242">
        <v>6209</v>
      </c>
      <c r="K19" s="243" t="s">
        <v>275</v>
      </c>
      <c r="L19" s="236"/>
      <c r="M19" s="988" t="s">
        <v>935</v>
      </c>
    </row>
    <row r="20" spans="1:13">
      <c r="A20" s="239" t="s">
        <v>1560</v>
      </c>
      <c r="B20" s="239" t="s">
        <v>1561</v>
      </c>
      <c r="C20" s="240"/>
      <c r="D20" s="241">
        <v>520</v>
      </c>
      <c r="E20" s="236">
        <v>20</v>
      </c>
      <c r="F20" s="236"/>
      <c r="G20" s="236"/>
      <c r="H20" s="236">
        <v>17</v>
      </c>
      <c r="I20" s="236">
        <v>1</v>
      </c>
      <c r="J20" s="242">
        <v>8227</v>
      </c>
      <c r="K20" s="243" t="s">
        <v>275</v>
      </c>
      <c r="L20" s="236"/>
      <c r="M20" s="988"/>
    </row>
    <row r="21" spans="1:13">
      <c r="A21" s="239" t="s">
        <v>1563</v>
      </c>
      <c r="B21" s="239" t="s">
        <v>1562</v>
      </c>
      <c r="C21" s="240"/>
      <c r="D21" s="241">
        <v>728</v>
      </c>
      <c r="E21" s="236">
        <v>28</v>
      </c>
      <c r="F21" s="236"/>
      <c r="G21" s="236"/>
      <c r="H21" s="236">
        <v>17</v>
      </c>
      <c r="I21" s="236">
        <v>1.5</v>
      </c>
      <c r="J21" s="242">
        <v>8228</v>
      </c>
      <c r="K21" s="243" t="s">
        <v>275</v>
      </c>
      <c r="L21" s="236"/>
      <c r="M21" s="988"/>
    </row>
    <row r="22" spans="1:13">
      <c r="A22" s="239" t="s">
        <v>266</v>
      </c>
      <c r="B22" s="239" t="s">
        <v>284</v>
      </c>
      <c r="C22" s="240"/>
      <c r="D22" s="241">
        <v>399</v>
      </c>
      <c r="E22" s="242">
        <v>22</v>
      </c>
      <c r="F22" s="236"/>
      <c r="G22" s="236"/>
      <c r="H22" s="242">
        <v>2</v>
      </c>
      <c r="I22" s="242">
        <v>1</v>
      </c>
      <c r="J22" s="242">
        <v>5010</v>
      </c>
      <c r="K22" s="243" t="s">
        <v>275</v>
      </c>
      <c r="L22" s="236"/>
      <c r="M22" s="987" t="s">
        <v>936</v>
      </c>
    </row>
    <row r="23" spans="1:13">
      <c r="A23" s="239" t="s">
        <v>391</v>
      </c>
      <c r="B23" s="239" t="s">
        <v>390</v>
      </c>
      <c r="C23" s="240"/>
      <c r="D23" s="241">
        <v>479</v>
      </c>
      <c r="E23" s="236">
        <v>30</v>
      </c>
      <c r="F23" s="236"/>
      <c r="G23" s="236"/>
      <c r="H23" s="236">
        <v>9</v>
      </c>
      <c r="I23" s="236">
        <v>1.5</v>
      </c>
      <c r="J23" s="242">
        <v>7979</v>
      </c>
      <c r="K23" s="243" t="s">
        <v>275</v>
      </c>
      <c r="L23" s="236"/>
      <c r="M23" s="988" t="s">
        <v>937</v>
      </c>
    </row>
    <row r="24" spans="1:13">
      <c r="A24" s="239" t="s">
        <v>828</v>
      </c>
      <c r="B24" s="239" t="s">
        <v>1325</v>
      </c>
      <c r="D24" s="241">
        <v>115</v>
      </c>
      <c r="E24" s="242">
        <v>0</v>
      </c>
      <c r="F24" s="236"/>
      <c r="G24" s="236"/>
      <c r="H24" s="935">
        <v>98</v>
      </c>
      <c r="I24" s="242">
        <v>0</v>
      </c>
      <c r="J24" s="242">
        <v>9998</v>
      </c>
      <c r="K24" s="246" t="s">
        <v>838</v>
      </c>
      <c r="L24" s="236"/>
      <c r="M24" s="244"/>
    </row>
    <row r="25" spans="1:13">
      <c r="A25" s="239" t="s">
        <v>837</v>
      </c>
      <c r="B25" s="239" t="s">
        <v>1326</v>
      </c>
      <c r="D25" s="241">
        <v>600</v>
      </c>
      <c r="E25" s="242">
        <v>0</v>
      </c>
      <c r="F25" s="236"/>
      <c r="G25" s="236"/>
      <c r="H25" s="935">
        <v>98</v>
      </c>
      <c r="I25" s="242">
        <v>0</v>
      </c>
      <c r="J25" s="242">
        <v>9998</v>
      </c>
      <c r="K25" s="246" t="s">
        <v>838</v>
      </c>
      <c r="L25" s="236"/>
      <c r="M25" s="244"/>
    </row>
    <row r="26" spans="1:13">
      <c r="A26" s="239" t="s">
        <v>827</v>
      </c>
      <c r="B26" s="239" t="s">
        <v>1327</v>
      </c>
      <c r="D26" s="241">
        <v>826</v>
      </c>
      <c r="E26" s="242">
        <v>0</v>
      </c>
      <c r="F26" s="236"/>
      <c r="G26" s="236"/>
      <c r="H26" s="935">
        <v>98</v>
      </c>
      <c r="I26" s="242">
        <v>0</v>
      </c>
      <c r="J26" s="242">
        <v>9998</v>
      </c>
      <c r="K26" s="246" t="s">
        <v>838</v>
      </c>
      <c r="L26" s="236"/>
      <c r="M26" s="244"/>
    </row>
    <row r="27" spans="1:13">
      <c r="A27" s="239" t="s">
        <v>826</v>
      </c>
      <c r="B27" s="239" t="s">
        <v>1502</v>
      </c>
      <c r="D27" s="241">
        <v>700</v>
      </c>
      <c r="E27" s="242">
        <v>0</v>
      </c>
      <c r="F27" s="236"/>
      <c r="G27" s="236"/>
      <c r="H27" s="935">
        <v>98</v>
      </c>
      <c r="I27" s="242">
        <v>0</v>
      </c>
      <c r="J27" s="242">
        <v>9998</v>
      </c>
      <c r="K27" s="246" t="s">
        <v>838</v>
      </c>
      <c r="L27" s="236"/>
      <c r="M27" s="244"/>
    </row>
    <row r="28" spans="1:13">
      <c r="A28" s="239" t="s">
        <v>888</v>
      </c>
      <c r="B28" s="239" t="s">
        <v>1503</v>
      </c>
      <c r="D28" s="241">
        <v>170</v>
      </c>
      <c r="E28" s="242">
        <v>0</v>
      </c>
      <c r="F28" s="236"/>
      <c r="G28" s="236"/>
      <c r="H28" s="935">
        <v>98</v>
      </c>
      <c r="I28" s="242">
        <v>0</v>
      </c>
      <c r="J28" s="242">
        <v>9998</v>
      </c>
      <c r="K28" s="246" t="s">
        <v>838</v>
      </c>
      <c r="L28" s="236"/>
      <c r="M28" s="244"/>
    </row>
    <row r="29" spans="1:13">
      <c r="A29" s="239" t="s">
        <v>938</v>
      </c>
      <c r="B29" s="239" t="s">
        <v>389</v>
      </c>
      <c r="C29" s="240"/>
      <c r="D29" s="241">
        <v>375</v>
      </c>
      <c r="E29" s="242">
        <v>16</v>
      </c>
      <c r="F29" s="236"/>
      <c r="G29" s="236"/>
      <c r="H29" s="236">
        <v>9</v>
      </c>
      <c r="I29" s="242">
        <v>1</v>
      </c>
      <c r="J29" s="242">
        <v>7697</v>
      </c>
      <c r="K29" s="243" t="s">
        <v>275</v>
      </c>
      <c r="L29" s="236"/>
      <c r="M29" s="988" t="s">
        <v>939</v>
      </c>
    </row>
    <row r="30" spans="1:13">
      <c r="A30" s="239" t="s">
        <v>388</v>
      </c>
      <c r="B30" s="239" t="s">
        <v>387</v>
      </c>
      <c r="C30" s="240"/>
      <c r="D30" s="241">
        <v>479</v>
      </c>
      <c r="E30" s="236">
        <v>30</v>
      </c>
      <c r="F30" s="236"/>
      <c r="G30" s="236"/>
      <c r="H30" s="236">
        <v>9</v>
      </c>
      <c r="I30" s="236">
        <v>1.5</v>
      </c>
      <c r="J30" s="242">
        <v>7978</v>
      </c>
      <c r="K30" s="243" t="s">
        <v>275</v>
      </c>
      <c r="L30" s="236"/>
      <c r="M30" s="987" t="s">
        <v>940</v>
      </c>
    </row>
    <row r="31" spans="1:13">
      <c r="A31" s="239" t="s">
        <v>982</v>
      </c>
      <c r="B31" s="239" t="s">
        <v>386</v>
      </c>
      <c r="C31" s="240"/>
      <c r="D31" s="241">
        <v>499</v>
      </c>
      <c r="E31" s="236">
        <v>32</v>
      </c>
      <c r="F31" s="239"/>
      <c r="G31" s="236"/>
      <c r="H31" s="236">
        <v>9</v>
      </c>
      <c r="I31" s="236">
        <v>1.5</v>
      </c>
      <c r="J31" s="242">
        <v>41</v>
      </c>
      <c r="K31" s="243" t="s">
        <v>275</v>
      </c>
      <c r="L31" s="236"/>
      <c r="M31" s="987" t="s">
        <v>1266</v>
      </c>
    </row>
    <row r="32" spans="1:13">
      <c r="A32" s="239" t="s">
        <v>983</v>
      </c>
      <c r="B32" s="239" t="s">
        <v>385</v>
      </c>
      <c r="C32" s="240"/>
      <c r="D32" s="241">
        <v>499</v>
      </c>
      <c r="E32" s="236">
        <v>32</v>
      </c>
      <c r="F32" s="239"/>
      <c r="G32" s="236"/>
      <c r="H32" s="236">
        <v>9</v>
      </c>
      <c r="I32" s="236">
        <v>1.5</v>
      </c>
      <c r="J32" s="242">
        <v>42</v>
      </c>
      <c r="K32" s="243" t="s">
        <v>275</v>
      </c>
      <c r="L32" s="236"/>
      <c r="M32" s="987" t="s">
        <v>1267</v>
      </c>
    </row>
    <row r="33" spans="1:13">
      <c r="A33" s="239" t="s">
        <v>1533</v>
      </c>
      <c r="B33" s="239" t="s">
        <v>1534</v>
      </c>
      <c r="C33" s="240"/>
      <c r="D33" s="241">
        <v>2600</v>
      </c>
      <c r="E33" s="242">
        <v>520</v>
      </c>
      <c r="F33" s="239"/>
      <c r="G33" s="242"/>
      <c r="H33" s="935">
        <v>98</v>
      </c>
      <c r="I33" s="242"/>
      <c r="J33" s="242">
        <v>9100</v>
      </c>
      <c r="K33" s="243" t="s">
        <v>1514</v>
      </c>
      <c r="L33" s="236"/>
      <c r="M33" s="988"/>
    </row>
    <row r="34" spans="1:13">
      <c r="A34" s="239" t="s">
        <v>384</v>
      </c>
      <c r="B34" s="239" t="s">
        <v>383</v>
      </c>
      <c r="C34" s="240"/>
      <c r="D34" s="241">
        <v>479</v>
      </c>
      <c r="E34" s="236">
        <v>30</v>
      </c>
      <c r="F34" s="236"/>
      <c r="G34" s="236"/>
      <c r="H34" s="236">
        <v>9</v>
      </c>
      <c r="I34" s="236">
        <v>1.5</v>
      </c>
      <c r="J34" s="242">
        <v>5228</v>
      </c>
      <c r="K34" s="243" t="s">
        <v>275</v>
      </c>
      <c r="L34" s="236"/>
      <c r="M34" s="988" t="s">
        <v>941</v>
      </c>
    </row>
    <row r="35" spans="1:13">
      <c r="A35" s="239" t="s">
        <v>382</v>
      </c>
      <c r="B35" s="239" t="s">
        <v>381</v>
      </c>
      <c r="C35" s="240"/>
      <c r="D35" s="241">
        <v>479</v>
      </c>
      <c r="E35" s="236">
        <v>30</v>
      </c>
      <c r="F35" s="236"/>
      <c r="G35" s="236"/>
      <c r="H35" s="236">
        <v>9</v>
      </c>
      <c r="I35" s="236">
        <v>1.5</v>
      </c>
      <c r="J35" s="242">
        <v>5225</v>
      </c>
      <c r="K35" s="243" t="s">
        <v>275</v>
      </c>
      <c r="L35" s="236"/>
      <c r="M35" s="988" t="s">
        <v>942</v>
      </c>
    </row>
    <row r="36" spans="1:13">
      <c r="A36" s="239" t="s">
        <v>265</v>
      </c>
      <c r="B36" s="239" t="s">
        <v>282</v>
      </c>
      <c r="C36" s="240"/>
      <c r="D36" s="241">
        <v>479</v>
      </c>
      <c r="E36" s="236">
        <v>30</v>
      </c>
      <c r="F36" s="236"/>
      <c r="G36" s="236"/>
      <c r="H36" s="236">
        <v>9</v>
      </c>
      <c r="I36" s="236">
        <v>1.5</v>
      </c>
      <c r="J36" s="242">
        <v>5225</v>
      </c>
      <c r="K36" s="243" t="s">
        <v>275</v>
      </c>
      <c r="L36" s="236"/>
      <c r="M36" s="988" t="s">
        <v>943</v>
      </c>
    </row>
    <row r="37" spans="1:13">
      <c r="A37" s="239" t="s">
        <v>380</v>
      </c>
      <c r="B37" s="239" t="s">
        <v>1324</v>
      </c>
      <c r="C37" s="240"/>
      <c r="D37" s="241">
        <v>341</v>
      </c>
      <c r="E37" s="236">
        <v>18</v>
      </c>
      <c r="F37" s="236"/>
      <c r="G37" s="236"/>
      <c r="H37" s="236">
        <v>13</v>
      </c>
      <c r="I37" s="236">
        <v>1</v>
      </c>
      <c r="J37" s="242">
        <v>6751</v>
      </c>
      <c r="K37" s="243" t="s">
        <v>275</v>
      </c>
      <c r="L37" s="236"/>
      <c r="M37" s="988" t="s">
        <v>944</v>
      </c>
    </row>
    <row r="38" spans="1:13">
      <c r="A38" s="239" t="s">
        <v>379</v>
      </c>
      <c r="B38" s="239" t="s">
        <v>378</v>
      </c>
      <c r="C38" s="240"/>
      <c r="D38" s="241">
        <v>341</v>
      </c>
      <c r="E38" s="236">
        <v>18</v>
      </c>
      <c r="F38" s="236"/>
      <c r="G38" s="236"/>
      <c r="H38" s="236">
        <v>13</v>
      </c>
      <c r="I38" s="236">
        <v>1</v>
      </c>
      <c r="J38" s="242">
        <v>6761</v>
      </c>
      <c r="K38" s="243" t="s">
        <v>275</v>
      </c>
      <c r="L38" s="236"/>
      <c r="M38" s="988" t="s">
        <v>945</v>
      </c>
    </row>
    <row r="39" spans="1:13">
      <c r="A39" s="239" t="s">
        <v>377</v>
      </c>
      <c r="B39" s="239" t="s">
        <v>376</v>
      </c>
      <c r="C39" s="240"/>
      <c r="D39" s="241">
        <v>341</v>
      </c>
      <c r="E39" s="236">
        <v>21</v>
      </c>
      <c r="F39" s="236"/>
      <c r="G39" s="236"/>
      <c r="H39" s="236">
        <v>13</v>
      </c>
      <c r="I39" s="236">
        <v>1</v>
      </c>
      <c r="J39" s="242">
        <v>6721</v>
      </c>
      <c r="K39" s="243" t="s">
        <v>275</v>
      </c>
      <c r="L39" s="236"/>
      <c r="M39" s="988" t="s">
        <v>946</v>
      </c>
    </row>
    <row r="40" spans="1:13">
      <c r="A40" s="239" t="s">
        <v>375</v>
      </c>
      <c r="B40" s="239" t="s">
        <v>374</v>
      </c>
      <c r="C40" s="240"/>
      <c r="D40" s="241">
        <v>341</v>
      </c>
      <c r="E40" s="236">
        <v>23</v>
      </c>
      <c r="F40" s="239"/>
      <c r="G40" s="236"/>
      <c r="H40" s="236">
        <v>13</v>
      </c>
      <c r="I40" s="236">
        <v>1</v>
      </c>
      <c r="J40" s="242">
        <v>6711</v>
      </c>
      <c r="K40" s="243" t="s">
        <v>275</v>
      </c>
      <c r="L40" s="236"/>
      <c r="M40" s="988" t="s">
        <v>947</v>
      </c>
    </row>
    <row r="41" spans="1:13">
      <c r="A41" s="239" t="s">
        <v>373</v>
      </c>
      <c r="B41" s="239" t="s">
        <v>372</v>
      </c>
      <c r="C41" s="240"/>
      <c r="D41" s="241">
        <v>341</v>
      </c>
      <c r="E41" s="236">
        <v>18</v>
      </c>
      <c r="F41" s="239"/>
      <c r="G41" s="236"/>
      <c r="H41" s="236">
        <v>13</v>
      </c>
      <c r="I41" s="236">
        <v>1</v>
      </c>
      <c r="J41" s="242">
        <v>6741</v>
      </c>
      <c r="K41" s="243" t="s">
        <v>275</v>
      </c>
      <c r="L41" s="236"/>
      <c r="M41" s="988" t="s">
        <v>948</v>
      </c>
    </row>
    <row r="42" spans="1:13">
      <c r="A42" s="239" t="s">
        <v>371</v>
      </c>
      <c r="B42" s="239" t="s">
        <v>420</v>
      </c>
      <c r="C42" s="240"/>
      <c r="D42" s="241">
        <v>375</v>
      </c>
      <c r="E42" s="236">
        <v>18</v>
      </c>
      <c r="F42" s="236"/>
      <c r="G42" s="236"/>
      <c r="H42" s="236">
        <v>13</v>
      </c>
      <c r="I42" s="236">
        <v>1</v>
      </c>
      <c r="J42" s="242">
        <v>6731</v>
      </c>
      <c r="K42" s="243" t="s">
        <v>275</v>
      </c>
      <c r="L42" s="236"/>
      <c r="M42" s="988" t="s">
        <v>949</v>
      </c>
    </row>
    <row r="43" spans="1:13">
      <c r="A43" s="239" t="s">
        <v>370</v>
      </c>
      <c r="B43" s="239" t="s">
        <v>369</v>
      </c>
      <c r="C43" s="240"/>
      <c r="D43" s="241">
        <v>709</v>
      </c>
      <c r="E43" s="236">
        <v>40</v>
      </c>
      <c r="F43" s="236"/>
      <c r="G43" s="236"/>
      <c r="H43" s="236">
        <v>9</v>
      </c>
      <c r="I43" s="236">
        <v>2</v>
      </c>
      <c r="J43" s="242">
        <v>7972</v>
      </c>
      <c r="K43" s="243" t="s">
        <v>275</v>
      </c>
      <c r="L43" s="236"/>
      <c r="M43" s="988" t="s">
        <v>950</v>
      </c>
    </row>
    <row r="44" spans="1:13">
      <c r="A44" s="239" t="s">
        <v>293</v>
      </c>
      <c r="B44" s="239" t="s">
        <v>368</v>
      </c>
      <c r="C44" s="240"/>
      <c r="D44" s="241">
        <v>625</v>
      </c>
      <c r="E44" s="236">
        <v>70</v>
      </c>
      <c r="F44" s="236"/>
      <c r="G44" s="236"/>
      <c r="H44" s="935">
        <v>98</v>
      </c>
      <c r="I44" s="236">
        <v>0</v>
      </c>
      <c r="J44" s="242">
        <v>8530</v>
      </c>
      <c r="K44" s="243" t="s">
        <v>363</v>
      </c>
      <c r="L44" s="236"/>
      <c r="M44" s="244"/>
    </row>
    <row r="45" spans="1:13">
      <c r="A45" s="239" t="s">
        <v>367</v>
      </c>
      <c r="B45" s="239" t="s">
        <v>366</v>
      </c>
      <c r="C45" s="240"/>
      <c r="D45" s="241">
        <v>314</v>
      </c>
      <c r="E45" s="242">
        <v>35</v>
      </c>
      <c r="F45" s="236"/>
      <c r="G45" s="236"/>
      <c r="H45" s="935">
        <v>98</v>
      </c>
      <c r="I45" s="236">
        <v>0</v>
      </c>
      <c r="J45" s="242">
        <v>8530</v>
      </c>
      <c r="K45" s="243" t="s">
        <v>363</v>
      </c>
      <c r="L45" s="236"/>
      <c r="M45" s="244"/>
    </row>
    <row r="46" spans="1:13">
      <c r="A46" s="239" t="s">
        <v>365</v>
      </c>
      <c r="B46" s="239" t="s">
        <v>364</v>
      </c>
      <c r="C46" s="240"/>
      <c r="D46" s="241">
        <v>628</v>
      </c>
      <c r="E46" s="242">
        <v>70</v>
      </c>
      <c r="F46" s="236"/>
      <c r="G46" s="236"/>
      <c r="H46" s="935">
        <v>98</v>
      </c>
      <c r="I46" s="242">
        <v>0</v>
      </c>
      <c r="J46" s="242">
        <v>8530</v>
      </c>
      <c r="K46" s="243" t="s">
        <v>363</v>
      </c>
      <c r="L46" s="236"/>
      <c r="M46" s="244"/>
    </row>
    <row r="47" spans="1:13">
      <c r="A47" s="239" t="s">
        <v>752</v>
      </c>
      <c r="B47" s="239" t="s">
        <v>753</v>
      </c>
      <c r="C47" s="240"/>
      <c r="D47" s="241">
        <v>1256</v>
      </c>
      <c r="E47" s="242">
        <v>140</v>
      </c>
      <c r="F47" s="236"/>
      <c r="G47" s="236"/>
      <c r="H47" s="935">
        <v>98</v>
      </c>
      <c r="I47" s="242">
        <v>0</v>
      </c>
      <c r="J47" s="242">
        <v>8530</v>
      </c>
      <c r="K47" s="243" t="s">
        <v>363</v>
      </c>
      <c r="L47" s="236"/>
      <c r="M47" s="244"/>
    </row>
    <row r="48" spans="1:13">
      <c r="A48" s="239" t="s">
        <v>362</v>
      </c>
      <c r="B48" s="239" t="s">
        <v>361</v>
      </c>
      <c r="C48" s="240"/>
      <c r="D48" s="241">
        <v>1298</v>
      </c>
      <c r="E48" s="236">
        <v>80</v>
      </c>
      <c r="F48" s="236"/>
      <c r="G48" s="236"/>
      <c r="H48" s="236">
        <v>7</v>
      </c>
      <c r="I48" s="236">
        <v>4</v>
      </c>
      <c r="J48" s="242">
        <v>40</v>
      </c>
      <c r="K48" s="243" t="s">
        <v>356</v>
      </c>
      <c r="L48" s="236" t="s">
        <v>1518</v>
      </c>
      <c r="M48" s="988" t="s">
        <v>951</v>
      </c>
    </row>
    <row r="49" spans="1:13">
      <c r="A49" s="239" t="s">
        <v>360</v>
      </c>
      <c r="B49" s="239" t="s">
        <v>359</v>
      </c>
      <c r="C49" s="240"/>
      <c r="D49" s="241">
        <v>1298</v>
      </c>
      <c r="E49" s="236">
        <v>80</v>
      </c>
      <c r="F49" s="236"/>
      <c r="G49" s="236"/>
      <c r="H49" s="236">
        <v>7</v>
      </c>
      <c r="I49" s="236">
        <v>4</v>
      </c>
      <c r="J49" s="242">
        <v>70</v>
      </c>
      <c r="K49" s="243" t="s">
        <v>356</v>
      </c>
      <c r="L49" s="236" t="s">
        <v>1517</v>
      </c>
      <c r="M49" s="987" t="s">
        <v>952</v>
      </c>
    </row>
    <row r="50" spans="1:13">
      <c r="A50" s="239" t="s">
        <v>358</v>
      </c>
      <c r="B50" s="239" t="s">
        <v>357</v>
      </c>
      <c r="C50" s="240"/>
      <c r="D50" s="241">
        <v>1298</v>
      </c>
      <c r="E50" s="236">
        <v>80</v>
      </c>
      <c r="F50" s="236"/>
      <c r="G50" s="236"/>
      <c r="H50" s="236">
        <v>7</v>
      </c>
      <c r="I50" s="236">
        <v>4</v>
      </c>
      <c r="J50" s="242">
        <v>5226</v>
      </c>
      <c r="K50" s="243" t="s">
        <v>356</v>
      </c>
      <c r="L50" s="236" t="s">
        <v>1516</v>
      </c>
      <c r="M50" s="987" t="s">
        <v>953</v>
      </c>
    </row>
    <row r="51" spans="1:13">
      <c r="A51" s="247" t="s">
        <v>355</v>
      </c>
      <c r="B51" s="239" t="s">
        <v>354</v>
      </c>
      <c r="C51" s="236"/>
      <c r="D51" s="241">
        <v>329</v>
      </c>
      <c r="E51" s="242">
        <v>0</v>
      </c>
      <c r="F51" s="236"/>
      <c r="G51" s="236"/>
      <c r="H51" s="935">
        <v>98</v>
      </c>
      <c r="I51" s="242">
        <v>0</v>
      </c>
      <c r="J51" s="242">
        <v>8998</v>
      </c>
      <c r="K51" s="248" t="s">
        <v>838</v>
      </c>
      <c r="L51" s="236"/>
      <c r="M51" s="244"/>
    </row>
    <row r="52" spans="1:13" s="245" customFormat="1">
      <c r="A52" s="247" t="s">
        <v>1028</v>
      </c>
      <c r="B52" s="239" t="s">
        <v>1029</v>
      </c>
      <c r="C52" s="236"/>
      <c r="D52" s="241">
        <v>53</v>
      </c>
      <c r="E52" s="242">
        <v>0</v>
      </c>
      <c r="F52" s="236"/>
      <c r="G52" s="236"/>
      <c r="H52" s="935">
        <v>98</v>
      </c>
      <c r="I52" s="242">
        <v>0</v>
      </c>
      <c r="J52" s="242">
        <v>8999</v>
      </c>
      <c r="K52" s="248" t="s">
        <v>838</v>
      </c>
      <c r="L52" s="236"/>
      <c r="M52" s="244"/>
    </row>
    <row r="53" spans="1:13" s="245" customFormat="1">
      <c r="A53" s="247" t="s">
        <v>1030</v>
      </c>
      <c r="B53" s="239" t="s">
        <v>1031</v>
      </c>
      <c r="C53" s="236"/>
      <c r="D53" s="241">
        <v>99</v>
      </c>
      <c r="E53" s="242">
        <v>0</v>
      </c>
      <c r="F53" s="236"/>
      <c r="G53" s="236"/>
      <c r="H53" s="242">
        <v>18</v>
      </c>
      <c r="I53" s="242">
        <v>0</v>
      </c>
      <c r="J53" s="242">
        <v>9000</v>
      </c>
      <c r="K53" s="248" t="s">
        <v>291</v>
      </c>
      <c r="L53" s="236"/>
      <c r="M53" s="244"/>
    </row>
    <row r="54" spans="1:13" s="245" customFormat="1">
      <c r="A54" s="247" t="s">
        <v>775</v>
      </c>
      <c r="B54" s="236" t="s">
        <v>281</v>
      </c>
      <c r="C54" s="236"/>
      <c r="D54" s="241">
        <v>549</v>
      </c>
      <c r="E54" s="242">
        <v>30</v>
      </c>
      <c r="F54" s="236"/>
      <c r="G54" s="236"/>
      <c r="H54" s="242">
        <v>9</v>
      </c>
      <c r="I54" s="242">
        <v>1.5</v>
      </c>
      <c r="J54" s="242">
        <v>21</v>
      </c>
      <c r="K54" s="243" t="s">
        <v>275</v>
      </c>
      <c r="L54" s="236"/>
      <c r="M54" s="987" t="s">
        <v>954</v>
      </c>
    </row>
    <row r="55" spans="1:13" s="245" customFormat="1">
      <c r="A55" s="236" t="s">
        <v>794</v>
      </c>
      <c r="B55" s="236" t="s">
        <v>353</v>
      </c>
      <c r="C55" s="236"/>
      <c r="D55" s="241">
        <v>341</v>
      </c>
      <c r="E55" s="242">
        <v>20</v>
      </c>
      <c r="F55" s="236"/>
      <c r="G55" s="236"/>
      <c r="H55" s="242">
        <v>9</v>
      </c>
      <c r="I55" s="242">
        <v>1</v>
      </c>
      <c r="J55" s="242">
        <v>21</v>
      </c>
      <c r="K55" s="243" t="s">
        <v>275</v>
      </c>
      <c r="L55" s="236"/>
      <c r="M55" s="987" t="s">
        <v>955</v>
      </c>
    </row>
    <row r="56" spans="1:13" s="935" customFormat="1">
      <c r="A56" s="935" t="s">
        <v>1579</v>
      </c>
      <c r="B56" s="935" t="s">
        <v>1580</v>
      </c>
      <c r="D56" s="935">
        <v>125</v>
      </c>
      <c r="E56" s="935">
        <v>10</v>
      </c>
      <c r="H56" s="236">
        <v>10</v>
      </c>
      <c r="J56" s="935">
        <v>10</v>
      </c>
    </row>
    <row r="57" spans="1:13" s="935" customFormat="1">
      <c r="A57" s="935" t="s">
        <v>1616</v>
      </c>
      <c r="B57" s="935" t="s">
        <v>1583</v>
      </c>
      <c r="D57" s="935">
        <v>5</v>
      </c>
      <c r="E57" s="935">
        <v>0</v>
      </c>
      <c r="H57" s="935">
        <v>98</v>
      </c>
      <c r="J57" s="935">
        <v>9999</v>
      </c>
    </row>
    <row r="58" spans="1:13" s="935" customFormat="1">
      <c r="A58" s="935" t="s">
        <v>1581</v>
      </c>
      <c r="B58" s="935" t="s">
        <v>1582</v>
      </c>
      <c r="D58" s="935">
        <v>10</v>
      </c>
      <c r="E58" s="935">
        <v>0</v>
      </c>
      <c r="H58" s="935">
        <v>98</v>
      </c>
      <c r="J58" s="935">
        <v>9999</v>
      </c>
    </row>
    <row r="59" spans="1:13" s="935" customFormat="1">
      <c r="A59" s="935" t="s">
        <v>1584</v>
      </c>
      <c r="B59" s="935" t="s">
        <v>1585</v>
      </c>
      <c r="D59" s="935">
        <v>225</v>
      </c>
      <c r="E59" s="935">
        <v>20</v>
      </c>
      <c r="H59" s="236">
        <v>10</v>
      </c>
      <c r="J59" s="935">
        <v>10</v>
      </c>
    </row>
    <row r="60" spans="1:13" s="935" customFormat="1">
      <c r="A60" s="935" t="s">
        <v>1617</v>
      </c>
      <c r="B60" s="935" t="s">
        <v>1587</v>
      </c>
      <c r="D60" s="935">
        <v>10</v>
      </c>
      <c r="E60" s="935">
        <v>0</v>
      </c>
      <c r="H60" s="935">
        <v>98</v>
      </c>
      <c r="J60" s="935">
        <v>9999</v>
      </c>
    </row>
    <row r="61" spans="1:13" s="935" customFormat="1">
      <c r="A61" s="935" t="s">
        <v>1586</v>
      </c>
      <c r="B61" s="935" t="s">
        <v>1582</v>
      </c>
      <c r="D61" s="935">
        <v>20</v>
      </c>
      <c r="E61" s="935">
        <v>0</v>
      </c>
      <c r="H61" s="935">
        <v>98</v>
      </c>
      <c r="J61" s="935">
        <v>9999</v>
      </c>
    </row>
    <row r="62" spans="1:13" s="935" customFormat="1">
      <c r="A62" s="935" t="s">
        <v>1588</v>
      </c>
      <c r="B62" s="935" t="s">
        <v>1589</v>
      </c>
      <c r="D62" s="935">
        <v>450</v>
      </c>
      <c r="E62" s="935">
        <v>40</v>
      </c>
      <c r="H62" s="236">
        <v>10</v>
      </c>
      <c r="J62" s="935">
        <v>10</v>
      </c>
    </row>
    <row r="63" spans="1:13" s="935" customFormat="1">
      <c r="A63" s="935" t="s">
        <v>1610</v>
      </c>
      <c r="B63" s="935" t="s">
        <v>1591</v>
      </c>
      <c r="D63" s="935">
        <v>10</v>
      </c>
      <c r="E63" s="935">
        <v>0</v>
      </c>
      <c r="H63" s="935">
        <v>98</v>
      </c>
      <c r="J63" s="935">
        <v>9999</v>
      </c>
    </row>
    <row r="64" spans="1:13" s="935" customFormat="1">
      <c r="A64" s="935" t="s">
        <v>1590</v>
      </c>
      <c r="B64" s="935" t="s">
        <v>1582</v>
      </c>
      <c r="D64" s="935">
        <v>25</v>
      </c>
      <c r="E64" s="935">
        <v>0</v>
      </c>
      <c r="H64" s="935">
        <v>98</v>
      </c>
      <c r="J64" s="935">
        <v>9999</v>
      </c>
    </row>
    <row r="65" spans="1:13" s="935" customFormat="1">
      <c r="A65" s="935" t="s">
        <v>1592</v>
      </c>
      <c r="B65" s="935" t="s">
        <v>1593</v>
      </c>
      <c r="D65" s="935">
        <v>835</v>
      </c>
      <c r="E65" s="935">
        <v>80</v>
      </c>
      <c r="H65" s="236">
        <v>10</v>
      </c>
      <c r="J65" s="935">
        <v>10</v>
      </c>
    </row>
    <row r="66" spans="1:13" s="935" customFormat="1">
      <c r="A66" s="935" t="s">
        <v>1611</v>
      </c>
      <c r="B66" s="935" t="s">
        <v>1587</v>
      </c>
      <c r="D66" s="935">
        <v>20</v>
      </c>
      <c r="E66" s="935">
        <v>0</v>
      </c>
      <c r="H66" s="935">
        <v>98</v>
      </c>
      <c r="J66" s="935">
        <v>9999</v>
      </c>
    </row>
    <row r="67" spans="1:13" s="935" customFormat="1">
      <c r="A67" s="935" t="s">
        <v>1594</v>
      </c>
      <c r="B67" s="935" t="s">
        <v>1595</v>
      </c>
      <c r="D67" s="935">
        <v>40</v>
      </c>
      <c r="E67" s="935">
        <v>0</v>
      </c>
      <c r="H67" s="935">
        <v>98</v>
      </c>
      <c r="J67" s="935">
        <v>9999</v>
      </c>
    </row>
    <row r="68" spans="1:13" s="935" customFormat="1">
      <c r="A68" s="935" t="s">
        <v>1596</v>
      </c>
      <c r="B68" s="935" t="s">
        <v>1597</v>
      </c>
      <c r="D68" s="935">
        <v>825</v>
      </c>
      <c r="E68" s="935">
        <v>80</v>
      </c>
      <c r="H68" s="236">
        <v>10</v>
      </c>
      <c r="J68" s="935">
        <v>10</v>
      </c>
    </row>
    <row r="69" spans="1:13" s="935" customFormat="1">
      <c r="A69" s="935" t="s">
        <v>1612</v>
      </c>
      <c r="B69" s="935" t="s">
        <v>1587</v>
      </c>
      <c r="D69" s="935">
        <v>25</v>
      </c>
      <c r="E69" s="935">
        <v>0</v>
      </c>
      <c r="H69" s="935">
        <v>98</v>
      </c>
      <c r="J69" s="935">
        <v>9999</v>
      </c>
    </row>
    <row r="70" spans="1:13" s="935" customFormat="1">
      <c r="A70" s="935" t="s">
        <v>1598</v>
      </c>
      <c r="B70" s="935" t="s">
        <v>1599</v>
      </c>
      <c r="D70" s="935">
        <v>40</v>
      </c>
      <c r="E70" s="935">
        <v>0</v>
      </c>
      <c r="H70" s="935">
        <v>98</v>
      </c>
      <c r="J70" s="935">
        <v>9999</v>
      </c>
    </row>
    <row r="71" spans="1:13" s="935" customFormat="1">
      <c r="A71" s="935" t="s">
        <v>1600</v>
      </c>
      <c r="B71" s="935" t="s">
        <v>1601</v>
      </c>
      <c r="D71" s="935">
        <v>1595</v>
      </c>
      <c r="E71" s="935">
        <v>160</v>
      </c>
      <c r="H71" s="236">
        <v>10</v>
      </c>
      <c r="J71" s="935">
        <v>10</v>
      </c>
    </row>
    <row r="72" spans="1:13" s="935" customFormat="1">
      <c r="A72" s="935" t="s">
        <v>1613</v>
      </c>
      <c r="B72" s="935" t="s">
        <v>1587</v>
      </c>
      <c r="D72" s="935">
        <v>30</v>
      </c>
      <c r="E72" s="935">
        <v>0</v>
      </c>
      <c r="H72" s="935">
        <v>98</v>
      </c>
      <c r="J72" s="935">
        <v>9999</v>
      </c>
    </row>
    <row r="73" spans="1:13" s="935" customFormat="1">
      <c r="A73" s="935" t="s">
        <v>1602</v>
      </c>
      <c r="B73" s="935" t="s">
        <v>1599</v>
      </c>
      <c r="D73" s="935">
        <v>70</v>
      </c>
      <c r="E73" s="935">
        <v>0</v>
      </c>
      <c r="H73" s="935">
        <v>98</v>
      </c>
      <c r="J73" s="935">
        <v>9999</v>
      </c>
    </row>
    <row r="74" spans="1:13" s="935" customFormat="1">
      <c r="A74" s="935" t="s">
        <v>1603</v>
      </c>
      <c r="B74" s="935" t="s">
        <v>1604</v>
      </c>
      <c r="D74" s="935">
        <v>1295</v>
      </c>
      <c r="E74" s="935">
        <v>120</v>
      </c>
      <c r="H74" s="236">
        <v>10</v>
      </c>
      <c r="J74" s="935">
        <v>10</v>
      </c>
    </row>
    <row r="75" spans="1:13" s="935" customFormat="1">
      <c r="A75" s="935" t="s">
        <v>1614</v>
      </c>
      <c r="B75" s="935" t="s">
        <v>1606</v>
      </c>
      <c r="D75" s="935">
        <v>25</v>
      </c>
      <c r="E75" s="935">
        <v>0</v>
      </c>
      <c r="H75" s="935">
        <v>98</v>
      </c>
      <c r="J75" s="935">
        <v>9999</v>
      </c>
    </row>
    <row r="76" spans="1:13" s="935" customFormat="1">
      <c r="A76" s="935" t="s">
        <v>1605</v>
      </c>
      <c r="B76" s="935" t="s">
        <v>1582</v>
      </c>
      <c r="D76" s="935">
        <v>45</v>
      </c>
      <c r="E76" s="935">
        <v>0</v>
      </c>
      <c r="H76" s="935">
        <v>98</v>
      </c>
      <c r="J76" s="935">
        <v>9999</v>
      </c>
    </row>
    <row r="77" spans="1:13" s="935" customFormat="1">
      <c r="A77" s="935" t="s">
        <v>1607</v>
      </c>
      <c r="B77" s="935" t="s">
        <v>1608</v>
      </c>
      <c r="D77" s="935">
        <v>2390</v>
      </c>
      <c r="E77" s="935">
        <v>240</v>
      </c>
      <c r="H77" s="236">
        <v>10</v>
      </c>
      <c r="J77" s="935">
        <v>10</v>
      </c>
    </row>
    <row r="78" spans="1:13" s="935" customFormat="1">
      <c r="A78" s="935" t="s">
        <v>1615</v>
      </c>
      <c r="B78" s="935" t="s">
        <v>1587</v>
      </c>
      <c r="D78" s="935">
        <v>40</v>
      </c>
      <c r="E78" s="935">
        <v>0</v>
      </c>
      <c r="H78" s="935">
        <v>98</v>
      </c>
      <c r="J78" s="935">
        <v>9999</v>
      </c>
    </row>
    <row r="79" spans="1:13" s="935" customFormat="1">
      <c r="A79" s="935" t="s">
        <v>1609</v>
      </c>
      <c r="B79" s="935" t="s">
        <v>1582</v>
      </c>
      <c r="D79" s="935">
        <v>65</v>
      </c>
      <c r="E79" s="935">
        <v>0</v>
      </c>
      <c r="H79" s="935">
        <v>98</v>
      </c>
      <c r="J79" s="935">
        <v>9999</v>
      </c>
    </row>
    <row r="80" spans="1:13">
      <c r="A80" s="239" t="s">
        <v>889</v>
      </c>
      <c r="B80" s="239" t="s">
        <v>352</v>
      </c>
      <c r="C80" s="240"/>
      <c r="D80" s="241">
        <v>699</v>
      </c>
      <c r="E80" s="242">
        <v>40</v>
      </c>
      <c r="F80" s="236"/>
      <c r="G80" s="236"/>
      <c r="H80" s="242">
        <v>9</v>
      </c>
      <c r="I80" s="242">
        <v>2</v>
      </c>
      <c r="J80" s="242">
        <v>5229</v>
      </c>
      <c r="K80" s="243" t="s">
        <v>275</v>
      </c>
      <c r="L80" s="236"/>
      <c r="M80" s="988" t="s">
        <v>956</v>
      </c>
    </row>
    <row r="81" spans="1:13">
      <c r="A81" s="242" t="s">
        <v>892</v>
      </c>
      <c r="B81" s="239" t="s">
        <v>278</v>
      </c>
      <c r="C81" s="240" t="s">
        <v>761</v>
      </c>
      <c r="D81" s="241">
        <v>389</v>
      </c>
      <c r="E81" s="242">
        <v>28</v>
      </c>
      <c r="F81" s="242"/>
      <c r="G81" s="242"/>
      <c r="H81" s="242">
        <v>4</v>
      </c>
      <c r="I81" s="236">
        <v>1.5</v>
      </c>
      <c r="J81" s="242">
        <v>51</v>
      </c>
      <c r="K81" s="243" t="s">
        <v>763</v>
      </c>
      <c r="L81" s="236"/>
      <c r="M81" s="988" t="s">
        <v>957</v>
      </c>
    </row>
    <row r="82" spans="1:13">
      <c r="A82" s="242" t="s">
        <v>893</v>
      </c>
      <c r="B82" s="236" t="s">
        <v>279</v>
      </c>
      <c r="C82" s="240" t="s">
        <v>761</v>
      </c>
      <c r="D82" s="241">
        <v>389</v>
      </c>
      <c r="E82" s="242">
        <v>35</v>
      </c>
      <c r="F82" s="242"/>
      <c r="G82" s="242"/>
      <c r="H82" s="242">
        <v>4</v>
      </c>
      <c r="I82" s="236">
        <v>2</v>
      </c>
      <c r="J82" s="242">
        <v>52</v>
      </c>
      <c r="K82" s="243" t="s">
        <v>763</v>
      </c>
      <c r="L82" s="236"/>
      <c r="M82" s="988" t="s">
        <v>958</v>
      </c>
    </row>
    <row r="83" spans="1:13">
      <c r="A83" s="242" t="s">
        <v>894</v>
      </c>
      <c r="B83" s="236" t="s">
        <v>351</v>
      </c>
      <c r="C83" s="240" t="s">
        <v>761</v>
      </c>
      <c r="D83" s="241">
        <v>399</v>
      </c>
      <c r="E83" s="242">
        <v>35</v>
      </c>
      <c r="F83" s="242"/>
      <c r="G83" s="242"/>
      <c r="H83" s="242">
        <v>4</v>
      </c>
      <c r="I83" s="236">
        <v>2</v>
      </c>
      <c r="J83" s="242">
        <v>53</v>
      </c>
      <c r="K83" s="243" t="s">
        <v>763</v>
      </c>
      <c r="L83" s="236"/>
      <c r="M83" s="988" t="s">
        <v>959</v>
      </c>
    </row>
    <row r="84" spans="1:13">
      <c r="A84" s="236" t="s">
        <v>1504</v>
      </c>
      <c r="B84" s="236" t="s">
        <v>350</v>
      </c>
      <c r="C84" s="236"/>
      <c r="D84" s="241">
        <v>949</v>
      </c>
      <c r="E84" s="242">
        <v>75</v>
      </c>
      <c r="F84" s="249"/>
      <c r="G84" s="249"/>
      <c r="H84" s="242">
        <v>18</v>
      </c>
      <c r="I84" s="242">
        <v>4</v>
      </c>
      <c r="J84" s="242">
        <v>8842</v>
      </c>
      <c r="K84" s="243"/>
      <c r="L84" s="249"/>
      <c r="M84" s="988" t="s">
        <v>960</v>
      </c>
    </row>
    <row r="85" spans="1:13">
      <c r="A85" s="236" t="s">
        <v>1505</v>
      </c>
      <c r="B85" s="236" t="s">
        <v>349</v>
      </c>
      <c r="C85" s="236"/>
      <c r="D85" s="241">
        <v>949</v>
      </c>
      <c r="E85" s="242">
        <v>75</v>
      </c>
      <c r="F85" s="249"/>
      <c r="G85" s="249"/>
      <c r="H85" s="242">
        <v>18</v>
      </c>
      <c r="I85" s="242">
        <v>4</v>
      </c>
      <c r="J85" s="242">
        <v>8843</v>
      </c>
      <c r="K85" s="243"/>
      <c r="L85" s="249"/>
      <c r="M85" s="988" t="s">
        <v>961</v>
      </c>
    </row>
    <row r="86" spans="1:13">
      <c r="A86" s="242" t="s">
        <v>1683</v>
      </c>
      <c r="B86" s="242" t="s">
        <v>963</v>
      </c>
      <c r="C86" s="236"/>
      <c r="D86" s="241">
        <v>988</v>
      </c>
      <c r="E86" s="242">
        <v>100</v>
      </c>
      <c r="F86" s="249"/>
      <c r="G86" s="249"/>
      <c r="H86" s="242">
        <v>18</v>
      </c>
      <c r="I86" s="242">
        <v>5</v>
      </c>
      <c r="J86" s="242">
        <v>8909</v>
      </c>
      <c r="K86" s="243"/>
      <c r="L86" s="249"/>
      <c r="M86" s="988" t="s">
        <v>962</v>
      </c>
    </row>
    <row r="87" spans="1:13" s="245" customFormat="1">
      <c r="A87" s="242" t="s">
        <v>1684</v>
      </c>
      <c r="B87" s="242" t="s">
        <v>966</v>
      </c>
      <c r="C87" s="236"/>
      <c r="D87" s="241">
        <v>988</v>
      </c>
      <c r="E87" s="242">
        <v>100</v>
      </c>
      <c r="F87" s="249"/>
      <c r="G87" s="249"/>
      <c r="H87" s="242">
        <v>18</v>
      </c>
      <c r="I87" s="242">
        <v>5</v>
      </c>
      <c r="J87" s="242">
        <v>8910</v>
      </c>
      <c r="K87" s="243"/>
      <c r="L87" s="249"/>
      <c r="M87" s="988" t="s">
        <v>964</v>
      </c>
    </row>
    <row r="88" spans="1:13" s="245" customFormat="1">
      <c r="A88" s="242" t="s">
        <v>1685</v>
      </c>
      <c r="B88" s="242" t="s">
        <v>965</v>
      </c>
      <c r="C88" s="236"/>
      <c r="D88" s="241">
        <v>988</v>
      </c>
      <c r="E88" s="242">
        <v>100</v>
      </c>
      <c r="F88" s="249"/>
      <c r="G88" s="249"/>
      <c r="H88" s="242">
        <v>18</v>
      </c>
      <c r="I88" s="242">
        <v>5</v>
      </c>
      <c r="J88" s="242">
        <v>8911</v>
      </c>
      <c r="K88" s="243"/>
      <c r="L88" s="249"/>
      <c r="M88" s="988" t="s">
        <v>968</v>
      </c>
    </row>
    <row r="89" spans="1:13" s="245" customFormat="1">
      <c r="A89" s="242" t="s">
        <v>1686</v>
      </c>
      <c r="B89" s="242" t="s">
        <v>835</v>
      </c>
      <c r="C89" s="236"/>
      <c r="D89" s="241">
        <v>949</v>
      </c>
      <c r="E89" s="242">
        <v>75</v>
      </c>
      <c r="F89" s="249"/>
      <c r="G89" s="249"/>
      <c r="H89" s="242">
        <v>18</v>
      </c>
      <c r="I89" s="242">
        <v>4</v>
      </c>
      <c r="J89" s="242">
        <v>8908</v>
      </c>
      <c r="K89" s="243"/>
      <c r="L89" s="249"/>
      <c r="M89" s="988" t="s">
        <v>967</v>
      </c>
    </row>
    <row r="90" spans="1:13" s="245" customFormat="1">
      <c r="A90" s="242" t="s">
        <v>1687</v>
      </c>
      <c r="B90" s="236" t="s">
        <v>834</v>
      </c>
      <c r="C90" s="236"/>
      <c r="D90" s="241">
        <v>949</v>
      </c>
      <c r="E90" s="242">
        <v>75</v>
      </c>
      <c r="F90" s="249"/>
      <c r="G90" s="249"/>
      <c r="H90" s="242">
        <v>18</v>
      </c>
      <c r="I90" s="242">
        <v>4</v>
      </c>
      <c r="J90" s="242">
        <v>8907</v>
      </c>
      <c r="K90" s="243"/>
      <c r="L90" s="249"/>
      <c r="M90" s="988" t="s">
        <v>969</v>
      </c>
    </row>
    <row r="91" spans="1:13" s="245" customFormat="1">
      <c r="A91" s="242" t="s">
        <v>1688</v>
      </c>
      <c r="B91" s="236" t="s">
        <v>336</v>
      </c>
      <c r="C91" s="236"/>
      <c r="D91" s="241">
        <v>949</v>
      </c>
      <c r="E91" s="242">
        <v>75</v>
      </c>
      <c r="F91" s="249"/>
      <c r="G91" s="249"/>
      <c r="H91" s="242">
        <v>18</v>
      </c>
      <c r="I91" s="242">
        <v>4</v>
      </c>
      <c r="J91" s="242">
        <v>8845</v>
      </c>
      <c r="K91" s="250"/>
      <c r="L91" s="249"/>
      <c r="M91" s="988" t="s">
        <v>970</v>
      </c>
    </row>
    <row r="92" spans="1:13" s="245" customFormat="1">
      <c r="A92" s="242" t="s">
        <v>1323</v>
      </c>
      <c r="B92" s="236" t="s">
        <v>1319</v>
      </c>
      <c r="C92" s="236"/>
      <c r="D92" s="241">
        <v>889</v>
      </c>
      <c r="E92" s="242">
        <v>75</v>
      </c>
      <c r="F92" s="249"/>
      <c r="G92" s="249"/>
      <c r="H92" s="242">
        <v>14</v>
      </c>
      <c r="I92" s="242">
        <v>4</v>
      </c>
      <c r="J92" s="242">
        <v>8912</v>
      </c>
      <c r="K92" s="243" t="s">
        <v>312</v>
      </c>
      <c r="L92" s="249"/>
      <c r="M92" s="988"/>
    </row>
    <row r="93" spans="1:13" s="245" customFormat="1">
      <c r="A93" s="242" t="s">
        <v>1243</v>
      </c>
      <c r="B93" s="236" t="s">
        <v>1322</v>
      </c>
      <c r="C93" s="236"/>
      <c r="D93" s="241">
        <v>889</v>
      </c>
      <c r="E93" s="242">
        <v>105</v>
      </c>
      <c r="F93" s="249"/>
      <c r="G93" s="249"/>
      <c r="H93" s="242">
        <v>14</v>
      </c>
      <c r="I93" s="242">
        <v>5.5</v>
      </c>
      <c r="J93" s="242">
        <v>8912</v>
      </c>
      <c r="K93" s="243" t="s">
        <v>312</v>
      </c>
      <c r="L93" s="249"/>
      <c r="M93" s="988"/>
    </row>
    <row r="94" spans="1:13" s="245" customFormat="1">
      <c r="A94" s="242" t="s">
        <v>1000</v>
      </c>
      <c r="B94" s="236" t="s">
        <v>1321</v>
      </c>
      <c r="C94" s="236"/>
      <c r="D94" s="241">
        <v>889</v>
      </c>
      <c r="E94" s="242">
        <v>113</v>
      </c>
      <c r="F94" s="249"/>
      <c r="G94" s="249"/>
      <c r="H94" s="242">
        <v>14</v>
      </c>
      <c r="I94" s="242">
        <v>5.5</v>
      </c>
      <c r="J94" s="242">
        <v>8849</v>
      </c>
      <c r="K94" s="243" t="s">
        <v>312</v>
      </c>
      <c r="L94" s="249"/>
      <c r="M94" s="238"/>
    </row>
    <row r="95" spans="1:13" s="245" customFormat="1">
      <c r="A95" s="242" t="s">
        <v>1001</v>
      </c>
      <c r="B95" s="236" t="s">
        <v>1320</v>
      </c>
      <c r="C95" s="236"/>
      <c r="D95" s="241">
        <v>889</v>
      </c>
      <c r="E95" s="242">
        <v>75</v>
      </c>
      <c r="F95" s="249"/>
      <c r="G95" s="249"/>
      <c r="H95" s="242">
        <v>14</v>
      </c>
      <c r="I95" s="242">
        <v>4</v>
      </c>
      <c r="J95" s="242">
        <v>8849</v>
      </c>
      <c r="K95" s="243" t="s">
        <v>312</v>
      </c>
      <c r="L95" s="249"/>
      <c r="M95" s="238"/>
    </row>
    <row r="96" spans="1:13" s="245" customFormat="1">
      <c r="A96" s="242" t="s">
        <v>833</v>
      </c>
      <c r="B96" s="236" t="s">
        <v>858</v>
      </c>
      <c r="C96" s="236"/>
      <c r="D96" s="241">
        <v>649</v>
      </c>
      <c r="E96" s="242">
        <v>50</v>
      </c>
      <c r="F96" s="249"/>
      <c r="G96" s="249"/>
      <c r="H96" s="242">
        <v>18</v>
      </c>
      <c r="I96" s="242">
        <v>2.5</v>
      </c>
      <c r="J96" s="242">
        <v>8905</v>
      </c>
      <c r="K96" s="243"/>
      <c r="L96" s="249"/>
      <c r="M96" s="988" t="s">
        <v>971</v>
      </c>
    </row>
    <row r="97" spans="1:13" s="245" customFormat="1">
      <c r="A97" s="242" t="s">
        <v>1714</v>
      </c>
      <c r="B97" s="236" t="s">
        <v>1715</v>
      </c>
      <c r="C97" s="236"/>
      <c r="D97" s="241">
        <v>625</v>
      </c>
      <c r="E97" s="242">
        <v>39</v>
      </c>
      <c r="F97" s="249"/>
      <c r="G97" s="249"/>
      <c r="H97" s="242">
        <v>18</v>
      </c>
      <c r="I97" s="242">
        <v>2</v>
      </c>
      <c r="J97" s="242">
        <v>8999</v>
      </c>
      <c r="K97" s="243"/>
      <c r="L97" s="249"/>
      <c r="M97" s="988"/>
    </row>
    <row r="98" spans="1:13" s="245" customFormat="1">
      <c r="A98" s="242" t="s">
        <v>1555</v>
      </c>
      <c r="B98" s="242" t="s">
        <v>836</v>
      </c>
      <c r="C98" s="236"/>
      <c r="D98" s="241">
        <v>949</v>
      </c>
      <c r="E98" s="242">
        <v>75</v>
      </c>
      <c r="F98" s="249"/>
      <c r="G98" s="249"/>
      <c r="H98" s="242">
        <v>18</v>
      </c>
      <c r="I98" s="242">
        <v>4</v>
      </c>
      <c r="J98" s="242">
        <v>8903</v>
      </c>
      <c r="K98" s="243" t="s">
        <v>275</v>
      </c>
      <c r="L98" s="249"/>
      <c r="M98" s="988"/>
    </row>
    <row r="99" spans="1:13" s="245" customFormat="1">
      <c r="A99" s="242" t="s">
        <v>748</v>
      </c>
      <c r="B99" s="236" t="s">
        <v>335</v>
      </c>
      <c r="C99" s="236"/>
      <c r="D99" s="241">
        <v>949</v>
      </c>
      <c r="E99" s="242">
        <v>100</v>
      </c>
      <c r="F99" s="249"/>
      <c r="G99" s="249"/>
      <c r="H99" s="242">
        <v>18</v>
      </c>
      <c r="I99" s="242">
        <v>5</v>
      </c>
      <c r="J99" s="242">
        <v>8846</v>
      </c>
      <c r="K99" s="243"/>
      <c r="L99" s="249"/>
      <c r="M99" s="988" t="s">
        <v>972</v>
      </c>
    </row>
    <row r="100" spans="1:13" s="245" customFormat="1">
      <c r="A100" s="242" t="s">
        <v>749</v>
      </c>
      <c r="B100" s="236" t="s">
        <v>334</v>
      </c>
      <c r="C100" s="236"/>
      <c r="D100" s="241">
        <v>949</v>
      </c>
      <c r="E100" s="242">
        <v>100</v>
      </c>
      <c r="F100" s="249"/>
      <c r="G100" s="249"/>
      <c r="H100" s="242">
        <v>18</v>
      </c>
      <c r="I100" s="242">
        <v>5</v>
      </c>
      <c r="J100" s="242">
        <v>8847</v>
      </c>
      <c r="K100" s="243"/>
      <c r="L100" s="249"/>
      <c r="M100" s="988" t="s">
        <v>973</v>
      </c>
    </row>
    <row r="101" spans="1:13" s="245" customFormat="1">
      <c r="A101" s="242" t="s">
        <v>750</v>
      </c>
      <c r="B101" s="236" t="s">
        <v>348</v>
      </c>
      <c r="C101" s="236"/>
      <c r="D101" s="241">
        <v>949</v>
      </c>
      <c r="E101" s="242">
        <v>100</v>
      </c>
      <c r="F101" s="249"/>
      <c r="G101" s="249"/>
      <c r="H101" s="242">
        <v>18</v>
      </c>
      <c r="I101" s="242">
        <v>5</v>
      </c>
      <c r="J101" s="242">
        <v>8848</v>
      </c>
      <c r="K101" s="243"/>
      <c r="L101" s="249"/>
      <c r="M101" s="988" t="s">
        <v>974</v>
      </c>
    </row>
    <row r="102" spans="1:13" s="245" customFormat="1">
      <c r="A102" s="242" t="s">
        <v>831</v>
      </c>
      <c r="B102" s="242" t="s">
        <v>832</v>
      </c>
      <c r="C102" s="236"/>
      <c r="D102" s="241">
        <v>649</v>
      </c>
      <c r="E102" s="242">
        <v>50</v>
      </c>
      <c r="F102" s="249"/>
      <c r="G102" s="249"/>
      <c r="H102" s="242">
        <v>18</v>
      </c>
      <c r="I102" s="242">
        <v>2.5</v>
      </c>
      <c r="J102" s="242">
        <v>8904</v>
      </c>
      <c r="K102" s="243"/>
      <c r="L102" s="249"/>
      <c r="M102" s="988" t="s">
        <v>975</v>
      </c>
    </row>
    <row r="103" spans="1:13" s="245" customFormat="1">
      <c r="A103" s="239" t="s">
        <v>1511</v>
      </c>
      <c r="B103" s="239" t="s">
        <v>1085</v>
      </c>
      <c r="C103" s="240"/>
      <c r="D103" s="241">
        <v>1639</v>
      </c>
      <c r="E103" s="242">
        <v>150</v>
      </c>
      <c r="F103" s="236"/>
      <c r="G103" s="236"/>
      <c r="H103" s="242">
        <v>18</v>
      </c>
      <c r="I103" s="242">
        <v>7.5</v>
      </c>
      <c r="J103" s="242">
        <v>8816</v>
      </c>
      <c r="K103" s="243" t="s">
        <v>1086</v>
      </c>
      <c r="L103" s="236"/>
      <c r="M103" s="238"/>
    </row>
    <row r="104" spans="1:13" s="245" customFormat="1">
      <c r="A104" s="242" t="s">
        <v>1506</v>
      </c>
      <c r="B104" s="242" t="s">
        <v>857</v>
      </c>
      <c r="C104" s="236"/>
      <c r="D104" s="241">
        <v>649</v>
      </c>
      <c r="E104" s="242">
        <v>50</v>
      </c>
      <c r="F104" s="249"/>
      <c r="G104" s="249"/>
      <c r="H104" s="242">
        <v>18</v>
      </c>
      <c r="I104" s="242">
        <v>2.5</v>
      </c>
      <c r="J104" s="242">
        <v>8906</v>
      </c>
      <c r="K104" s="243"/>
      <c r="L104" s="249"/>
      <c r="M104" s="988" t="s">
        <v>1268</v>
      </c>
    </row>
    <row r="105" spans="1:13" s="245" customFormat="1">
      <c r="A105" s="242" t="s">
        <v>1507</v>
      </c>
      <c r="B105" s="236" t="s">
        <v>332</v>
      </c>
      <c r="C105" s="236"/>
      <c r="D105" s="241">
        <v>949</v>
      </c>
      <c r="E105" s="242">
        <v>75</v>
      </c>
      <c r="F105" s="249"/>
      <c r="G105" s="249"/>
      <c r="H105" s="242">
        <v>18</v>
      </c>
      <c r="I105" s="242">
        <v>4</v>
      </c>
      <c r="J105" s="242">
        <v>8844</v>
      </c>
      <c r="K105" s="243"/>
      <c r="L105" s="249"/>
      <c r="M105" s="988" t="s">
        <v>1271</v>
      </c>
    </row>
    <row r="106" spans="1:13" s="245" customFormat="1">
      <c r="A106" s="236" t="s">
        <v>1552</v>
      </c>
      <c r="B106" s="236" t="s">
        <v>347</v>
      </c>
      <c r="C106" s="236"/>
      <c r="D106" s="241">
        <v>949</v>
      </c>
      <c r="E106" s="242">
        <v>75</v>
      </c>
      <c r="F106" s="249"/>
      <c r="G106" s="249"/>
      <c r="H106" s="242">
        <v>18</v>
      </c>
      <c r="I106" s="242">
        <v>4</v>
      </c>
      <c r="J106" s="242">
        <v>8840</v>
      </c>
      <c r="K106" s="243" t="s">
        <v>275</v>
      </c>
      <c r="L106" s="249"/>
      <c r="M106" s="988" t="s">
        <v>1272</v>
      </c>
    </row>
    <row r="107" spans="1:13" s="245" customFormat="1">
      <c r="A107" s="242" t="s">
        <v>1508</v>
      </c>
      <c r="B107" s="236" t="s">
        <v>829</v>
      </c>
      <c r="C107" s="236"/>
      <c r="D107" s="241">
        <v>949</v>
      </c>
      <c r="E107" s="242">
        <v>75</v>
      </c>
      <c r="F107" s="249"/>
      <c r="G107" s="249"/>
      <c r="H107" s="242">
        <v>18</v>
      </c>
      <c r="I107" s="242">
        <v>4</v>
      </c>
      <c r="J107" s="242">
        <v>8901</v>
      </c>
      <c r="K107" s="243"/>
      <c r="L107" s="249"/>
      <c r="M107" s="988" t="s">
        <v>1269</v>
      </c>
    </row>
    <row r="108" spans="1:13" s="245" customFormat="1">
      <c r="A108" s="242" t="s">
        <v>1553</v>
      </c>
      <c r="B108" s="236" t="s">
        <v>829</v>
      </c>
      <c r="C108" s="236"/>
      <c r="D108" s="241">
        <v>949</v>
      </c>
      <c r="E108" s="242">
        <v>75</v>
      </c>
      <c r="F108" s="249"/>
      <c r="G108" s="249"/>
      <c r="H108" s="242">
        <v>18</v>
      </c>
      <c r="I108" s="242">
        <v>4</v>
      </c>
      <c r="J108" s="242">
        <v>8901</v>
      </c>
      <c r="K108" s="243" t="s">
        <v>275</v>
      </c>
      <c r="L108" s="249"/>
      <c r="M108" s="988" t="s">
        <v>1269</v>
      </c>
    </row>
    <row r="109" spans="1:13" s="245" customFormat="1">
      <c r="A109" s="242" t="s">
        <v>1509</v>
      </c>
      <c r="B109" s="242" t="s">
        <v>830</v>
      </c>
      <c r="C109" s="236"/>
      <c r="D109" s="241">
        <v>949</v>
      </c>
      <c r="E109" s="242">
        <v>75</v>
      </c>
      <c r="F109" s="249"/>
      <c r="G109" s="249"/>
      <c r="H109" s="242">
        <v>18</v>
      </c>
      <c r="I109" s="242">
        <v>4</v>
      </c>
      <c r="J109" s="242">
        <v>8902</v>
      </c>
      <c r="K109" s="243"/>
      <c r="L109" s="249"/>
      <c r="M109" s="988" t="s">
        <v>1270</v>
      </c>
    </row>
    <row r="110" spans="1:13" s="245" customFormat="1">
      <c r="A110" s="242" t="s">
        <v>1554</v>
      </c>
      <c r="B110" s="242" t="s">
        <v>830</v>
      </c>
      <c r="C110" s="236"/>
      <c r="D110" s="241">
        <v>949</v>
      </c>
      <c r="E110" s="242">
        <v>75</v>
      </c>
      <c r="F110" s="249"/>
      <c r="G110" s="249"/>
      <c r="H110" s="242">
        <v>18</v>
      </c>
      <c r="I110" s="242">
        <v>4</v>
      </c>
      <c r="J110" s="242">
        <v>8902</v>
      </c>
      <c r="K110" s="243" t="s">
        <v>275</v>
      </c>
      <c r="L110" s="249"/>
      <c r="M110" s="988"/>
    </row>
    <row r="111" spans="1:13" s="245" customFormat="1">
      <c r="A111" s="236" t="s">
        <v>751</v>
      </c>
      <c r="B111" s="236" t="s">
        <v>337</v>
      </c>
      <c r="C111" s="236"/>
      <c r="D111" s="241">
        <v>949</v>
      </c>
      <c r="E111" s="242">
        <v>75</v>
      </c>
      <c r="F111" s="249"/>
      <c r="G111" s="249"/>
      <c r="H111" s="242">
        <v>18</v>
      </c>
      <c r="I111" s="242">
        <v>4</v>
      </c>
      <c r="J111" s="242">
        <v>8844</v>
      </c>
      <c r="K111" s="243"/>
      <c r="L111" s="249"/>
      <c r="M111" s="244" t="s">
        <v>1273</v>
      </c>
    </row>
    <row r="112" spans="1:13" s="245" customFormat="1">
      <c r="A112" s="236" t="s">
        <v>1556</v>
      </c>
      <c r="B112" s="236" t="s">
        <v>337</v>
      </c>
      <c r="C112" s="236"/>
      <c r="D112" s="241">
        <v>949</v>
      </c>
      <c r="E112" s="242">
        <v>75</v>
      </c>
      <c r="F112" s="249"/>
      <c r="G112" s="249"/>
      <c r="H112" s="242">
        <v>18</v>
      </c>
      <c r="I112" s="242">
        <v>4</v>
      </c>
      <c r="J112" s="242">
        <v>8841</v>
      </c>
      <c r="K112" s="243" t="s">
        <v>275</v>
      </c>
      <c r="L112" s="249"/>
      <c r="M112" s="244"/>
    </row>
    <row r="113" spans="1:13">
      <c r="A113" s="239" t="s">
        <v>346</v>
      </c>
      <c r="B113" s="239" t="s">
        <v>345</v>
      </c>
      <c r="C113" s="240"/>
      <c r="D113" s="241">
        <v>657</v>
      </c>
      <c r="E113" s="242">
        <v>24</v>
      </c>
      <c r="F113" s="239"/>
      <c r="G113" s="242"/>
      <c r="H113" s="242">
        <v>13</v>
      </c>
      <c r="I113" s="236">
        <v>1</v>
      </c>
      <c r="J113" s="242">
        <v>5228</v>
      </c>
      <c r="K113" s="243" t="s">
        <v>275</v>
      </c>
      <c r="L113" s="236"/>
      <c r="M113" s="244" t="s">
        <v>1274</v>
      </c>
    </row>
    <row r="114" spans="1:13">
      <c r="A114" s="239" t="s">
        <v>887</v>
      </c>
      <c r="B114" s="239" t="s">
        <v>344</v>
      </c>
      <c r="C114" s="240"/>
      <c r="D114" s="241">
        <v>456</v>
      </c>
      <c r="E114" s="242">
        <v>30</v>
      </c>
      <c r="F114" s="236"/>
      <c r="G114" s="236"/>
      <c r="H114" s="236">
        <v>9</v>
      </c>
      <c r="I114" s="242">
        <v>1.5</v>
      </c>
      <c r="J114" s="242">
        <v>5228</v>
      </c>
      <c r="K114" s="243" t="s">
        <v>275</v>
      </c>
      <c r="L114" s="236"/>
      <c r="M114" s="238" t="s">
        <v>1275</v>
      </c>
    </row>
    <row r="115" spans="1:13">
      <c r="A115" s="239" t="s">
        <v>1525</v>
      </c>
      <c r="B115" s="239" t="s">
        <v>793</v>
      </c>
      <c r="C115" s="240"/>
      <c r="D115" s="241">
        <v>389</v>
      </c>
      <c r="E115" s="242">
        <v>22</v>
      </c>
      <c r="F115" s="236"/>
      <c r="G115" s="236"/>
      <c r="H115" s="236">
        <v>2</v>
      </c>
      <c r="I115" s="242">
        <v>1</v>
      </c>
      <c r="J115" s="242">
        <v>18</v>
      </c>
      <c r="K115" s="243" t="s">
        <v>275</v>
      </c>
      <c r="L115" s="236"/>
      <c r="M115" s="244"/>
    </row>
    <row r="116" spans="1:13">
      <c r="A116" s="239" t="s">
        <v>274</v>
      </c>
      <c r="B116" s="239" t="s">
        <v>292</v>
      </c>
      <c r="C116" s="240"/>
      <c r="D116" s="241">
        <v>579</v>
      </c>
      <c r="E116" s="236">
        <v>30</v>
      </c>
      <c r="F116" s="239"/>
      <c r="G116" s="236"/>
      <c r="H116" s="242">
        <v>15</v>
      </c>
      <c r="I116" s="236">
        <v>1.5</v>
      </c>
      <c r="J116" s="242">
        <v>9997</v>
      </c>
      <c r="K116" s="243" t="s">
        <v>291</v>
      </c>
      <c r="L116" s="236" t="s">
        <v>299</v>
      </c>
      <c r="M116" s="244"/>
    </row>
    <row r="117" spans="1:13">
      <c r="A117" s="239" t="s">
        <v>989</v>
      </c>
      <c r="B117" s="239" t="s">
        <v>292</v>
      </c>
      <c r="C117" s="240"/>
      <c r="D117" s="241">
        <v>579</v>
      </c>
      <c r="E117" s="242">
        <v>30</v>
      </c>
      <c r="F117" s="239"/>
      <c r="G117" s="242"/>
      <c r="H117" s="242">
        <v>15</v>
      </c>
      <c r="I117" s="242">
        <v>1.5</v>
      </c>
      <c r="J117" s="242">
        <v>6980</v>
      </c>
      <c r="K117" s="243" t="s">
        <v>275</v>
      </c>
      <c r="L117" s="236"/>
      <c r="M117" s="244" t="s">
        <v>1276</v>
      </c>
    </row>
    <row r="118" spans="1:13">
      <c r="A118" s="239" t="s">
        <v>984</v>
      </c>
      <c r="B118" s="239" t="s">
        <v>1510</v>
      </c>
      <c r="C118" s="240" t="s">
        <v>1032</v>
      </c>
      <c r="D118" s="241">
        <v>349</v>
      </c>
      <c r="E118" s="236">
        <v>19</v>
      </c>
      <c r="F118" s="236"/>
      <c r="G118" s="236"/>
      <c r="H118" s="236">
        <v>1</v>
      </c>
      <c r="I118" s="236">
        <v>1</v>
      </c>
      <c r="J118" s="242">
        <v>1</v>
      </c>
      <c r="K118" s="243" t="s">
        <v>275</v>
      </c>
      <c r="L118" s="236" t="s">
        <v>299</v>
      </c>
      <c r="M118" s="239" t="s">
        <v>1277</v>
      </c>
    </row>
    <row r="119" spans="1:13">
      <c r="A119" s="239" t="s">
        <v>985</v>
      </c>
      <c r="B119" s="239" t="s">
        <v>276</v>
      </c>
      <c r="C119" s="240" t="s">
        <v>1032</v>
      </c>
      <c r="D119" s="241">
        <v>389</v>
      </c>
      <c r="E119" s="236">
        <v>25</v>
      </c>
      <c r="F119" s="239"/>
      <c r="G119" s="236"/>
      <c r="H119" s="236">
        <v>1</v>
      </c>
      <c r="I119" s="236">
        <v>1.5</v>
      </c>
      <c r="J119" s="242">
        <v>2</v>
      </c>
      <c r="K119" s="243" t="s">
        <v>275</v>
      </c>
      <c r="L119" s="236" t="s">
        <v>299</v>
      </c>
      <c r="M119" s="244" t="s">
        <v>1278</v>
      </c>
    </row>
    <row r="120" spans="1:13">
      <c r="A120" s="239" t="s">
        <v>986</v>
      </c>
      <c r="B120" s="239" t="s">
        <v>343</v>
      </c>
      <c r="C120" s="240" t="s">
        <v>1032</v>
      </c>
      <c r="D120" s="241">
        <v>389</v>
      </c>
      <c r="E120" s="236">
        <v>25</v>
      </c>
      <c r="F120" s="239"/>
      <c r="G120" s="236"/>
      <c r="H120" s="236">
        <v>1</v>
      </c>
      <c r="I120" s="236">
        <v>1.5</v>
      </c>
      <c r="J120" s="242">
        <v>3</v>
      </c>
      <c r="K120" s="243" t="s">
        <v>275</v>
      </c>
      <c r="L120" s="236" t="s">
        <v>299</v>
      </c>
      <c r="M120" s="244" t="s">
        <v>1279</v>
      </c>
    </row>
    <row r="121" spans="1:13">
      <c r="A121" s="239" t="s">
        <v>987</v>
      </c>
      <c r="B121" s="239" t="s">
        <v>342</v>
      </c>
      <c r="C121" s="240" t="s">
        <v>1032</v>
      </c>
      <c r="D121" s="241">
        <v>399</v>
      </c>
      <c r="E121" s="242">
        <v>25</v>
      </c>
      <c r="F121" s="239"/>
      <c r="G121" s="242"/>
      <c r="H121" s="242">
        <v>1</v>
      </c>
      <c r="I121" s="242">
        <v>1.5</v>
      </c>
      <c r="J121" s="242">
        <v>4</v>
      </c>
      <c r="K121" s="243" t="s">
        <v>275</v>
      </c>
      <c r="L121" s="236" t="s">
        <v>299</v>
      </c>
      <c r="M121" s="244" t="s">
        <v>1280</v>
      </c>
    </row>
    <row r="122" spans="1:13">
      <c r="A122" s="239" t="s">
        <v>1526</v>
      </c>
      <c r="B122" s="239" t="s">
        <v>1528</v>
      </c>
      <c r="C122" s="240"/>
      <c r="D122" s="241">
        <v>140</v>
      </c>
      <c r="E122" s="242">
        <v>0</v>
      </c>
      <c r="F122" s="239"/>
      <c r="G122" s="242"/>
      <c r="H122" s="935">
        <v>98</v>
      </c>
      <c r="I122" s="242">
        <v>0</v>
      </c>
      <c r="J122" s="242">
        <v>9998</v>
      </c>
      <c r="K122" s="243" t="s">
        <v>838</v>
      </c>
      <c r="L122" s="236"/>
      <c r="M122" s="244"/>
    </row>
    <row r="123" spans="1:13">
      <c r="A123" s="239" t="s">
        <v>1527</v>
      </c>
      <c r="B123" s="239" t="s">
        <v>1528</v>
      </c>
      <c r="C123" s="240"/>
      <c r="D123" s="241">
        <v>160</v>
      </c>
      <c r="E123" s="242">
        <v>0</v>
      </c>
      <c r="F123" s="239"/>
      <c r="G123" s="242"/>
      <c r="H123" s="935">
        <v>98</v>
      </c>
      <c r="I123" s="242">
        <v>0</v>
      </c>
      <c r="J123" s="242">
        <v>9998</v>
      </c>
      <c r="K123" s="243" t="s">
        <v>838</v>
      </c>
      <c r="L123" s="236"/>
      <c r="M123" s="244"/>
    </row>
    <row r="124" spans="1:13">
      <c r="A124" s="239" t="s">
        <v>421</v>
      </c>
      <c r="B124" s="239" t="s">
        <v>425</v>
      </c>
      <c r="C124" s="240"/>
      <c r="D124" s="241">
        <v>170</v>
      </c>
      <c r="E124" s="242">
        <v>4</v>
      </c>
      <c r="F124" s="236"/>
      <c r="G124" s="236"/>
      <c r="H124" s="935">
        <v>98</v>
      </c>
      <c r="I124" s="242"/>
      <c r="J124" s="242">
        <v>8595</v>
      </c>
      <c r="K124" s="243" t="s">
        <v>306</v>
      </c>
      <c r="L124" s="236"/>
    </row>
    <row r="125" spans="1:13">
      <c r="A125" s="239" t="s">
        <v>422</v>
      </c>
      <c r="B125" s="239" t="s">
        <v>426</v>
      </c>
      <c r="C125" s="240"/>
      <c r="D125" s="241">
        <v>340</v>
      </c>
      <c r="E125" s="242">
        <v>8</v>
      </c>
      <c r="F125" s="236"/>
      <c r="G125" s="236"/>
      <c r="H125" s="935">
        <v>98</v>
      </c>
      <c r="I125" s="242"/>
      <c r="J125" s="242">
        <v>8595</v>
      </c>
      <c r="K125" s="243" t="s">
        <v>306</v>
      </c>
      <c r="L125" s="236"/>
    </row>
    <row r="126" spans="1:13">
      <c r="A126" s="239" t="s">
        <v>341</v>
      </c>
      <c r="B126" s="239" t="s">
        <v>340</v>
      </c>
      <c r="C126" s="240"/>
      <c r="D126" s="241">
        <v>510</v>
      </c>
      <c r="E126" s="242">
        <v>12</v>
      </c>
      <c r="F126" s="236"/>
      <c r="G126" s="236"/>
      <c r="H126" s="935">
        <v>98</v>
      </c>
      <c r="I126" s="242"/>
      <c r="J126" s="242">
        <v>8595</v>
      </c>
      <c r="K126" s="243" t="s">
        <v>306</v>
      </c>
      <c r="L126" s="236"/>
    </row>
    <row r="127" spans="1:13">
      <c r="A127" s="239" t="s">
        <v>423</v>
      </c>
      <c r="B127" s="239" t="s">
        <v>427</v>
      </c>
      <c r="C127" s="240"/>
      <c r="D127" s="241">
        <v>680</v>
      </c>
      <c r="E127" s="242">
        <v>16</v>
      </c>
      <c r="F127" s="236"/>
      <c r="G127" s="236"/>
      <c r="H127" s="935">
        <v>98</v>
      </c>
      <c r="I127" s="242"/>
      <c r="J127" s="242">
        <v>8595</v>
      </c>
      <c r="K127" s="243" t="s">
        <v>306</v>
      </c>
      <c r="L127" s="236"/>
    </row>
    <row r="128" spans="1:13">
      <c r="A128" s="239" t="s">
        <v>339</v>
      </c>
      <c r="B128" s="239" t="s">
        <v>338</v>
      </c>
      <c r="C128" s="240"/>
      <c r="D128" s="241">
        <v>850</v>
      </c>
      <c r="E128" s="242">
        <v>20</v>
      </c>
      <c r="F128" s="236"/>
      <c r="G128" s="236"/>
      <c r="H128" s="935">
        <v>98</v>
      </c>
      <c r="I128" s="242"/>
      <c r="J128" s="242">
        <v>8595</v>
      </c>
      <c r="K128" s="243" t="s">
        <v>306</v>
      </c>
      <c r="L128" s="236"/>
    </row>
    <row r="129" spans="1:13">
      <c r="A129" s="239" t="s">
        <v>424</v>
      </c>
      <c r="B129" s="239" t="s">
        <v>428</v>
      </c>
      <c r="C129" s="240"/>
      <c r="D129" s="241">
        <v>1020</v>
      </c>
      <c r="E129" s="242">
        <v>24</v>
      </c>
      <c r="F129" s="236"/>
      <c r="G129" s="236"/>
      <c r="H129" s="935">
        <v>98</v>
      </c>
      <c r="I129" s="242"/>
      <c r="J129" s="242">
        <v>8595</v>
      </c>
      <c r="K129" s="243" t="s">
        <v>306</v>
      </c>
      <c r="L129" s="236"/>
    </row>
    <row r="130" spans="1:13">
      <c r="A130" s="239" t="s">
        <v>333</v>
      </c>
      <c r="B130" s="239" t="s">
        <v>332</v>
      </c>
      <c r="C130" s="240"/>
      <c r="D130" s="241">
        <v>625</v>
      </c>
      <c r="E130" s="236">
        <v>32</v>
      </c>
      <c r="F130" s="236"/>
      <c r="G130" s="236"/>
      <c r="H130" s="236">
        <v>18</v>
      </c>
      <c r="I130" s="236">
        <v>1.5</v>
      </c>
      <c r="J130" s="242">
        <v>8817</v>
      </c>
      <c r="K130" s="243" t="s">
        <v>275</v>
      </c>
      <c r="L130" s="236"/>
      <c r="M130" s="244"/>
    </row>
    <row r="131" spans="1:13">
      <c r="A131" s="239" t="s">
        <v>331</v>
      </c>
      <c r="B131" s="239" t="s">
        <v>347</v>
      </c>
      <c r="C131" s="240"/>
      <c r="D131" s="241">
        <v>625</v>
      </c>
      <c r="E131" s="242">
        <v>34</v>
      </c>
      <c r="F131" s="236"/>
      <c r="G131" s="236"/>
      <c r="H131" s="242">
        <v>18</v>
      </c>
      <c r="I131" s="242">
        <v>1.5</v>
      </c>
      <c r="J131" s="242">
        <v>6311</v>
      </c>
      <c r="K131" s="243" t="s">
        <v>275</v>
      </c>
      <c r="L131" s="236"/>
      <c r="M131" s="244"/>
    </row>
    <row r="132" spans="1:13">
      <c r="A132" s="239" t="s">
        <v>330</v>
      </c>
      <c r="B132" s="239" t="s">
        <v>329</v>
      </c>
      <c r="C132" s="240"/>
      <c r="D132" s="241">
        <v>688</v>
      </c>
      <c r="E132" s="242">
        <v>36</v>
      </c>
      <c r="F132" s="236"/>
      <c r="G132" s="236"/>
      <c r="H132" s="236">
        <v>9</v>
      </c>
      <c r="I132" s="236">
        <v>2</v>
      </c>
      <c r="J132" s="242">
        <v>7501</v>
      </c>
      <c r="K132" s="243" t="s">
        <v>275</v>
      </c>
      <c r="L132" s="236"/>
      <c r="M132" s="244" t="s">
        <v>1281</v>
      </c>
    </row>
    <row r="133" spans="1:13">
      <c r="A133" s="239" t="s">
        <v>1033</v>
      </c>
      <c r="B133" s="239" t="s">
        <v>328</v>
      </c>
      <c r="C133" s="240"/>
      <c r="D133" s="241">
        <v>698</v>
      </c>
      <c r="E133" s="242">
        <v>40</v>
      </c>
      <c r="F133" s="236"/>
      <c r="G133" s="236"/>
      <c r="H133" s="236">
        <v>9</v>
      </c>
      <c r="I133" s="236">
        <v>2</v>
      </c>
      <c r="J133" s="242">
        <v>5224</v>
      </c>
      <c r="K133" s="243" t="s">
        <v>1034</v>
      </c>
      <c r="L133" s="236"/>
      <c r="M133" s="244" t="s">
        <v>1282</v>
      </c>
    </row>
    <row r="134" spans="1:13">
      <c r="A134" s="239" t="s">
        <v>762</v>
      </c>
      <c r="B134" s="239" t="s">
        <v>327</v>
      </c>
      <c r="C134" s="240"/>
      <c r="D134" s="241">
        <v>696</v>
      </c>
      <c r="E134" s="242">
        <v>40</v>
      </c>
      <c r="F134" s="236"/>
      <c r="G134" s="236"/>
      <c r="H134" s="242">
        <v>9</v>
      </c>
      <c r="I134" s="242">
        <v>2</v>
      </c>
      <c r="J134" s="242">
        <v>5223</v>
      </c>
      <c r="K134" s="243" t="s">
        <v>275</v>
      </c>
      <c r="L134" s="236"/>
      <c r="M134" s="244" t="s">
        <v>1283</v>
      </c>
    </row>
    <row r="135" spans="1:13">
      <c r="A135" s="239" t="s">
        <v>1190</v>
      </c>
      <c r="B135" s="239" t="s">
        <v>340</v>
      </c>
      <c r="C135" s="240"/>
      <c r="D135" s="241">
        <v>724</v>
      </c>
      <c r="E135" s="242">
        <v>0</v>
      </c>
      <c r="F135" s="236"/>
      <c r="G135" s="236"/>
      <c r="H135" s="935">
        <v>98</v>
      </c>
      <c r="I135" s="242"/>
      <c r="J135" s="242">
        <v>9998</v>
      </c>
      <c r="K135" s="243" t="s">
        <v>1515</v>
      </c>
      <c r="L135" s="236"/>
      <c r="M135" s="244"/>
    </row>
    <row r="136" spans="1:13">
      <c r="A136" s="239" t="s">
        <v>326</v>
      </c>
      <c r="B136" s="239" t="s">
        <v>754</v>
      </c>
      <c r="C136" s="240"/>
      <c r="D136" s="241">
        <v>314</v>
      </c>
      <c r="E136" s="242">
        <v>20</v>
      </c>
      <c r="F136" s="236"/>
      <c r="G136" s="236"/>
      <c r="H136" s="935">
        <v>98</v>
      </c>
      <c r="I136" s="242">
        <v>1</v>
      </c>
      <c r="J136" s="242">
        <v>8818</v>
      </c>
      <c r="K136" s="243" t="s">
        <v>275</v>
      </c>
      <c r="L136" s="236"/>
      <c r="M136" s="244"/>
    </row>
    <row r="137" spans="1:13">
      <c r="A137" s="239" t="s">
        <v>325</v>
      </c>
      <c r="B137" s="239" t="s">
        <v>1076</v>
      </c>
      <c r="C137" s="240"/>
      <c r="D137" s="241">
        <v>305</v>
      </c>
      <c r="E137" s="242">
        <v>4</v>
      </c>
      <c r="F137" s="236"/>
      <c r="G137" s="236"/>
      <c r="H137" s="935">
        <v>98</v>
      </c>
      <c r="I137" s="242">
        <v>0</v>
      </c>
      <c r="J137" s="242">
        <v>8512</v>
      </c>
      <c r="K137" s="243" t="s">
        <v>306</v>
      </c>
      <c r="L137" s="236"/>
    </row>
    <row r="138" spans="1:13">
      <c r="A138" s="239" t="s">
        <v>818</v>
      </c>
      <c r="B138" s="239" t="s">
        <v>280</v>
      </c>
      <c r="C138" s="240" t="s">
        <v>310</v>
      </c>
      <c r="D138" s="241">
        <v>399</v>
      </c>
      <c r="E138" s="242">
        <v>24</v>
      </c>
      <c r="F138" s="239"/>
      <c r="G138" s="236"/>
      <c r="H138" s="236">
        <v>2</v>
      </c>
      <c r="I138" s="236">
        <v>1</v>
      </c>
      <c r="J138" s="242">
        <v>61</v>
      </c>
      <c r="K138" s="243" t="s">
        <v>275</v>
      </c>
      <c r="L138" s="236"/>
      <c r="M138" s="244" t="s">
        <v>1284</v>
      </c>
    </row>
    <row r="139" spans="1:13">
      <c r="A139" s="239" t="s">
        <v>819</v>
      </c>
      <c r="B139" s="239" t="s">
        <v>324</v>
      </c>
      <c r="C139" s="240" t="s">
        <v>310</v>
      </c>
      <c r="D139" s="241">
        <v>399</v>
      </c>
      <c r="E139" s="242">
        <v>24</v>
      </c>
      <c r="F139" s="239"/>
      <c r="G139" s="242"/>
      <c r="H139" s="236">
        <v>2</v>
      </c>
      <c r="I139" s="236">
        <v>1</v>
      </c>
      <c r="J139" s="242">
        <v>62</v>
      </c>
      <c r="K139" s="243" t="s">
        <v>275</v>
      </c>
      <c r="L139" s="236"/>
      <c r="M139" s="244" t="s">
        <v>1285</v>
      </c>
    </row>
    <row r="140" spans="1:13">
      <c r="A140" s="239" t="s">
        <v>895</v>
      </c>
      <c r="B140" s="239" t="s">
        <v>287</v>
      </c>
      <c r="C140" s="240" t="s">
        <v>761</v>
      </c>
      <c r="D140" s="241">
        <v>389</v>
      </c>
      <c r="E140" s="242">
        <v>25</v>
      </c>
      <c r="F140" s="239"/>
      <c r="G140" s="242"/>
      <c r="H140" s="242">
        <v>2</v>
      </c>
      <c r="I140" s="242">
        <v>1.5</v>
      </c>
      <c r="J140" s="242">
        <v>7961</v>
      </c>
      <c r="K140" s="243" t="s">
        <v>763</v>
      </c>
      <c r="L140" s="236"/>
      <c r="M140" s="238" t="s">
        <v>1286</v>
      </c>
    </row>
    <row r="141" spans="1:13">
      <c r="A141" s="239" t="s">
        <v>896</v>
      </c>
      <c r="B141" s="239" t="s">
        <v>323</v>
      </c>
      <c r="C141" s="240" t="s">
        <v>761</v>
      </c>
      <c r="D141" s="241">
        <v>399</v>
      </c>
      <c r="E141" s="242">
        <v>25</v>
      </c>
      <c r="F141" s="239"/>
      <c r="G141" s="242"/>
      <c r="H141" s="242">
        <v>2</v>
      </c>
      <c r="I141" s="242">
        <v>1.5</v>
      </c>
      <c r="J141" s="242">
        <v>7962</v>
      </c>
      <c r="K141" s="243" t="s">
        <v>763</v>
      </c>
      <c r="L141" s="236"/>
      <c r="M141" s="238" t="s">
        <v>1287</v>
      </c>
    </row>
    <row r="142" spans="1:13">
      <c r="A142" s="239" t="s">
        <v>897</v>
      </c>
      <c r="B142" s="239" t="s">
        <v>322</v>
      </c>
      <c r="C142" s="240" t="s">
        <v>761</v>
      </c>
      <c r="D142" s="241">
        <v>428</v>
      </c>
      <c r="E142" s="242">
        <v>26</v>
      </c>
      <c r="F142" s="236"/>
      <c r="G142" s="236"/>
      <c r="H142" s="242">
        <v>6</v>
      </c>
      <c r="I142" s="242">
        <v>1.5</v>
      </c>
      <c r="J142" s="242">
        <v>7711</v>
      </c>
      <c r="K142" s="243" t="s">
        <v>763</v>
      </c>
      <c r="L142" s="236"/>
      <c r="M142" s="244" t="s">
        <v>1288</v>
      </c>
    </row>
    <row r="143" spans="1:13">
      <c r="A143" s="239" t="s">
        <v>789</v>
      </c>
      <c r="B143" s="239" t="s">
        <v>791</v>
      </c>
      <c r="C143" s="240"/>
      <c r="D143" s="241">
        <v>389</v>
      </c>
      <c r="E143" s="242">
        <v>24</v>
      </c>
      <c r="F143" s="236"/>
      <c r="G143" s="236"/>
      <c r="H143" s="242">
        <v>2</v>
      </c>
      <c r="I143" s="242">
        <v>1</v>
      </c>
      <c r="J143" s="242">
        <v>15</v>
      </c>
      <c r="K143" s="243" t="s">
        <v>275</v>
      </c>
      <c r="L143" s="236"/>
      <c r="M143" s="244" t="s">
        <v>1289</v>
      </c>
    </row>
    <row r="144" spans="1:13">
      <c r="A144" s="239" t="s">
        <v>790</v>
      </c>
      <c r="B144" s="239" t="s">
        <v>792</v>
      </c>
      <c r="C144" s="240"/>
      <c r="D144" s="241">
        <v>389</v>
      </c>
      <c r="E144" s="242">
        <v>24</v>
      </c>
      <c r="F144" s="236"/>
      <c r="G144" s="236"/>
      <c r="H144" s="242">
        <v>2</v>
      </c>
      <c r="I144" s="242">
        <v>1</v>
      </c>
      <c r="J144" s="242">
        <v>15</v>
      </c>
      <c r="K144" s="243" t="s">
        <v>275</v>
      </c>
      <c r="L144" s="236"/>
      <c r="M144" s="244" t="s">
        <v>1290</v>
      </c>
    </row>
    <row r="145" spans="1:13">
      <c r="A145" s="239" t="s">
        <v>1712</v>
      </c>
      <c r="B145" s="239" t="s">
        <v>1713</v>
      </c>
      <c r="C145" s="240"/>
      <c r="D145" s="241">
        <v>389</v>
      </c>
      <c r="E145" s="242">
        <v>24</v>
      </c>
      <c r="F145" s="236"/>
      <c r="G145" s="236"/>
      <c r="H145" s="242">
        <v>2</v>
      </c>
      <c r="I145" s="242">
        <v>1</v>
      </c>
      <c r="J145" s="242">
        <v>15</v>
      </c>
      <c r="K145" s="243" t="s">
        <v>275</v>
      </c>
      <c r="L145" s="236"/>
      <c r="M145" s="244" t="s">
        <v>1289</v>
      </c>
    </row>
    <row r="146" spans="1:13">
      <c r="A146" s="239" t="s">
        <v>990</v>
      </c>
      <c r="B146" s="239" t="s">
        <v>321</v>
      </c>
      <c r="C146" s="240"/>
      <c r="D146" s="241">
        <v>698</v>
      </c>
      <c r="E146" s="242">
        <v>40</v>
      </c>
      <c r="F146" s="236"/>
      <c r="G146" s="236"/>
      <c r="H146" s="236">
        <v>9</v>
      </c>
      <c r="I146" s="236">
        <v>2</v>
      </c>
      <c r="J146" s="242">
        <v>5230</v>
      </c>
      <c r="K146" s="243" t="s">
        <v>275</v>
      </c>
      <c r="L146" s="236"/>
      <c r="M146" s="244" t="s">
        <v>1291</v>
      </c>
    </row>
    <row r="147" spans="1:13">
      <c r="A147" s="239" t="s">
        <v>820</v>
      </c>
      <c r="B147" s="239" t="s">
        <v>429</v>
      </c>
      <c r="C147" s="240"/>
      <c r="D147" s="241">
        <v>657</v>
      </c>
      <c r="E147" s="242">
        <v>36</v>
      </c>
      <c r="F147" s="239"/>
      <c r="G147" s="242"/>
      <c r="H147" s="242">
        <v>9</v>
      </c>
      <c r="I147" s="242">
        <v>2</v>
      </c>
      <c r="J147" s="242">
        <v>7401</v>
      </c>
      <c r="K147" s="243" t="s">
        <v>275</v>
      </c>
      <c r="L147" s="242"/>
      <c r="M147" s="244" t="s">
        <v>1292</v>
      </c>
    </row>
    <row r="148" spans="1:13">
      <c r="A148" s="239" t="s">
        <v>821</v>
      </c>
      <c r="B148" s="239" t="s">
        <v>430</v>
      </c>
      <c r="C148" s="240"/>
      <c r="D148" s="241">
        <v>467</v>
      </c>
      <c r="E148" s="242">
        <v>30</v>
      </c>
      <c r="F148" s="239"/>
      <c r="G148" s="242"/>
      <c r="H148" s="242">
        <v>9</v>
      </c>
      <c r="I148" s="242">
        <v>1.5</v>
      </c>
      <c r="J148" s="242">
        <v>7402</v>
      </c>
      <c r="K148" s="243" t="s">
        <v>275</v>
      </c>
      <c r="L148" s="242"/>
      <c r="M148" s="244" t="s">
        <v>1293</v>
      </c>
    </row>
    <row r="149" spans="1:13" s="251" customFormat="1">
      <c r="A149" s="239" t="s">
        <v>1689</v>
      </c>
      <c r="B149" s="239" t="s">
        <v>429</v>
      </c>
      <c r="C149" s="240"/>
      <c r="D149" s="241">
        <v>995</v>
      </c>
      <c r="E149" s="242">
        <v>36</v>
      </c>
      <c r="F149" s="239"/>
      <c r="G149" s="242"/>
      <c r="H149" s="242">
        <v>9</v>
      </c>
      <c r="I149" s="242">
        <v>2</v>
      </c>
      <c r="J149" s="242">
        <v>7401</v>
      </c>
      <c r="K149" s="243" t="s">
        <v>275</v>
      </c>
      <c r="L149" s="242"/>
      <c r="M149" s="244" t="s">
        <v>1292</v>
      </c>
    </row>
    <row r="150" spans="1:13">
      <c r="A150" s="239" t="s">
        <v>1690</v>
      </c>
      <c r="B150" s="239" t="s">
        <v>430</v>
      </c>
      <c r="C150" s="240"/>
      <c r="D150" s="241">
        <v>695</v>
      </c>
      <c r="E150" s="242">
        <v>30</v>
      </c>
      <c r="F150" s="239"/>
      <c r="G150" s="242"/>
      <c r="H150" s="242">
        <v>9</v>
      </c>
      <c r="I150" s="242">
        <v>1.5</v>
      </c>
      <c r="J150" s="242">
        <v>7402</v>
      </c>
      <c r="K150" s="243" t="s">
        <v>275</v>
      </c>
      <c r="L150" s="242"/>
      <c r="M150" s="244" t="s">
        <v>1293</v>
      </c>
    </row>
    <row r="151" spans="1:13">
      <c r="A151" s="239" t="s">
        <v>898</v>
      </c>
      <c r="B151" s="239" t="s">
        <v>320</v>
      </c>
      <c r="C151" s="240" t="s">
        <v>761</v>
      </c>
      <c r="D151" s="241">
        <v>389</v>
      </c>
      <c r="E151" s="242">
        <v>24</v>
      </c>
      <c r="F151" s="239"/>
      <c r="G151" s="242"/>
      <c r="H151" s="242">
        <v>6</v>
      </c>
      <c r="I151" s="242">
        <v>1</v>
      </c>
      <c r="J151" s="242">
        <v>7651</v>
      </c>
      <c r="K151" s="243" t="s">
        <v>763</v>
      </c>
      <c r="L151" s="242"/>
      <c r="M151" s="238" t="s">
        <v>1294</v>
      </c>
    </row>
    <row r="152" spans="1:13">
      <c r="A152" s="239" t="s">
        <v>899</v>
      </c>
      <c r="B152" s="239" t="s">
        <v>319</v>
      </c>
      <c r="C152" s="240" t="s">
        <v>761</v>
      </c>
      <c r="D152" s="241">
        <v>399</v>
      </c>
      <c r="E152" s="242">
        <v>26</v>
      </c>
      <c r="F152" s="239"/>
      <c r="G152" s="242"/>
      <c r="H152" s="242">
        <v>6</v>
      </c>
      <c r="I152" s="242">
        <v>1.5</v>
      </c>
      <c r="J152" s="242">
        <v>7652</v>
      </c>
      <c r="K152" s="243" t="s">
        <v>763</v>
      </c>
      <c r="L152" s="242"/>
      <c r="M152" s="238" t="s">
        <v>1295</v>
      </c>
    </row>
    <row r="153" spans="1:13">
      <c r="A153" s="239" t="s">
        <v>318</v>
      </c>
      <c r="B153" s="239" t="s">
        <v>317</v>
      </c>
      <c r="C153" s="240"/>
      <c r="D153" s="241">
        <v>314</v>
      </c>
      <c r="E153" s="242">
        <v>20</v>
      </c>
      <c r="F153" s="239"/>
      <c r="G153" s="242"/>
      <c r="H153" s="236">
        <v>2</v>
      </c>
      <c r="I153" s="236">
        <v>0</v>
      </c>
      <c r="J153" s="242">
        <v>7964</v>
      </c>
      <c r="K153" s="243"/>
      <c r="L153" s="242"/>
    </row>
    <row r="154" spans="1:13">
      <c r="A154" s="239" t="s">
        <v>273</v>
      </c>
      <c r="B154" s="239" t="s">
        <v>289</v>
      </c>
      <c r="C154" s="240"/>
      <c r="D154" s="241">
        <v>689</v>
      </c>
      <c r="E154" s="242">
        <v>40</v>
      </c>
      <c r="F154" s="239"/>
      <c r="G154" s="242"/>
      <c r="H154" s="236">
        <v>2</v>
      </c>
      <c r="I154" s="236">
        <v>0</v>
      </c>
      <c r="J154" s="242">
        <v>7965</v>
      </c>
      <c r="K154" s="243"/>
      <c r="L154" s="242"/>
    </row>
    <row r="155" spans="1:13">
      <c r="A155" s="239" t="s">
        <v>316</v>
      </c>
      <c r="B155" s="239" t="s">
        <v>315</v>
      </c>
      <c r="C155" s="240"/>
      <c r="D155" s="241">
        <v>965</v>
      </c>
      <c r="E155" s="242">
        <v>60</v>
      </c>
      <c r="F155" s="239"/>
      <c r="G155" s="242"/>
      <c r="H155" s="236">
        <v>2</v>
      </c>
      <c r="I155" s="236">
        <v>0</v>
      </c>
      <c r="J155" s="242">
        <v>7966</v>
      </c>
      <c r="K155" s="243"/>
      <c r="L155" s="242"/>
    </row>
    <row r="156" spans="1:13">
      <c r="A156" s="239" t="s">
        <v>314</v>
      </c>
      <c r="B156" s="239" t="s">
        <v>313</v>
      </c>
      <c r="C156" s="240"/>
      <c r="D156" s="241">
        <v>1266</v>
      </c>
      <c r="E156" s="242">
        <v>80</v>
      </c>
      <c r="F156" s="239"/>
      <c r="G156" s="242"/>
      <c r="H156" s="236">
        <v>2</v>
      </c>
      <c r="I156" s="236">
        <v>0</v>
      </c>
      <c r="J156" s="242">
        <v>7967</v>
      </c>
      <c r="K156" s="243"/>
      <c r="L156" s="242"/>
    </row>
    <row r="157" spans="1:13">
      <c r="A157" s="239" t="s">
        <v>900</v>
      </c>
      <c r="B157" s="239" t="s">
        <v>1035</v>
      </c>
      <c r="C157" s="240" t="s">
        <v>761</v>
      </c>
      <c r="D157" s="241">
        <v>499</v>
      </c>
      <c r="E157" s="242">
        <v>30</v>
      </c>
      <c r="F157" s="236"/>
      <c r="G157" s="236"/>
      <c r="H157" s="236">
        <v>9</v>
      </c>
      <c r="I157" s="242">
        <v>1.5</v>
      </c>
      <c r="J157" s="242">
        <v>7654</v>
      </c>
      <c r="K157" s="243" t="s">
        <v>275</v>
      </c>
      <c r="L157" s="236"/>
      <c r="M157" s="238" t="s">
        <v>1296</v>
      </c>
    </row>
    <row r="158" spans="1:13">
      <c r="A158" s="239" t="s">
        <v>901</v>
      </c>
      <c r="B158" s="239" t="s">
        <v>1036</v>
      </c>
      <c r="C158" s="240" t="s">
        <v>761</v>
      </c>
      <c r="D158" s="241">
        <v>499</v>
      </c>
      <c r="E158" s="242">
        <v>30</v>
      </c>
      <c r="F158" s="236"/>
      <c r="G158" s="236"/>
      <c r="H158" s="236">
        <v>9</v>
      </c>
      <c r="I158" s="242">
        <v>1.5</v>
      </c>
      <c r="J158" s="242">
        <v>7655</v>
      </c>
      <c r="K158" s="243" t="s">
        <v>275</v>
      </c>
      <c r="L158" s="236"/>
      <c r="M158" s="238" t="s">
        <v>1297</v>
      </c>
    </row>
    <row r="159" spans="1:13">
      <c r="A159" s="239" t="s">
        <v>991</v>
      </c>
      <c r="B159" s="239" t="s">
        <v>311</v>
      </c>
      <c r="C159" s="240"/>
      <c r="D159" s="241">
        <v>698</v>
      </c>
      <c r="E159" s="242">
        <v>40</v>
      </c>
      <c r="F159" s="236"/>
      <c r="G159" s="236"/>
      <c r="H159" s="236">
        <v>9</v>
      </c>
      <c r="I159" s="236">
        <v>2</v>
      </c>
      <c r="J159" s="242">
        <v>5224</v>
      </c>
      <c r="K159" s="243" t="s">
        <v>275</v>
      </c>
      <c r="L159" s="236"/>
      <c r="M159" s="244" t="s">
        <v>1298</v>
      </c>
    </row>
    <row r="160" spans="1:13">
      <c r="A160" s="239" t="s">
        <v>1564</v>
      </c>
      <c r="B160" s="239" t="s">
        <v>1566</v>
      </c>
      <c r="C160" s="240"/>
      <c r="D160" s="241">
        <v>150</v>
      </c>
      <c r="E160" s="242">
        <v>80</v>
      </c>
      <c r="F160" s="236"/>
      <c r="G160" s="236"/>
      <c r="H160" s="236">
        <v>10</v>
      </c>
      <c r="I160" s="236">
        <v>0</v>
      </c>
      <c r="J160" s="935">
        <v>10</v>
      </c>
      <c r="K160" s="243"/>
      <c r="L160" s="236"/>
      <c r="M160" s="244"/>
    </row>
    <row r="161" spans="1:13">
      <c r="A161" s="239" t="s">
        <v>1565</v>
      </c>
      <c r="B161" s="239" t="s">
        <v>1567</v>
      </c>
      <c r="C161" s="240"/>
      <c r="D161" s="241">
        <v>400</v>
      </c>
      <c r="E161" s="242">
        <v>240</v>
      </c>
      <c r="F161" s="236"/>
      <c r="G161" s="236"/>
      <c r="H161" s="236">
        <v>10</v>
      </c>
      <c r="I161" s="236">
        <v>0</v>
      </c>
      <c r="J161" s="242">
        <v>7</v>
      </c>
      <c r="K161" s="243"/>
      <c r="L161" s="236"/>
      <c r="M161" s="244"/>
    </row>
    <row r="162" spans="1:13">
      <c r="A162" s="239" t="s">
        <v>1691</v>
      </c>
      <c r="B162" s="239" t="s">
        <v>1692</v>
      </c>
      <c r="C162" s="240" t="s">
        <v>747</v>
      </c>
      <c r="D162" s="241">
        <v>495</v>
      </c>
      <c r="E162" s="242">
        <v>29</v>
      </c>
      <c r="F162" s="236"/>
      <c r="G162" s="242"/>
      <c r="H162" s="236">
        <v>7</v>
      </c>
      <c r="I162" s="236">
        <v>1.5</v>
      </c>
      <c r="J162" s="242">
        <v>5311</v>
      </c>
      <c r="K162" s="243" t="s">
        <v>275</v>
      </c>
      <c r="L162" s="236"/>
      <c r="M162" s="244" t="s">
        <v>1299</v>
      </c>
    </row>
    <row r="163" spans="1:13">
      <c r="A163" s="239" t="s">
        <v>1631</v>
      </c>
      <c r="B163" s="239" t="s">
        <v>1632</v>
      </c>
      <c r="C163" s="240" t="s">
        <v>1633</v>
      </c>
      <c r="D163" s="241">
        <v>990</v>
      </c>
      <c r="E163" s="236">
        <v>60</v>
      </c>
      <c r="F163" s="236"/>
      <c r="G163" s="236"/>
      <c r="H163" s="236">
        <v>19</v>
      </c>
      <c r="I163" s="236">
        <v>3</v>
      </c>
      <c r="J163" s="242">
        <v>8309</v>
      </c>
      <c r="K163" s="243" t="s">
        <v>309</v>
      </c>
      <c r="L163" s="236"/>
      <c r="M163" s="244" t="s">
        <v>1732</v>
      </c>
    </row>
    <row r="164" spans="1:13">
      <c r="A164" s="239" t="s">
        <v>845</v>
      </c>
      <c r="B164" s="239" t="s">
        <v>1482</v>
      </c>
      <c r="C164" s="240" t="s">
        <v>840</v>
      </c>
      <c r="D164" s="241">
        <v>419</v>
      </c>
      <c r="E164" s="242">
        <v>25</v>
      </c>
      <c r="F164" s="239"/>
      <c r="G164" s="242"/>
      <c r="H164" s="236">
        <v>19</v>
      </c>
      <c r="I164" s="242">
        <v>1.5</v>
      </c>
      <c r="J164" s="242">
        <v>8211</v>
      </c>
      <c r="K164" s="243" t="s">
        <v>309</v>
      </c>
      <c r="L164" s="242"/>
      <c r="M164" s="987" t="s">
        <v>907</v>
      </c>
    </row>
    <row r="165" spans="1:13">
      <c r="A165" s="239" t="s">
        <v>1634</v>
      </c>
      <c r="B165" s="239" t="s">
        <v>1482</v>
      </c>
      <c r="C165" s="240" t="s">
        <v>1633</v>
      </c>
      <c r="D165" s="241">
        <v>495</v>
      </c>
      <c r="E165" s="236">
        <v>30</v>
      </c>
      <c r="F165" s="236"/>
      <c r="G165" s="236"/>
      <c r="H165" s="236">
        <v>19</v>
      </c>
      <c r="I165" s="242">
        <v>1.5</v>
      </c>
      <c r="J165" s="242">
        <v>8302</v>
      </c>
      <c r="K165" s="243" t="s">
        <v>309</v>
      </c>
      <c r="L165" s="236"/>
      <c r="M165" s="244"/>
    </row>
    <row r="166" spans="1:13" s="245" customFormat="1">
      <c r="A166" s="239" t="s">
        <v>1635</v>
      </c>
      <c r="B166" s="239" t="s">
        <v>1636</v>
      </c>
      <c r="C166" s="240" t="s">
        <v>1633</v>
      </c>
      <c r="D166" s="241">
        <v>495</v>
      </c>
      <c r="E166" s="236">
        <v>30</v>
      </c>
      <c r="F166" s="236"/>
      <c r="G166" s="236"/>
      <c r="H166" s="236">
        <v>19</v>
      </c>
      <c r="I166" s="242">
        <v>1.5</v>
      </c>
      <c r="J166" s="242">
        <v>8308</v>
      </c>
      <c r="K166" s="243" t="s">
        <v>309</v>
      </c>
      <c r="L166" s="236"/>
      <c r="M166" s="244"/>
    </row>
    <row r="167" spans="1:13">
      <c r="A167" s="239" t="s">
        <v>1637</v>
      </c>
      <c r="B167" s="239" t="s">
        <v>1638</v>
      </c>
      <c r="C167" s="240" t="s">
        <v>1633</v>
      </c>
      <c r="D167" s="241">
        <v>495</v>
      </c>
      <c r="E167" s="236">
        <v>30</v>
      </c>
      <c r="F167" s="236"/>
      <c r="G167" s="236"/>
      <c r="H167" s="236">
        <v>19</v>
      </c>
      <c r="I167" s="242">
        <v>1.5</v>
      </c>
      <c r="J167" s="242">
        <v>8305</v>
      </c>
      <c r="K167" s="243" t="s">
        <v>309</v>
      </c>
      <c r="L167" s="236"/>
      <c r="M167" s="244"/>
    </row>
    <row r="168" spans="1:13">
      <c r="A168" s="239" t="s">
        <v>1639</v>
      </c>
      <c r="B168" s="239" t="s">
        <v>1640</v>
      </c>
      <c r="C168" s="240" t="s">
        <v>1633</v>
      </c>
      <c r="D168" s="241">
        <v>495</v>
      </c>
      <c r="E168" s="236">
        <v>30</v>
      </c>
      <c r="F168" s="236"/>
      <c r="G168" s="236"/>
      <c r="H168" s="236">
        <v>19</v>
      </c>
      <c r="I168" s="242">
        <v>1.5</v>
      </c>
      <c r="J168" s="242">
        <v>8307</v>
      </c>
      <c r="K168" s="243" t="s">
        <v>309</v>
      </c>
      <c r="L168" s="236"/>
      <c r="M168" s="244"/>
    </row>
    <row r="169" spans="1:13">
      <c r="A169" s="239" t="s">
        <v>856</v>
      </c>
      <c r="B169" s="239" t="s">
        <v>1483</v>
      </c>
      <c r="C169" s="240" t="s">
        <v>840</v>
      </c>
      <c r="D169" s="241">
        <v>419</v>
      </c>
      <c r="E169" s="242">
        <v>25</v>
      </c>
      <c r="F169" s="239"/>
      <c r="G169" s="242"/>
      <c r="H169" s="236">
        <v>19</v>
      </c>
      <c r="I169" s="242">
        <v>1.5</v>
      </c>
      <c r="J169" s="242">
        <v>8241</v>
      </c>
      <c r="K169" s="243"/>
      <c r="L169" s="242"/>
      <c r="M169" s="988" t="s">
        <v>908</v>
      </c>
    </row>
    <row r="170" spans="1:13">
      <c r="A170" s="239" t="s">
        <v>839</v>
      </c>
      <c r="B170" s="239" t="s">
        <v>1484</v>
      </c>
      <c r="C170" s="240" t="s">
        <v>840</v>
      </c>
      <c r="D170" s="241">
        <v>829</v>
      </c>
      <c r="E170" s="242">
        <v>40</v>
      </c>
      <c r="F170" s="239"/>
      <c r="G170" s="242"/>
      <c r="H170" s="236">
        <v>19</v>
      </c>
      <c r="I170" s="242">
        <v>2</v>
      </c>
      <c r="J170" s="242">
        <v>8204</v>
      </c>
      <c r="K170" s="243" t="s">
        <v>309</v>
      </c>
      <c r="L170" s="242"/>
      <c r="M170" s="988" t="s">
        <v>909</v>
      </c>
    </row>
    <row r="171" spans="1:13">
      <c r="A171" s="239" t="s">
        <v>1641</v>
      </c>
      <c r="B171" s="239" t="s">
        <v>1484</v>
      </c>
      <c r="C171" s="240" t="s">
        <v>1633</v>
      </c>
      <c r="D171" s="241">
        <v>990</v>
      </c>
      <c r="E171" s="236">
        <v>60</v>
      </c>
      <c r="F171" s="236"/>
      <c r="G171" s="236"/>
      <c r="H171" s="236">
        <v>19</v>
      </c>
      <c r="I171" s="242">
        <v>3</v>
      </c>
      <c r="J171" s="242">
        <v>8301</v>
      </c>
      <c r="K171" s="243" t="s">
        <v>309</v>
      </c>
      <c r="L171" s="236"/>
      <c r="M171" s="244"/>
    </row>
    <row r="172" spans="1:13">
      <c r="A172" s="239" t="s">
        <v>846</v>
      </c>
      <c r="B172" s="239" t="s">
        <v>1485</v>
      </c>
      <c r="C172" s="240" t="s">
        <v>840</v>
      </c>
      <c r="D172" s="241">
        <v>419</v>
      </c>
      <c r="E172" s="242">
        <v>20</v>
      </c>
      <c r="F172" s="239"/>
      <c r="G172" s="242"/>
      <c r="H172" s="236">
        <v>19</v>
      </c>
      <c r="I172" s="242">
        <v>1</v>
      </c>
      <c r="J172" s="242">
        <v>8212</v>
      </c>
      <c r="K172" s="243" t="s">
        <v>309</v>
      </c>
      <c r="L172" s="242"/>
      <c r="M172" s="988" t="s">
        <v>910</v>
      </c>
    </row>
    <row r="173" spans="1:13">
      <c r="A173" s="239" t="s">
        <v>1642</v>
      </c>
      <c r="B173" s="239" t="s">
        <v>1485</v>
      </c>
      <c r="C173" s="240" t="s">
        <v>1633</v>
      </c>
      <c r="D173" s="241">
        <v>495</v>
      </c>
      <c r="E173" s="236">
        <v>30</v>
      </c>
      <c r="F173" s="236"/>
      <c r="G173" s="236"/>
      <c r="H173" s="236">
        <v>19</v>
      </c>
      <c r="I173" s="242">
        <v>1.5</v>
      </c>
      <c r="J173" s="242">
        <v>8304</v>
      </c>
      <c r="K173" s="243" t="s">
        <v>309</v>
      </c>
      <c r="L173" s="236"/>
      <c r="M173" s="244"/>
    </row>
    <row r="174" spans="1:13">
      <c r="A174" s="239" t="s">
        <v>841</v>
      </c>
      <c r="B174" s="239" t="s">
        <v>1486</v>
      </c>
      <c r="C174" s="240" t="s">
        <v>840</v>
      </c>
      <c r="D174" s="241">
        <v>829</v>
      </c>
      <c r="E174" s="242">
        <v>40</v>
      </c>
      <c r="F174" s="239"/>
      <c r="G174" s="242"/>
      <c r="H174" s="236">
        <v>19</v>
      </c>
      <c r="I174" s="242">
        <v>2</v>
      </c>
      <c r="J174" s="242">
        <v>8206</v>
      </c>
      <c r="K174" s="243" t="s">
        <v>309</v>
      </c>
      <c r="L174" s="242"/>
      <c r="M174" s="966" t="s">
        <v>1733</v>
      </c>
    </row>
    <row r="175" spans="1:13">
      <c r="A175" s="239" t="s">
        <v>1643</v>
      </c>
      <c r="B175" s="239" t="s">
        <v>1486</v>
      </c>
      <c r="C175" s="240" t="s">
        <v>1633</v>
      </c>
      <c r="D175" s="241">
        <v>990</v>
      </c>
      <c r="E175" s="236">
        <v>60</v>
      </c>
      <c r="F175" s="236"/>
      <c r="G175" s="236"/>
      <c r="H175" s="236">
        <v>19</v>
      </c>
      <c r="I175" s="242">
        <v>3</v>
      </c>
      <c r="J175" s="242">
        <v>8303</v>
      </c>
      <c r="K175" s="243" t="s">
        <v>309</v>
      </c>
      <c r="L175" s="236"/>
      <c r="M175" s="244"/>
    </row>
    <row r="176" spans="1:13">
      <c r="A176" s="239" t="s">
        <v>1644</v>
      </c>
      <c r="B176" s="239" t="s">
        <v>1645</v>
      </c>
      <c r="C176" s="240" t="s">
        <v>1633</v>
      </c>
      <c r="D176" s="241">
        <v>990</v>
      </c>
      <c r="E176" s="236">
        <v>60</v>
      </c>
      <c r="F176" s="236"/>
      <c r="G176" s="236"/>
      <c r="H176" s="236">
        <v>19</v>
      </c>
      <c r="I176" s="242">
        <v>3</v>
      </c>
      <c r="J176" s="242">
        <v>8306</v>
      </c>
      <c r="K176" s="243" t="s">
        <v>309</v>
      </c>
      <c r="L176" s="236"/>
      <c r="M176" s="244"/>
    </row>
    <row r="177" spans="1:13">
      <c r="A177" s="239" t="s">
        <v>1646</v>
      </c>
      <c r="B177" s="239" t="s">
        <v>1647</v>
      </c>
      <c r="C177" s="240" t="s">
        <v>1633</v>
      </c>
      <c r="D177" s="241">
        <v>990</v>
      </c>
      <c r="E177" s="236">
        <v>60</v>
      </c>
      <c r="F177" s="236"/>
      <c r="G177" s="236"/>
      <c r="H177" s="236">
        <v>19</v>
      </c>
      <c r="I177" s="242">
        <v>3</v>
      </c>
      <c r="J177" s="242">
        <v>8310</v>
      </c>
      <c r="K177" s="243" t="s">
        <v>309</v>
      </c>
      <c r="L177" s="236"/>
      <c r="M177" s="244"/>
    </row>
    <row r="178" spans="1:13">
      <c r="A178" s="239" t="s">
        <v>1648</v>
      </c>
      <c r="B178" s="239" t="s">
        <v>1649</v>
      </c>
      <c r="C178" s="240" t="s">
        <v>1633</v>
      </c>
      <c r="D178" s="241">
        <v>495</v>
      </c>
      <c r="E178" s="236">
        <v>30</v>
      </c>
      <c r="F178" s="236"/>
      <c r="G178" s="236"/>
      <c r="H178" s="236">
        <v>19</v>
      </c>
      <c r="I178" s="242">
        <v>1.5</v>
      </c>
      <c r="J178" s="242">
        <v>8311</v>
      </c>
      <c r="K178" s="243" t="s">
        <v>309</v>
      </c>
      <c r="L178" s="236"/>
      <c r="M178" s="244"/>
    </row>
    <row r="179" spans="1:13">
      <c r="A179" s="239" t="s">
        <v>843</v>
      </c>
      <c r="B179" s="239" t="s">
        <v>1487</v>
      </c>
      <c r="C179" s="240" t="s">
        <v>840</v>
      </c>
      <c r="D179" s="241">
        <v>419</v>
      </c>
      <c r="E179" s="242">
        <v>25</v>
      </c>
      <c r="F179" s="239"/>
      <c r="G179" s="242"/>
      <c r="H179" s="236">
        <v>19</v>
      </c>
      <c r="I179" s="242">
        <v>1.5</v>
      </c>
      <c r="J179" s="242">
        <v>8203</v>
      </c>
      <c r="K179" s="243" t="s">
        <v>309</v>
      </c>
      <c r="L179" s="242"/>
      <c r="M179" s="988" t="s">
        <v>911</v>
      </c>
    </row>
    <row r="180" spans="1:13">
      <c r="A180" s="239" t="s">
        <v>842</v>
      </c>
      <c r="B180" s="239" t="s">
        <v>1488</v>
      </c>
      <c r="C180" s="240" t="s">
        <v>840</v>
      </c>
      <c r="D180" s="241">
        <v>268</v>
      </c>
      <c r="E180" s="242">
        <v>20</v>
      </c>
      <c r="F180" s="236"/>
      <c r="G180" s="236"/>
      <c r="H180" s="236">
        <v>19</v>
      </c>
      <c r="I180" s="242">
        <v>1</v>
      </c>
      <c r="J180" s="242">
        <v>8201</v>
      </c>
      <c r="K180" s="243" t="s">
        <v>309</v>
      </c>
      <c r="L180" s="236"/>
      <c r="M180" s="988" t="s">
        <v>912</v>
      </c>
    </row>
    <row r="181" spans="1:13">
      <c r="A181" s="239" t="s">
        <v>851</v>
      </c>
      <c r="B181" s="239" t="s">
        <v>1489</v>
      </c>
      <c r="C181" s="240" t="s">
        <v>840</v>
      </c>
      <c r="D181" s="241">
        <v>829</v>
      </c>
      <c r="E181" s="242">
        <v>50</v>
      </c>
      <c r="F181" s="239"/>
      <c r="G181" s="242"/>
      <c r="H181" s="236">
        <v>19</v>
      </c>
      <c r="I181" s="236">
        <v>2.5</v>
      </c>
      <c r="J181" s="242">
        <v>8223</v>
      </c>
      <c r="K181" s="243" t="s">
        <v>309</v>
      </c>
      <c r="L181" s="242"/>
      <c r="M181" s="988" t="s">
        <v>913</v>
      </c>
    </row>
    <row r="182" spans="1:13">
      <c r="A182" s="239" t="s">
        <v>848</v>
      </c>
      <c r="B182" s="239" t="s">
        <v>1496</v>
      </c>
      <c r="C182" s="240" t="s">
        <v>840</v>
      </c>
      <c r="D182" s="241">
        <v>419</v>
      </c>
      <c r="E182" s="242">
        <v>20</v>
      </c>
      <c r="F182" s="236"/>
      <c r="G182" s="236"/>
      <c r="H182" s="236">
        <v>19</v>
      </c>
      <c r="I182" s="242">
        <v>1</v>
      </c>
      <c r="J182" s="242">
        <v>8215</v>
      </c>
      <c r="K182" s="243" t="s">
        <v>309</v>
      </c>
      <c r="L182" s="236"/>
      <c r="M182" s="988" t="s">
        <v>914</v>
      </c>
    </row>
    <row r="183" spans="1:13">
      <c r="A183" s="239" t="s">
        <v>844</v>
      </c>
      <c r="B183" s="239" t="s">
        <v>1490</v>
      </c>
      <c r="C183" s="240" t="s">
        <v>840</v>
      </c>
      <c r="D183" s="241">
        <v>829</v>
      </c>
      <c r="E183" s="242">
        <v>60</v>
      </c>
      <c r="F183" s="236"/>
      <c r="G183" s="236"/>
      <c r="H183" s="236">
        <v>19</v>
      </c>
      <c r="I183" s="242">
        <v>3</v>
      </c>
      <c r="J183" s="242">
        <v>8209</v>
      </c>
      <c r="K183" s="243" t="s">
        <v>309</v>
      </c>
      <c r="L183" s="236"/>
      <c r="M183" s="988" t="s">
        <v>915</v>
      </c>
    </row>
    <row r="184" spans="1:13">
      <c r="A184" s="239" t="s">
        <v>847</v>
      </c>
      <c r="B184" s="239" t="s">
        <v>1491</v>
      </c>
      <c r="C184" s="240" t="s">
        <v>840</v>
      </c>
      <c r="D184" s="241">
        <v>829</v>
      </c>
      <c r="E184" s="242">
        <v>50</v>
      </c>
      <c r="F184" s="239"/>
      <c r="G184" s="242"/>
      <c r="H184" s="236">
        <v>19</v>
      </c>
      <c r="I184" s="242">
        <v>2.5</v>
      </c>
      <c r="J184" s="242">
        <v>8213</v>
      </c>
      <c r="K184" s="243" t="s">
        <v>309</v>
      </c>
      <c r="L184" s="242"/>
      <c r="M184" s="988" t="s">
        <v>916</v>
      </c>
    </row>
    <row r="185" spans="1:13">
      <c r="A185" s="239" t="s">
        <v>852</v>
      </c>
      <c r="B185" s="239" t="s">
        <v>1492</v>
      </c>
      <c r="C185" s="240" t="s">
        <v>840</v>
      </c>
      <c r="D185" s="241">
        <v>829</v>
      </c>
      <c r="E185" s="236">
        <v>40</v>
      </c>
      <c r="F185" s="236"/>
      <c r="G185" s="236"/>
      <c r="H185" s="236">
        <v>19</v>
      </c>
      <c r="I185" s="236">
        <v>2</v>
      </c>
      <c r="J185" s="242">
        <v>8225</v>
      </c>
      <c r="K185" s="243" t="s">
        <v>309</v>
      </c>
      <c r="L185" s="236"/>
      <c r="M185" s="988" t="s">
        <v>917</v>
      </c>
    </row>
    <row r="186" spans="1:13">
      <c r="A186" s="239" t="s">
        <v>854</v>
      </c>
      <c r="B186" s="239" t="s">
        <v>1493</v>
      </c>
      <c r="C186" s="240" t="s">
        <v>840</v>
      </c>
      <c r="D186" s="241">
        <v>829</v>
      </c>
      <c r="E186" s="236">
        <v>50</v>
      </c>
      <c r="F186" s="236"/>
      <c r="G186" s="236"/>
      <c r="H186" s="236">
        <v>19</v>
      </c>
      <c r="I186" s="236">
        <v>2</v>
      </c>
      <c r="J186" s="242">
        <v>8229</v>
      </c>
      <c r="K186" s="243" t="s">
        <v>309</v>
      </c>
      <c r="L186" s="236"/>
      <c r="M186" s="988" t="s">
        <v>918</v>
      </c>
    </row>
    <row r="187" spans="1:13" s="250" customFormat="1">
      <c r="A187" s="239" t="s">
        <v>853</v>
      </c>
      <c r="B187" s="239" t="s">
        <v>1494</v>
      </c>
      <c r="C187" s="240" t="s">
        <v>840</v>
      </c>
      <c r="D187" s="241">
        <v>829</v>
      </c>
      <c r="E187" s="236">
        <v>60</v>
      </c>
      <c r="F187" s="236"/>
      <c r="G187" s="236"/>
      <c r="H187" s="236">
        <v>19</v>
      </c>
      <c r="I187" s="236">
        <v>3</v>
      </c>
      <c r="J187" s="242">
        <v>8226</v>
      </c>
      <c r="K187" s="243" t="s">
        <v>309</v>
      </c>
      <c r="L187" s="236"/>
      <c r="M187" s="988" t="s">
        <v>919</v>
      </c>
    </row>
    <row r="188" spans="1:13" s="250" customFormat="1">
      <c r="A188" s="239" t="s">
        <v>849</v>
      </c>
      <c r="B188" s="239" t="s">
        <v>1497</v>
      </c>
      <c r="C188" s="240" t="s">
        <v>840</v>
      </c>
      <c r="D188" s="241">
        <v>829</v>
      </c>
      <c r="E188" s="242">
        <v>40</v>
      </c>
      <c r="F188" s="236"/>
      <c r="G188" s="236"/>
      <c r="H188" s="236">
        <v>19</v>
      </c>
      <c r="I188" s="242">
        <v>2</v>
      </c>
      <c r="J188" s="242">
        <v>8219</v>
      </c>
      <c r="K188" s="243" t="s">
        <v>309</v>
      </c>
      <c r="L188" s="236"/>
      <c r="M188" s="988" t="s">
        <v>920</v>
      </c>
    </row>
    <row r="189" spans="1:13" s="250" customFormat="1">
      <c r="A189" s="239" t="s">
        <v>850</v>
      </c>
      <c r="B189" s="239" t="s">
        <v>1495</v>
      </c>
      <c r="C189" s="240" t="s">
        <v>840</v>
      </c>
      <c r="D189" s="241">
        <v>829</v>
      </c>
      <c r="E189" s="242">
        <v>40</v>
      </c>
      <c r="F189" s="239"/>
      <c r="G189" s="242"/>
      <c r="H189" s="236">
        <v>19</v>
      </c>
      <c r="I189" s="236">
        <v>2</v>
      </c>
      <c r="J189" s="242">
        <v>8221</v>
      </c>
      <c r="K189" s="243" t="s">
        <v>309</v>
      </c>
      <c r="L189" s="242"/>
      <c r="M189" s="987" t="s">
        <v>921</v>
      </c>
    </row>
    <row r="190" spans="1:13" s="250" customFormat="1">
      <c r="A190" s="239" t="s">
        <v>308</v>
      </c>
      <c r="B190" s="239" t="s">
        <v>1074</v>
      </c>
      <c r="C190" s="240"/>
      <c r="D190" s="241">
        <v>466</v>
      </c>
      <c r="E190" s="242">
        <v>4</v>
      </c>
      <c r="F190" s="239"/>
      <c r="G190" s="242"/>
      <c r="H190" s="935">
        <v>98</v>
      </c>
      <c r="I190" s="242">
        <v>0</v>
      </c>
      <c r="J190" s="242">
        <v>8522</v>
      </c>
      <c r="K190" s="243" t="s">
        <v>306</v>
      </c>
      <c r="L190" s="242"/>
      <c r="M190" s="238"/>
    </row>
    <row r="191" spans="1:13" s="250" customFormat="1">
      <c r="A191" s="239" t="s">
        <v>307</v>
      </c>
      <c r="B191" s="239" t="s">
        <v>1075</v>
      </c>
      <c r="C191" s="240"/>
      <c r="D191" s="241">
        <v>428</v>
      </c>
      <c r="E191" s="236">
        <v>4</v>
      </c>
      <c r="F191" s="239"/>
      <c r="G191" s="236"/>
      <c r="H191" s="935">
        <v>98</v>
      </c>
      <c r="I191" s="242">
        <v>0.5</v>
      </c>
      <c r="J191" s="242">
        <v>8514</v>
      </c>
      <c r="K191" s="243" t="s">
        <v>306</v>
      </c>
      <c r="L191" s="236"/>
      <c r="M191" s="238"/>
    </row>
    <row r="192" spans="1:13" s="250" customFormat="1">
      <c r="A192" s="239" t="s">
        <v>1037</v>
      </c>
      <c r="B192" s="239" t="s">
        <v>1038</v>
      </c>
      <c r="C192" s="240"/>
      <c r="D192" s="241">
        <v>99</v>
      </c>
      <c r="E192" s="236">
        <v>0</v>
      </c>
      <c r="F192" s="239"/>
      <c r="G192" s="236"/>
      <c r="H192" s="935">
        <v>98</v>
      </c>
      <c r="I192" s="242">
        <v>0</v>
      </c>
      <c r="J192" s="242">
        <v>9000</v>
      </c>
      <c r="K192" s="243" t="s">
        <v>291</v>
      </c>
      <c r="L192" s="236"/>
      <c r="M192" s="238"/>
    </row>
    <row r="193" spans="1:13" s="250" customFormat="1">
      <c r="A193" s="239" t="s">
        <v>1630</v>
      </c>
      <c r="B193" s="239" t="s">
        <v>1549</v>
      </c>
      <c r="C193" s="240"/>
      <c r="D193" s="241">
        <v>495</v>
      </c>
      <c r="E193" s="236">
        <v>32</v>
      </c>
      <c r="F193" s="239"/>
      <c r="G193" s="236"/>
      <c r="H193" s="236">
        <v>7</v>
      </c>
      <c r="I193" s="242">
        <v>1.5</v>
      </c>
      <c r="J193" s="242">
        <v>5811</v>
      </c>
      <c r="K193" s="243"/>
      <c r="L193" s="236"/>
      <c r="M193" s="238"/>
    </row>
    <row r="194" spans="1:13" s="250" customFormat="1">
      <c r="A194" s="239" t="s">
        <v>1547</v>
      </c>
      <c r="B194" s="239" t="s">
        <v>1550</v>
      </c>
      <c r="C194" s="240"/>
      <c r="D194" s="241">
        <v>495</v>
      </c>
      <c r="E194" s="236">
        <v>21</v>
      </c>
      <c r="F194" s="239"/>
      <c r="G194" s="236"/>
      <c r="H194" s="236">
        <v>7</v>
      </c>
      <c r="I194" s="242">
        <v>1</v>
      </c>
      <c r="J194" s="242">
        <v>5812</v>
      </c>
      <c r="K194" s="243"/>
      <c r="L194" s="236"/>
      <c r="M194" s="238"/>
    </row>
    <row r="195" spans="1:13" s="250" customFormat="1">
      <c r="A195" s="239" t="s">
        <v>1548</v>
      </c>
      <c r="B195" s="239" t="s">
        <v>1551</v>
      </c>
      <c r="C195" s="240"/>
      <c r="D195" s="241">
        <v>495</v>
      </c>
      <c r="E195" s="236">
        <v>21</v>
      </c>
      <c r="F195" s="239"/>
      <c r="G195" s="236"/>
      <c r="H195" s="236">
        <v>7</v>
      </c>
      <c r="I195" s="242">
        <v>1</v>
      </c>
      <c r="J195" s="242">
        <v>5813</v>
      </c>
      <c r="K195" s="243"/>
      <c r="L195" s="236"/>
      <c r="M195" s="238"/>
    </row>
    <row r="196" spans="1:13" s="250" customFormat="1">
      <c r="A196" s="239" t="s">
        <v>1568</v>
      </c>
      <c r="B196" s="239" t="s">
        <v>1569</v>
      </c>
      <c r="C196" s="240"/>
      <c r="D196" s="241">
        <v>495</v>
      </c>
      <c r="E196" s="236">
        <v>27</v>
      </c>
      <c r="F196" s="239"/>
      <c r="G196" s="236"/>
      <c r="H196" s="236">
        <v>7</v>
      </c>
      <c r="I196" s="242">
        <v>1.5</v>
      </c>
      <c r="J196" s="242">
        <v>5814</v>
      </c>
      <c r="K196" s="243"/>
      <c r="L196" s="236"/>
      <c r="M196" s="238"/>
    </row>
    <row r="197" spans="1:13" s="250" customFormat="1" ht="13.5" customHeight="1">
      <c r="A197" s="239" t="s">
        <v>759</v>
      </c>
      <c r="B197" s="239" t="s">
        <v>760</v>
      </c>
      <c r="C197" s="240" t="s">
        <v>761</v>
      </c>
      <c r="D197" s="241">
        <v>799</v>
      </c>
      <c r="E197" s="236">
        <v>46</v>
      </c>
      <c r="F197" s="236"/>
      <c r="G197" s="236"/>
      <c r="H197" s="242">
        <v>7</v>
      </c>
      <c r="I197" s="242">
        <v>2.5</v>
      </c>
      <c r="J197" s="242">
        <v>5211</v>
      </c>
      <c r="K197" s="243" t="s">
        <v>275</v>
      </c>
      <c r="L197" s="236"/>
      <c r="M197" s="244" t="s">
        <v>1318</v>
      </c>
    </row>
    <row r="198" spans="1:13" s="250" customFormat="1">
      <c r="A198" s="239" t="s">
        <v>1339</v>
      </c>
      <c r="B198" s="239" t="s">
        <v>1337</v>
      </c>
      <c r="C198" s="240"/>
      <c r="D198" s="241">
        <v>0</v>
      </c>
      <c r="E198" s="236">
        <v>64</v>
      </c>
      <c r="F198" s="236"/>
      <c r="G198" s="236"/>
      <c r="H198" s="242">
        <v>99</v>
      </c>
      <c r="I198" s="242">
        <v>3</v>
      </c>
      <c r="J198" s="242">
        <v>9999</v>
      </c>
      <c r="K198" s="243" t="s">
        <v>1515</v>
      </c>
      <c r="L198" s="236"/>
      <c r="M198" s="244"/>
    </row>
    <row r="199" spans="1:13" s="250" customFormat="1" ht="13.5" customHeight="1">
      <c r="A199" s="239" t="s">
        <v>1339</v>
      </c>
      <c r="B199" s="239" t="s">
        <v>1341</v>
      </c>
      <c r="C199" s="240"/>
      <c r="D199" s="241">
        <v>0</v>
      </c>
      <c r="E199" s="236">
        <v>64</v>
      </c>
      <c r="F199" s="236"/>
      <c r="G199" s="236"/>
      <c r="H199" s="242">
        <v>99</v>
      </c>
      <c r="I199" s="242">
        <v>3</v>
      </c>
      <c r="J199" s="242">
        <v>9999</v>
      </c>
      <c r="K199" s="243" t="s">
        <v>1515</v>
      </c>
      <c r="L199" s="236"/>
      <c r="M199" s="244"/>
    </row>
    <row r="200" spans="1:13" s="250" customFormat="1">
      <c r="A200" s="239" t="s">
        <v>1386</v>
      </c>
      <c r="B200" s="239" t="s">
        <v>1387</v>
      </c>
      <c r="C200" s="240"/>
      <c r="D200" s="241">
        <v>0</v>
      </c>
      <c r="E200" s="236">
        <v>54</v>
      </c>
      <c r="F200" s="236"/>
      <c r="G200" s="236"/>
      <c r="H200" s="242">
        <v>99</v>
      </c>
      <c r="I200" s="242">
        <v>2.5</v>
      </c>
      <c r="J200" s="242">
        <v>9999</v>
      </c>
      <c r="K200" s="243" t="s">
        <v>1515</v>
      </c>
      <c r="L200" s="236"/>
      <c r="M200" s="244"/>
    </row>
    <row r="201" spans="1:13" s="250" customFormat="1">
      <c r="A201" s="239" t="s">
        <v>1338</v>
      </c>
      <c r="B201" s="239" t="s">
        <v>1340</v>
      </c>
      <c r="C201" s="240"/>
      <c r="D201" s="241">
        <v>0</v>
      </c>
      <c r="E201" s="236">
        <v>75</v>
      </c>
      <c r="F201" s="236"/>
      <c r="G201" s="236"/>
      <c r="H201" s="242">
        <v>99</v>
      </c>
      <c r="I201" s="242">
        <v>4</v>
      </c>
      <c r="J201" s="242">
        <v>9999</v>
      </c>
      <c r="K201" s="243" t="s">
        <v>1515</v>
      </c>
      <c r="L201" s="236"/>
      <c r="M201" s="244"/>
    </row>
    <row r="202" spans="1:13" s="250" customFormat="1" ht="13.5" customHeight="1">
      <c r="A202" s="239" t="s">
        <v>1388</v>
      </c>
      <c r="B202" s="239" t="s">
        <v>1389</v>
      </c>
      <c r="C202" s="240"/>
      <c r="D202" s="241">
        <v>0</v>
      </c>
      <c r="E202" s="236">
        <v>36</v>
      </c>
      <c r="F202" s="236"/>
      <c r="G202" s="236"/>
      <c r="H202" s="242">
        <v>99</v>
      </c>
      <c r="I202" s="242">
        <v>2</v>
      </c>
      <c r="J202" s="242">
        <v>9999</v>
      </c>
      <c r="K202" s="243" t="s">
        <v>1515</v>
      </c>
      <c r="L202" s="236"/>
      <c r="M202" s="244"/>
    </row>
    <row r="203" spans="1:13" s="250" customFormat="1">
      <c r="A203" s="239" t="s">
        <v>1384</v>
      </c>
      <c r="B203" s="239" t="s">
        <v>1385</v>
      </c>
      <c r="C203" s="240"/>
      <c r="D203" s="241">
        <v>1713</v>
      </c>
      <c r="E203" s="236">
        <v>145</v>
      </c>
      <c r="F203" s="236"/>
      <c r="G203" s="236"/>
      <c r="H203" s="242">
        <v>99</v>
      </c>
      <c r="I203" s="242">
        <v>7.5</v>
      </c>
      <c r="J203" s="242">
        <v>9999</v>
      </c>
      <c r="K203" s="243" t="s">
        <v>1515</v>
      </c>
      <c r="L203" s="236"/>
      <c r="M203" s="244"/>
    </row>
    <row r="204" spans="1:13" s="250" customFormat="1">
      <c r="A204" s="239" t="s">
        <v>1352</v>
      </c>
      <c r="B204" s="239" t="s">
        <v>1355</v>
      </c>
      <c r="C204" s="240"/>
      <c r="D204" s="241">
        <v>382</v>
      </c>
      <c r="E204" s="236">
        <v>88</v>
      </c>
      <c r="F204" s="236"/>
      <c r="G204" s="236"/>
      <c r="H204" s="242">
        <v>99</v>
      </c>
      <c r="I204" s="242">
        <v>4.5</v>
      </c>
      <c r="J204" s="242">
        <v>9999</v>
      </c>
      <c r="K204" s="243" t="s">
        <v>1515</v>
      </c>
      <c r="L204" s="236"/>
      <c r="M204" s="244"/>
    </row>
    <row r="205" spans="1:13" s="250" customFormat="1">
      <c r="A205" s="239" t="s">
        <v>1537</v>
      </c>
      <c r="B205" s="239" t="s">
        <v>1529</v>
      </c>
      <c r="C205" s="240"/>
      <c r="D205" s="241">
        <v>0</v>
      </c>
      <c r="E205" s="236">
        <v>75</v>
      </c>
      <c r="F205" s="236"/>
      <c r="G205" s="236"/>
      <c r="H205" s="242">
        <v>99</v>
      </c>
      <c r="I205" s="242">
        <v>4</v>
      </c>
      <c r="J205" s="242">
        <v>9999</v>
      </c>
      <c r="K205" s="243" t="s">
        <v>1515</v>
      </c>
      <c r="L205" s="236"/>
      <c r="M205" s="244"/>
    </row>
    <row r="206" spans="1:13" s="250" customFormat="1">
      <c r="A206" s="239" t="s">
        <v>1538</v>
      </c>
      <c r="B206" s="239" t="s">
        <v>1530</v>
      </c>
      <c r="C206" s="240"/>
      <c r="D206" s="241">
        <v>0</v>
      </c>
      <c r="E206" s="236">
        <v>26</v>
      </c>
      <c r="F206" s="236"/>
      <c r="G206" s="236"/>
      <c r="H206" s="242">
        <v>99</v>
      </c>
      <c r="I206" s="242">
        <v>1.5</v>
      </c>
      <c r="J206" s="242">
        <v>9999</v>
      </c>
      <c r="K206" s="243" t="s">
        <v>1515</v>
      </c>
      <c r="L206" s="236"/>
      <c r="M206" s="244"/>
    </row>
    <row r="207" spans="1:13" s="250" customFormat="1">
      <c r="A207" s="239" t="s">
        <v>1342</v>
      </c>
      <c r="B207" s="239" t="s">
        <v>1343</v>
      </c>
      <c r="C207" s="240"/>
      <c r="D207" s="241">
        <v>0</v>
      </c>
      <c r="E207" s="236">
        <v>78</v>
      </c>
      <c r="F207" s="236"/>
      <c r="G207" s="236"/>
      <c r="H207" s="242">
        <v>99</v>
      </c>
      <c r="I207" s="242">
        <v>4</v>
      </c>
      <c r="J207" s="242">
        <v>9999</v>
      </c>
      <c r="K207" s="243" t="s">
        <v>1515</v>
      </c>
      <c r="L207" s="236"/>
      <c r="M207" s="244"/>
    </row>
    <row r="208" spans="1:13" s="250" customFormat="1">
      <c r="A208" s="239" t="s">
        <v>1351</v>
      </c>
      <c r="B208" s="239" t="s">
        <v>1344</v>
      </c>
      <c r="C208" s="240"/>
      <c r="D208" s="241">
        <v>0</v>
      </c>
      <c r="E208" s="236">
        <v>28</v>
      </c>
      <c r="F208" s="236"/>
      <c r="G208" s="236"/>
      <c r="H208" s="242">
        <v>99</v>
      </c>
      <c r="I208" s="242">
        <v>1.5</v>
      </c>
      <c r="J208" s="242">
        <v>9999</v>
      </c>
      <c r="K208" s="243" t="s">
        <v>1515</v>
      </c>
      <c r="L208" s="236"/>
      <c r="M208" s="244"/>
    </row>
    <row r="209" spans="1:13" s="250" customFormat="1">
      <c r="A209" s="239" t="s">
        <v>1390</v>
      </c>
      <c r="B209" s="239" t="s">
        <v>1391</v>
      </c>
      <c r="C209" s="240"/>
      <c r="D209" s="241">
        <v>0</v>
      </c>
      <c r="E209" s="236">
        <v>51</v>
      </c>
      <c r="F209" s="236"/>
      <c r="G209" s="236"/>
      <c r="H209" s="242">
        <v>99</v>
      </c>
      <c r="I209" s="242">
        <v>2.5</v>
      </c>
      <c r="J209" s="242">
        <v>9999</v>
      </c>
      <c r="K209" s="243" t="s">
        <v>1515</v>
      </c>
      <c r="L209" s="236"/>
      <c r="M209" s="244"/>
    </row>
    <row r="210" spans="1:13" s="250" customFormat="1">
      <c r="A210" s="239" t="s">
        <v>1350</v>
      </c>
      <c r="B210" s="239" t="s">
        <v>1345</v>
      </c>
      <c r="C210" s="239"/>
      <c r="D210" s="241">
        <v>0</v>
      </c>
      <c r="E210" s="236">
        <v>71</v>
      </c>
      <c r="F210" s="236"/>
      <c r="G210" s="236"/>
      <c r="H210" s="242">
        <v>99</v>
      </c>
      <c r="I210" s="242">
        <v>3.5</v>
      </c>
      <c r="J210" s="242">
        <v>9999</v>
      </c>
      <c r="K210" s="243" t="s">
        <v>1515</v>
      </c>
      <c r="L210" s="236"/>
      <c r="M210" s="244"/>
    </row>
    <row r="211" spans="1:13" s="250" customFormat="1">
      <c r="A211" s="239" t="s">
        <v>1392</v>
      </c>
      <c r="B211" s="239" t="s">
        <v>1393</v>
      </c>
      <c r="C211" s="239"/>
      <c r="D211" s="241">
        <v>0</v>
      </c>
      <c r="E211" s="236">
        <v>45</v>
      </c>
      <c r="F211" s="236"/>
      <c r="G211" s="236"/>
      <c r="H211" s="242">
        <v>99</v>
      </c>
      <c r="I211" s="242">
        <v>2.5</v>
      </c>
      <c r="J211" s="242">
        <v>9999</v>
      </c>
      <c r="K211" s="243" t="s">
        <v>1515</v>
      </c>
      <c r="L211" s="236"/>
      <c r="M211" s="244"/>
    </row>
    <row r="212" spans="1:13" s="250" customFormat="1">
      <c r="A212" s="239" t="s">
        <v>1535</v>
      </c>
      <c r="B212" s="239" t="s">
        <v>1536</v>
      </c>
      <c r="C212" s="239"/>
      <c r="D212" s="241">
        <v>0</v>
      </c>
      <c r="E212" s="236">
        <v>36</v>
      </c>
      <c r="F212" s="236"/>
      <c r="G212" s="236"/>
      <c r="H212" s="242">
        <v>99</v>
      </c>
      <c r="I212" s="242">
        <v>2</v>
      </c>
      <c r="J212" s="242">
        <v>9999</v>
      </c>
      <c r="K212" s="243" t="s">
        <v>1515</v>
      </c>
      <c r="L212" s="236"/>
      <c r="M212" s="244"/>
    </row>
    <row r="213" spans="1:13" s="250" customFormat="1">
      <c r="A213" s="239" t="s">
        <v>1349</v>
      </c>
      <c r="B213" s="239" t="s">
        <v>1346</v>
      </c>
      <c r="C213" s="240"/>
      <c r="D213" s="241">
        <v>0</v>
      </c>
      <c r="E213" s="236">
        <v>58</v>
      </c>
      <c r="F213" s="236"/>
      <c r="G213" s="236"/>
      <c r="H213" s="242">
        <v>99</v>
      </c>
      <c r="I213" s="242">
        <v>3</v>
      </c>
      <c r="J213" s="242">
        <v>9999</v>
      </c>
      <c r="K213" s="243" t="s">
        <v>1515</v>
      </c>
      <c r="L213" s="236"/>
      <c r="M213" s="244"/>
    </row>
    <row r="214" spans="1:13" s="250" customFormat="1">
      <c r="A214" s="239" t="s">
        <v>1356</v>
      </c>
      <c r="B214" s="239" t="s">
        <v>1357</v>
      </c>
      <c r="C214" s="240"/>
      <c r="D214" s="241">
        <v>0</v>
      </c>
      <c r="E214" s="236">
        <v>85</v>
      </c>
      <c r="F214" s="236"/>
      <c r="G214" s="236"/>
      <c r="H214" s="242">
        <v>99</v>
      </c>
      <c r="I214" s="242">
        <v>4.5</v>
      </c>
      <c r="J214" s="242">
        <v>9999</v>
      </c>
      <c r="K214" s="243" t="s">
        <v>1515</v>
      </c>
      <c r="L214" s="236"/>
      <c r="M214" s="244"/>
    </row>
    <row r="215" spans="1:13" s="250" customFormat="1">
      <c r="A215" s="239" t="s">
        <v>1396</v>
      </c>
      <c r="B215" s="239" t="s">
        <v>1397</v>
      </c>
      <c r="C215" s="240"/>
      <c r="D215" s="241">
        <v>0</v>
      </c>
      <c r="E215" s="236">
        <v>47</v>
      </c>
      <c r="F215" s="236"/>
      <c r="G215" s="236"/>
      <c r="H215" s="242">
        <v>99</v>
      </c>
      <c r="I215" s="242">
        <v>2.5</v>
      </c>
      <c r="J215" s="242">
        <v>9999</v>
      </c>
      <c r="K215" s="243" t="s">
        <v>1515</v>
      </c>
      <c r="L215" s="236"/>
      <c r="M215" s="244"/>
    </row>
    <row r="216" spans="1:13" s="250" customFormat="1">
      <c r="A216" s="239" t="s">
        <v>1358</v>
      </c>
      <c r="B216" s="239" t="s">
        <v>1359</v>
      </c>
      <c r="C216" s="240"/>
      <c r="D216" s="241">
        <v>628</v>
      </c>
      <c r="E216" s="236">
        <v>162</v>
      </c>
      <c r="F216" s="236"/>
      <c r="G216" s="236"/>
      <c r="H216" s="242">
        <v>99</v>
      </c>
      <c r="I216" s="242">
        <v>8</v>
      </c>
      <c r="J216" s="242">
        <v>9999</v>
      </c>
      <c r="K216" s="243" t="s">
        <v>1515</v>
      </c>
      <c r="L216" s="236"/>
      <c r="M216" s="244"/>
    </row>
    <row r="217" spans="1:13" s="250" customFormat="1">
      <c r="A217" s="239" t="s">
        <v>1398</v>
      </c>
      <c r="B217" s="239" t="s">
        <v>1399</v>
      </c>
      <c r="C217" s="240"/>
      <c r="D217" s="241">
        <v>0</v>
      </c>
      <c r="E217" s="236">
        <v>38</v>
      </c>
      <c r="F217" s="236"/>
      <c r="G217" s="236"/>
      <c r="H217" s="242">
        <v>99</v>
      </c>
      <c r="I217" s="242">
        <v>2</v>
      </c>
      <c r="J217" s="242">
        <v>9999</v>
      </c>
      <c r="K217" s="243" t="s">
        <v>1515</v>
      </c>
      <c r="L217" s="236"/>
      <c r="M217" s="244"/>
    </row>
    <row r="218" spans="1:13" s="250" customFormat="1">
      <c r="A218" s="848" t="s">
        <v>1353</v>
      </c>
      <c r="B218" s="239" t="s">
        <v>1354</v>
      </c>
      <c r="C218" s="240"/>
      <c r="D218" s="241">
        <v>0</v>
      </c>
      <c r="E218" s="236">
        <v>84</v>
      </c>
      <c r="F218" s="236"/>
      <c r="G218" s="236"/>
      <c r="H218" s="242">
        <v>99</v>
      </c>
      <c r="I218" s="242">
        <v>4</v>
      </c>
      <c r="J218" s="242">
        <v>9999</v>
      </c>
      <c r="K218" s="243" t="s">
        <v>1515</v>
      </c>
      <c r="L218" s="236"/>
      <c r="M218" s="244"/>
    </row>
    <row r="219" spans="1:13" s="250" customFormat="1">
      <c r="A219" s="239" t="s">
        <v>1348</v>
      </c>
      <c r="B219" s="239" t="s">
        <v>1347</v>
      </c>
      <c r="C219" s="240"/>
      <c r="D219" s="241">
        <v>625</v>
      </c>
      <c r="E219" s="236">
        <v>149</v>
      </c>
      <c r="F219" s="236"/>
      <c r="G219" s="236"/>
      <c r="H219" s="242">
        <v>99</v>
      </c>
      <c r="I219" s="242">
        <v>7.5</v>
      </c>
      <c r="J219" s="242">
        <v>9999</v>
      </c>
      <c r="K219" s="243" t="s">
        <v>1515</v>
      </c>
      <c r="L219" s="236"/>
      <c r="M219" s="244"/>
    </row>
    <row r="220" spans="1:13" s="250" customFormat="1">
      <c r="A220" s="239" t="s">
        <v>1394</v>
      </c>
      <c r="B220" s="239" t="s">
        <v>1395</v>
      </c>
      <c r="C220" s="240"/>
      <c r="D220" s="241">
        <v>625</v>
      </c>
      <c r="E220" s="236">
        <v>113</v>
      </c>
      <c r="F220" s="236"/>
      <c r="G220" s="236"/>
      <c r="H220" s="242">
        <v>99</v>
      </c>
      <c r="I220" s="242">
        <v>2</v>
      </c>
      <c r="J220" s="242">
        <v>9999</v>
      </c>
      <c r="K220" s="243" t="s">
        <v>1515</v>
      </c>
      <c r="L220" s="236"/>
      <c r="M220" s="244"/>
    </row>
    <row r="221" spans="1:13" s="250" customFormat="1">
      <c r="A221" s="239" t="s">
        <v>1362</v>
      </c>
      <c r="B221" s="239" t="s">
        <v>1363</v>
      </c>
      <c r="C221" s="240"/>
      <c r="D221" s="241">
        <v>0</v>
      </c>
      <c r="E221" s="236">
        <v>88</v>
      </c>
      <c r="F221" s="236"/>
      <c r="G221" s="236"/>
      <c r="H221" s="242">
        <v>99</v>
      </c>
      <c r="I221" s="242">
        <v>4.5</v>
      </c>
      <c r="J221" s="242">
        <v>9999</v>
      </c>
      <c r="K221" s="243" t="s">
        <v>1515</v>
      </c>
      <c r="L221" s="236"/>
      <c r="M221" s="244"/>
    </row>
    <row r="222" spans="1:13" s="250" customFormat="1">
      <c r="A222" s="239" t="s">
        <v>1360</v>
      </c>
      <c r="B222" s="239" t="s">
        <v>1361</v>
      </c>
      <c r="C222" s="240"/>
      <c r="D222" s="241">
        <v>0</v>
      </c>
      <c r="E222" s="236">
        <v>76</v>
      </c>
      <c r="F222" s="236"/>
      <c r="G222" s="236"/>
      <c r="H222" s="242">
        <v>99</v>
      </c>
      <c r="I222" s="242">
        <v>4</v>
      </c>
      <c r="J222" s="242">
        <v>9999</v>
      </c>
      <c r="K222" s="243" t="s">
        <v>1515</v>
      </c>
      <c r="L222" s="236"/>
      <c r="M222" s="244"/>
    </row>
    <row r="223" spans="1:13" s="250" customFormat="1">
      <c r="A223" s="239" t="s">
        <v>1650</v>
      </c>
      <c r="B223" s="239" t="s">
        <v>1651</v>
      </c>
      <c r="C223" s="240"/>
      <c r="D223" s="241">
        <v>0</v>
      </c>
      <c r="E223" s="236">
        <v>68</v>
      </c>
      <c r="F223" s="236"/>
      <c r="G223" s="236"/>
      <c r="H223" s="242">
        <v>99</v>
      </c>
      <c r="I223" s="242">
        <v>3.5</v>
      </c>
      <c r="J223" s="242">
        <v>9999</v>
      </c>
      <c r="K223" s="243" t="s">
        <v>1652</v>
      </c>
      <c r="L223" s="236"/>
      <c r="M223" s="244"/>
    </row>
    <row r="224" spans="1:13" s="250" customFormat="1">
      <c r="A224" s="239" t="s">
        <v>1400</v>
      </c>
      <c r="B224" s="239" t="s">
        <v>1401</v>
      </c>
      <c r="C224" s="240"/>
      <c r="D224" s="241">
        <v>0</v>
      </c>
      <c r="E224" s="236">
        <v>53</v>
      </c>
      <c r="F224" s="236"/>
      <c r="G224" s="236"/>
      <c r="H224" s="242">
        <v>99</v>
      </c>
      <c r="I224" s="242">
        <v>2.5</v>
      </c>
      <c r="J224" s="242">
        <v>9999</v>
      </c>
      <c r="K224" s="243" t="s">
        <v>1515</v>
      </c>
      <c r="L224" s="236"/>
      <c r="M224" s="244"/>
    </row>
    <row r="225" spans="1:13" s="250" customFormat="1">
      <c r="A225" s="239" t="s">
        <v>1402</v>
      </c>
      <c r="B225" s="239" t="s">
        <v>1403</v>
      </c>
      <c r="C225" s="240"/>
      <c r="D225" s="241">
        <v>0</v>
      </c>
      <c r="E225" s="236">
        <v>63</v>
      </c>
      <c r="F225" s="236"/>
      <c r="G225" s="236"/>
      <c r="H225" s="242">
        <v>99</v>
      </c>
      <c r="I225" s="242">
        <v>3</v>
      </c>
      <c r="J225" s="242">
        <v>9999</v>
      </c>
      <c r="K225" s="243" t="s">
        <v>1515</v>
      </c>
      <c r="L225" s="236"/>
      <c r="M225" s="244"/>
    </row>
    <row r="226" spans="1:13" s="250" customFormat="1">
      <c r="A226" s="239" t="s">
        <v>1364</v>
      </c>
      <c r="B226" s="239" t="s">
        <v>1365</v>
      </c>
      <c r="C226" s="240"/>
      <c r="D226" s="241">
        <v>0</v>
      </c>
      <c r="E226" s="236">
        <v>79</v>
      </c>
      <c r="F226" s="236"/>
      <c r="G226" s="236"/>
      <c r="H226" s="242">
        <v>99</v>
      </c>
      <c r="I226" s="242">
        <v>4</v>
      </c>
      <c r="J226" s="242">
        <v>9999</v>
      </c>
      <c r="K226" s="243" t="s">
        <v>1515</v>
      </c>
      <c r="L226" s="236"/>
      <c r="M226" s="244"/>
    </row>
    <row r="227" spans="1:13" s="250" customFormat="1">
      <c r="A227" s="239" t="s">
        <v>1421</v>
      </c>
      <c r="B227" s="239" t="s">
        <v>1419</v>
      </c>
      <c r="C227" s="240"/>
      <c r="D227" s="241">
        <v>0</v>
      </c>
      <c r="E227" s="236">
        <v>24</v>
      </c>
      <c r="F227" s="236"/>
      <c r="G227" s="236"/>
      <c r="H227" s="242">
        <v>99</v>
      </c>
      <c r="I227" s="242">
        <v>1</v>
      </c>
      <c r="J227" s="242">
        <v>9999</v>
      </c>
      <c r="K227" s="243" t="s">
        <v>1515</v>
      </c>
      <c r="L227" s="236"/>
      <c r="M227" s="244"/>
    </row>
    <row r="228" spans="1:13" s="250" customFormat="1">
      <c r="A228" s="239" t="s">
        <v>1422</v>
      </c>
      <c r="B228" s="239" t="s">
        <v>1420</v>
      </c>
      <c r="C228" s="240"/>
      <c r="D228" s="241">
        <v>0</v>
      </c>
      <c r="E228" s="236">
        <v>35</v>
      </c>
      <c r="F228" s="236"/>
      <c r="G228" s="236"/>
      <c r="H228" s="242">
        <v>99</v>
      </c>
      <c r="I228" s="242">
        <v>4</v>
      </c>
      <c r="J228" s="242">
        <v>9999</v>
      </c>
      <c r="K228" s="243" t="s">
        <v>1515</v>
      </c>
      <c r="L228" s="236"/>
      <c r="M228" s="244"/>
    </row>
    <row r="229" spans="1:13" s="250" customFormat="1">
      <c r="A229" s="239" t="s">
        <v>1404</v>
      </c>
      <c r="B229" s="239" t="s">
        <v>1405</v>
      </c>
      <c r="C229" s="240"/>
      <c r="D229" s="241">
        <v>0</v>
      </c>
      <c r="E229" s="236">
        <v>73</v>
      </c>
      <c r="F229" s="236"/>
      <c r="G229" s="236"/>
      <c r="H229" s="242">
        <v>99</v>
      </c>
      <c r="I229" s="242">
        <v>3.5</v>
      </c>
      <c r="J229" s="242">
        <v>9999</v>
      </c>
      <c r="K229" s="243" t="s">
        <v>1515</v>
      </c>
      <c r="L229" s="236"/>
      <c r="M229" s="244"/>
    </row>
    <row r="230" spans="1:13" s="250" customFormat="1">
      <c r="A230" s="239" t="s">
        <v>1366</v>
      </c>
      <c r="B230" s="239" t="s">
        <v>1367</v>
      </c>
      <c r="C230" s="240"/>
      <c r="D230" s="241">
        <v>0</v>
      </c>
      <c r="E230" s="236">
        <v>35</v>
      </c>
      <c r="F230" s="236"/>
      <c r="G230" s="236"/>
      <c r="H230" s="242">
        <v>99</v>
      </c>
      <c r="I230" s="242">
        <v>2</v>
      </c>
      <c r="J230" s="242">
        <v>9999</v>
      </c>
      <c r="K230" s="243" t="s">
        <v>1515</v>
      </c>
      <c r="L230" s="236"/>
      <c r="M230" s="244"/>
    </row>
    <row r="231" spans="1:13" s="250" customFormat="1">
      <c r="A231" s="239" t="s">
        <v>1368</v>
      </c>
      <c r="B231" s="239" t="s">
        <v>1369</v>
      </c>
      <c r="C231" s="240"/>
      <c r="D231" s="241">
        <v>0</v>
      </c>
      <c r="E231" s="236">
        <v>33</v>
      </c>
      <c r="F231" s="236"/>
      <c r="G231" s="236"/>
      <c r="H231" s="242">
        <v>99</v>
      </c>
      <c r="I231" s="242">
        <v>1.5</v>
      </c>
      <c r="J231" s="242">
        <v>9999</v>
      </c>
      <c r="K231" s="243" t="s">
        <v>1515</v>
      </c>
      <c r="L231" s="236"/>
      <c r="M231" s="244"/>
    </row>
    <row r="232" spans="1:13" s="250" customFormat="1">
      <c r="A232" s="239" t="s">
        <v>1406</v>
      </c>
      <c r="B232" s="239" t="s">
        <v>1407</v>
      </c>
      <c r="C232" s="240"/>
      <c r="D232" s="241">
        <v>0</v>
      </c>
      <c r="E232" s="236">
        <v>48</v>
      </c>
      <c r="F232" s="236"/>
      <c r="G232" s="236"/>
      <c r="H232" s="242">
        <v>99</v>
      </c>
      <c r="I232" s="242">
        <v>2.5</v>
      </c>
      <c r="J232" s="242">
        <v>9999</v>
      </c>
      <c r="K232" s="243" t="s">
        <v>1515</v>
      </c>
      <c r="L232" s="236"/>
      <c r="M232" s="244"/>
    </row>
    <row r="233" spans="1:13" s="250" customFormat="1">
      <c r="A233" s="239" t="s">
        <v>1371</v>
      </c>
      <c r="B233" s="239" t="s">
        <v>1370</v>
      </c>
      <c r="C233" s="240"/>
      <c r="D233" s="241">
        <v>628</v>
      </c>
      <c r="E233" s="236">
        <v>155</v>
      </c>
      <c r="F233" s="236"/>
      <c r="G233" s="236"/>
      <c r="H233" s="242">
        <v>99</v>
      </c>
      <c r="I233" s="242">
        <v>8</v>
      </c>
      <c r="J233" s="242">
        <v>9999</v>
      </c>
      <c r="K233" s="243" t="s">
        <v>1515</v>
      </c>
      <c r="L233" s="236"/>
      <c r="M233" s="244"/>
    </row>
    <row r="234" spans="1:13" s="250" customFormat="1">
      <c r="A234" s="239" t="s">
        <v>1372</v>
      </c>
      <c r="B234" s="239" t="s">
        <v>1373</v>
      </c>
      <c r="C234" s="240"/>
      <c r="D234" s="241">
        <v>628</v>
      </c>
      <c r="E234" s="236">
        <v>120</v>
      </c>
      <c r="F234" s="236"/>
      <c r="G234" s="236"/>
      <c r="H234" s="242">
        <v>99</v>
      </c>
      <c r="I234" s="242">
        <v>6</v>
      </c>
      <c r="J234" s="242">
        <v>9999</v>
      </c>
      <c r="K234" s="243" t="s">
        <v>1515</v>
      </c>
      <c r="L234" s="236"/>
      <c r="M234" s="244"/>
    </row>
    <row r="235" spans="1:13" s="250" customFormat="1">
      <c r="A235" s="239" t="s">
        <v>1408</v>
      </c>
      <c r="B235" s="239" t="s">
        <v>1409</v>
      </c>
      <c r="C235" s="240"/>
      <c r="D235" s="241">
        <v>0</v>
      </c>
      <c r="E235" s="236">
        <v>40</v>
      </c>
      <c r="F235" s="236"/>
      <c r="G235" s="236"/>
      <c r="H235" s="242">
        <v>99</v>
      </c>
      <c r="I235" s="242">
        <v>2</v>
      </c>
      <c r="J235" s="242">
        <v>9999</v>
      </c>
      <c r="K235" s="243" t="s">
        <v>1515</v>
      </c>
      <c r="L235" s="236"/>
      <c r="M235" s="244"/>
    </row>
    <row r="236" spans="1:13" s="250" customFormat="1">
      <c r="A236" s="239" t="s">
        <v>1374</v>
      </c>
      <c r="B236" s="239" t="s">
        <v>1375</v>
      </c>
      <c r="C236" s="240"/>
      <c r="D236" s="241">
        <v>0</v>
      </c>
      <c r="E236" s="236">
        <v>89</v>
      </c>
      <c r="F236" s="236"/>
      <c r="G236" s="236"/>
      <c r="H236" s="242">
        <v>99</v>
      </c>
      <c r="I236" s="242">
        <v>4.5</v>
      </c>
      <c r="J236" s="242">
        <v>9999</v>
      </c>
      <c r="K236" s="243" t="s">
        <v>1515</v>
      </c>
      <c r="L236" s="236"/>
      <c r="M236" s="244"/>
    </row>
    <row r="237" spans="1:13" s="250" customFormat="1">
      <c r="A237" s="239" t="s">
        <v>1410</v>
      </c>
      <c r="B237" s="239" t="s">
        <v>1411</v>
      </c>
      <c r="C237" s="240"/>
      <c r="D237" s="241">
        <v>0</v>
      </c>
      <c r="E237" s="236">
        <v>37</v>
      </c>
      <c r="F237" s="236"/>
      <c r="G237" s="236"/>
      <c r="H237" s="242">
        <v>99</v>
      </c>
      <c r="I237" s="242">
        <v>2</v>
      </c>
      <c r="J237" s="242">
        <v>9999</v>
      </c>
      <c r="K237" s="243" t="s">
        <v>1515</v>
      </c>
      <c r="L237" s="236"/>
      <c r="M237" s="244"/>
    </row>
    <row r="238" spans="1:13" s="250" customFormat="1">
      <c r="A238" s="239" t="s">
        <v>1378</v>
      </c>
      <c r="B238" s="239" t="s">
        <v>1379</v>
      </c>
      <c r="C238" s="240"/>
      <c r="D238" s="241">
        <v>0</v>
      </c>
      <c r="E238" s="236">
        <v>84</v>
      </c>
      <c r="F238" s="236"/>
      <c r="G238" s="236"/>
      <c r="H238" s="242">
        <v>99</v>
      </c>
      <c r="I238" s="242">
        <v>4</v>
      </c>
      <c r="J238" s="242">
        <v>9999</v>
      </c>
      <c r="K238" s="243" t="s">
        <v>1515</v>
      </c>
      <c r="L238" s="236"/>
      <c r="M238" s="244"/>
    </row>
    <row r="239" spans="1:13" s="250" customFormat="1">
      <c r="A239" s="239" t="s">
        <v>1412</v>
      </c>
      <c r="B239" s="239" t="s">
        <v>1413</v>
      </c>
      <c r="C239" s="240"/>
      <c r="D239" s="241">
        <v>382</v>
      </c>
      <c r="E239" s="236">
        <v>63</v>
      </c>
      <c r="F239" s="236"/>
      <c r="G239" s="236"/>
      <c r="H239" s="242">
        <v>99</v>
      </c>
      <c r="I239" s="242">
        <v>3</v>
      </c>
      <c r="J239" s="242">
        <v>9999</v>
      </c>
      <c r="K239" s="243" t="s">
        <v>1515</v>
      </c>
      <c r="L239" s="236"/>
      <c r="M239" s="244"/>
    </row>
    <row r="240" spans="1:13" s="250" customFormat="1">
      <c r="A240" s="239" t="s">
        <v>1414</v>
      </c>
      <c r="B240" s="239" t="s">
        <v>1415</v>
      </c>
      <c r="C240" s="240"/>
      <c r="D240" s="241">
        <v>329</v>
      </c>
      <c r="E240" s="236">
        <v>45</v>
      </c>
      <c r="F240" s="236"/>
      <c r="G240" s="236"/>
      <c r="H240" s="242">
        <v>99</v>
      </c>
      <c r="I240" s="242">
        <v>2.5</v>
      </c>
      <c r="J240" s="242">
        <v>9999</v>
      </c>
      <c r="K240" s="243" t="s">
        <v>1515</v>
      </c>
      <c r="L240" s="236"/>
      <c r="M240" s="244"/>
    </row>
    <row r="241" spans="1:13" s="250" customFormat="1">
      <c r="A241" s="239" t="s">
        <v>1376</v>
      </c>
      <c r="B241" s="239" t="s">
        <v>1377</v>
      </c>
      <c r="C241" s="240"/>
      <c r="D241" s="241">
        <v>625</v>
      </c>
      <c r="E241" s="236">
        <v>161</v>
      </c>
      <c r="F241" s="236"/>
      <c r="G241" s="236"/>
      <c r="H241" s="242">
        <v>99</v>
      </c>
      <c r="I241" s="242">
        <v>8</v>
      </c>
      <c r="J241" s="242">
        <v>9999</v>
      </c>
      <c r="K241" s="243" t="s">
        <v>1515</v>
      </c>
      <c r="L241" s="236"/>
      <c r="M241" s="244"/>
    </row>
    <row r="242" spans="1:13" s="250" customFormat="1">
      <c r="A242" s="239" t="s">
        <v>1416</v>
      </c>
      <c r="B242" s="239" t="s">
        <v>1417</v>
      </c>
      <c r="C242" s="240"/>
      <c r="D242" s="241">
        <v>0</v>
      </c>
      <c r="E242" s="236">
        <v>34</v>
      </c>
      <c r="F242" s="236"/>
      <c r="G242" s="236"/>
      <c r="H242" s="242">
        <v>99</v>
      </c>
      <c r="I242" s="242">
        <v>1.5</v>
      </c>
      <c r="J242" s="242">
        <v>9999</v>
      </c>
      <c r="K242" s="243" t="s">
        <v>1515</v>
      </c>
      <c r="L242" s="236"/>
      <c r="M242" s="244"/>
    </row>
    <row r="243" spans="1:13" s="250" customFormat="1">
      <c r="A243" s="239" t="s">
        <v>1380</v>
      </c>
      <c r="B243" s="239" t="s">
        <v>1381</v>
      </c>
      <c r="C243" s="240"/>
      <c r="D243" s="241">
        <v>0</v>
      </c>
      <c r="E243" s="236">
        <v>71</v>
      </c>
      <c r="F243" s="236"/>
      <c r="G243" s="236"/>
      <c r="H243" s="242">
        <v>99</v>
      </c>
      <c r="I243" s="242">
        <v>3.5</v>
      </c>
      <c r="J243" s="242">
        <v>9999</v>
      </c>
      <c r="K243" s="243" t="s">
        <v>1515</v>
      </c>
      <c r="L243" s="236"/>
      <c r="M243" s="244"/>
    </row>
    <row r="244" spans="1:13" s="250" customFormat="1">
      <c r="A244" s="239" t="s">
        <v>1382</v>
      </c>
      <c r="B244" s="239" t="s">
        <v>1383</v>
      </c>
      <c r="C244" s="240"/>
      <c r="D244" s="241">
        <v>0</v>
      </c>
      <c r="E244" s="236">
        <v>99</v>
      </c>
      <c r="F244" s="236"/>
      <c r="G244" s="236"/>
      <c r="H244" s="242">
        <v>99</v>
      </c>
      <c r="I244" s="242">
        <v>5</v>
      </c>
      <c r="J244" s="242">
        <v>9999</v>
      </c>
      <c r="K244" s="243" t="s">
        <v>1515</v>
      </c>
      <c r="L244" s="236"/>
      <c r="M244" s="244"/>
    </row>
    <row r="245" spans="1:13" s="250" customFormat="1">
      <c r="A245" s="239" t="s">
        <v>1701</v>
      </c>
      <c r="B245" s="239" t="s">
        <v>1668</v>
      </c>
      <c r="C245" s="252"/>
      <c r="D245" s="241">
        <v>1301</v>
      </c>
      <c r="E245" s="242">
        <v>100</v>
      </c>
      <c r="F245" s="253"/>
      <c r="G245" s="253"/>
      <c r="H245" s="242">
        <v>11</v>
      </c>
      <c r="I245" s="242">
        <v>5</v>
      </c>
      <c r="J245" s="242">
        <v>8501</v>
      </c>
      <c r="K245" s="243" t="s">
        <v>300</v>
      </c>
      <c r="L245" s="253"/>
      <c r="M245" s="244" t="s">
        <v>1300</v>
      </c>
    </row>
    <row r="246" spans="1:13" s="250" customFormat="1">
      <c r="A246" s="239" t="s">
        <v>1702</v>
      </c>
      <c r="B246" s="239" t="s">
        <v>1669</v>
      </c>
      <c r="C246" s="252"/>
      <c r="D246" s="241">
        <v>1301</v>
      </c>
      <c r="E246" s="242">
        <v>100</v>
      </c>
      <c r="F246" s="236"/>
      <c r="G246" s="236"/>
      <c r="H246" s="242">
        <v>11</v>
      </c>
      <c r="I246" s="236">
        <v>5</v>
      </c>
      <c r="J246" s="242">
        <v>8502</v>
      </c>
      <c r="K246" s="243" t="s">
        <v>300</v>
      </c>
      <c r="L246" s="236"/>
      <c r="M246" s="244" t="s">
        <v>1301</v>
      </c>
    </row>
    <row r="247" spans="1:13" s="250" customFormat="1">
      <c r="A247" s="239" t="s">
        <v>1719</v>
      </c>
      <c r="B247" s="239" t="s">
        <v>1717</v>
      </c>
      <c r="C247" s="252"/>
      <c r="D247" s="241">
        <v>1600</v>
      </c>
      <c r="E247" s="242">
        <v>100</v>
      </c>
      <c r="F247" s="236"/>
      <c r="G247" s="236"/>
      <c r="H247" s="236">
        <v>16</v>
      </c>
      <c r="I247" s="236">
        <v>5</v>
      </c>
      <c r="J247" s="242">
        <v>8540</v>
      </c>
      <c r="K247" s="243" t="s">
        <v>300</v>
      </c>
      <c r="L247" s="236"/>
      <c r="M247" s="244"/>
    </row>
    <row r="248" spans="1:13" s="250" customFormat="1">
      <c r="A248" s="239" t="s">
        <v>1716</v>
      </c>
      <c r="B248" s="239" t="s">
        <v>1718</v>
      </c>
      <c r="C248" s="252"/>
      <c r="D248" s="241">
        <v>1600</v>
      </c>
      <c r="E248" s="242">
        <v>100</v>
      </c>
      <c r="F248" s="236"/>
      <c r="G248" s="236"/>
      <c r="H248" s="236">
        <v>16</v>
      </c>
      <c r="I248" s="236">
        <v>5</v>
      </c>
      <c r="J248" s="242">
        <v>8541</v>
      </c>
      <c r="K248" s="243" t="s">
        <v>300</v>
      </c>
      <c r="L248" s="236"/>
      <c r="M248" s="244"/>
    </row>
    <row r="249" spans="1:13" s="250" customFormat="1">
      <c r="A249" s="239" t="s">
        <v>1333</v>
      </c>
      <c r="B249" s="239" t="s">
        <v>1473</v>
      </c>
      <c r="C249" s="252"/>
      <c r="D249" s="241">
        <v>1469</v>
      </c>
      <c r="E249" s="242">
        <v>100</v>
      </c>
      <c r="F249" s="236"/>
      <c r="G249" s="236"/>
      <c r="H249" s="242">
        <v>16</v>
      </c>
      <c r="I249" s="242">
        <v>5</v>
      </c>
      <c r="J249" s="242">
        <v>8548</v>
      </c>
      <c r="K249" s="243" t="s">
        <v>300</v>
      </c>
      <c r="L249" s="236"/>
      <c r="M249" s="244" t="s">
        <v>1302</v>
      </c>
    </row>
    <row r="250" spans="1:13" s="250" customFormat="1">
      <c r="A250" s="239" t="s">
        <v>1334</v>
      </c>
      <c r="B250" s="239" t="s">
        <v>1474</v>
      </c>
      <c r="C250" s="252"/>
      <c r="D250" s="241">
        <v>1469</v>
      </c>
      <c r="E250" s="242">
        <v>100</v>
      </c>
      <c r="F250" s="236"/>
      <c r="G250" s="236"/>
      <c r="H250" s="242">
        <v>16</v>
      </c>
      <c r="I250" s="242">
        <v>5</v>
      </c>
      <c r="J250" s="242">
        <v>8549</v>
      </c>
      <c r="K250" s="243" t="s">
        <v>300</v>
      </c>
      <c r="L250" s="236"/>
      <c r="M250" s="244" t="s">
        <v>1303</v>
      </c>
    </row>
    <row r="251" spans="1:13" s="250" customFormat="1">
      <c r="A251" s="239" t="s">
        <v>1335</v>
      </c>
      <c r="B251" s="239" t="s">
        <v>1475</v>
      </c>
      <c r="C251" s="252"/>
      <c r="D251" s="241">
        <v>1469</v>
      </c>
      <c r="E251" s="242">
        <v>100</v>
      </c>
      <c r="F251" s="236"/>
      <c r="G251" s="236"/>
      <c r="H251" s="242">
        <v>16</v>
      </c>
      <c r="I251" s="242">
        <v>5</v>
      </c>
      <c r="J251" s="242">
        <v>8550</v>
      </c>
      <c r="K251" s="243" t="s">
        <v>300</v>
      </c>
      <c r="L251" s="236"/>
      <c r="M251" s="244" t="s">
        <v>1304</v>
      </c>
    </row>
    <row r="252" spans="1:13" s="250" customFormat="1">
      <c r="A252" s="239" t="s">
        <v>1693</v>
      </c>
      <c r="B252" s="848" t="s">
        <v>1694</v>
      </c>
      <c r="C252" s="252"/>
      <c r="D252" s="241">
        <v>1469</v>
      </c>
      <c r="E252" s="242">
        <v>100</v>
      </c>
      <c r="F252" s="236"/>
      <c r="G252" s="236"/>
      <c r="H252" s="242">
        <v>16</v>
      </c>
      <c r="I252" s="242">
        <v>5</v>
      </c>
      <c r="J252" s="242">
        <v>8551</v>
      </c>
      <c r="K252" s="243" t="s">
        <v>300</v>
      </c>
      <c r="L252" s="236"/>
      <c r="M252" s="244"/>
    </row>
    <row r="253" spans="1:13" s="250" customFormat="1">
      <c r="A253" s="239" t="s">
        <v>305</v>
      </c>
      <c r="B253" s="239" t="s">
        <v>304</v>
      </c>
      <c r="C253" s="252"/>
      <c r="D253" s="241">
        <v>1469</v>
      </c>
      <c r="E253" s="242">
        <v>100</v>
      </c>
      <c r="F253" s="236"/>
      <c r="G253" s="236"/>
      <c r="H253" s="242">
        <v>16</v>
      </c>
      <c r="I253" s="242">
        <v>5</v>
      </c>
      <c r="J253" s="242">
        <v>8541</v>
      </c>
      <c r="K253" s="243" t="s">
        <v>300</v>
      </c>
      <c r="L253" s="236"/>
      <c r="M253" s="244" t="s">
        <v>1305</v>
      </c>
    </row>
    <row r="254" spans="1:13" s="250" customFormat="1">
      <c r="A254" s="239" t="s">
        <v>431</v>
      </c>
      <c r="B254" s="239" t="s">
        <v>432</v>
      </c>
      <c r="C254" s="252"/>
      <c r="D254" s="241">
        <v>1469</v>
      </c>
      <c r="E254" s="242">
        <v>100</v>
      </c>
      <c r="F254" s="236"/>
      <c r="G254" s="236"/>
      <c r="H254" s="242">
        <v>16</v>
      </c>
      <c r="I254" s="242">
        <v>5</v>
      </c>
      <c r="J254" s="242">
        <v>8540</v>
      </c>
      <c r="K254" s="243" t="s">
        <v>300</v>
      </c>
      <c r="L254" s="236"/>
      <c r="M254" s="244" t="s">
        <v>1306</v>
      </c>
    </row>
    <row r="255" spans="1:13" s="250" customFormat="1">
      <c r="A255" s="239" t="s">
        <v>860</v>
      </c>
      <c r="B255" s="239" t="s">
        <v>862</v>
      </c>
      <c r="C255" s="252"/>
      <c r="D255" s="241">
        <v>1469</v>
      </c>
      <c r="E255" s="242">
        <v>100</v>
      </c>
      <c r="F255" s="236"/>
      <c r="G255" s="236"/>
      <c r="H255" s="242">
        <v>16</v>
      </c>
      <c r="I255" s="242">
        <v>5</v>
      </c>
      <c r="J255" s="242">
        <v>8541</v>
      </c>
      <c r="K255" s="243" t="s">
        <v>300</v>
      </c>
      <c r="L255" s="236"/>
      <c r="M255" s="244" t="s">
        <v>1307</v>
      </c>
    </row>
    <row r="256" spans="1:13" s="250" customFormat="1">
      <c r="A256" s="239" t="s">
        <v>861</v>
      </c>
      <c r="B256" s="239" t="s">
        <v>863</v>
      </c>
      <c r="C256" s="252"/>
      <c r="D256" s="241">
        <v>1469</v>
      </c>
      <c r="E256" s="242">
        <v>100</v>
      </c>
      <c r="F256" s="236"/>
      <c r="G256" s="236"/>
      <c r="H256" s="242">
        <v>16</v>
      </c>
      <c r="I256" s="242">
        <v>5</v>
      </c>
      <c r="J256" s="242">
        <v>8540</v>
      </c>
      <c r="K256" s="243" t="s">
        <v>300</v>
      </c>
      <c r="L256" s="236"/>
      <c r="M256" s="244" t="s">
        <v>1308</v>
      </c>
    </row>
    <row r="257" spans="1:13" s="250" customFormat="1">
      <c r="A257" s="239" t="s">
        <v>1476</v>
      </c>
      <c r="B257" s="239" t="s">
        <v>1479</v>
      </c>
      <c r="C257" s="252"/>
      <c r="D257" s="241">
        <v>1469</v>
      </c>
      <c r="E257" s="242">
        <v>100</v>
      </c>
      <c r="F257" s="236"/>
      <c r="G257" s="236"/>
      <c r="H257" s="242">
        <v>16</v>
      </c>
      <c r="I257" s="242">
        <v>5</v>
      </c>
      <c r="J257" s="242">
        <v>8541</v>
      </c>
      <c r="K257" s="243" t="s">
        <v>300</v>
      </c>
      <c r="L257" s="236"/>
      <c r="M257" s="244" t="s">
        <v>1480</v>
      </c>
    </row>
    <row r="258" spans="1:13" s="250" customFormat="1">
      <c r="A258" s="239" t="s">
        <v>1477</v>
      </c>
      <c r="B258" s="239" t="s">
        <v>1478</v>
      </c>
      <c r="C258" s="252"/>
      <c r="D258" s="241">
        <v>1469</v>
      </c>
      <c r="E258" s="242">
        <v>100</v>
      </c>
      <c r="F258" s="236"/>
      <c r="G258" s="236"/>
      <c r="H258" s="242">
        <v>16</v>
      </c>
      <c r="I258" s="242">
        <v>5</v>
      </c>
      <c r="J258" s="242">
        <v>8540</v>
      </c>
      <c r="K258" s="243" t="s">
        <v>300</v>
      </c>
      <c r="L258" s="236"/>
      <c r="M258" s="244" t="s">
        <v>1481</v>
      </c>
    </row>
    <row r="259" spans="1:13" s="250" customFormat="1">
      <c r="A259" s="239" t="s">
        <v>1695</v>
      </c>
      <c r="B259" s="239" t="s">
        <v>1698</v>
      </c>
      <c r="C259" s="252"/>
      <c r="D259" s="241">
        <v>1600</v>
      </c>
      <c r="E259" s="242">
        <v>100</v>
      </c>
      <c r="F259" s="236"/>
      <c r="G259" s="236"/>
      <c r="H259" s="242">
        <v>16</v>
      </c>
      <c r="I259" s="242">
        <v>5</v>
      </c>
      <c r="J259" s="242">
        <v>8548</v>
      </c>
      <c r="K259" s="243" t="s">
        <v>300</v>
      </c>
      <c r="L259" s="236"/>
      <c r="M259" s="244" t="s">
        <v>1302</v>
      </c>
    </row>
    <row r="260" spans="1:13" s="250" customFormat="1">
      <c r="A260" s="239" t="s">
        <v>1696</v>
      </c>
      <c r="B260" s="848" t="s">
        <v>1699</v>
      </c>
      <c r="C260" s="252"/>
      <c r="D260" s="241">
        <v>1600</v>
      </c>
      <c r="E260" s="242">
        <v>100</v>
      </c>
      <c r="F260" s="236"/>
      <c r="G260" s="236"/>
      <c r="H260" s="242">
        <v>16</v>
      </c>
      <c r="I260" s="242">
        <v>5</v>
      </c>
      <c r="J260" s="242">
        <v>8549</v>
      </c>
      <c r="K260" s="243" t="s">
        <v>300</v>
      </c>
      <c r="L260" s="236"/>
      <c r="M260" s="244" t="s">
        <v>1303</v>
      </c>
    </row>
    <row r="261" spans="1:13" s="250" customFormat="1">
      <c r="A261" s="239" t="s">
        <v>1697</v>
      </c>
      <c r="B261" s="239" t="s">
        <v>1700</v>
      </c>
      <c r="C261" s="252"/>
      <c r="D261" s="241">
        <v>1600</v>
      </c>
      <c r="E261" s="242">
        <v>100</v>
      </c>
      <c r="F261" s="236"/>
      <c r="G261" s="236"/>
      <c r="H261" s="242">
        <v>16</v>
      </c>
      <c r="I261" s="242">
        <v>5</v>
      </c>
      <c r="J261" s="242">
        <v>8550</v>
      </c>
      <c r="K261" s="243" t="s">
        <v>300</v>
      </c>
      <c r="L261" s="236"/>
      <c r="M261" s="244" t="s">
        <v>1304</v>
      </c>
    </row>
    <row r="262" spans="1:13" s="250" customFormat="1">
      <c r="A262" s="239" t="s">
        <v>1703</v>
      </c>
      <c r="B262" s="239" t="s">
        <v>303</v>
      </c>
      <c r="C262" s="254"/>
      <c r="D262" s="241">
        <v>995</v>
      </c>
      <c r="E262" s="242">
        <v>60</v>
      </c>
      <c r="F262" s="255"/>
      <c r="G262" s="255"/>
      <c r="H262" s="242">
        <v>11</v>
      </c>
      <c r="I262" s="242">
        <v>3</v>
      </c>
      <c r="J262" s="242">
        <v>8511</v>
      </c>
      <c r="K262" s="243" t="s">
        <v>300</v>
      </c>
      <c r="L262" s="255"/>
      <c r="M262" s="244" t="s">
        <v>1309</v>
      </c>
    </row>
    <row r="263" spans="1:13" s="250" customFormat="1">
      <c r="A263" s="239" t="s">
        <v>1705</v>
      </c>
      <c r="B263" s="239" t="s">
        <v>302</v>
      </c>
      <c r="C263" s="254"/>
      <c r="D263" s="241">
        <v>792</v>
      </c>
      <c r="E263" s="242">
        <v>60</v>
      </c>
      <c r="F263" s="255"/>
      <c r="G263" s="255"/>
      <c r="H263" s="242">
        <v>11</v>
      </c>
      <c r="I263" s="242">
        <v>3</v>
      </c>
      <c r="J263" s="242">
        <v>8513</v>
      </c>
      <c r="K263" s="243" t="s">
        <v>300</v>
      </c>
      <c r="L263" s="255"/>
      <c r="M263" s="244" t="s">
        <v>1310</v>
      </c>
    </row>
    <row r="264" spans="1:13" s="250" customFormat="1">
      <c r="A264" s="239" t="s">
        <v>1704</v>
      </c>
      <c r="B264" s="239" t="s">
        <v>301</v>
      </c>
      <c r="C264" s="254"/>
      <c r="D264" s="241">
        <v>1600</v>
      </c>
      <c r="E264" s="242">
        <v>100</v>
      </c>
      <c r="F264" s="255"/>
      <c r="G264" s="255"/>
      <c r="H264" s="242">
        <v>11</v>
      </c>
      <c r="I264" s="242">
        <v>5</v>
      </c>
      <c r="J264" s="242">
        <v>8521</v>
      </c>
      <c r="K264" s="243" t="s">
        <v>300</v>
      </c>
      <c r="L264" s="255"/>
      <c r="M264" s="244" t="s">
        <v>1311</v>
      </c>
    </row>
    <row r="265" spans="1:13" s="250" customFormat="1">
      <c r="A265" s="239" t="s">
        <v>1782</v>
      </c>
      <c r="B265" s="239" t="s">
        <v>1783</v>
      </c>
      <c r="C265" s="240"/>
      <c r="D265" s="241">
        <v>1818</v>
      </c>
      <c r="E265" s="242">
        <v>100</v>
      </c>
      <c r="F265" s="239"/>
      <c r="G265" s="242"/>
      <c r="H265" s="242">
        <v>17</v>
      </c>
      <c r="I265" s="242">
        <v>5</v>
      </c>
      <c r="J265" s="242">
        <v>7203</v>
      </c>
      <c r="K265" s="243"/>
      <c r="L265" s="236"/>
      <c r="M265" s="988"/>
    </row>
    <row r="266" spans="1:13" s="250" customFormat="1">
      <c r="A266" s="239" t="s">
        <v>1784</v>
      </c>
      <c r="B266" s="239" t="s">
        <v>1785</v>
      </c>
      <c r="C266" s="240"/>
      <c r="D266" s="241">
        <v>1662</v>
      </c>
      <c r="E266" s="242">
        <v>92</v>
      </c>
      <c r="F266" s="239"/>
      <c r="G266" s="242"/>
      <c r="H266" s="242">
        <v>17</v>
      </c>
      <c r="I266" s="242">
        <v>4.5</v>
      </c>
      <c r="J266" s="242">
        <v>7203</v>
      </c>
      <c r="K266" s="243"/>
      <c r="L266" s="236"/>
      <c r="M266" s="988"/>
    </row>
    <row r="267" spans="1:13" s="250" customFormat="1">
      <c r="A267" s="239" t="s">
        <v>1774</v>
      </c>
      <c r="B267" s="239" t="s">
        <v>1775</v>
      </c>
      <c r="C267" s="240"/>
      <c r="D267" s="241">
        <v>1020</v>
      </c>
      <c r="E267" s="236">
        <v>56</v>
      </c>
      <c r="F267" s="236"/>
      <c r="G267" s="236"/>
      <c r="H267" s="242">
        <v>17</v>
      </c>
      <c r="I267" s="236">
        <v>3</v>
      </c>
      <c r="J267" s="242">
        <v>6802</v>
      </c>
      <c r="K267" s="243"/>
      <c r="L267" s="236"/>
      <c r="M267" s="988"/>
    </row>
    <row r="268" spans="1:13" s="250" customFormat="1">
      <c r="A268" s="239" t="s">
        <v>1772</v>
      </c>
      <c r="B268" s="239" t="s">
        <v>1773</v>
      </c>
      <c r="C268" s="240"/>
      <c r="D268" s="241">
        <v>438</v>
      </c>
      <c r="E268" s="236">
        <v>24</v>
      </c>
      <c r="F268" s="236"/>
      <c r="G268" s="236"/>
      <c r="H268" s="242">
        <v>17</v>
      </c>
      <c r="I268" s="236">
        <v>1</v>
      </c>
      <c r="J268" s="242">
        <v>6802</v>
      </c>
      <c r="K268" s="243"/>
      <c r="L268" s="236"/>
      <c r="M268" s="988"/>
    </row>
    <row r="269" spans="1:13" s="250" customFormat="1">
      <c r="A269" s="239" t="s">
        <v>1776</v>
      </c>
      <c r="B269" s="239" t="s">
        <v>1777</v>
      </c>
      <c r="C269" s="240"/>
      <c r="D269" s="241">
        <v>870</v>
      </c>
      <c r="E269" s="236">
        <v>48</v>
      </c>
      <c r="F269" s="236"/>
      <c r="G269" s="236"/>
      <c r="H269" s="242">
        <v>17</v>
      </c>
      <c r="I269" s="236">
        <v>2.5</v>
      </c>
      <c r="J269" s="242">
        <v>6803</v>
      </c>
      <c r="K269" s="243"/>
      <c r="L269" s="236"/>
      <c r="M269" s="988"/>
    </row>
    <row r="270" spans="1:13" s="250" customFormat="1">
      <c r="A270" s="239" t="s">
        <v>1786</v>
      </c>
      <c r="B270" s="239" t="s">
        <v>1787</v>
      </c>
      <c r="C270" s="240"/>
      <c r="D270" s="241">
        <v>144</v>
      </c>
      <c r="E270" s="242">
        <v>8</v>
      </c>
      <c r="F270" s="239"/>
      <c r="G270" s="242"/>
      <c r="H270" s="242">
        <v>17</v>
      </c>
      <c r="I270" s="242">
        <v>0.5</v>
      </c>
      <c r="J270" s="242">
        <v>7451</v>
      </c>
      <c r="K270" s="243"/>
      <c r="L270" s="242"/>
      <c r="M270" s="244"/>
    </row>
    <row r="271" spans="1:13" s="250" customFormat="1">
      <c r="A271" s="239" t="s">
        <v>1769</v>
      </c>
      <c r="B271" s="239" t="s">
        <v>1768</v>
      </c>
      <c r="C271" s="240"/>
      <c r="D271" s="241">
        <v>582</v>
      </c>
      <c r="E271" s="236">
        <v>32</v>
      </c>
      <c r="F271" s="236"/>
      <c r="G271" s="236"/>
      <c r="H271" s="242">
        <v>17</v>
      </c>
      <c r="I271" s="236">
        <v>1.5</v>
      </c>
      <c r="J271" s="242">
        <v>6800</v>
      </c>
      <c r="K271" s="243"/>
      <c r="L271" s="236"/>
      <c r="M271" s="988"/>
    </row>
    <row r="272" spans="1:13" s="250" customFormat="1">
      <c r="A272" s="239" t="s">
        <v>1778</v>
      </c>
      <c r="B272" s="239" t="s">
        <v>1779</v>
      </c>
      <c r="C272" s="240"/>
      <c r="D272" s="241">
        <v>1158</v>
      </c>
      <c r="E272" s="242">
        <v>64</v>
      </c>
      <c r="F272" s="239"/>
      <c r="G272" s="242"/>
      <c r="H272" s="242">
        <v>17</v>
      </c>
      <c r="I272" s="242">
        <v>3</v>
      </c>
      <c r="J272" s="242">
        <v>7201</v>
      </c>
      <c r="K272" s="243"/>
      <c r="L272" s="236"/>
      <c r="M272" s="988"/>
    </row>
    <row r="273" spans="1:13">
      <c r="A273" s="239" t="s">
        <v>1766</v>
      </c>
      <c r="B273" s="239" t="s">
        <v>1767</v>
      </c>
      <c r="C273" s="254"/>
      <c r="D273" s="241">
        <v>720</v>
      </c>
      <c r="E273" s="242">
        <v>40</v>
      </c>
      <c r="F273" s="255"/>
      <c r="G273" s="255"/>
      <c r="H273" s="242">
        <v>17</v>
      </c>
      <c r="I273" s="242">
        <v>2</v>
      </c>
      <c r="J273" s="242">
        <v>19</v>
      </c>
      <c r="K273" s="243"/>
      <c r="L273" s="255"/>
      <c r="M273" s="244"/>
    </row>
    <row r="274" spans="1:13">
      <c r="A274" s="239" t="s">
        <v>1770</v>
      </c>
      <c r="B274" s="239" t="s">
        <v>1771</v>
      </c>
      <c r="C274" s="240"/>
      <c r="D274" s="241">
        <v>438</v>
      </c>
      <c r="E274" s="236">
        <v>24</v>
      </c>
      <c r="F274" s="236"/>
      <c r="G274" s="236"/>
      <c r="H274" s="242">
        <v>17</v>
      </c>
      <c r="I274" s="236">
        <v>1</v>
      </c>
      <c r="J274" s="242">
        <v>6801</v>
      </c>
      <c r="K274" s="243"/>
      <c r="L274" s="236"/>
      <c r="M274" s="988"/>
    </row>
    <row r="275" spans="1:13">
      <c r="A275" s="239" t="s">
        <v>1780</v>
      </c>
      <c r="B275" s="239" t="s">
        <v>1781</v>
      </c>
      <c r="C275" s="240"/>
      <c r="D275" s="241">
        <v>144</v>
      </c>
      <c r="E275" s="242">
        <v>8</v>
      </c>
      <c r="F275" s="239"/>
      <c r="G275" s="242"/>
      <c r="H275" s="242">
        <v>17</v>
      </c>
      <c r="I275" s="242">
        <v>0.5</v>
      </c>
      <c r="J275" s="242">
        <v>7202</v>
      </c>
      <c r="K275" s="243"/>
      <c r="L275" s="236"/>
      <c r="M275" s="988"/>
    </row>
    <row r="276" spans="1:13">
      <c r="A276" s="236" t="s">
        <v>1512</v>
      </c>
      <c r="B276" s="236" t="s">
        <v>290</v>
      </c>
      <c r="C276" s="236"/>
      <c r="D276" s="241">
        <v>589</v>
      </c>
      <c r="E276" s="236">
        <v>24</v>
      </c>
      <c r="F276" s="236"/>
      <c r="G276" s="236"/>
      <c r="H276" s="242">
        <v>15</v>
      </c>
      <c r="I276" s="236">
        <v>1</v>
      </c>
      <c r="J276" s="242">
        <v>9996</v>
      </c>
      <c r="K276" s="243" t="s">
        <v>291</v>
      </c>
      <c r="L276" s="236" t="s">
        <v>994</v>
      </c>
      <c r="M276" s="244"/>
    </row>
    <row r="277" spans="1:13">
      <c r="A277" s="236" t="s">
        <v>1788</v>
      </c>
      <c r="B277" s="236" t="s">
        <v>1789</v>
      </c>
      <c r="C277" s="236"/>
      <c r="D277" s="241">
        <v>615</v>
      </c>
      <c r="E277" s="236">
        <v>24</v>
      </c>
      <c r="F277" s="236"/>
      <c r="G277" s="236"/>
      <c r="H277" s="242">
        <v>15</v>
      </c>
      <c r="I277" s="236">
        <v>1</v>
      </c>
      <c r="J277" s="242">
        <v>9996</v>
      </c>
      <c r="K277" s="243"/>
      <c r="L277" s="236"/>
      <c r="M277" s="244"/>
    </row>
    <row r="278" spans="1:13">
      <c r="A278" s="236" t="s">
        <v>1706</v>
      </c>
      <c r="B278" s="236" t="s">
        <v>1709</v>
      </c>
      <c r="C278" s="236"/>
      <c r="D278" s="241">
        <v>350</v>
      </c>
      <c r="E278" s="236">
        <v>90</v>
      </c>
      <c r="F278" s="236"/>
      <c r="G278" s="236"/>
      <c r="H278" s="236">
        <v>10</v>
      </c>
      <c r="I278" s="236">
        <v>0</v>
      </c>
      <c r="J278" s="242">
        <v>12</v>
      </c>
      <c r="K278" s="243"/>
      <c r="L278" s="236"/>
      <c r="M278" s="244"/>
    </row>
    <row r="279" spans="1:13">
      <c r="A279" s="236" t="s">
        <v>1707</v>
      </c>
      <c r="B279" s="236" t="s">
        <v>1710</v>
      </c>
      <c r="C279" s="236"/>
      <c r="D279" s="241">
        <v>350</v>
      </c>
      <c r="E279" s="236">
        <v>90</v>
      </c>
      <c r="F279" s="236"/>
      <c r="G279" s="236"/>
      <c r="H279" s="236">
        <v>10</v>
      </c>
      <c r="I279" s="236">
        <v>0</v>
      </c>
      <c r="J279" s="242">
        <v>13</v>
      </c>
      <c r="K279" s="243"/>
      <c r="L279" s="236"/>
      <c r="M279" s="244"/>
    </row>
    <row r="280" spans="1:13">
      <c r="A280" s="236" t="s">
        <v>1708</v>
      </c>
      <c r="B280" s="236" t="s">
        <v>1711</v>
      </c>
      <c r="C280" s="236"/>
      <c r="D280" s="241">
        <v>350</v>
      </c>
      <c r="E280" s="236">
        <v>90</v>
      </c>
      <c r="F280" s="236"/>
      <c r="G280" s="236"/>
      <c r="H280" s="236">
        <v>10</v>
      </c>
      <c r="I280" s="236">
        <v>0</v>
      </c>
      <c r="J280" s="242">
        <v>14</v>
      </c>
      <c r="K280" s="243"/>
      <c r="L280" s="236"/>
      <c r="M280" s="244"/>
    </row>
    <row r="281" spans="1:13">
      <c r="A281" s="236" t="s">
        <v>855</v>
      </c>
      <c r="B281" s="236" t="s">
        <v>1513</v>
      </c>
      <c r="C281" s="236" t="s">
        <v>840</v>
      </c>
      <c r="D281" s="241">
        <v>677</v>
      </c>
      <c r="E281" s="236">
        <v>60</v>
      </c>
      <c r="F281" s="236"/>
      <c r="G281" s="236"/>
      <c r="H281" s="236">
        <v>19</v>
      </c>
      <c r="I281" s="242">
        <v>3</v>
      </c>
      <c r="J281" s="242">
        <v>8240</v>
      </c>
      <c r="K281" s="243" t="s">
        <v>275</v>
      </c>
      <c r="L281" s="236"/>
      <c r="M281" s="244"/>
    </row>
    <row r="282" spans="1:13">
      <c r="A282" s="236" t="s">
        <v>996</v>
      </c>
      <c r="B282" s="236" t="s">
        <v>433</v>
      </c>
      <c r="C282" s="236" t="s">
        <v>435</v>
      </c>
      <c r="D282" s="241">
        <v>389</v>
      </c>
      <c r="E282" s="242">
        <v>21</v>
      </c>
      <c r="F282" s="242"/>
      <c r="G282" s="236"/>
      <c r="H282" s="236">
        <v>8</v>
      </c>
      <c r="I282" s="242">
        <v>1</v>
      </c>
      <c r="J282" s="242">
        <v>16</v>
      </c>
      <c r="K282" s="243" t="s">
        <v>275</v>
      </c>
      <c r="L282" s="236"/>
      <c r="M282" s="244"/>
    </row>
    <row r="283" spans="1:13">
      <c r="A283" s="242" t="s">
        <v>997</v>
      </c>
      <c r="B283" s="236" t="s">
        <v>434</v>
      </c>
      <c r="C283" s="236" t="s">
        <v>435</v>
      </c>
      <c r="D283" s="241">
        <v>389</v>
      </c>
      <c r="E283" s="242">
        <v>20</v>
      </c>
      <c r="F283" s="242"/>
      <c r="G283" s="236"/>
      <c r="H283" s="236">
        <v>8</v>
      </c>
      <c r="I283" s="242">
        <v>1</v>
      </c>
      <c r="J283" s="242">
        <v>17</v>
      </c>
      <c r="K283" s="243" t="s">
        <v>275</v>
      </c>
      <c r="L283" s="236"/>
      <c r="M283" s="244"/>
    </row>
    <row r="284" spans="1:13">
      <c r="A284" s="242" t="s">
        <v>998</v>
      </c>
      <c r="B284" s="236" t="s">
        <v>902</v>
      </c>
      <c r="C284" s="242" t="s">
        <v>859</v>
      </c>
      <c r="D284" s="241">
        <v>389</v>
      </c>
      <c r="E284" s="242">
        <v>21</v>
      </c>
      <c r="F284" s="242"/>
      <c r="G284" s="236"/>
      <c r="H284" s="242">
        <v>8</v>
      </c>
      <c r="I284" s="242">
        <v>1</v>
      </c>
      <c r="J284" s="242">
        <v>16</v>
      </c>
      <c r="K284" s="243" t="s">
        <v>275</v>
      </c>
      <c r="L284" s="236"/>
      <c r="M284" s="244" t="s">
        <v>1312</v>
      </c>
    </row>
    <row r="285" spans="1:13">
      <c r="A285" s="242" t="s">
        <v>999</v>
      </c>
      <c r="B285" s="236" t="s">
        <v>903</v>
      </c>
      <c r="C285" s="242" t="s">
        <v>859</v>
      </c>
      <c r="D285" s="241">
        <v>349</v>
      </c>
      <c r="E285" s="242">
        <v>20</v>
      </c>
      <c r="F285" s="242"/>
      <c r="G285" s="236"/>
      <c r="H285" s="242">
        <v>8</v>
      </c>
      <c r="I285" s="242">
        <v>1</v>
      </c>
      <c r="J285" s="242">
        <v>17</v>
      </c>
      <c r="K285" s="243" t="s">
        <v>275</v>
      </c>
      <c r="L285" s="236"/>
      <c r="M285" s="244" t="s">
        <v>1313</v>
      </c>
    </row>
    <row r="286" spans="1:13">
      <c r="A286" s="242" t="s">
        <v>1520</v>
      </c>
      <c r="B286" s="236" t="s">
        <v>1522</v>
      </c>
      <c r="C286" s="242" t="s">
        <v>1524</v>
      </c>
      <c r="D286" s="241">
        <v>389</v>
      </c>
      <c r="E286" s="242">
        <v>21</v>
      </c>
      <c r="F286" s="242"/>
      <c r="G286" s="236"/>
      <c r="H286" s="242">
        <v>8</v>
      </c>
      <c r="I286" s="242">
        <v>1</v>
      </c>
      <c r="J286" s="242">
        <v>16</v>
      </c>
      <c r="K286" s="243" t="s">
        <v>275</v>
      </c>
      <c r="L286" s="236"/>
      <c r="M286" s="244"/>
    </row>
    <row r="287" spans="1:13">
      <c r="A287" s="242" t="s">
        <v>1521</v>
      </c>
      <c r="B287" s="236" t="s">
        <v>1523</v>
      </c>
      <c r="C287" s="242" t="s">
        <v>1524</v>
      </c>
      <c r="D287" s="241">
        <v>389</v>
      </c>
      <c r="E287" s="242">
        <v>20</v>
      </c>
      <c r="F287" s="242"/>
      <c r="G287" s="236"/>
      <c r="H287" s="242">
        <v>8</v>
      </c>
      <c r="I287" s="242">
        <v>1</v>
      </c>
      <c r="J287" s="242">
        <v>17</v>
      </c>
      <c r="K287" s="243" t="s">
        <v>275</v>
      </c>
      <c r="L287" s="236"/>
      <c r="M287" s="244"/>
    </row>
    <row r="288" spans="1:13">
      <c r="A288" s="239" t="s">
        <v>904</v>
      </c>
      <c r="B288" s="239" t="s">
        <v>277</v>
      </c>
      <c r="C288" s="240" t="s">
        <v>761</v>
      </c>
      <c r="D288" s="241">
        <v>389</v>
      </c>
      <c r="E288" s="236">
        <v>28</v>
      </c>
      <c r="F288" s="239"/>
      <c r="G288" s="236"/>
      <c r="H288" s="236">
        <v>3</v>
      </c>
      <c r="I288" s="236">
        <v>1.5</v>
      </c>
      <c r="J288" s="242">
        <v>31</v>
      </c>
      <c r="K288" s="243" t="s">
        <v>763</v>
      </c>
      <c r="L288" s="236"/>
      <c r="M288" s="238" t="s">
        <v>1314</v>
      </c>
    </row>
    <row r="289" spans="1:13">
      <c r="A289" s="239" t="s">
        <v>905</v>
      </c>
      <c r="B289" s="239" t="s">
        <v>298</v>
      </c>
      <c r="C289" s="240" t="s">
        <v>761</v>
      </c>
      <c r="D289" s="241">
        <v>389</v>
      </c>
      <c r="E289" s="242">
        <v>37</v>
      </c>
      <c r="F289" s="239"/>
      <c r="G289" s="242"/>
      <c r="H289" s="242">
        <v>3</v>
      </c>
      <c r="I289" s="242">
        <v>2</v>
      </c>
      <c r="J289" s="242">
        <v>32</v>
      </c>
      <c r="K289" s="243" t="s">
        <v>763</v>
      </c>
      <c r="L289" s="236"/>
      <c r="M289" s="238" t="s">
        <v>1315</v>
      </c>
    </row>
    <row r="290" spans="1:13" s="245" customFormat="1">
      <c r="A290" s="239" t="s">
        <v>906</v>
      </c>
      <c r="B290" s="239" t="s">
        <v>297</v>
      </c>
      <c r="C290" s="240" t="s">
        <v>761</v>
      </c>
      <c r="D290" s="241">
        <v>399</v>
      </c>
      <c r="E290" s="242">
        <v>34</v>
      </c>
      <c r="F290" s="239"/>
      <c r="G290" s="242"/>
      <c r="H290" s="242">
        <v>3</v>
      </c>
      <c r="I290" s="236">
        <v>1.5</v>
      </c>
      <c r="J290" s="242">
        <v>33</v>
      </c>
      <c r="K290" s="243" t="s">
        <v>763</v>
      </c>
      <c r="L290" s="236"/>
      <c r="M290" s="238" t="s">
        <v>1316</v>
      </c>
    </row>
    <row r="291" spans="1:13">
      <c r="A291" s="239" t="s">
        <v>272</v>
      </c>
      <c r="B291" s="239" t="s">
        <v>288</v>
      </c>
      <c r="C291" s="240"/>
      <c r="D291" s="241">
        <v>688</v>
      </c>
      <c r="E291" s="242">
        <v>32</v>
      </c>
      <c r="F291" s="239"/>
      <c r="G291" s="242"/>
      <c r="H291" s="242">
        <v>9</v>
      </c>
      <c r="I291" s="242">
        <v>1.5</v>
      </c>
      <c r="J291" s="242">
        <v>5008</v>
      </c>
      <c r="K291" s="243" t="s">
        <v>275</v>
      </c>
      <c r="L291" s="236"/>
      <c r="M291" s="988" t="s">
        <v>1317</v>
      </c>
    </row>
    <row r="292" spans="1:13">
      <c r="A292" s="239" t="s">
        <v>296</v>
      </c>
      <c r="B292" s="239" t="s">
        <v>295</v>
      </c>
      <c r="C292" s="240"/>
      <c r="D292" s="241" t="e">
        <f>IF('Franchise Info'!$B$12=1,'Course Table'!#REF!,IF('Franchise Info'!$B$12=2,'Course Table'!#REF!,IF('Franchise Info'!$B$12=3,'Course Table'!#REF!,IF('Franchise Info'!$B$12=4,'Course Table'!#REF!,IF('Franchise Info'!$B$12=5,ROUND('Course Table'!#REF!*(1+'Franchise Info'!$C$12),0),IF('Franchise Info'!$B$12=6,'Course Table'!#REF!,0))))))</f>
        <v>#REF!</v>
      </c>
      <c r="E292" s="242"/>
      <c r="F292" s="239"/>
      <c r="G292" s="242"/>
      <c r="H292" s="242"/>
      <c r="I292" s="242"/>
      <c r="J292" s="242"/>
      <c r="K292" s="243"/>
      <c r="L292" s="236"/>
    </row>
    <row r="293" spans="1:13" s="250" customFormat="1">
      <c r="A293" s="236" t="s">
        <v>294</v>
      </c>
      <c r="B293" s="236"/>
      <c r="C293" s="236"/>
      <c r="D293" s="241" t="e">
        <f>IF('Franchise Info'!$B$12=1,'Course Table'!#REF!,IF('Franchise Info'!$B$12=2,'Course Table'!#REF!,IF('Franchise Info'!$B$12=3,'Course Table'!#REF!,IF('Franchise Info'!$B$12=4,'Course Table'!#REF!,IF('Franchise Info'!$B$12=5,ROUND('Course Table'!#REF!*(1+'Franchise Info'!$C$12),0),IF('Franchise Info'!$B$12=6,'Course Table'!#REF!,0))))))</f>
        <v>#REF!</v>
      </c>
      <c r="E293" s="236"/>
      <c r="F293" s="236"/>
      <c r="G293" s="236"/>
      <c r="H293" s="236"/>
      <c r="I293" s="236"/>
      <c r="J293" s="236"/>
      <c r="K293" s="236"/>
      <c r="L293" s="236"/>
      <c r="M293" s="238"/>
    </row>
    <row r="294" spans="1:13">
      <c r="A294" s="239"/>
      <c r="B294" s="239"/>
      <c r="C294" s="240"/>
      <c r="D294" s="241"/>
      <c r="E294" s="236"/>
      <c r="F294" s="236"/>
      <c r="G294" s="236"/>
      <c r="H294" s="242"/>
      <c r="I294" s="242"/>
      <c r="J294" s="242"/>
      <c r="K294" s="243"/>
      <c r="L294" s="236"/>
      <c r="M294" s="244"/>
    </row>
    <row r="295" spans="1:13">
      <c r="A295" s="239"/>
      <c r="B295" s="239"/>
      <c r="C295" s="240"/>
      <c r="D295" s="241"/>
      <c r="E295" s="236"/>
      <c r="F295" s="236"/>
      <c r="G295" s="236"/>
      <c r="H295" s="242"/>
      <c r="I295" s="242"/>
      <c r="J295" s="242"/>
      <c r="K295" s="243"/>
      <c r="L295" s="236"/>
      <c r="M295" s="244"/>
    </row>
    <row r="296" spans="1:13">
      <c r="A296" s="239"/>
      <c r="B296" s="239"/>
      <c r="C296" s="240"/>
      <c r="D296" s="241"/>
      <c r="E296" s="236"/>
      <c r="F296" s="236"/>
      <c r="G296" s="236"/>
      <c r="H296" s="242"/>
      <c r="I296" s="242"/>
      <c r="J296" s="242"/>
      <c r="K296" s="243"/>
      <c r="L296" s="236"/>
      <c r="M296" s="244"/>
    </row>
    <row r="297" spans="1:13">
      <c r="A297" s="239"/>
      <c r="B297" s="239"/>
      <c r="C297" s="240"/>
      <c r="D297" s="241"/>
      <c r="E297" s="236"/>
      <c r="F297" s="236"/>
      <c r="G297" s="236"/>
      <c r="H297" s="242"/>
      <c r="I297" s="242"/>
      <c r="J297" s="242"/>
      <c r="K297" s="243"/>
      <c r="L297" s="236"/>
      <c r="M297" s="244"/>
    </row>
    <row r="298" spans="1:13">
      <c r="A298" s="239"/>
      <c r="B298" s="239"/>
      <c r="C298" s="240"/>
      <c r="D298" s="241"/>
      <c r="E298" s="236"/>
      <c r="F298" s="236"/>
      <c r="G298" s="236"/>
      <c r="H298" s="242"/>
      <c r="I298" s="242"/>
      <c r="J298" s="242"/>
      <c r="K298" s="243"/>
      <c r="L298" s="236"/>
      <c r="M298" s="244"/>
    </row>
    <row r="299" spans="1:13">
      <c r="A299" s="239"/>
      <c r="B299" s="239"/>
      <c r="C299" s="240"/>
      <c r="D299" s="241"/>
      <c r="E299" s="236"/>
      <c r="F299" s="236"/>
      <c r="G299" s="236"/>
      <c r="H299" s="242"/>
      <c r="I299" s="242"/>
      <c r="J299" s="242"/>
      <c r="K299" s="243"/>
      <c r="L299" s="236"/>
      <c r="M299" s="244"/>
    </row>
    <row r="300" spans="1:13">
      <c r="A300" s="239"/>
      <c r="B300" s="239"/>
      <c r="C300" s="240"/>
      <c r="D300" s="241"/>
      <c r="E300" s="236"/>
      <c r="F300" s="236"/>
      <c r="G300" s="236"/>
      <c r="H300" s="242"/>
      <c r="I300" s="242"/>
      <c r="J300" s="242"/>
      <c r="K300" s="243"/>
      <c r="L300" s="236"/>
      <c r="M300" s="244"/>
    </row>
    <row r="301" spans="1:13">
      <c r="A301" s="239"/>
      <c r="B301" s="239"/>
      <c r="C301" s="240"/>
      <c r="D301" s="241"/>
      <c r="E301" s="236"/>
      <c r="F301" s="236"/>
      <c r="G301" s="236"/>
      <c r="H301" s="242"/>
      <c r="I301" s="242"/>
      <c r="J301" s="242"/>
      <c r="K301" s="243"/>
      <c r="L301" s="236"/>
      <c r="M301" s="244"/>
    </row>
  </sheetData>
  <sheetProtection selectLockedCells="1" selectUnlockedCells="1"/>
  <autoFilter ref="A1:M301" xr:uid="{00000000-0009-0000-0000-000002000000}">
    <sortState xmlns:xlrd2="http://schemas.microsoft.com/office/spreadsheetml/2017/richdata2" ref="A2:M301">
      <sortCondition ref="A1:A301"/>
    </sortState>
  </autoFilter>
  <sortState xmlns:xlrd2="http://schemas.microsoft.com/office/spreadsheetml/2017/richdata2" ref="A158:M166">
    <sortCondition ref="A158:A166"/>
  </sortState>
  <phoneticPr fontId="117" type="noConversion"/>
  <hyperlinks>
    <hyperlink ref="M14" r:id="rId1" xr:uid="{00000000-0004-0000-0200-000000000000}"/>
    <hyperlink ref="M31" r:id="rId2" xr:uid="{00000000-0004-0000-0200-000001000000}"/>
    <hyperlink ref="M32" r:id="rId3" xr:uid="{00000000-0004-0000-0200-000002000000}"/>
    <hyperlink ref="M104" r:id="rId4" xr:uid="{00000000-0004-0000-0200-000003000000}"/>
    <hyperlink ref="M107" r:id="rId5" xr:uid="{00000000-0004-0000-0200-000004000000}"/>
    <hyperlink ref="M105" r:id="rId6" xr:uid="{00000000-0004-0000-0200-000005000000}"/>
    <hyperlink ref="M114" r:id="rId7" xr:uid="{00000000-0004-0000-0200-000006000000}"/>
    <hyperlink ref="M141" r:id="rId8" xr:uid="{00000000-0004-0000-0200-000007000000}"/>
    <hyperlink ref="M157" r:id="rId9" xr:uid="{00000000-0004-0000-0200-000008000000}"/>
    <hyperlink ref="M106" r:id="rId10" xr:uid="{00000000-0004-0000-0200-000009000000}"/>
    <hyperlink ref="M109" r:id="rId11" xr:uid="{00000000-0004-0000-0200-00000A000000}"/>
    <hyperlink ref="M108" r:id="rId12" xr:uid="{00000000-0004-0000-0200-00000B000000}"/>
    <hyperlink ref="M163" r:id="rId13" xr:uid="{00000000-0004-0000-0200-00000C000000}"/>
    <hyperlink ref="M174" r:id="rId14" xr:uid="{00000000-0004-0000-0200-00000D000000}"/>
  </hyperlinks>
  <pageMargins left="0.68" right="0.74803149606299202" top="0.7" bottom="0.68" header="0.511811023622047" footer="0.511811023622047"/>
  <pageSetup scale="86" fitToHeight="6" orientation="portrait" horizontalDpi="360" verticalDpi="300" r:id="rId15"/>
  <headerFooter alignWithMargins="0">
    <oddHeader>&amp;L&amp;"Times New Roman,Bold Italic"&amp;12AOL Lower Mainland&amp;C&amp;"Times New Roman,Bold Italic"&amp;12Course Master&amp;R&amp;"Times New Roman,Bold Italic"&amp;12Effective Date : March 1, 2010</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C00000"/>
    <pageSetUpPr fitToPage="1"/>
  </sheetPr>
  <dimension ref="A1:V52"/>
  <sheetViews>
    <sheetView tabSelected="1" zoomScale="85" zoomScaleNormal="85" workbookViewId="0">
      <selection activeCell="B2" sqref="B2"/>
    </sheetView>
  </sheetViews>
  <sheetFormatPr defaultColWidth="9.33203125" defaultRowHeight="13.8"/>
  <cols>
    <col min="1" max="1" width="19.6640625" style="226" customWidth="1"/>
    <col min="2" max="2" width="22.77734375" style="226" customWidth="1"/>
    <col min="3" max="3" width="13.77734375" style="226" customWidth="1"/>
    <col min="4" max="4" width="10.44140625" style="226" bestFit="1" customWidth="1"/>
    <col min="5" max="5" width="14.77734375" style="226" customWidth="1"/>
    <col min="6" max="6" width="17" style="226" customWidth="1"/>
    <col min="7" max="7" width="18" style="226" customWidth="1"/>
    <col min="8" max="8" width="14.77734375" style="226" customWidth="1"/>
    <col min="9" max="9" width="14.109375" style="226" customWidth="1"/>
    <col min="10" max="10" width="8.109375" style="226" customWidth="1"/>
    <col min="11" max="11" width="8.33203125" style="226" customWidth="1"/>
    <col min="12" max="12" width="11.77734375" style="226" bestFit="1" customWidth="1"/>
    <col min="13" max="18" width="16.77734375" style="226" customWidth="1"/>
    <col min="19" max="19" width="7" style="226" customWidth="1"/>
    <col min="20" max="20" width="9.33203125" style="226"/>
    <col min="21" max="22" width="20.77734375" style="226" customWidth="1"/>
    <col min="23" max="16384" width="9.33203125" style="226"/>
  </cols>
  <sheetData>
    <row r="1" spans="1:22" ht="25.2" thickBot="1">
      <c r="A1" s="962"/>
      <c r="B1" s="963" t="s">
        <v>1729</v>
      </c>
      <c r="C1" s="964" t="s">
        <v>232</v>
      </c>
      <c r="D1" s="1049" t="s">
        <v>1728</v>
      </c>
      <c r="E1" s="1049"/>
      <c r="F1" s="1049"/>
      <c r="G1" s="1049"/>
      <c r="H1" s="1049"/>
      <c r="I1" s="1049"/>
      <c r="J1" s="1049"/>
      <c r="K1" s="1050"/>
      <c r="L1" s="256" t="s">
        <v>1860</v>
      </c>
      <c r="M1" s="257" t="s">
        <v>1861</v>
      </c>
      <c r="N1" s="257"/>
      <c r="O1" s="257"/>
      <c r="P1" s="257"/>
      <c r="Q1" s="257"/>
      <c r="R1" s="257"/>
      <c r="S1" s="257"/>
      <c r="T1" s="1056" t="s">
        <v>177</v>
      </c>
      <c r="U1" s="258"/>
      <c r="V1" s="258"/>
    </row>
    <row r="2" spans="1:22" ht="19.2" customHeight="1">
      <c r="A2" s="259" t="s">
        <v>573</v>
      </c>
      <c r="B2" s="260"/>
      <c r="C2" s="261"/>
      <c r="D2" s="821"/>
      <c r="E2" s="1044" t="s">
        <v>1003</v>
      </c>
      <c r="F2" s="1045"/>
      <c r="G2" s="1045"/>
      <c r="H2" s="1045"/>
      <c r="I2" s="1045"/>
      <c r="J2" s="1045"/>
      <c r="K2" s="1046"/>
      <c r="L2" s="821"/>
      <c r="M2" s="1044" t="s">
        <v>1004</v>
      </c>
      <c r="N2" s="1044"/>
      <c r="O2" s="1044"/>
      <c r="P2" s="1044"/>
      <c r="Q2" s="1044"/>
      <c r="R2" s="1044"/>
      <c r="S2" s="1059"/>
      <c r="T2" s="1056"/>
      <c r="U2" s="258"/>
      <c r="V2" s="258"/>
    </row>
    <row r="3" spans="1:22" ht="19.2" customHeight="1" thickBot="1">
      <c r="A3" s="259" t="s">
        <v>574</v>
      </c>
      <c r="B3" s="262"/>
      <c r="C3" s="261"/>
      <c r="D3" s="263" t="s">
        <v>1730</v>
      </c>
      <c r="E3" s="1047"/>
      <c r="F3" s="1047"/>
      <c r="G3" s="1047"/>
      <c r="H3" s="1047"/>
      <c r="I3" s="1047"/>
      <c r="J3" s="1047"/>
      <c r="K3" s="1048"/>
      <c r="L3" s="263" t="s">
        <v>1731</v>
      </c>
      <c r="M3" s="1060"/>
      <c r="N3" s="1060"/>
      <c r="O3" s="1060"/>
      <c r="P3" s="1060"/>
      <c r="Q3" s="1060"/>
      <c r="R3" s="1060"/>
      <c r="S3" s="1061"/>
      <c r="T3" s="1056"/>
      <c r="U3" s="258"/>
      <c r="V3" s="258"/>
    </row>
    <row r="4" spans="1:22" ht="19.2" thickBot="1">
      <c r="A4" s="259" t="s">
        <v>5</v>
      </c>
      <c r="B4" s="264"/>
      <c r="C4" s="265"/>
      <c r="D4" s="266" t="s">
        <v>178</v>
      </c>
      <c r="E4" s="1053" t="str">
        <f>[1]AccAdminDip!$D$4</f>
        <v>ACCOUNTING ADMINISTRATOR DIPLOMA with SAGE</v>
      </c>
      <c r="F4" s="1053"/>
      <c r="G4" s="1053"/>
      <c r="H4" s="1053"/>
      <c r="I4" s="1053"/>
      <c r="J4" s="1053"/>
      <c r="K4" s="267" t="str">
        <f>[1]AccAdminDip!$D$3</f>
        <v>ZAJ7</v>
      </c>
      <c r="L4" s="268" t="s">
        <v>144</v>
      </c>
      <c r="M4" s="1037" t="str">
        <f>[1]OffAdminDip!$D$4</f>
        <v>OFFICE ADMINISTRATION DIPLOMA</v>
      </c>
      <c r="N4" s="1037"/>
      <c r="O4" s="1037"/>
      <c r="P4" s="1037"/>
      <c r="Q4" s="1037"/>
      <c r="R4" s="1037"/>
      <c r="S4" s="269" t="str">
        <f>[1]OffAdminDip!$D$3</f>
        <v>ZEY7</v>
      </c>
      <c r="T4" s="258">
        <v>1</v>
      </c>
      <c r="U4" s="270"/>
      <c r="V4" s="270"/>
    </row>
    <row r="5" spans="1:22" ht="19.2" thickBot="1">
      <c r="A5" s="259" t="s">
        <v>6</v>
      </c>
      <c r="B5" s="271"/>
      <c r="C5" s="272" t="s">
        <v>58</v>
      </c>
      <c r="D5" s="266" t="s">
        <v>179</v>
      </c>
      <c r="E5" s="1053" t="str">
        <f>[1]AccBusTechDip!$D$4</f>
        <v>ACCOUNTING AND BUSINESS TECHNOLOGY DIPLOMA</v>
      </c>
      <c r="F5" s="1053"/>
      <c r="G5" s="1053"/>
      <c r="H5" s="1053"/>
      <c r="I5" s="1053"/>
      <c r="J5" s="1053"/>
      <c r="K5" s="267" t="str">
        <f>[1]AccBusTechDip!$D$3</f>
        <v>ZIZ7</v>
      </c>
      <c r="L5" s="268" t="s">
        <v>145</v>
      </c>
      <c r="M5" s="1037" t="str">
        <f>[1]CmpOffProCrt!$D$4</f>
        <v>COMPUTERIZED OFFICE PROCEDURES CERTIFICATE</v>
      </c>
      <c r="N5" s="1037"/>
      <c r="O5" s="1037"/>
      <c r="P5" s="1037"/>
      <c r="Q5" s="1037"/>
      <c r="R5" s="1037"/>
      <c r="S5" s="273" t="str">
        <f>[1]CmpOffProCrt!$D$3</f>
        <v>ZDZ8</v>
      </c>
      <c r="T5" s="258"/>
      <c r="U5" s="270"/>
      <c r="V5" s="270"/>
    </row>
    <row r="6" spans="1:22" ht="19.2" thickBot="1">
      <c r="A6" s="259" t="s">
        <v>9</v>
      </c>
      <c r="B6" s="274">
        <v>44473</v>
      </c>
      <c r="C6" s="275">
        <f>'Outline Admin'!E4</f>
        <v>44470</v>
      </c>
      <c r="D6" s="266" t="s">
        <v>180</v>
      </c>
      <c r="E6" s="1053" t="str">
        <f>[1]AccPayAdmDip!$D$4</f>
        <v>ACCOUNTING AND PAYROLL ADMINISTRATOR DIPLOMA</v>
      </c>
      <c r="F6" s="1053"/>
      <c r="G6" s="1053"/>
      <c r="H6" s="1053"/>
      <c r="I6" s="1053"/>
      <c r="J6" s="1053"/>
      <c r="K6" s="267" t="str">
        <f>[1]AccPayAdmDip!$D$3</f>
        <v>ZNV7</v>
      </c>
      <c r="L6" s="268" t="s">
        <v>146</v>
      </c>
      <c r="M6" s="1037" t="str">
        <f>[1]OffClkCrt!$D$4</f>
        <v>OFFICE CLERK CERTIFICATE</v>
      </c>
      <c r="N6" s="1037"/>
      <c r="O6" s="1037"/>
      <c r="P6" s="1037"/>
      <c r="Q6" s="1037"/>
      <c r="R6" s="1037"/>
      <c r="S6" s="273" t="str">
        <f>[1]OffClkCrt!$D$3</f>
        <v>ZFA8</v>
      </c>
      <c r="T6" s="258"/>
      <c r="U6" s="270"/>
      <c r="V6" s="270"/>
    </row>
    <row r="7" spans="1:22" ht="19.2" thickBot="1">
      <c r="A7" s="259" t="s">
        <v>28</v>
      </c>
      <c r="B7" s="956"/>
      <c r="C7" s="261"/>
      <c r="D7" s="266" t="s">
        <v>181</v>
      </c>
      <c r="E7" s="1053" t="str">
        <f>[1]AccClrkCrt!$D$4</f>
        <v>ACCOUNTING CLERK CERTIFICATE</v>
      </c>
      <c r="F7" s="1053"/>
      <c r="G7" s="1053"/>
      <c r="H7" s="1053"/>
      <c r="I7" s="1053"/>
      <c r="J7" s="1053"/>
      <c r="K7" s="267" t="str">
        <f>[1]AccClrkCrt!$D$3</f>
        <v>ZLK8</v>
      </c>
      <c r="L7" s="268" t="s">
        <v>148</v>
      </c>
      <c r="M7" s="1037" t="str">
        <f>[1]OffAdmAssCrt!$D$4</f>
        <v>OFFICE ADMINISTRATION ASSISTANT CERTIFICATE</v>
      </c>
      <c r="N7" s="1037"/>
      <c r="O7" s="1037"/>
      <c r="P7" s="1037"/>
      <c r="Q7" s="1037"/>
      <c r="R7" s="1037"/>
      <c r="S7" s="273" t="str">
        <f>[1]OffAdmAssCrt!$D$3</f>
        <v>ZEL8</v>
      </c>
      <c r="T7" s="258"/>
      <c r="U7" s="270"/>
      <c r="V7" s="270"/>
    </row>
    <row r="8" spans="1:22" ht="19.2" thickBot="1">
      <c r="A8" s="259" t="s">
        <v>37</v>
      </c>
      <c r="B8" s="276" t="s">
        <v>99</v>
      </c>
      <c r="C8" s="261"/>
      <c r="D8" s="266" t="s">
        <v>182</v>
      </c>
      <c r="E8" s="1053" t="str">
        <f>[1]AccBkCrt!$D$4</f>
        <v>ACCOUNTING BOOKKEEPER CERTIFICATE</v>
      </c>
      <c r="F8" s="1053"/>
      <c r="G8" s="1053"/>
      <c r="H8" s="1053"/>
      <c r="I8" s="1053"/>
      <c r="J8" s="1053"/>
      <c r="K8" s="267" t="str">
        <f>[1]AccBkCrt!$D$3</f>
        <v>ZLJ8</v>
      </c>
      <c r="L8" s="268" t="s">
        <v>149</v>
      </c>
      <c r="M8" s="1037" t="str">
        <f>[1]PSACrt!$D$4</f>
        <v>PSA - COMPUTERIZED OFFICE SKILLS CERTIFICATE</v>
      </c>
      <c r="N8" s="1037"/>
      <c r="O8" s="1037"/>
      <c r="P8" s="1037"/>
      <c r="Q8" s="1037"/>
      <c r="R8" s="1037"/>
      <c r="S8" s="273" t="str">
        <f>[1]PSACrt!$D$3</f>
        <v>GOVT.</v>
      </c>
      <c r="T8" s="258"/>
      <c r="U8" s="270"/>
      <c r="V8" s="270"/>
    </row>
    <row r="9" spans="1:22" ht="19.2" thickBot="1">
      <c r="A9" s="259" t="s">
        <v>1002</v>
      </c>
      <c r="B9" s="262" t="s">
        <v>1857</v>
      </c>
      <c r="C9" s="261"/>
      <c r="D9" s="266" t="s">
        <v>183</v>
      </c>
      <c r="E9" s="1053" t="str">
        <f>[1]PayAdmCrt!$D$4</f>
        <v>PAYROLL ADMINISTRATOR CERTIFICATE</v>
      </c>
      <c r="F9" s="1053"/>
      <c r="G9" s="1053"/>
      <c r="H9" s="1053"/>
      <c r="I9" s="1053"/>
      <c r="J9" s="1053"/>
      <c r="K9" s="267" t="str">
        <f>[1]PayAdmCrt!$D$3</f>
        <v>ZNW8</v>
      </c>
      <c r="L9" s="268" t="s">
        <v>150</v>
      </c>
      <c r="M9" s="1037" t="str">
        <f>[1]BusRecCrt!$D$4</f>
        <v>BUSINESS RECEPTIONIST CERTIFICATE</v>
      </c>
      <c r="N9" s="1037"/>
      <c r="O9" s="1037"/>
      <c r="P9" s="1037"/>
      <c r="Q9" s="1037"/>
      <c r="R9" s="1037"/>
      <c r="S9" s="273" t="str">
        <f>[1]BusRecCrt!$D$3</f>
        <v>ZKZ8</v>
      </c>
      <c r="T9" s="258"/>
      <c r="U9" s="270"/>
      <c r="V9" s="270"/>
    </row>
    <row r="10" spans="1:22" ht="19.2" thickBot="1">
      <c r="A10" s="259" t="s">
        <v>14</v>
      </c>
      <c r="B10" s="277">
        <v>20</v>
      </c>
      <c r="C10" s="278" t="s">
        <v>39</v>
      </c>
      <c r="D10" s="266" t="s">
        <v>184</v>
      </c>
      <c r="E10" s="1053" t="str">
        <f>[1]PayClkCrt!$D$4</f>
        <v>PAYROLL CLERK CERTIFICATE</v>
      </c>
      <c r="F10" s="1053"/>
      <c r="G10" s="1053"/>
      <c r="H10" s="1053"/>
      <c r="I10" s="1053"/>
      <c r="J10" s="1053"/>
      <c r="K10" s="267" t="str">
        <f>[1]PayClkCrt!$D$3</f>
        <v>ZPF8</v>
      </c>
      <c r="L10" s="268" t="s">
        <v>151</v>
      </c>
      <c r="M10" s="1058" t="str">
        <f>[1]MOADip!$D$4</f>
        <v>MEDICAL OFFICE ASSISTANT DIPLOMA</v>
      </c>
      <c r="N10" s="1058"/>
      <c r="O10" s="1058"/>
      <c r="P10" s="1058"/>
      <c r="Q10" s="1058"/>
      <c r="R10" s="1058"/>
      <c r="S10" s="866" t="str">
        <f>[1]MOADip!$D$3</f>
        <v>TFZ7</v>
      </c>
      <c r="T10" s="258"/>
      <c r="U10" s="270"/>
      <c r="V10" s="270"/>
    </row>
    <row r="11" spans="1:22" ht="19.2" thickBot="1">
      <c r="A11" s="259" t="s">
        <v>38</v>
      </c>
      <c r="B11" s="279">
        <v>5</v>
      </c>
      <c r="C11" s="280">
        <f>ROUND(B10/B11,2)</f>
        <v>4</v>
      </c>
      <c r="D11" s="266" t="s">
        <v>185</v>
      </c>
      <c r="E11" s="1031" t="str">
        <f>[1]BusAdminDip!$D$4</f>
        <v>BUSINESS ADMINISTRATION DIPLOMA</v>
      </c>
      <c r="F11" s="1031"/>
      <c r="G11" s="1031"/>
      <c r="H11" s="1031"/>
      <c r="I11" s="1031"/>
      <c r="J11" s="1031"/>
      <c r="K11" s="281" t="str">
        <f>[1]BusAdminDip!$D$3</f>
        <v>ZAS7</v>
      </c>
      <c r="L11" s="268" t="s">
        <v>152</v>
      </c>
      <c r="M11" s="1057" t="str">
        <f>[1]MOADipHUC!$D$4</f>
        <v>MEDICAL OFFICE ASSISTANT DIPLOMA W/ UNIT CLERK</v>
      </c>
      <c r="N11" s="1057"/>
      <c r="O11" s="1057"/>
      <c r="P11" s="1057"/>
      <c r="Q11" s="1057"/>
      <c r="R11" s="1057"/>
      <c r="S11" s="866" t="str">
        <f>[1]MOADipHUC!$D$3</f>
        <v>TGE7</v>
      </c>
      <c r="T11" s="258"/>
      <c r="U11" s="270"/>
      <c r="V11" s="270"/>
    </row>
    <row r="12" spans="1:22" ht="19.2" thickBot="1">
      <c r="A12" s="259" t="s">
        <v>142</v>
      </c>
      <c r="B12" s="849" t="s">
        <v>1418</v>
      </c>
      <c r="C12" s="261"/>
      <c r="D12" s="266" t="s">
        <v>186</v>
      </c>
      <c r="E12" s="1031" t="str">
        <f>[1]BusAdminCoop!$D$4</f>
        <v>BUSINESS ADMINISTRATION CO-OP DIPLOMA</v>
      </c>
      <c r="F12" s="1031"/>
      <c r="G12" s="1031"/>
      <c r="H12" s="1031"/>
      <c r="I12" s="1031"/>
      <c r="J12" s="1031"/>
      <c r="K12" s="281" t="str">
        <f>[1]BusAdminCoop!$D$3</f>
        <v>ZAS7</v>
      </c>
      <c r="L12" s="268" t="s">
        <v>153</v>
      </c>
      <c r="M12" s="1057" t="str">
        <f>[1]MedAdmAssCrt!$D$4</f>
        <v>MEDICAL ADMINISTRATIVE ASSISTANT CERTIFICATE</v>
      </c>
      <c r="N12" s="1057"/>
      <c r="O12" s="1057"/>
      <c r="P12" s="1057"/>
      <c r="Q12" s="1057"/>
      <c r="R12" s="1057"/>
      <c r="S12" s="866" t="str">
        <f>[1]MedAdmAssCrt!$D$3</f>
        <v>TES8</v>
      </c>
      <c r="T12" s="258"/>
      <c r="U12" s="270"/>
      <c r="V12" s="270"/>
    </row>
    <row r="13" spans="1:22" ht="19.2" thickBot="1">
      <c r="A13" s="259" t="s">
        <v>15</v>
      </c>
      <c r="B13" s="277"/>
      <c r="C13" s="261" t="s">
        <v>795</v>
      </c>
      <c r="D13" s="266" t="s">
        <v>187</v>
      </c>
      <c r="E13" s="1031" t="str">
        <f>IF('Franchise Info'!$B$3=2,"",[1]BusSrvEssCoop!$D$4)</f>
        <v/>
      </c>
      <c r="F13" s="1031"/>
      <c r="G13" s="1031"/>
      <c r="H13" s="1031"/>
      <c r="I13" s="1031"/>
      <c r="J13" s="1031"/>
      <c r="K13" s="281" t="str">
        <f>IF('Franchise Info'!$B$3=2,"",[1]BusSrvEssCoop!$D$3)</f>
        <v/>
      </c>
      <c r="L13" s="268" t="s">
        <v>154</v>
      </c>
      <c r="M13" s="1057" t="str">
        <f>IF('Franchise Info'!$B$3=2,"",[1]MOFDACrt!$D$4)</f>
        <v/>
      </c>
      <c r="N13" s="1057"/>
      <c r="O13" s="1057"/>
      <c r="P13" s="1057"/>
      <c r="Q13" s="1057"/>
      <c r="R13" s="1057"/>
      <c r="S13" s="866" t="str">
        <f>IF('Franchise Info'!$B$3=2,"",[1]MOFDACrt!$D$3)</f>
        <v/>
      </c>
      <c r="T13" s="258"/>
      <c r="U13" s="270"/>
      <c r="V13" s="270"/>
    </row>
    <row r="14" spans="1:22" ht="19.2" thickBot="1">
      <c r="A14" s="259" t="s">
        <v>138</v>
      </c>
      <c r="B14" s="282">
        <f>IF($C$14="Regular",IF('Student Info'!$B$9="Y",500,'Franchise Info'!$E$3),IF($C$14="ESL",100,0))</f>
        <v>250</v>
      </c>
      <c r="C14" s="283" t="s">
        <v>1761</v>
      </c>
      <c r="D14" s="266" t="s">
        <v>188</v>
      </c>
      <c r="E14" s="1031" t="str">
        <f>[1]CalCtrCstRepDip!$D$4</f>
        <v>CALL CENTRE CUSTOMER REPRESENTATIVE DIPLOMA</v>
      </c>
      <c r="F14" s="1031"/>
      <c r="G14" s="1031"/>
      <c r="H14" s="1031"/>
      <c r="I14" s="1031"/>
      <c r="J14" s="1031"/>
      <c r="K14" s="281" t="str">
        <f>[1]CalCtrCstRepDip!$D$3</f>
        <v>ZMQ7</v>
      </c>
      <c r="L14" s="268" t="s">
        <v>155</v>
      </c>
      <c r="M14" s="1057" t="str">
        <f>[1]CsAwWrkDip!$D$4</f>
        <v>COMMUNITY SERVICE WORKER &amp; ADDICTION WORKER DIPLOMA</v>
      </c>
      <c r="N14" s="1057"/>
      <c r="O14" s="1057"/>
      <c r="P14" s="1057"/>
      <c r="Q14" s="1057"/>
      <c r="R14" s="1057"/>
      <c r="S14" s="866" t="str">
        <f>[1]CsAwWrkDip!$D$3</f>
        <v>WAD7</v>
      </c>
      <c r="T14" s="258"/>
      <c r="U14" s="270"/>
      <c r="V14" s="270"/>
    </row>
    <row r="15" spans="1:22" ht="19.2" thickBot="1">
      <c r="A15" s="259" t="s">
        <v>825</v>
      </c>
      <c r="B15" s="284">
        <f>IF($C$14="Regular",IF('Student Info'!$B$9="Y",'Franchise Info'!$E$5,'Franchise Info'!$E$5),0)</f>
        <v>100</v>
      </c>
      <c r="C15" s="285">
        <f>ROUND(IF($C$14="Regular",IF('Student Info'!$B$9="Y",'Franchise Info'!$E$4,'Franchise Info'!$E$4),0),0)</f>
        <v>4</v>
      </c>
      <c r="D15" s="266" t="s">
        <v>189</v>
      </c>
      <c r="E15" s="1031" t="str">
        <f>[1]ConEvtPlnDip!$D$4</f>
        <v>CONFERENCE AND EVENT PLANNER DIPLOMA</v>
      </c>
      <c r="F15" s="1031"/>
      <c r="G15" s="1031"/>
      <c r="H15" s="1031"/>
      <c r="I15" s="1031"/>
      <c r="J15" s="1031"/>
      <c r="K15" s="281" t="str">
        <f>[1]ConEvtPlnDip!$D$3</f>
        <v>ZMN7</v>
      </c>
      <c r="L15" s="268" t="s">
        <v>156</v>
      </c>
      <c r="M15" s="1057" t="str">
        <f>IF('Franchise Info'!$B$3=2,"",[1]AddWrkCrt!$D$4)</f>
        <v/>
      </c>
      <c r="N15" s="1057"/>
      <c r="O15" s="1057"/>
      <c r="P15" s="1057"/>
      <c r="Q15" s="1057"/>
      <c r="R15" s="1057"/>
      <c r="S15" s="866" t="str">
        <f>IF('Franchise Info'!$B$3=2,"",[1]AddWrkCrt!$D$3)</f>
        <v/>
      </c>
      <c r="T15" s="258"/>
      <c r="U15" s="270"/>
      <c r="V15" s="270"/>
    </row>
    <row r="16" spans="1:22" ht="19.2" thickBot="1">
      <c r="A16" s="259" t="s">
        <v>13</v>
      </c>
      <c r="B16" s="468">
        <v>0</v>
      </c>
      <c r="C16" s="261"/>
      <c r="D16" s="266" t="s">
        <v>190</v>
      </c>
      <c r="E16" s="1031" t="str">
        <f>[1]MrkCordDip!$D$4</f>
        <v>MARKETING COORDINATOR DIPLOMA</v>
      </c>
      <c r="F16" s="1031"/>
      <c r="G16" s="1031"/>
      <c r="H16" s="1031"/>
      <c r="I16" s="1031"/>
      <c r="J16" s="1031"/>
      <c r="K16" s="281" t="str">
        <f>[1]MrkCordDip!$D$3</f>
        <v>ZDE7</v>
      </c>
      <c r="L16" s="286" t="s">
        <v>157</v>
      </c>
      <c r="M16" s="1057" t="str">
        <f>IF('Franchise Info'!$B$3=2,"",[1]ComSrvWrkDip!$D$4)</f>
        <v/>
      </c>
      <c r="N16" s="1057"/>
      <c r="O16" s="1057"/>
      <c r="P16" s="1057"/>
      <c r="Q16" s="1057"/>
      <c r="R16" s="1057"/>
      <c r="S16" s="866" t="str">
        <f>IF('Franchise Info'!$B$3=2,"",[1]ComSrvWrkDip!$D$3)</f>
        <v/>
      </c>
      <c r="T16" s="258"/>
      <c r="U16" s="270"/>
      <c r="V16" s="270"/>
    </row>
    <row r="17" spans="1:22" ht="19.2" thickBot="1">
      <c r="A17" s="259" t="s">
        <v>143</v>
      </c>
      <c r="B17" s="277"/>
      <c r="C17" s="261"/>
      <c r="D17" s="266" t="s">
        <v>191</v>
      </c>
      <c r="E17" s="1031" t="str">
        <f>[1]PrjAdminDip!$D$4</f>
        <v>PROJECT ADMINISTRATION DIPLOMA</v>
      </c>
      <c r="F17" s="1031"/>
      <c r="G17" s="1031"/>
      <c r="H17" s="1031"/>
      <c r="I17" s="1031"/>
      <c r="J17" s="1031"/>
      <c r="K17" s="281" t="str">
        <f>[1]PrjAdminDip!$D$3</f>
        <v>ZOM7</v>
      </c>
      <c r="L17" s="268" t="s">
        <v>158</v>
      </c>
      <c r="M17" s="1039" t="str">
        <f>[1]CmpSrvTechDip!$D$4</f>
        <v>COMPUTER SERVICE TECHNICIAN DIPLOMA</v>
      </c>
      <c r="N17" s="1039"/>
      <c r="O17" s="1039"/>
      <c r="P17" s="1039"/>
      <c r="Q17" s="1039"/>
      <c r="R17" s="1039"/>
      <c r="S17" s="287" t="str">
        <f>[1]CmpSrvTechDip!$D$3</f>
        <v>UHD7</v>
      </c>
      <c r="T17" s="258"/>
      <c r="U17" s="270"/>
      <c r="V17" s="270"/>
    </row>
    <row r="18" spans="1:22" ht="19.2" thickBot="1">
      <c r="A18" s="259" t="s">
        <v>7</v>
      </c>
      <c r="B18" s="277">
        <v>0</v>
      </c>
      <c r="C18" s="261"/>
      <c r="D18" s="266" t="s">
        <v>192</v>
      </c>
      <c r="E18" s="1031" t="str">
        <f>[1]SalesProfDip!$D$4</f>
        <v>SALES PROFESSIONAL DIPLOMA</v>
      </c>
      <c r="F18" s="1031"/>
      <c r="G18" s="1031"/>
      <c r="H18" s="1031"/>
      <c r="I18" s="1031"/>
      <c r="J18" s="1031"/>
      <c r="K18" s="281" t="str">
        <f>[1]SalesProfDip!$D$3</f>
        <v>ZKE7</v>
      </c>
      <c r="L18" s="268" t="s">
        <v>159</v>
      </c>
      <c r="M18" s="1062" t="str">
        <f>[1]SoftWebDevDip!$D$4</f>
        <v>SOFTWARE AND WEB DEVELOPER DIPLOMA</v>
      </c>
      <c r="N18" s="1039"/>
      <c r="O18" s="1039"/>
      <c r="P18" s="1039"/>
      <c r="Q18" s="1039"/>
      <c r="R18" s="1063"/>
      <c r="S18" s="287" t="str">
        <f>[1]SoftWebDevDip!$D$3</f>
        <v>UAN7</v>
      </c>
      <c r="T18" s="258"/>
      <c r="U18" s="270"/>
      <c r="V18" s="270"/>
    </row>
    <row r="19" spans="1:22" ht="19.2" thickBot="1">
      <c r="A19" s="259" t="s">
        <v>8</v>
      </c>
      <c r="B19" s="288">
        <f>IF('Student Info'!$B$9="Y",50*'Franchise Info'!$C$12+50,50)</f>
        <v>50</v>
      </c>
      <c r="C19" s="261"/>
      <c r="D19" s="266" t="s">
        <v>193</v>
      </c>
      <c r="E19" s="1031" t="str">
        <f>[1]BusManCrt!$D$4</f>
        <v>BUSINESS MANAGEMENT CERTIFICATE</v>
      </c>
      <c r="F19" s="1031"/>
      <c r="G19" s="1031"/>
      <c r="H19" s="1031"/>
      <c r="I19" s="1031"/>
      <c r="J19" s="1031"/>
      <c r="K19" s="281" t="str">
        <f>[1]BusManCrt!$D$3</f>
        <v>ZBD8</v>
      </c>
      <c r="L19" s="268" t="s">
        <v>160</v>
      </c>
      <c r="M19" s="1039" t="str">
        <f>[1]WebDevDip!$D$4</f>
        <v>WEB DEVELOPER DIPLOMA</v>
      </c>
      <c r="N19" s="1039"/>
      <c r="O19" s="1039"/>
      <c r="P19" s="1039"/>
      <c r="Q19" s="1039"/>
      <c r="R19" s="1039"/>
      <c r="S19" s="287" t="str">
        <f>[1]WebDevDip!$D$3</f>
        <v>UHK7</v>
      </c>
      <c r="T19" s="258"/>
      <c r="U19" s="270"/>
      <c r="V19" s="270"/>
    </row>
    <row r="20" spans="1:22" ht="19.2" thickBot="1">
      <c r="A20" s="289" t="s">
        <v>29</v>
      </c>
      <c r="B20" s="272" t="s">
        <v>30</v>
      </c>
      <c r="C20" s="272" t="s">
        <v>31</v>
      </c>
      <c r="D20" s="266" t="s">
        <v>194</v>
      </c>
      <c r="E20" s="1031" t="str">
        <f>[1]CusSrvRepCrt!$D$4</f>
        <v>CUSTOMER SERVICE REPRESENTATIVE CERTIFICATE</v>
      </c>
      <c r="F20" s="1031"/>
      <c r="G20" s="1031"/>
      <c r="H20" s="1031"/>
      <c r="I20" s="1031"/>
      <c r="J20" s="1031"/>
      <c r="K20" s="281" t="str">
        <f>[1]CusSrvRepCrt!$D$3</f>
        <v>ZMQ8</v>
      </c>
      <c r="L20" s="268" t="s">
        <v>161</v>
      </c>
      <c r="M20" s="1039" t="str">
        <f>[1]NetAdminDip!$D$4</f>
        <v>NETWORK ADMINISTRATOR DIPLOMA (SERVER 2016)</v>
      </c>
      <c r="N20" s="1039"/>
      <c r="O20" s="1039"/>
      <c r="P20" s="1039"/>
      <c r="Q20" s="1039"/>
      <c r="R20" s="1039"/>
      <c r="S20" s="287" t="str">
        <f>[1]NetAdminDip!$D$3</f>
        <v>UGS7</v>
      </c>
      <c r="T20" s="258"/>
      <c r="U20" s="270"/>
      <c r="V20" s="270"/>
    </row>
    <row r="21" spans="1:22" ht="19.2" thickBot="1">
      <c r="A21" s="259">
        <v>1</v>
      </c>
      <c r="B21" s="290"/>
      <c r="C21" s="291"/>
      <c r="D21" s="266" t="s">
        <v>195</v>
      </c>
      <c r="E21" s="1031" t="str">
        <f>[1]HRAdmCrt!$D$4</f>
        <v>HUMAN RESOURCES ADMINISTRATION CERTIFICATE</v>
      </c>
      <c r="F21" s="1031"/>
      <c r="G21" s="1031"/>
      <c r="H21" s="1031"/>
      <c r="I21" s="1031"/>
      <c r="J21" s="1031"/>
      <c r="K21" s="281" t="str">
        <f>[1]HRAdmCrt!$D$3</f>
        <v>ZPE8</v>
      </c>
      <c r="L21" s="268" t="s">
        <v>162</v>
      </c>
      <c r="M21" s="1039" t="str">
        <f>[1]PCSupSpecDip!$D$4</f>
        <v>PC SUPPORT SPECIALIST DIPLOMA</v>
      </c>
      <c r="N21" s="1039"/>
      <c r="O21" s="1039"/>
      <c r="P21" s="1039"/>
      <c r="Q21" s="1039"/>
      <c r="R21" s="1039"/>
      <c r="S21" s="287" t="str">
        <f>[1]PCSupSpecDip!$D$3</f>
        <v>UES7</v>
      </c>
      <c r="T21" s="258"/>
      <c r="U21" s="270"/>
      <c r="V21" s="270"/>
    </row>
    <row r="22" spans="1:22" ht="19.2" thickBot="1">
      <c r="A22" s="259">
        <v>2</v>
      </c>
      <c r="B22" s="290"/>
      <c r="C22" s="291"/>
      <c r="D22" s="266" t="s">
        <v>196</v>
      </c>
      <c r="E22" s="1031" t="str">
        <f>IF('Franchise Info'!$B$3=2,"",[1]MrkAdmAssCrt!$D$4)</f>
        <v/>
      </c>
      <c r="F22" s="1031"/>
      <c r="G22" s="1031"/>
      <c r="H22" s="1031"/>
      <c r="I22" s="1031"/>
      <c r="J22" s="1031"/>
      <c r="K22" s="281" t="str">
        <f>IF('Franchise Info'!$B$3=2,"",[1]MrkAdmAssCrt!$D$3)</f>
        <v/>
      </c>
      <c r="L22" s="292" t="s">
        <v>163</v>
      </c>
      <c r="M22" s="1039" t="str">
        <f>'[1]A+N+MCPCrt'!$D$4</f>
        <v>A+ NETWORK+ AND MCSA DESKTOP CERT. PREP</v>
      </c>
      <c r="N22" s="1039"/>
      <c r="O22" s="1039"/>
      <c r="P22" s="1039"/>
      <c r="Q22" s="1039"/>
      <c r="R22" s="1039"/>
      <c r="S22" s="287" t="str">
        <f>'[1]A+N+MCPCrt'!$D$3</f>
        <v>UHG8</v>
      </c>
      <c r="T22" s="258"/>
      <c r="U22" s="270"/>
      <c r="V22" s="270"/>
    </row>
    <row r="23" spans="1:22" ht="19.2" thickBot="1">
      <c r="A23" s="259">
        <v>3</v>
      </c>
      <c r="B23" s="290"/>
      <c r="C23" s="291"/>
      <c r="D23" s="266" t="s">
        <v>197</v>
      </c>
      <c r="E23" s="1042" t="str">
        <f>[1]SalesAscCrt!$D$4</f>
        <v>SALES ASSOCIATE CERTIFICATE</v>
      </c>
      <c r="F23" s="1031"/>
      <c r="G23" s="1031"/>
      <c r="H23" s="1031"/>
      <c r="I23" s="1031"/>
      <c r="J23" s="1043"/>
      <c r="K23" s="281" t="str">
        <f>[1]SalesAscCrt!$D$3</f>
        <v>ZPG8</v>
      </c>
      <c r="L23" s="268" t="s">
        <v>164</v>
      </c>
      <c r="M23" s="1039" t="str">
        <f>IF('Franchise Info'!$B$3=2,"",[1]CmpSrvTechCrt!$D$4)</f>
        <v/>
      </c>
      <c r="N23" s="1039"/>
      <c r="O23" s="1039"/>
      <c r="P23" s="1039"/>
      <c r="Q23" s="1039"/>
      <c r="R23" s="1039"/>
      <c r="S23" s="287" t="str">
        <f>IF('Franchise Info'!$B$3=2,"",[1]CmpSrvTechCrt!$D$3)</f>
        <v/>
      </c>
      <c r="T23" s="258"/>
      <c r="U23" s="270"/>
      <c r="V23" s="270"/>
    </row>
    <row r="24" spans="1:22" ht="19.2" thickBot="1">
      <c r="A24" s="259">
        <v>4</v>
      </c>
      <c r="B24" s="290"/>
      <c r="C24" s="291"/>
      <c r="D24" s="266" t="s">
        <v>198</v>
      </c>
      <c r="E24" s="1037" t="str">
        <f>IF('Franchise Info'!$B$3=1,"",[1]AdminAsstDip!$D$4)</f>
        <v>ADMINISTRATIVE ASSISTANT DIPLOMA</v>
      </c>
      <c r="F24" s="1037"/>
      <c r="G24" s="1037"/>
      <c r="H24" s="1037"/>
      <c r="I24" s="1037"/>
      <c r="J24" s="1038"/>
      <c r="K24" s="273" t="str">
        <f>IF('Franchise Info'!$B$3=1,"",[1]AdminAsstDip!$D$3)</f>
        <v>ZKT7</v>
      </c>
      <c r="L24" s="268" t="s">
        <v>165</v>
      </c>
      <c r="M24" s="1039" t="str">
        <f>[1]MCSASrvCrt!$D$4</f>
        <v>MCSA: WINDOWS SERVER CERTIFICATION PREPARATION</v>
      </c>
      <c r="N24" s="1039"/>
      <c r="O24" s="1039"/>
      <c r="P24" s="1039"/>
      <c r="Q24" s="1039"/>
      <c r="R24" s="1039"/>
      <c r="S24" s="287" t="str">
        <f>[1]MCSASrvCrt!$D$3</f>
        <v>UJA8</v>
      </c>
      <c r="T24" s="258"/>
      <c r="U24" s="270"/>
      <c r="V24" s="270"/>
    </row>
    <row r="25" spans="1:22" ht="19.2" thickBot="1">
      <c r="A25" s="259">
        <v>5</v>
      </c>
      <c r="B25" s="290"/>
      <c r="C25" s="291"/>
      <c r="D25" s="266" t="s">
        <v>199</v>
      </c>
      <c r="E25" s="1036" t="str">
        <f>[1]BusOffSkillsDip!$D$4</f>
        <v>BUSINESS OFFICE SKILLS DIPLOMA</v>
      </c>
      <c r="F25" s="1037"/>
      <c r="G25" s="1037"/>
      <c r="H25" s="1037"/>
      <c r="I25" s="1037"/>
      <c r="J25" s="1038"/>
      <c r="K25" s="269" t="str">
        <f>[1]BusOffSkillsDip!$D$3</f>
        <v>ZKJ7</v>
      </c>
      <c r="L25" s="268" t="s">
        <v>166</v>
      </c>
      <c r="M25" s="1039"/>
      <c r="N25" s="1039"/>
      <c r="O25" s="1039"/>
      <c r="P25" s="1039"/>
      <c r="Q25" s="1039"/>
      <c r="R25" s="1039"/>
      <c r="S25" s="287"/>
      <c r="T25" s="258"/>
      <c r="U25" s="270"/>
      <c r="V25" s="270"/>
    </row>
    <row r="26" spans="1:22" ht="19.2" thickBot="1">
      <c r="A26" s="259">
        <v>6</v>
      </c>
      <c r="B26" s="290"/>
      <c r="C26" s="291"/>
      <c r="D26" s="266" t="s">
        <v>200</v>
      </c>
      <c r="E26" s="1036" t="str">
        <f>[1]EntBusAppDip!$D$4</f>
        <v>ENTREPRENEURIAL BUSINESS APPLICATIONS DIPLOMA</v>
      </c>
      <c r="F26" s="1037"/>
      <c r="G26" s="1037"/>
      <c r="H26" s="1037"/>
      <c r="I26" s="1037"/>
      <c r="J26" s="1038"/>
      <c r="K26" s="269" t="str">
        <f>[1]EntBusAppDip!$D$3</f>
        <v>ZMX7</v>
      </c>
      <c r="L26" s="268" t="s">
        <v>167</v>
      </c>
      <c r="M26" s="1035" t="str">
        <f>[1]ESLCourses!$D$4</f>
        <v>ENGLISH AS SECOND LANGUAGE</v>
      </c>
      <c r="N26" s="1035"/>
      <c r="O26" s="1035"/>
      <c r="P26" s="1035"/>
      <c r="Q26" s="1035"/>
      <c r="R26" s="1035"/>
      <c r="S26" s="293" t="str">
        <f>[1]ESLCourses!$D$3</f>
        <v>Non-CSL</v>
      </c>
      <c r="T26" s="258"/>
      <c r="U26" s="270"/>
      <c r="V26" s="270"/>
    </row>
    <row r="27" spans="1:22" ht="19.2" thickBot="1">
      <c r="A27" s="259">
        <v>7</v>
      </c>
      <c r="B27" s="290"/>
      <c r="C27" s="291"/>
      <c r="D27" s="266" t="s">
        <v>201</v>
      </c>
      <c r="E27" s="1036" t="str">
        <f>[1]ExecAssDip!$D$4</f>
        <v>EXECUTIVE ASSISTANT DIPLOMA</v>
      </c>
      <c r="F27" s="1037"/>
      <c r="G27" s="1037"/>
      <c r="H27" s="1037"/>
      <c r="I27" s="1037"/>
      <c r="J27" s="1038"/>
      <c r="K27" s="269" t="str">
        <f>[1]ExecAssDip!$D$3</f>
        <v>ZLG7</v>
      </c>
      <c r="L27" s="268" t="s">
        <v>168</v>
      </c>
      <c r="M27" s="1035" t="str">
        <f>[1]GrphDesDip!$D$4</f>
        <v>GRAPHIC DESIGNER DIPLOMA</v>
      </c>
      <c r="N27" s="1035"/>
      <c r="O27" s="1035"/>
      <c r="P27" s="1035"/>
      <c r="Q27" s="1035"/>
      <c r="R27" s="1035"/>
      <c r="S27" s="293" t="str">
        <f>[1]GrphDesDip!$D$3</f>
        <v>XBG7</v>
      </c>
      <c r="T27" s="258"/>
      <c r="U27" s="270"/>
      <c r="V27" s="270"/>
    </row>
    <row r="28" spans="1:22" ht="19.2" thickBot="1">
      <c r="A28" s="259">
        <v>8</v>
      </c>
      <c r="B28" s="290"/>
      <c r="C28" s="291"/>
      <c r="D28" s="294" t="s">
        <v>202</v>
      </c>
      <c r="E28" s="295" t="s">
        <v>992</v>
      </c>
      <c r="F28" s="295"/>
      <c r="G28" s="295"/>
      <c r="H28" s="295"/>
      <c r="I28" s="295"/>
      <c r="J28" s="295"/>
      <c r="K28" s="296"/>
      <c r="L28" s="268" t="s">
        <v>169</v>
      </c>
      <c r="M28" s="1035" t="str">
        <f>[1]WebDesDip!$D$4</f>
        <v>WEB DESIGNER DIPLOMA</v>
      </c>
      <c r="N28" s="1035"/>
      <c r="O28" s="1035"/>
      <c r="P28" s="1035"/>
      <c r="Q28" s="1035"/>
      <c r="R28" s="1035"/>
      <c r="S28" s="293" t="str">
        <f>[1]WebDesDip!$D$3</f>
        <v>UIE7</v>
      </c>
      <c r="T28" s="258"/>
      <c r="U28" s="270"/>
      <c r="V28" s="270"/>
    </row>
    <row r="29" spans="1:22" ht="19.2" thickBot="1">
      <c r="A29" s="259">
        <v>9</v>
      </c>
      <c r="B29" s="290"/>
      <c r="C29" s="291"/>
      <c r="D29" s="297" t="s">
        <v>203</v>
      </c>
      <c r="E29" s="298" t="s">
        <v>140</v>
      </c>
      <c r="F29" s="298"/>
      <c r="G29" s="298"/>
      <c r="H29" s="298"/>
      <c r="I29" s="298"/>
      <c r="J29" s="298"/>
      <c r="K29" s="299"/>
      <c r="L29" s="300" t="s">
        <v>147</v>
      </c>
      <c r="M29" s="1040" t="str">
        <f>[1]IndividualProgram!$D$4</f>
        <v>INDIVIDUAL COURSES</v>
      </c>
      <c r="N29" s="1035"/>
      <c r="O29" s="1035"/>
      <c r="P29" s="1035"/>
      <c r="Q29" s="1035"/>
      <c r="R29" s="1041"/>
      <c r="S29" s="839" t="str">
        <f>[1]IndividualProgram!$D$3</f>
        <v>Non-CSL</v>
      </c>
      <c r="T29" s="258"/>
      <c r="U29" s="270"/>
      <c r="V29" s="270"/>
    </row>
    <row r="30" spans="1:22" ht="18.600000000000001">
      <c r="A30" s="259">
        <v>10</v>
      </c>
      <c r="B30" s="290"/>
      <c r="C30" s="301"/>
      <c r="D30" s="261"/>
      <c r="E30" s="295"/>
      <c r="F30" s="295"/>
      <c r="G30" s="295"/>
      <c r="H30" s="1054" t="s">
        <v>100</v>
      </c>
      <c r="I30" s="1055"/>
      <c r="J30" s="295"/>
      <c r="K30" s="296"/>
      <c r="L30" s="302"/>
      <c r="M30" s="1032" t="s">
        <v>205</v>
      </c>
      <c r="N30" s="1033"/>
      <c r="O30" s="1033"/>
      <c r="P30" s="1033"/>
      <c r="Q30" s="1034"/>
      <c r="R30" s="303"/>
      <c r="S30" s="303"/>
      <c r="T30" s="303"/>
      <c r="U30" s="303"/>
      <c r="V30" s="303"/>
    </row>
    <row r="31" spans="1:22" ht="19.2" thickBot="1">
      <c r="A31" s="259">
        <v>11</v>
      </c>
      <c r="B31" s="290"/>
      <c r="C31" s="301"/>
      <c r="D31" s="261"/>
      <c r="E31" s="295"/>
      <c r="F31" s="295"/>
      <c r="G31" s="295"/>
      <c r="H31" s="304"/>
      <c r="I31" s="305"/>
      <c r="J31" s="295"/>
      <c r="K31" s="296"/>
      <c r="L31" s="302"/>
      <c r="M31" s="306"/>
      <c r="N31" s="307" t="s">
        <v>204</v>
      </c>
      <c r="O31" s="308"/>
      <c r="P31" s="867"/>
      <c r="Q31" s="309" t="s">
        <v>208</v>
      </c>
      <c r="R31" s="303"/>
      <c r="S31" s="303"/>
      <c r="T31" s="303"/>
      <c r="U31" s="303"/>
      <c r="V31" s="303"/>
    </row>
    <row r="32" spans="1:22" ht="19.2" thickBot="1">
      <c r="A32" s="259">
        <v>12</v>
      </c>
      <c r="B32" s="290"/>
      <c r="C32" s="301"/>
      <c r="D32" s="295"/>
      <c r="E32" s="1051" t="s">
        <v>104</v>
      </c>
      <c r="F32" s="1052"/>
      <c r="G32" s="310"/>
      <c r="H32" s="1051" t="s">
        <v>1575</v>
      </c>
      <c r="I32" s="1052"/>
      <c r="J32" s="295"/>
      <c r="K32" s="296"/>
      <c r="L32" s="295"/>
      <c r="M32" s="311"/>
      <c r="N32" s="307" t="s">
        <v>206</v>
      </c>
      <c r="O32" s="308"/>
      <c r="P32" s="312"/>
      <c r="Q32" s="309" t="s">
        <v>209</v>
      </c>
      <c r="R32" s="303"/>
      <c r="S32" s="303"/>
      <c r="T32" s="303"/>
      <c r="U32" s="303"/>
      <c r="V32" s="303"/>
    </row>
    <row r="33" spans="1:22" ht="15.6" thickBot="1">
      <c r="A33" s="313">
        <f>'Outline Admin'!F57-C33</f>
        <v>354</v>
      </c>
      <c r="B33" s="314" t="s">
        <v>136</v>
      </c>
      <c r="C33" s="315">
        <f>SUM(C21:C32)</f>
        <v>0</v>
      </c>
      <c r="D33" s="316"/>
      <c r="E33" s="304"/>
      <c r="F33" s="305"/>
      <c r="G33" s="317"/>
      <c r="H33" s="304"/>
      <c r="I33" s="305"/>
      <c r="J33" s="316"/>
      <c r="K33" s="318"/>
      <c r="L33" s="257"/>
      <c r="M33" s="319"/>
      <c r="N33" s="320" t="s">
        <v>207</v>
      </c>
      <c r="O33" s="321"/>
      <c r="P33" s="322"/>
      <c r="Q33" s="323" t="s">
        <v>210</v>
      </c>
      <c r="R33" s="236"/>
      <c r="S33" s="236"/>
      <c r="T33" s="236"/>
      <c r="U33" s="236"/>
      <c r="V33" s="236"/>
    </row>
    <row r="34" spans="1:22">
      <c r="R34" s="238"/>
      <c r="S34" s="238"/>
      <c r="T34" s="238"/>
      <c r="U34" s="238"/>
      <c r="V34" s="238"/>
    </row>
    <row r="35" spans="1:22" ht="18.600000000000001">
      <c r="B35" s="226" t="e">
        <f>SEARCH("V",B4,SEARCH("BC, ",B4)+4)</f>
        <v>#VALUE!</v>
      </c>
      <c r="M35" s="324"/>
      <c r="N35" s="324"/>
      <c r="O35" s="324"/>
      <c r="P35" s="324"/>
      <c r="Q35" s="324"/>
      <c r="R35" s="324"/>
      <c r="S35" s="325"/>
      <c r="T35" s="270"/>
      <c r="U35" s="238"/>
      <c r="V35" s="238"/>
    </row>
    <row r="36" spans="1:22">
      <c r="R36" s="238"/>
      <c r="S36" s="238"/>
      <c r="T36" s="238"/>
      <c r="U36" s="238"/>
      <c r="V36" s="238"/>
    </row>
    <row r="37" spans="1:22">
      <c r="R37" s="238"/>
      <c r="S37" s="238"/>
      <c r="T37" s="238"/>
      <c r="U37" s="238"/>
      <c r="V37" s="238"/>
    </row>
    <row r="38" spans="1:22">
      <c r="E38" s="238"/>
      <c r="F38" s="238"/>
      <c r="G38" s="238"/>
      <c r="H38" s="238"/>
      <c r="I38" s="238"/>
      <c r="J38" s="238"/>
      <c r="K38" s="238"/>
      <c r="L38" s="238"/>
      <c r="M38" s="238"/>
      <c r="R38" s="238"/>
      <c r="S38" s="238"/>
      <c r="T38" s="238"/>
      <c r="U38" s="238"/>
      <c r="V38" s="238"/>
    </row>
    <row r="39" spans="1:22">
      <c r="E39" s="238"/>
      <c r="F39" s="238"/>
      <c r="G39" s="238"/>
      <c r="H39" s="238"/>
      <c r="I39" s="238"/>
      <c r="J39" s="238"/>
      <c r="K39" s="238"/>
      <c r="L39" s="238"/>
      <c r="M39" s="238"/>
      <c r="R39" s="238"/>
      <c r="S39" s="238"/>
      <c r="T39" s="270"/>
      <c r="U39" s="238"/>
      <c r="V39" s="238"/>
    </row>
    <row r="40" spans="1:22" ht="18.600000000000001">
      <c r="E40" s="324"/>
      <c r="F40" s="324"/>
      <c r="G40" s="324"/>
      <c r="H40" s="324"/>
      <c r="I40" s="324"/>
      <c r="J40" s="324"/>
      <c r="K40" s="325"/>
      <c r="L40" s="270"/>
      <c r="M40" s="238"/>
      <c r="R40" s="238"/>
      <c r="S40" s="238"/>
      <c r="T40" s="238"/>
      <c r="U40" s="238"/>
      <c r="V40" s="238"/>
    </row>
    <row r="41" spans="1:22">
      <c r="E41" s="238"/>
      <c r="F41" s="238"/>
      <c r="G41" s="238"/>
      <c r="H41" s="238"/>
      <c r="I41" s="238"/>
      <c r="J41" s="238"/>
      <c r="K41" s="238"/>
      <c r="L41" s="238"/>
      <c r="M41" s="238"/>
      <c r="R41" s="238"/>
      <c r="S41" s="238"/>
      <c r="T41" s="238"/>
      <c r="U41" s="238"/>
      <c r="V41" s="238"/>
    </row>
    <row r="42" spans="1:22">
      <c r="E42" s="238"/>
      <c r="F42" s="238"/>
      <c r="G42" s="238"/>
      <c r="H42" s="238"/>
      <c r="I42" s="238"/>
      <c r="J42" s="238"/>
      <c r="K42" s="238"/>
      <c r="L42" s="238"/>
      <c r="M42" s="238"/>
      <c r="R42" s="238"/>
      <c r="S42" s="238"/>
      <c r="T42" s="238"/>
      <c r="U42" s="238"/>
      <c r="V42" s="238"/>
    </row>
    <row r="43" spans="1:22">
      <c r="E43" s="238"/>
      <c r="F43" s="238"/>
      <c r="G43" s="238"/>
      <c r="H43" s="238"/>
      <c r="I43" s="238"/>
      <c r="J43" s="238"/>
      <c r="K43" s="238"/>
      <c r="L43" s="270"/>
      <c r="M43" s="238"/>
      <c r="R43" s="238"/>
      <c r="S43" s="238"/>
      <c r="T43" s="238"/>
      <c r="U43" s="238"/>
      <c r="V43" s="238"/>
    </row>
    <row r="44" spans="1:22" ht="18.600000000000001">
      <c r="E44" s="324"/>
      <c r="F44" s="324"/>
      <c r="G44" s="324"/>
      <c r="H44" s="324"/>
      <c r="I44" s="324"/>
      <c r="J44" s="324"/>
      <c r="K44" s="325"/>
      <c r="L44" s="270"/>
      <c r="M44" s="238"/>
      <c r="R44" s="238"/>
      <c r="S44" s="238"/>
      <c r="T44" s="238"/>
      <c r="U44" s="238"/>
      <c r="V44" s="238"/>
    </row>
    <row r="45" spans="1:22">
      <c r="E45" s="238"/>
      <c r="F45" s="238"/>
      <c r="G45" s="238"/>
      <c r="H45" s="238"/>
      <c r="I45" s="238"/>
      <c r="J45" s="238"/>
      <c r="K45" s="238"/>
      <c r="L45" s="238"/>
      <c r="M45" s="238"/>
    </row>
    <row r="46" spans="1:22">
      <c r="E46" s="238"/>
      <c r="F46" s="238"/>
      <c r="G46" s="238"/>
      <c r="H46" s="238"/>
      <c r="I46" s="238"/>
      <c r="J46" s="238"/>
      <c r="K46" s="238"/>
      <c r="L46" s="238"/>
      <c r="M46" s="238"/>
    </row>
    <row r="47" spans="1:22">
      <c r="E47" s="238"/>
      <c r="F47" s="238"/>
      <c r="G47" s="238"/>
      <c r="H47" s="238"/>
      <c r="I47" s="238"/>
      <c r="J47" s="238"/>
      <c r="K47" s="238"/>
      <c r="L47" s="238"/>
      <c r="M47" s="238"/>
    </row>
    <row r="48" spans="1:22">
      <c r="E48" s="238"/>
      <c r="F48" s="238"/>
      <c r="G48" s="238"/>
      <c r="H48" s="238"/>
      <c r="I48" s="238"/>
      <c r="J48" s="238"/>
      <c r="K48" s="238"/>
      <c r="L48" s="270"/>
      <c r="M48" s="238"/>
    </row>
    <row r="49" spans="5:13">
      <c r="E49" s="238"/>
      <c r="F49" s="238"/>
      <c r="G49" s="238"/>
      <c r="H49" s="238"/>
      <c r="I49" s="238"/>
      <c r="J49" s="238"/>
      <c r="K49" s="238"/>
      <c r="L49" s="238"/>
      <c r="M49" s="238"/>
    </row>
    <row r="50" spans="5:13">
      <c r="E50" s="238"/>
      <c r="F50" s="238"/>
      <c r="G50" s="238"/>
      <c r="H50" s="238"/>
      <c r="I50" s="238"/>
      <c r="J50" s="238"/>
      <c r="K50" s="238"/>
      <c r="L50" s="238"/>
      <c r="M50" s="238"/>
    </row>
    <row r="51" spans="5:13">
      <c r="E51" s="238"/>
      <c r="F51" s="238"/>
      <c r="G51" s="238"/>
      <c r="H51" s="238"/>
      <c r="I51" s="238"/>
      <c r="J51" s="238"/>
      <c r="K51" s="238"/>
      <c r="L51" s="238"/>
      <c r="M51" s="238"/>
    </row>
    <row r="52" spans="5:13">
      <c r="E52" s="238"/>
      <c r="F52" s="238"/>
      <c r="G52" s="238"/>
      <c r="H52" s="238"/>
      <c r="I52" s="238"/>
      <c r="J52" s="238"/>
      <c r="K52" s="238"/>
      <c r="L52" s="238"/>
      <c r="M52" s="238"/>
    </row>
  </sheetData>
  <sheetProtection selectLockedCells="1"/>
  <dataConsolidate/>
  <mergeCells count="58">
    <mergeCell ref="M14:R14"/>
    <mergeCell ref="E12:J12"/>
    <mergeCell ref="M2:S3"/>
    <mergeCell ref="M15:R15"/>
    <mergeCell ref="M24:R24"/>
    <mergeCell ref="M16:R16"/>
    <mergeCell ref="M17:R17"/>
    <mergeCell ref="M18:R18"/>
    <mergeCell ref="M13:R13"/>
    <mergeCell ref="E17:J17"/>
    <mergeCell ref="E20:J20"/>
    <mergeCell ref="E18:J18"/>
    <mergeCell ref="E19:J19"/>
    <mergeCell ref="E4:J4"/>
    <mergeCell ref="E5:J5"/>
    <mergeCell ref="E6:J6"/>
    <mergeCell ref="T1:T3"/>
    <mergeCell ref="M12:R12"/>
    <mergeCell ref="M6:R6"/>
    <mergeCell ref="M7:R7"/>
    <mergeCell ref="M8:R8"/>
    <mergeCell ref="M4:R4"/>
    <mergeCell ref="M5:R5"/>
    <mergeCell ref="M11:R11"/>
    <mergeCell ref="M9:R9"/>
    <mergeCell ref="M10:R10"/>
    <mergeCell ref="E2:K3"/>
    <mergeCell ref="D1:K1"/>
    <mergeCell ref="H32:I32"/>
    <mergeCell ref="E7:J7"/>
    <mergeCell ref="E8:J8"/>
    <mergeCell ref="E9:J9"/>
    <mergeCell ref="E10:J10"/>
    <mergeCell ref="H30:I30"/>
    <mergeCell ref="E21:J21"/>
    <mergeCell ref="E22:J22"/>
    <mergeCell ref="E11:J11"/>
    <mergeCell ref="E32:F32"/>
    <mergeCell ref="E13:J13"/>
    <mergeCell ref="E14:J14"/>
    <mergeCell ref="E25:J25"/>
    <mergeCell ref="E26:J26"/>
    <mergeCell ref="E15:J15"/>
    <mergeCell ref="E16:J16"/>
    <mergeCell ref="M30:Q30"/>
    <mergeCell ref="M27:R27"/>
    <mergeCell ref="E27:J27"/>
    <mergeCell ref="M19:R19"/>
    <mergeCell ref="M28:R28"/>
    <mergeCell ref="M21:R21"/>
    <mergeCell ref="M29:R29"/>
    <mergeCell ref="M25:R25"/>
    <mergeCell ref="M22:R22"/>
    <mergeCell ref="M20:R20"/>
    <mergeCell ref="M23:R23"/>
    <mergeCell ref="M26:R26"/>
    <mergeCell ref="E24:J24"/>
    <mergeCell ref="E23:J23"/>
  </mergeCells>
  <phoneticPr fontId="0" type="noConversion"/>
  <dataValidations xWindow="90" yWindow="272" count="15">
    <dataValidation type="date" allowBlank="1" showInputMessage="1" showErrorMessage="1" error="Must be between previous Payment Due Date  and End Date" prompt="Payment Due Date" sqref="B22:B32" xr:uid="{00000000-0002-0000-0300-000000000000}">
      <formula1>$B21</formula1>
      <formula2>$C$6</formula2>
    </dataValidation>
    <dataValidation type="date" allowBlank="1" showInputMessage="1" showErrorMessage="1" error="Must be between Start Date (-2 Weeks) and End Date" prompt="Payment Due Date" sqref="B21" xr:uid="{00000000-0002-0000-0300-000001000000}">
      <formula1>B6-90</formula1>
      <formula2>$C$6</formula2>
    </dataValidation>
    <dataValidation type="date" allowBlank="1" showInputMessage="1" showErrorMessage="1" error="Must be between Program Start &amp; End dates" prompt="Thought Patterns Start Date" sqref="H31" xr:uid="{00000000-0002-0000-0300-000002000000}">
      <formula1>B6</formula1>
      <formula2>C6</formula2>
    </dataValidation>
    <dataValidation type="date" allowBlank="1" showInputMessage="1" showErrorMessage="1" errorTitle="Planned Absence Start Date" error="Must be between Program Start Date and Program End Date" prompt="Planned Absence Start Date" sqref="E33" xr:uid="{00000000-0002-0000-0300-000003000000}">
      <formula1>B6</formula1>
      <formula2>C6</formula2>
    </dataValidation>
    <dataValidation type="date" allowBlank="1" showInputMessage="1" showErrorMessage="1" errorTitle="Job Search Start Date" error="Must be between Program Start &amp; End dates" prompt="Job Search Start Date" sqref="H33" xr:uid="{00000000-0002-0000-0300-000004000000}">
      <formula1>B6</formula1>
      <formula2>C6</formula2>
    </dataValidation>
    <dataValidation type="date" allowBlank="1" showInputMessage="1" showErrorMessage="1" errorTitle="Thought Patterns End Date" error="Must be between Thought Patterns Start Date and Program End Date" prompt="Thought Patterns End Date" sqref="I31" xr:uid="{00000000-0002-0000-0300-000005000000}">
      <formula1>H31</formula1>
      <formula2>C6</formula2>
    </dataValidation>
    <dataValidation type="date" allowBlank="1" showInputMessage="1" showErrorMessage="1" errorTitle="Planned Absence End Date" error="Must be between Planned Absence Start Date &amp; Program End Date" prompt="Planned Absence End Date" sqref="F33" xr:uid="{00000000-0002-0000-0300-000006000000}">
      <formula1>E33</formula1>
      <formula2>C6</formula2>
    </dataValidation>
    <dataValidation type="date" allowBlank="1" showInputMessage="1" showErrorMessage="1" errorTitle="Job Search End Date" error="Must be between Job Search Start Date and Program End Date" prompt="Job Search End Date" sqref="I33" xr:uid="{00000000-0002-0000-0300-000007000000}">
      <formula1>H33</formula1>
      <formula2>C6</formula2>
    </dataValidation>
    <dataValidation type="list" allowBlank="1" showInputMessage="1" showErrorMessage="1" sqref="B8" xr:uid="{00000000-0002-0000-0300-000008000000}">
      <formula1>"Y,N"</formula1>
    </dataValidation>
    <dataValidation type="list" errorStyle="information" allowBlank="1" showInputMessage="1" errorTitle="Funding Source" error="Please select from drop-down list. If your agency is not listed, please choose &quot;Other Sponsor&quot;." prompt="You can type in a specific source, or combinations like &quot;Student Loan+EI&quot;. Please note if you choice to do so, some documents may need to be adjusted manually." sqref="B9" xr:uid="{00000000-0002-0000-0300-000009000000}">
      <formula1>"Student Loan, WorkSafeBC, EI, CWRG, Band, ICBC, PSA, Other, Self Paid, Employer Paid"</formula1>
    </dataValidation>
    <dataValidation type="custom" allowBlank="1" showInputMessage="1" showErrorMessage="1" error="The &quot;BC, V0V 0V0&quot; must appear after the address to ensure Contract prints correctly." prompt="Enter address with &quot;BC, V0V 0V0&quot;, including proper spacing." sqref="B4" xr:uid="{00000000-0002-0000-0300-00000A000000}">
      <formula1>SEARCH("V",B4,SEARCH("BC, ",B4)+4)</formula1>
    </dataValidation>
    <dataValidation type="list" allowBlank="1" showErrorMessage="1" prompt="Choose &quot;No&quot; for short contracts." sqref="C14" xr:uid="{00000000-0002-0000-0300-00000B000000}">
      <formula1>"Regular,ESL,Waived"</formula1>
    </dataValidation>
    <dataValidation type="list" allowBlank="1" showInputMessage="1" showErrorMessage="1" prompt="Automatically set to&quot;Y&quot; if &quot;Studnet Loan&quot; or &quot;EI&quot; is the funding source." sqref="B12" xr:uid="{00000000-0002-0000-0300-00000C000000}">
      <formula1>"Y,N"</formula1>
    </dataValidation>
    <dataValidation allowBlank="1" showInputMessage="1" showErrorMessage="1" prompt="To get the number of weeks you desire, you may enter &quot;decimal hours&quot; like &quot;25.1&quot;." sqref="B10" xr:uid="{00000000-0002-0000-0300-00000D000000}"/>
    <dataValidation type="list" allowBlank="1" showInputMessage="1" showErrorMessage="1" sqref="C1" xr:uid="{00000000-0002-0000-0300-00000E000000}">
      <formula1>"Abbotsford, Langley"</formula1>
    </dataValidation>
  </dataValidations>
  <pageMargins left="0.46" right="0.46" top="0.5" bottom="0.53" header="0.5" footer="0.5"/>
  <pageSetup scale="83" fitToWidth="3"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tabColor rgb="FFFF0000"/>
  </sheetPr>
  <dimension ref="A1:D18"/>
  <sheetViews>
    <sheetView zoomScaleNormal="100" workbookViewId="0">
      <selection activeCell="B14" sqref="B14"/>
    </sheetView>
  </sheetViews>
  <sheetFormatPr defaultColWidth="9.33203125" defaultRowHeight="13.8"/>
  <cols>
    <col min="1" max="1" width="60.77734375" style="226" bestFit="1" customWidth="1"/>
    <col min="2" max="2" width="30.77734375" style="226" customWidth="1"/>
    <col min="3" max="3" width="47" style="226" bestFit="1" customWidth="1"/>
    <col min="4" max="4" width="30.77734375" style="226" customWidth="1"/>
    <col min="5" max="16384" width="9.33203125" style="226"/>
  </cols>
  <sheetData>
    <row r="1" spans="1:4" ht="17.399999999999999">
      <c r="A1" s="1064" t="s">
        <v>568</v>
      </c>
      <c r="B1" s="1064"/>
      <c r="C1" s="1064"/>
      <c r="D1" s="1064"/>
    </row>
    <row r="2" spans="1:4" ht="16.8" thickBot="1">
      <c r="A2" s="326" t="s">
        <v>559</v>
      </c>
      <c r="B2" s="326"/>
      <c r="C2" s="327" t="s">
        <v>564</v>
      </c>
      <c r="D2" s="328"/>
    </row>
    <row r="3" spans="1:4" ht="15">
      <c r="A3" s="329" t="s">
        <v>560</v>
      </c>
      <c r="B3" s="330"/>
      <c r="C3" s="331" t="s">
        <v>566</v>
      </c>
      <c r="D3" s="1065"/>
    </row>
    <row r="4" spans="1:4" ht="15">
      <c r="A4" s="329" t="s">
        <v>756</v>
      </c>
      <c r="B4" s="279"/>
      <c r="C4" s="331" t="s">
        <v>567</v>
      </c>
      <c r="D4" s="1066"/>
    </row>
    <row r="5" spans="1:4" ht="15">
      <c r="A5" s="728" t="s">
        <v>1672</v>
      </c>
      <c r="B5" s="279"/>
      <c r="C5" s="331"/>
      <c r="D5" s="1066"/>
    </row>
    <row r="6" spans="1:4" ht="15.6" thickBot="1">
      <c r="A6" s="333" t="s">
        <v>1629</v>
      </c>
      <c r="B6" s="279"/>
      <c r="C6" s="331" t="s">
        <v>565</v>
      </c>
      <c r="D6" s="332"/>
    </row>
    <row r="7" spans="1:4" ht="16.8" thickBot="1">
      <c r="A7" s="329" t="s">
        <v>561</v>
      </c>
      <c r="B7" s="336"/>
      <c r="C7" s="327" t="s">
        <v>1658</v>
      </c>
      <c r="D7" s="328"/>
    </row>
    <row r="8" spans="1:4" ht="15">
      <c r="A8" s="329" t="s">
        <v>1223</v>
      </c>
      <c r="B8" s="955"/>
      <c r="C8" s="329" t="s">
        <v>1659</v>
      </c>
      <c r="D8" s="330" t="s">
        <v>1418</v>
      </c>
    </row>
    <row r="9" spans="1:4" ht="15">
      <c r="A9" s="329" t="s">
        <v>562</v>
      </c>
      <c r="B9" s="279" t="s">
        <v>99</v>
      </c>
      <c r="C9" s="329" t="s">
        <v>1660</v>
      </c>
      <c r="D9" s="279" t="s">
        <v>99</v>
      </c>
    </row>
    <row r="10" spans="1:4" s="700" customFormat="1" ht="15.6" thickBot="1">
      <c r="A10" s="329" t="s">
        <v>1225</v>
      </c>
      <c r="B10" s="279"/>
      <c r="C10" s="329" t="s">
        <v>1661</v>
      </c>
      <c r="D10" s="332" t="s">
        <v>99</v>
      </c>
    </row>
    <row r="11" spans="1:4" ht="15">
      <c r="A11" s="329" t="s">
        <v>1224</v>
      </c>
      <c r="B11" s="279" t="s">
        <v>99</v>
      </c>
      <c r="C11" s="335"/>
    </row>
    <row r="12" spans="1:4" s="700" customFormat="1" ht="15">
      <c r="A12" s="329" t="s">
        <v>1229</v>
      </c>
      <c r="B12" s="279" t="s">
        <v>99</v>
      </c>
      <c r="C12" s="335"/>
    </row>
    <row r="13" spans="1:4" ht="15">
      <c r="A13" s="329" t="s">
        <v>563</v>
      </c>
      <c r="B13" s="337"/>
      <c r="C13" s="335"/>
    </row>
    <row r="14" spans="1:4" ht="15.6" thickBot="1">
      <c r="A14" s="329" t="s">
        <v>1805</v>
      </c>
      <c r="B14" s="279" t="s">
        <v>1859</v>
      </c>
      <c r="C14" s="335"/>
    </row>
    <row r="15" spans="1:4" ht="15.6" thickBot="1">
      <c r="A15" s="728" t="s">
        <v>1238</v>
      </c>
      <c r="B15" s="746"/>
    </row>
    <row r="16" spans="1:4" ht="15">
      <c r="A16" s="329" t="s">
        <v>1237</v>
      </c>
      <c r="B16" s="279"/>
    </row>
    <row r="17" spans="1:2" ht="15">
      <c r="A17" s="329" t="s">
        <v>1239</v>
      </c>
      <c r="B17" s="279"/>
    </row>
    <row r="18" spans="1:2" ht="15.6" thickBot="1">
      <c r="A18" s="329" t="s">
        <v>1240</v>
      </c>
      <c r="B18" s="332"/>
    </row>
  </sheetData>
  <mergeCells count="2">
    <mergeCell ref="A1:D1"/>
    <mergeCell ref="D3:D5"/>
  </mergeCells>
  <phoneticPr fontId="117" type="noConversion"/>
  <dataValidations count="5">
    <dataValidation type="list" allowBlank="1" sqref="B9" xr:uid="{00000000-0002-0000-0400-000000000000}">
      <formula1>"Y, Y with regular price, N"</formula1>
    </dataValidation>
    <dataValidation type="list" allowBlank="1" showInputMessage="1" showErrorMessage="1" error="Please select M (Male) or F (Female) from the dropdown." sqref="B14" xr:uid="{00000000-0002-0000-0400-000001000000}">
      <formula1>"M, F, Non-Binary"</formula1>
    </dataValidation>
    <dataValidation allowBlank="1" showInputMessage="1" showErrorMessage="1" prompt="Enter date as YYYY/MM/DD" sqref="B13" xr:uid="{00000000-0002-0000-0400-000002000000}"/>
    <dataValidation type="list" allowBlank="1" sqref="B11:B12 B16 B18 D8:D10" xr:uid="{00000000-0002-0000-0400-000003000000}">
      <formula1>"Y, N"</formula1>
    </dataValidation>
    <dataValidation type="list" allowBlank="1" sqref="B17" xr:uid="{00000000-0002-0000-0400-000004000000}">
      <formula1>"First Nations, Métis, Inuit"</formula1>
    </dataValidation>
  </dataValidations>
  <pageMargins left="0.7" right="0.7" top="0.75" bottom="0.75" header="0.3" footer="0.3"/>
  <pageSetup scale="6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6">
    <pageSetUpPr fitToPage="1"/>
  </sheetPr>
  <dimension ref="A1:O62"/>
  <sheetViews>
    <sheetView showZeros="0" zoomScaleNormal="100" workbookViewId="0">
      <selection activeCell="A7" activeCellId="1" sqref="A5:F5 A7:B53 D2:E2"/>
    </sheetView>
  </sheetViews>
  <sheetFormatPr defaultColWidth="9.33203125" defaultRowHeight="16.2"/>
  <cols>
    <col min="1" max="1" width="17.77734375" style="341" customWidth="1"/>
    <col min="2" max="2" width="3.33203125" style="341" customWidth="1"/>
    <col min="3" max="3" width="57.44140625" style="341" customWidth="1"/>
    <col min="4" max="4" width="14.109375" style="341" customWidth="1"/>
    <col min="5" max="5" width="8.77734375" style="341" customWidth="1"/>
    <col min="6" max="6" width="12.33203125" style="378" customWidth="1"/>
    <col min="7" max="7" width="12.33203125" style="378" hidden="1" customWidth="1"/>
    <col min="8" max="8" width="11.33203125" style="341" hidden="1" customWidth="1"/>
    <col min="9" max="9" width="11.109375" style="341" hidden="1" customWidth="1"/>
    <col min="10" max="10" width="10.77734375" style="341" hidden="1" customWidth="1"/>
    <col min="11" max="11" width="13.109375" style="341" hidden="1" customWidth="1"/>
    <col min="12" max="12" width="9.33203125" style="341" hidden="1" customWidth="1"/>
    <col min="13" max="14" width="9.33203125" style="341"/>
    <col min="15" max="15" width="12.109375" style="341" bestFit="1" customWidth="1"/>
    <col min="16" max="16384" width="9.33203125" style="341"/>
  </cols>
  <sheetData>
    <row r="1" spans="1:15" ht="42" customHeight="1" thickBot="1">
      <c r="A1" s="303"/>
      <c r="B1" s="303"/>
      <c r="C1" s="338"/>
      <c r="D1" s="1074" t="str">
        <f>'Franchise Info'!B8</f>
        <v>Langley</v>
      </c>
      <c r="E1" s="1074"/>
      <c r="F1" s="339"/>
      <c r="G1" s="339"/>
      <c r="H1" s="340"/>
      <c r="I1" s="340"/>
      <c r="J1" s="340"/>
      <c r="K1" s="340"/>
      <c r="L1" s="340"/>
      <c r="M1" s="340"/>
      <c r="N1" s="340"/>
      <c r="O1" s="340"/>
    </row>
    <row r="2" spans="1:15" ht="15.75" customHeight="1" thickBot="1">
      <c r="A2" s="342" t="str">
        <f>'Franchise Info'!$B$6</f>
        <v>(o/b 0833888 B.C. Ltd.)</v>
      </c>
      <c r="B2" s="343"/>
      <c r="C2" s="344" t="str">
        <f>'Franchise Info'!B4</f>
        <v>201 - 20621 Logan Ave, Langley, BC, V3A 7R3</v>
      </c>
      <c r="D2" s="1010"/>
      <c r="E2" s="362"/>
      <c r="F2" s="236"/>
      <c r="G2" s="236"/>
      <c r="H2" s="340"/>
      <c r="I2" s="340"/>
      <c r="J2" s="340"/>
      <c r="K2" s="340"/>
      <c r="L2" s="340"/>
      <c r="M2" s="340"/>
      <c r="N2" s="340"/>
      <c r="O2" s="340"/>
    </row>
    <row r="3" spans="1:15" ht="15.75" customHeight="1" thickBot="1">
      <c r="A3" s="1075" t="s">
        <v>137</v>
      </c>
      <c r="B3" s="1076"/>
      <c r="C3" s="345" t="str">
        <f>CONCATENATE('Outline Info'!B2,"  ",'Outline Info'!B3)</f>
        <v xml:space="preserve">  </v>
      </c>
      <c r="D3" s="346" t="s">
        <v>11</v>
      </c>
      <c r="E3" s="1077">
        <f>'Outline Info'!B6</f>
        <v>44473</v>
      </c>
      <c r="F3" s="1078"/>
      <c r="G3" s="347"/>
      <c r="H3" s="340"/>
      <c r="I3" s="340"/>
      <c r="J3" s="340"/>
      <c r="K3" s="340"/>
      <c r="L3" s="340"/>
      <c r="M3" s="340"/>
      <c r="N3" s="340"/>
      <c r="O3" s="340"/>
    </row>
    <row r="4" spans="1:15" ht="14.25" customHeight="1" thickBot="1">
      <c r="A4" s="1079" t="str">
        <f>CONCATENATE("Tel : ",'Outline Info'!B5)</f>
        <v xml:space="preserve">Tel : </v>
      </c>
      <c r="B4" s="1080"/>
      <c r="C4" s="348">
        <f>'Outline Info'!B4</f>
        <v>0</v>
      </c>
      <c r="D4" s="349" t="s">
        <v>12</v>
      </c>
      <c r="E4" s="1081">
        <f>EndDate!B12</f>
        <v>44470</v>
      </c>
      <c r="F4" s="1082"/>
      <c r="G4" s="347"/>
      <c r="H4" s="350"/>
      <c r="I4" s="350"/>
      <c r="J4" s="350"/>
      <c r="K4" s="350"/>
      <c r="L4" s="340"/>
      <c r="M4" s="340"/>
      <c r="N4" s="340"/>
      <c r="O4" s="340"/>
    </row>
    <row r="5" spans="1:15" ht="18.600000000000001">
      <c r="A5" s="1083"/>
      <c r="B5" s="1083"/>
      <c r="C5" s="1083"/>
      <c r="D5" s="1083"/>
      <c r="E5" s="1083"/>
      <c r="F5" s="1083"/>
      <c r="G5" s="351"/>
      <c r="H5" s="340"/>
      <c r="I5" s="340"/>
      <c r="J5" s="340"/>
      <c r="K5" s="340"/>
      <c r="L5" s="340"/>
      <c r="M5" s="340"/>
      <c r="N5" s="340"/>
      <c r="O5" s="340"/>
    </row>
    <row r="6" spans="1:15">
      <c r="A6" s="352" t="s">
        <v>19</v>
      </c>
      <c r="B6" s="352" t="s">
        <v>20</v>
      </c>
      <c r="C6" s="352" t="s">
        <v>26</v>
      </c>
      <c r="D6" s="352" t="s">
        <v>170</v>
      </c>
      <c r="E6" s="353" t="s">
        <v>0</v>
      </c>
      <c r="F6" s="353" t="s">
        <v>1</v>
      </c>
      <c r="G6" s="353"/>
      <c r="H6" s="350" t="s">
        <v>2</v>
      </c>
      <c r="I6" s="350" t="s">
        <v>3</v>
      </c>
      <c r="J6" s="350" t="s">
        <v>2</v>
      </c>
      <c r="K6" s="350" t="s">
        <v>4</v>
      </c>
      <c r="L6" s="350" t="s">
        <v>21</v>
      </c>
      <c r="M6" s="340"/>
      <c r="N6" s="340"/>
      <c r="O6" s="340"/>
    </row>
    <row r="7" spans="1:15" ht="15" customHeight="1">
      <c r="A7" s="239"/>
      <c r="B7" s="354"/>
      <c r="C7" s="244" t="str">
        <f>IF($A7&lt;&gt;0,HYPERLINK(""&amp;(VLOOKUP($A7,'Course Table'!$A$2:$M$331,13,TRUE)),VLOOKUP($A7,'Course Table'!$A$2:$G$331,2,TRUE)),"")</f>
        <v/>
      </c>
      <c r="D7" s="355" t="str">
        <f>IF($A7&lt;&gt;"",IF(OR($B7="X",$B7="x"),"",VLOOKUP($A7,'Course Table'!$A$2:$K$331,11,FALSE)),"")</f>
        <v/>
      </c>
      <c r="E7" s="242" t="str">
        <f>IF($A7&lt;&gt;"",IF(OR($B7="X",$B7="x"),"",IF($B7&lt;&gt;"*",VLOOKUP($A7,'Course Table'!$A$2:$G$331,5,FALSE),'Outline Info'!$B$18)),"")</f>
        <v/>
      </c>
      <c r="F7" s="356">
        <f>IF($A7&lt;&gt;"",IF(OR($B7="X",$B7="x"),0,IF($B7="*",'Outline Info'!$B$19,IF(AND($J7=$I7,$I7&lt;&gt;0),IF($K7=1,VLOOKUP($H7,'Course Table'!$A$2:$G$331,4,FALSE),0),VLOOKUP($A7,'Course Table'!$A$2:$G$331,4,FALSE)))),0)+IF('Student Info'!$B$9="Y",IF(OR(MID($A7,1,5)="BOOKS",MID($A7,1,3)="LAB",RIGHT($A7,5)="BOOKS",RIGHT($A7,3)="LAB"),0,IF($A7&lt;&gt;"",IF(OR($B7="X",$B7="x"),0,IF($B7="*",'Outline Info'!$B$19,IF(AND($J7=$I7,$I7&lt;&gt;0),IF($K7=1,VLOOKUP($H7,'Course Table'!$A$2:$G$331,4,FALSE),0),VLOOKUP($A7,'Course Table'!$A$2:$G$331,4,FALSE)))),0)*'Franchise Info'!$C$12),0)</f>
        <v>0</v>
      </c>
      <c r="G7" s="357">
        <f>IF($A7&lt;&gt;"",IF(OR($B7="X",$B7="x"),0,IF($B7="*",'Outline Info'!$B$19,IF(AND($J7=$I7,$I7&lt;&gt;0),ROUND(VLOOKUP($H7,'Course Table'!$A$2:$G$331,4,FALSE)/$I7,2),VLOOKUP($A7,'Course Table'!$A$2:$G$331,4,FALSE)))),0)</f>
        <v>0</v>
      </c>
      <c r="H7" s="358" t="str">
        <f>IF(OR(B7="X",B7="x"),0,IF(AND($A7&lt;&gt;"",B7&lt;&gt;"*"),VLOOKUP($A7,'Course Table'!$A$2:$G$331,6,FALSE),""))</f>
        <v/>
      </c>
      <c r="I7" s="358" t="str">
        <f>IF(OR(B7="X",B7="x"),0,IF(AND($A7&lt;&gt;"",B7&lt;&gt;"*"),VLOOKUP($A7,'Course Table'!$A$2:$G$331,7,FALSE),""))</f>
        <v/>
      </c>
      <c r="J7" s="303" t="str">
        <f>IF(AND(B7&lt;&gt;"*",A7&lt;&gt;""),COUNTIF($H$7:$H$53,$H7),"")</f>
        <v/>
      </c>
      <c r="K7" s="303" t="str">
        <f>IF(AND(B7&lt;&gt;"*",A7&lt;&gt;""),COUNTIF($H$7:$H7,$H7),"")</f>
        <v/>
      </c>
      <c r="L7" s="358">
        <f>IF($A7="",99999,VLOOKUP($A7,'Course Table'!$A$2:$J$331,10,FALSE))</f>
        <v>99999</v>
      </c>
      <c r="M7" s="340"/>
      <c r="N7" s="340"/>
      <c r="O7" s="359"/>
    </row>
    <row r="8" spans="1:15" ht="15" customHeight="1">
      <c r="A8" s="239"/>
      <c r="B8" s="360"/>
      <c r="C8" s="244" t="str">
        <f>IF($A8&lt;&gt;0,HYPERLINK(""&amp;(VLOOKUP($A8,'Course Table'!$A$2:$M$331,13,TRUE)),VLOOKUP($A8,'Course Table'!$A$2:$G$331,2,TRUE)),"")</f>
        <v/>
      </c>
      <c r="D8" s="355" t="str">
        <f>IF(OR($A8="",$B8="X",$B8="x",$B8="*"),"",IF($A7&lt;&gt;"",IF(VLOOKUP($A8,'Course Table'!$A$2:$K$331,11,FALSE)=VLOOKUP($A7,'Course Table'!$A$2:$K$331,11,FALSE),"",VLOOKUP($A8,'Course Table'!$A$2:$K$331,11,FALSE)),VLOOKUP($A8,'Course Table'!$A$2:$K$331,11,FALSE)))</f>
        <v/>
      </c>
      <c r="E8" s="242" t="str">
        <f>IF($A8&lt;&gt;"",IF(OR($B8="X",$B8="x"),"",IF($B8&lt;&gt;"*",VLOOKUP($A8,'Course Table'!$A$2:$G$331,5,FALSE),'Outline Info'!$B$18)),"")</f>
        <v/>
      </c>
      <c r="F8" s="356">
        <f>IF($A8&lt;&gt;"",IF(OR($B8="X",$B8="x"),0,IF($B8="*",'Outline Info'!$B$19,IF(AND($J8=$I8,$I8&lt;&gt;0),IF($K8=1,VLOOKUP($H8,'Course Table'!$A$2:$G$331,4,FALSE),0),VLOOKUP($A8,'Course Table'!$A$2:$G$331,4,FALSE)))),0)+IF('Student Info'!$B$9="Y",IF(OR(MID($A8,1,5)="BOOKS",MID($A8,1,3)="LAB",RIGHT($A8,5)="BOOKS",RIGHT($A8,3)="LAB"),0,IF($A8&lt;&gt;"",IF(OR($B8="X",$B8="x"),0,IF($B8="*",'Outline Info'!$B$19,IF(AND($J8=$I8,$I8&lt;&gt;0),IF($K8=1,VLOOKUP($H8,'Course Table'!$A$2:$G$331,4,FALSE),0),VLOOKUP($A8,'Course Table'!$A$2:$G$331,4,FALSE)))),0)*'Franchise Info'!$C$12),0)</f>
        <v>0</v>
      </c>
      <c r="G8" s="357">
        <f>IF($A8&lt;&gt;"",IF(OR($B8="X",$B8="x"),0,IF($B8="*",'Outline Info'!$B$19,IF(AND($J8=$I8,$I8&lt;&gt;0),ROUND(VLOOKUP($H8,'Course Table'!$A$2:$G$331,4,FALSE)/$I8,2),VLOOKUP($A8,'Course Table'!$A$2:$G$331,4,FALSE)))),0)</f>
        <v>0</v>
      </c>
      <c r="H8" s="358" t="str">
        <f>IF(OR(B8="X",B8="x"),0,IF(AND($A8&lt;&gt;"",B8&lt;&gt;"*"),VLOOKUP($A8,'Course Table'!$A$2:$G$331,6,FALSE),""))</f>
        <v/>
      </c>
      <c r="I8" s="358" t="str">
        <f>IF(OR(B8="X",B8="x"),0,IF(AND($A8&lt;&gt;"",B8&lt;&gt;"*"),VLOOKUP($A8,'Course Table'!$A$2:$G$331,7,FALSE),""))</f>
        <v/>
      </c>
      <c r="J8" s="303" t="str">
        <f>IF(AND(B8&lt;&gt;"*",A8&lt;&gt;""),COUNTIF($H$7:$H$53,$H8),"")</f>
        <v/>
      </c>
      <c r="K8" s="303" t="str">
        <f>IF(AND(B8&lt;&gt;"*",A8&lt;&gt;""),COUNTIF($H$7:$H8,$H8),"")</f>
        <v/>
      </c>
      <c r="L8" s="358">
        <f>IF($A8="",99999,VLOOKUP($A8,'Course Table'!$A$2:$J$331,10,FALSE))</f>
        <v>99999</v>
      </c>
      <c r="M8" s="340"/>
      <c r="N8" s="340"/>
      <c r="O8" s="340"/>
    </row>
    <row r="9" spans="1:15" ht="15" customHeight="1">
      <c r="A9" s="239"/>
      <c r="B9" s="360"/>
      <c r="C9" s="244" t="str">
        <f>IF($A9&lt;&gt;0,HYPERLINK(""&amp;(VLOOKUP($A9,'Course Table'!$A$2:$M$331,13,TRUE)),VLOOKUP($A9,'Course Table'!$A$2:$G$331,2,TRUE)),"")</f>
        <v/>
      </c>
      <c r="D9" s="355" t="str">
        <f>IF(OR($A9="",$B9="X",$B9="x",$B9="*"),"",IF($A8&lt;&gt;"",IF(VLOOKUP($A9,'Course Table'!$A$2:$K$331,11,FALSE)=VLOOKUP($A8,'Course Table'!$A$2:$K$331,11,FALSE),"",VLOOKUP($A9,'Course Table'!$A$2:$K$331,11,FALSE)),VLOOKUP($A9,'Course Table'!$A$2:$K$331,11,FALSE)))</f>
        <v/>
      </c>
      <c r="E9" s="242" t="str">
        <f>IF($A9&lt;&gt;"",IF(OR($B9="X",$B9="x"),"",IF($B9&lt;&gt;"*",VLOOKUP($A9,'Course Table'!$A$2:$G$331,5,FALSE),'Outline Info'!$B$18)),"")</f>
        <v/>
      </c>
      <c r="F9" s="356">
        <f>IF($A9&lt;&gt;"",IF(OR($B9="X",$B9="x"),0,IF($B9="*",'Outline Info'!$B$19,IF(AND($J9=$I9,$I9&lt;&gt;0),IF($K9=1,VLOOKUP($H9,'Course Table'!$A$2:$G$331,4,FALSE),0),VLOOKUP($A9,'Course Table'!$A$2:$G$331,4,FALSE)))),0)+IF('Student Info'!$B$9="Y",IF(OR(MID($A9,1,5)="BOOKS",MID($A9,1,3)="LAB",RIGHT($A9,5)="BOOKS",RIGHT($A9,3)="LAB"),0,IF($A9&lt;&gt;"",IF(OR($B9="X",$B9="x"),0,IF($B9="*",'Outline Info'!$B$19,IF(AND($J9=$I9,$I9&lt;&gt;0),IF($K9=1,VLOOKUP($H9,'Course Table'!$A$2:$G$331,4,FALSE),0),VLOOKUP($A9,'Course Table'!$A$2:$G$331,4,FALSE)))),0)*'Franchise Info'!$C$12),0)</f>
        <v>0</v>
      </c>
      <c r="G9" s="357">
        <f>IF($A9&lt;&gt;"",IF(OR($B9="X",$B9="x"),0,IF($B9="*",'Outline Info'!$B$19,IF(AND($J9=$I9,$I9&lt;&gt;0),ROUND(VLOOKUP($H9,'Course Table'!$A$2:$G$331,4,FALSE)/$I9,2),VLOOKUP($A9,'Course Table'!$A$2:$G$331,4,FALSE)))),0)</f>
        <v>0</v>
      </c>
      <c r="H9" s="358" t="str">
        <f>IF(OR(B9="X",B9="x"),0,IF(AND($A9&lt;&gt;"",B9&lt;&gt;"*"),VLOOKUP($A9,'Course Table'!$A$2:$G$331,6,FALSE),""))</f>
        <v/>
      </c>
      <c r="I9" s="358" t="str">
        <f>IF(OR(B9="X",B9="x"),0,IF(AND($A9&lt;&gt;"",B9&lt;&gt;"*"),VLOOKUP($A9,'Course Table'!$A$2:$G$331,7,FALSE),""))</f>
        <v/>
      </c>
      <c r="J9" s="303" t="str">
        <f>IF(AND(B9&lt;&gt;"*",A9&lt;&gt;""),COUNTIF($H$7:$H$53,$H9),"")</f>
        <v/>
      </c>
      <c r="K9" s="303" t="str">
        <f>IF(AND(B9&lt;&gt;"*",A9&lt;&gt;""),COUNTIF($H$7:$H9,$H9),"")</f>
        <v/>
      </c>
      <c r="L9" s="358">
        <f>IF($A9="",99999,VLOOKUP($A9,'Course Table'!$A$2:$J$331,10,FALSE))</f>
        <v>99999</v>
      </c>
      <c r="M9" s="340"/>
      <c r="N9" s="340"/>
      <c r="O9" s="340"/>
    </row>
    <row r="10" spans="1:15" ht="15" customHeight="1">
      <c r="A10" s="239"/>
      <c r="B10" s="360"/>
      <c r="C10" s="244" t="str">
        <f>IF($A10&lt;&gt;0,HYPERLINK(""&amp;(VLOOKUP($A10,'Course Table'!$A$2:$M$331,13,TRUE)),VLOOKUP($A10,'Course Table'!$A$2:$G$331,2,TRUE)),"")</f>
        <v/>
      </c>
      <c r="D10" s="355" t="str">
        <f>IF(OR($A10="",$B10="X",$B10="x",$B10="*"),"",IF($A9&lt;&gt;"",IF(VLOOKUP($A10,'Course Table'!$A$2:$K$331,11,FALSE)=VLOOKUP($A9,'Course Table'!$A$2:$K$331,11,FALSE),"",VLOOKUP($A10,'Course Table'!$A$2:$K$331,11,FALSE)),VLOOKUP($A10,'Course Table'!$A$2:$K$331,11,FALSE)))</f>
        <v/>
      </c>
      <c r="E10" s="242" t="str">
        <f>IF($A10&lt;&gt;"",IF(OR($B10="X",$B10="x"),"",IF($B10&lt;&gt;"*",VLOOKUP($A10,'Course Table'!$A$2:$G$331,5,FALSE),'Outline Info'!$B$18)),"")</f>
        <v/>
      </c>
      <c r="F10" s="356">
        <f>IF($A10&lt;&gt;"",IF(OR($B10="X",$B10="x"),0,IF($B10="*",'Outline Info'!$B$19,IF(AND($J10=$I10,$I10&lt;&gt;0),IF($K10=1,VLOOKUP($H10,'Course Table'!$A$2:$G$331,4,FALSE),0),VLOOKUP($A10,'Course Table'!$A$2:$G$331,4,FALSE)))),0)+IF('Student Info'!$B$9="Y",IF(OR(MID($A10,1,5)="BOOKS",MID($A10,1,3)="LAB",RIGHT($A10,5)="BOOKS",RIGHT($A10,3)="LAB"),0,IF($A10&lt;&gt;"",IF(OR($B10="X",$B10="x"),0,IF($B10="*",'Outline Info'!$B$19,IF(AND($J10=$I10,$I10&lt;&gt;0),IF($K10=1,VLOOKUP($H10,'Course Table'!$A$2:$G$331,4,FALSE),0),VLOOKUP($A10,'Course Table'!$A$2:$G$331,4,FALSE)))),0)*'Franchise Info'!$C$12),0)</f>
        <v>0</v>
      </c>
      <c r="G10" s="357">
        <f>IF($A10&lt;&gt;"",IF(OR($B10="X",$B10="x"),0,IF($B10="*",'Outline Info'!$B$19,IF(AND($J10=$I10,$I10&lt;&gt;0),ROUND(VLOOKUP($H10,'Course Table'!$A$2:$G$331,4,FALSE)/$I10,2),VLOOKUP($A10,'Course Table'!$A$2:$G$331,4,FALSE)))),0)</f>
        <v>0</v>
      </c>
      <c r="H10" s="358" t="str">
        <f>IF(OR(B10="X",B10="x"),0,IF(AND($A10&lt;&gt;"",B10&lt;&gt;"*"),VLOOKUP($A10,'Course Table'!$A$2:$G$331,6,FALSE),""))</f>
        <v/>
      </c>
      <c r="I10" s="358" t="str">
        <f>IF(OR(B10="X",B10="x"),0,IF(AND($A10&lt;&gt;"",B10&lt;&gt;"*"),VLOOKUP($A10,'Course Table'!$A$2:$G$331,7,FALSE),""))</f>
        <v/>
      </c>
      <c r="J10" s="303" t="str">
        <f t="shared" ref="J10:J53" si="0">IF(AND(B10&lt;&gt;"*",A10&lt;&gt;""),COUNTIF($H$7:$H$53,$H10),"")</f>
        <v/>
      </c>
      <c r="K10" s="303" t="str">
        <f>IF(AND(B10&lt;&gt;"*",A10&lt;&gt;""),COUNTIF($H$7:$H10,$H10),"")</f>
        <v/>
      </c>
      <c r="L10" s="358">
        <f>IF($A10="",99999,VLOOKUP($A10,'Course Table'!$A$2:$J$331,10,FALSE))</f>
        <v>99999</v>
      </c>
      <c r="M10" s="340"/>
      <c r="N10" s="340"/>
      <c r="O10" s="340"/>
    </row>
    <row r="11" spans="1:15" ht="15" customHeight="1">
      <c r="A11" s="239"/>
      <c r="B11" s="360"/>
      <c r="C11" s="244" t="str">
        <f>IF($A11&lt;&gt;0,HYPERLINK(""&amp;(VLOOKUP($A11,'Course Table'!$A$2:$M$331,13,TRUE)),VLOOKUP($A11,'Course Table'!$A$2:$G$331,2,TRUE)),"")</f>
        <v/>
      </c>
      <c r="D11" s="355" t="str">
        <f>IF(OR($A11="",$B11="X",$B11="x",$B11="*"),"",IF($A10&lt;&gt;"",IF(VLOOKUP($A11,'Course Table'!$A$2:$K$331,11,FALSE)=VLOOKUP($A10,'Course Table'!$A$2:$K$331,11,FALSE),"",VLOOKUP($A11,'Course Table'!$A$2:$K$331,11,FALSE)),VLOOKUP($A11,'Course Table'!$A$2:$K$331,11,FALSE)))</f>
        <v/>
      </c>
      <c r="E11" s="242" t="str">
        <f>IF($A11&lt;&gt;"",IF(OR($B11="X",$B11="x"),"",IF($B11&lt;&gt;"*",VLOOKUP($A11,'Course Table'!$A$2:$G$331,5,FALSE),'Outline Info'!$B$18)),"")</f>
        <v/>
      </c>
      <c r="F11" s="356">
        <f>IF($A11&lt;&gt;"",IF(OR($B11="X",$B11="x"),0,IF($B11="*",'Outline Info'!$B$19,IF(AND($J11=$I11,$I11&lt;&gt;0),IF($K11=1,VLOOKUP($H11,'Course Table'!$A$2:$G$331,4,FALSE),0),VLOOKUP($A11,'Course Table'!$A$2:$G$331,4,FALSE)))),0)+IF('Student Info'!$B$9="Y",IF(OR(MID($A11,1,5)="BOOKS",MID($A11,1,3)="LAB",RIGHT($A11,5)="BOOKS",RIGHT($A11,3)="LAB"),0,IF($A11&lt;&gt;"",IF(OR($B11="X",$B11="x"),0,IF($B11="*",'Outline Info'!$B$19,IF(AND($J11=$I11,$I11&lt;&gt;0),IF($K11=1,VLOOKUP($H11,'Course Table'!$A$2:$G$331,4,FALSE),0),VLOOKUP($A11,'Course Table'!$A$2:$G$331,4,FALSE)))),0)*'Franchise Info'!$C$12),0)</f>
        <v>0</v>
      </c>
      <c r="G11" s="357">
        <f>IF($A11&lt;&gt;"",IF(OR($B11="X",$B11="x"),0,IF($B11="*",'Outline Info'!$B$19,IF(AND($J11=$I11,$I11&lt;&gt;0),ROUND(VLOOKUP($H11,'Course Table'!$A$2:$G$331,4,FALSE)/$I11,2),VLOOKUP($A11,'Course Table'!$A$2:$G$331,4,FALSE)))),0)</f>
        <v>0</v>
      </c>
      <c r="H11" s="358" t="str">
        <f>IF(OR(B11="X",B11="x"),0,IF(AND($A11&lt;&gt;"",B11&lt;&gt;"*"),VLOOKUP($A11,'Course Table'!$A$2:$G$331,6,FALSE),""))</f>
        <v/>
      </c>
      <c r="I11" s="358" t="str">
        <f>IF(OR(B11="X",B11="x"),0,IF(AND($A11&lt;&gt;"",B11&lt;&gt;"*"),VLOOKUP($A11,'Course Table'!$A$2:$G$331,7,FALSE),""))</f>
        <v/>
      </c>
      <c r="J11" s="303" t="str">
        <f t="shared" si="0"/>
        <v/>
      </c>
      <c r="K11" s="303" t="str">
        <f>IF(AND(B11&lt;&gt;"*",A11&lt;&gt;""),COUNTIF($H$7:$H11,$H11),"")</f>
        <v/>
      </c>
      <c r="L11" s="358">
        <f>IF($A11="",99999,VLOOKUP($A11,'Course Table'!$A$2:$J$331,10,FALSE))</f>
        <v>99999</v>
      </c>
      <c r="M11" s="340"/>
      <c r="N11" s="340"/>
      <c r="O11" s="340"/>
    </row>
    <row r="12" spans="1:15" ht="15" customHeight="1">
      <c r="A12" s="239"/>
      <c r="B12" s="360"/>
      <c r="C12" s="244" t="str">
        <f>IF($A12&lt;&gt;0,HYPERLINK(""&amp;(VLOOKUP($A12,'Course Table'!$A$2:$M$331,13,TRUE)),VLOOKUP($A12,'Course Table'!$A$2:$G$331,2,TRUE)),"")</f>
        <v/>
      </c>
      <c r="D12" s="355" t="str">
        <f>IF(OR($A12="",$B12="X",$B12="x",$B12="*"),"",IF($A11&lt;&gt;"",IF(VLOOKUP($A12,'Course Table'!$A$2:$K$331,11,FALSE)=VLOOKUP($A11,'Course Table'!$A$2:$K$331,11,FALSE),"",VLOOKUP($A12,'Course Table'!$A$2:$K$331,11,FALSE)),VLOOKUP($A12,'Course Table'!$A$2:$K$331,11,FALSE)))</f>
        <v/>
      </c>
      <c r="E12" s="242" t="str">
        <f>IF($A12&lt;&gt;"",IF(OR($B12="X",$B12="x"),"",IF($B12&lt;&gt;"*",VLOOKUP($A12,'Course Table'!$A$2:$G$331,5,FALSE),'Outline Info'!$B$18)),"")</f>
        <v/>
      </c>
      <c r="F12" s="356">
        <f>IF($A12&lt;&gt;"",IF(OR($B12="X",$B12="x"),0,IF($B12="*",'Outline Info'!$B$19,IF(AND($J12=$I12,$I12&lt;&gt;0),IF($K12=1,VLOOKUP($H12,'Course Table'!$A$2:$G$331,4,FALSE),0),VLOOKUP($A12,'Course Table'!$A$2:$G$331,4,FALSE)))),0)+IF('Student Info'!$B$9="Y",IF(OR(MID($A12,1,5)="BOOKS",MID($A12,1,3)="LAB",RIGHT($A12,5)="BOOKS",RIGHT($A12,3)="LAB"),0,IF($A12&lt;&gt;"",IF(OR($B12="X",$B12="x"),0,IF($B12="*",'Outline Info'!$B$19,IF(AND($J12=$I12,$I12&lt;&gt;0),IF($K12=1,VLOOKUP($H12,'Course Table'!$A$2:$G$331,4,FALSE),0),VLOOKUP($A12,'Course Table'!$A$2:$G$331,4,FALSE)))),0)*'Franchise Info'!$C$12),0)</f>
        <v>0</v>
      </c>
      <c r="G12" s="357">
        <f>IF($A12&lt;&gt;"",IF(OR($B12="X",$B12="x"),0,IF($B12="*",'Outline Info'!$B$19,IF(AND($J12=$I12,$I12&lt;&gt;0),ROUND(VLOOKUP($H12,'Course Table'!$A$2:$G$331,4,FALSE)/$I12,2),VLOOKUP($A12,'Course Table'!$A$2:$G$331,4,FALSE)))),0)</f>
        <v>0</v>
      </c>
      <c r="H12" s="358" t="str">
        <f>IF(OR(B12="X",B12="x"),0,IF(AND($A12&lt;&gt;"",B12&lt;&gt;"*"),VLOOKUP($A12,'Course Table'!$A$2:$G$331,6,FALSE),""))</f>
        <v/>
      </c>
      <c r="I12" s="358" t="str">
        <f>IF(OR(B12="X",B12="x"),0,IF(AND($A12&lt;&gt;"",B12&lt;&gt;"*"),VLOOKUP($A12,'Course Table'!$A$2:$G$331,7,FALSE),""))</f>
        <v/>
      </c>
      <c r="J12" s="303" t="str">
        <f t="shared" si="0"/>
        <v/>
      </c>
      <c r="K12" s="303" t="str">
        <f>IF(AND(B12&lt;&gt;"*",A12&lt;&gt;""),COUNTIF($H$7:$H12,$H12),"")</f>
        <v/>
      </c>
      <c r="L12" s="358">
        <f>IF($A12="",99999,VLOOKUP($A12,'Course Table'!$A$2:$J$331,10,FALSE))</f>
        <v>99999</v>
      </c>
      <c r="M12" s="340"/>
      <c r="N12" s="340"/>
      <c r="O12" s="340"/>
    </row>
    <row r="13" spans="1:15" ht="15" customHeight="1">
      <c r="A13" s="239"/>
      <c r="B13" s="360"/>
      <c r="C13" s="244" t="str">
        <f>IF($A13&lt;&gt;0,HYPERLINK(""&amp;(VLOOKUP($A13,'Course Table'!$A$2:$M$331,13,TRUE)),VLOOKUP($A13,'Course Table'!$A$2:$G$331,2,TRUE)),"")</f>
        <v/>
      </c>
      <c r="D13" s="355" t="str">
        <f>IF(OR($A13="",$B13="X",$B13="x",$B13="*"),"",IF($A12&lt;&gt;"",IF(VLOOKUP($A13,'Course Table'!$A$2:$K$331,11,FALSE)=VLOOKUP($A12,'Course Table'!$A$2:$K$331,11,FALSE),"",VLOOKUP($A13,'Course Table'!$A$2:$K$331,11,FALSE)),VLOOKUP($A13,'Course Table'!$A$2:$K$331,11,FALSE)))</f>
        <v/>
      </c>
      <c r="E13" s="242" t="str">
        <f>IF($A13&lt;&gt;"",IF(OR($B13="X",$B13="x"),"",IF($B13&lt;&gt;"*",VLOOKUP($A13,'Course Table'!$A$2:$G$331,5,FALSE),'Outline Info'!$B$18)),"")</f>
        <v/>
      </c>
      <c r="F13" s="356">
        <f>IF($A13&lt;&gt;"",IF(OR($B13="X",$B13="x"),0,IF($B13="*",'Outline Info'!$B$19,IF(AND($J13=$I13,$I13&lt;&gt;0),IF($K13=1,VLOOKUP($H13,'Course Table'!$A$2:$G$331,4,FALSE),0),VLOOKUP($A13,'Course Table'!$A$2:$G$331,4,FALSE)))),0)+IF('Student Info'!$B$9="Y",IF(OR(MID($A13,1,5)="BOOKS",MID($A13,1,3)="LAB",RIGHT($A13,5)="BOOKS",RIGHT($A13,3)="LAB"),0,IF($A13&lt;&gt;"",IF(OR($B13="X",$B13="x"),0,IF($B13="*",'Outline Info'!$B$19,IF(AND($J13=$I13,$I13&lt;&gt;0),IF($K13=1,VLOOKUP($H13,'Course Table'!$A$2:$G$331,4,FALSE),0),VLOOKUP($A13,'Course Table'!$A$2:$G$331,4,FALSE)))),0)*'Franchise Info'!$C$12),0)</f>
        <v>0</v>
      </c>
      <c r="G13" s="357">
        <f>IF($A13&lt;&gt;"",IF(OR($B13="X",$B13="x"),0,IF($B13="*",'Outline Info'!$B$19,IF(AND($J13=$I13,$I13&lt;&gt;0),ROUND(VLOOKUP($H13,'Course Table'!$A$2:$G$331,4,FALSE)/$I13,2),VLOOKUP($A13,'Course Table'!$A$2:$G$331,4,FALSE)))),0)</f>
        <v>0</v>
      </c>
      <c r="H13" s="358" t="str">
        <f>IF(OR(B13="X",B13="x"),0,IF(AND($A13&lt;&gt;"",B13&lt;&gt;"*"),VLOOKUP($A13,'Course Table'!$A$2:$G$331,6,FALSE),""))</f>
        <v/>
      </c>
      <c r="I13" s="358" t="str">
        <f>IF(OR(B13="X",B13="x"),0,IF(AND($A13&lt;&gt;"",B13&lt;&gt;"*"),VLOOKUP($A13,'Course Table'!$A$2:$G$331,7,FALSE),""))</f>
        <v/>
      </c>
      <c r="J13" s="303" t="str">
        <f t="shared" si="0"/>
        <v/>
      </c>
      <c r="K13" s="303" t="str">
        <f>IF(AND(B13&lt;&gt;"*",A13&lt;&gt;""),COUNTIF($H$7:$H13,$H13),"")</f>
        <v/>
      </c>
      <c r="L13" s="358">
        <f>IF($A13="",99999,VLOOKUP($A13,'Course Table'!$A$2:$J$331,10,FALSE))</f>
        <v>99999</v>
      </c>
      <c r="M13" s="340"/>
      <c r="N13" s="340"/>
      <c r="O13" s="340"/>
    </row>
    <row r="14" spans="1:15" ht="15" customHeight="1">
      <c r="A14" s="239"/>
      <c r="B14" s="360"/>
      <c r="C14" s="244" t="str">
        <f>IF($A14&lt;&gt;0,HYPERLINK(""&amp;(VLOOKUP($A14,'Course Table'!$A$2:$M$331,13,TRUE)),VLOOKUP($A14,'Course Table'!$A$2:$G$331,2,TRUE)),"")</f>
        <v/>
      </c>
      <c r="D14" s="355" t="str">
        <f>IF(OR($A14="",$B14="X",$B14="x",$B14="*"),"",IF($A13&lt;&gt;"",IF(VLOOKUP($A14,'Course Table'!$A$2:$K$331,11,FALSE)=VLOOKUP($A13,'Course Table'!$A$2:$K$331,11,FALSE),"",VLOOKUP($A14,'Course Table'!$A$2:$K$331,11,FALSE)),VLOOKUP($A14,'Course Table'!$A$2:$K$331,11,FALSE)))</f>
        <v/>
      </c>
      <c r="E14" s="242" t="str">
        <f>IF($A14&lt;&gt;"",IF(OR($B14="X",$B14="x"),"",IF($B14&lt;&gt;"*",VLOOKUP($A14,'Course Table'!$A$2:$G$331,5,FALSE),'Outline Info'!$B$18)),"")</f>
        <v/>
      </c>
      <c r="F14" s="356">
        <f>IF($A14&lt;&gt;"",IF(OR($B14="X",$B14="x"),0,IF($B14="*",'Outline Info'!$B$19,IF(AND($J14=$I14,$I14&lt;&gt;0),IF($K14=1,VLOOKUP($H14,'Course Table'!$A$2:$G$331,4,FALSE),0),VLOOKUP($A14,'Course Table'!$A$2:$G$331,4,FALSE)))),0)+IF('Student Info'!$B$9="Y",IF(OR(MID($A14,1,5)="BOOKS",MID($A14,1,3)="LAB",RIGHT($A14,5)="BOOKS",RIGHT($A14,3)="LAB"),0,IF($A14&lt;&gt;"",IF(OR($B14="X",$B14="x"),0,IF($B14="*",'Outline Info'!$B$19,IF(AND($J14=$I14,$I14&lt;&gt;0),IF($K14=1,VLOOKUP($H14,'Course Table'!$A$2:$G$331,4,FALSE),0),VLOOKUP($A14,'Course Table'!$A$2:$G$331,4,FALSE)))),0)*'Franchise Info'!$C$12),0)</f>
        <v>0</v>
      </c>
      <c r="G14" s="357">
        <f>IF($A14&lt;&gt;"",IF(OR($B14="X",$B14="x"),0,IF($B14="*",'Outline Info'!$B$19,IF(AND($J14=$I14,$I14&lt;&gt;0),ROUND(VLOOKUP($H14,'Course Table'!$A$2:$G$331,4,FALSE)/$I14,2),VLOOKUP($A14,'Course Table'!$A$2:$G$331,4,FALSE)))),0)</f>
        <v>0</v>
      </c>
      <c r="H14" s="358" t="str">
        <f>IF(OR(B14="X",B14="x"),0,IF(AND($A14&lt;&gt;"",B14&lt;&gt;"*"),VLOOKUP($A14,'Course Table'!$A$2:$G$331,6,FALSE),""))</f>
        <v/>
      </c>
      <c r="I14" s="358" t="str">
        <f>IF(OR(B14="X",B14="x"),0,IF(AND($A14&lt;&gt;"",B14&lt;&gt;"*"),VLOOKUP($A14,'Course Table'!$A$2:$G$331,7,FALSE),""))</f>
        <v/>
      </c>
      <c r="J14" s="303" t="str">
        <f t="shared" si="0"/>
        <v/>
      </c>
      <c r="K14" s="303" t="str">
        <f>IF(AND(B14&lt;&gt;"*",A14&lt;&gt;""),COUNTIF($H$7:$H14,$H14),"")</f>
        <v/>
      </c>
      <c r="L14" s="358">
        <f>IF($A14="",99999,VLOOKUP($A14,'Course Table'!$A$2:$J$331,10,FALSE))</f>
        <v>99999</v>
      </c>
      <c r="M14" s="340"/>
      <c r="N14" s="340"/>
      <c r="O14" s="340"/>
    </row>
    <row r="15" spans="1:15" ht="15" customHeight="1">
      <c r="A15" s="239"/>
      <c r="B15" s="360"/>
      <c r="C15" s="244" t="str">
        <f>IF($A15&lt;&gt;0,HYPERLINK(""&amp;(VLOOKUP($A15,'Course Table'!$A$2:$M$331,13,TRUE)),VLOOKUP($A15,'Course Table'!$A$2:$G$331,2,TRUE)),"")</f>
        <v/>
      </c>
      <c r="D15" s="355" t="str">
        <f>IF(OR($A15="",$B15="X",$B15="x",$B15="*"),"",IF($A14&lt;&gt;"",IF(VLOOKUP($A15,'Course Table'!$A$2:$K$331,11,FALSE)=VLOOKUP($A14,'Course Table'!$A$2:$K$331,11,FALSE),"",VLOOKUP($A15,'Course Table'!$A$2:$K$331,11,FALSE)),VLOOKUP($A15,'Course Table'!$A$2:$K$331,11,FALSE)))</f>
        <v/>
      </c>
      <c r="E15" s="242" t="str">
        <f>IF($A15&lt;&gt;"",IF(OR($B15="X",$B15="x"),"",IF($B15&lt;&gt;"*",VLOOKUP($A15,'Course Table'!$A$2:$G$331,5,FALSE),'Outline Info'!$B$18)),"")</f>
        <v/>
      </c>
      <c r="F15" s="356">
        <f>IF($A15&lt;&gt;"",IF(OR($B15="X",$B15="x"),0,IF($B15="*",'Outline Info'!$B$19,IF(AND($J15=$I15,$I15&lt;&gt;0),IF($K15=1,VLOOKUP($H15,'Course Table'!$A$2:$G$331,4,FALSE),0),VLOOKUP($A15,'Course Table'!$A$2:$G$331,4,FALSE)))),0)+IF('Student Info'!$B$9="Y",IF(OR(MID($A15,1,5)="BOOKS",MID($A15,1,3)="LAB",RIGHT($A15,5)="BOOKS",RIGHT($A15,3)="LAB"),0,IF($A15&lt;&gt;"",IF(OR($B15="X",$B15="x"),0,IF($B15="*",'Outline Info'!$B$19,IF(AND($J15=$I15,$I15&lt;&gt;0),IF($K15=1,VLOOKUP($H15,'Course Table'!$A$2:$G$331,4,FALSE),0),VLOOKUP($A15,'Course Table'!$A$2:$G$331,4,FALSE)))),0)*'Franchise Info'!$C$12),0)</f>
        <v>0</v>
      </c>
      <c r="G15" s="357">
        <f>IF($A15&lt;&gt;"",IF(OR($B15="X",$B15="x"),0,IF($B15="*",'Outline Info'!$B$19,IF(AND($J15=$I15,$I15&lt;&gt;0),ROUND(VLOOKUP($H15,'Course Table'!$A$2:$G$331,4,FALSE)/$I15,2),VLOOKUP($A15,'Course Table'!$A$2:$G$331,4,FALSE)))),0)</f>
        <v>0</v>
      </c>
      <c r="H15" s="358" t="str">
        <f>IF(OR(B15="X",B15="x"),0,IF(AND($A15&lt;&gt;"",B15&lt;&gt;"*"),VLOOKUP($A15,'Course Table'!$A$2:$G$331,6,FALSE),""))</f>
        <v/>
      </c>
      <c r="I15" s="358" t="str">
        <f>IF(OR(B15="X",B15="x"),0,IF(AND($A15&lt;&gt;"",B15&lt;&gt;"*"),VLOOKUP($A15,'Course Table'!$A$2:$G$331,7,FALSE),""))</f>
        <v/>
      </c>
      <c r="J15" s="303" t="str">
        <f t="shared" si="0"/>
        <v/>
      </c>
      <c r="K15" s="303" t="str">
        <f>IF(AND(B15&lt;&gt;"*",A15&lt;&gt;""),COUNTIF($H$7:$H15,$H15),"")</f>
        <v/>
      </c>
      <c r="L15" s="358">
        <f>IF($A15="",99999,VLOOKUP($A15,'Course Table'!$A$2:$J$331,10,FALSE))</f>
        <v>99999</v>
      </c>
      <c r="M15" s="340"/>
      <c r="N15" s="340"/>
      <c r="O15" s="340"/>
    </row>
    <row r="16" spans="1:15" ht="15" customHeight="1">
      <c r="A16" s="239"/>
      <c r="B16" s="360"/>
      <c r="C16" s="244" t="str">
        <f>IF($A16&lt;&gt;0,HYPERLINK(""&amp;(VLOOKUP($A16,'Course Table'!$A$2:$M$331,13,TRUE)),VLOOKUP($A16,'Course Table'!$A$2:$G$331,2,TRUE)),"")</f>
        <v/>
      </c>
      <c r="D16" s="355" t="str">
        <f>IF(OR($A16="",$B16="X",$B16="x",$B16="*"),"",IF($A15&lt;&gt;"",IF(VLOOKUP($A16,'Course Table'!$A$2:$K$331,11,FALSE)=VLOOKUP($A15,'Course Table'!$A$2:$K$331,11,FALSE),"",VLOOKUP($A16,'Course Table'!$A$2:$K$331,11,FALSE)),VLOOKUP($A16,'Course Table'!$A$2:$K$331,11,FALSE)))</f>
        <v/>
      </c>
      <c r="E16" s="242" t="str">
        <f>IF($A16&lt;&gt;"",IF(OR($B16="X",$B16="x"),"",IF($B16&lt;&gt;"*",VLOOKUP($A16,'Course Table'!$A$2:$G$331,5,FALSE),'Outline Info'!$B$18)),"")</f>
        <v/>
      </c>
      <c r="F16" s="356">
        <f>IF($A16&lt;&gt;"",IF(OR($B16="X",$B16="x"),0,IF($B16="*",'Outline Info'!$B$19,IF(AND($J16=$I16,$I16&lt;&gt;0),IF($K16=1,VLOOKUP($H16,'Course Table'!$A$2:$G$331,4,FALSE),0),VLOOKUP($A16,'Course Table'!$A$2:$G$331,4,FALSE)))),0)+IF('Student Info'!$B$9="Y",IF(OR(MID($A16,1,5)="BOOKS",MID($A16,1,3)="LAB",RIGHT($A16,5)="BOOKS",RIGHT($A16,3)="LAB"),0,IF($A16&lt;&gt;"",IF(OR($B16="X",$B16="x"),0,IF($B16="*",'Outline Info'!$B$19,IF(AND($J16=$I16,$I16&lt;&gt;0),IF($K16=1,VLOOKUP($H16,'Course Table'!$A$2:$G$331,4,FALSE),0),VLOOKUP($A16,'Course Table'!$A$2:$G$331,4,FALSE)))),0)*'Franchise Info'!$C$12),0)</f>
        <v>0</v>
      </c>
      <c r="G16" s="357">
        <f>IF($A16&lt;&gt;"",IF(OR($B16="X",$B16="x"),0,IF($B16="*",'Outline Info'!$B$19,IF(AND($J16=$I16,$I16&lt;&gt;0),ROUND(VLOOKUP($H16,'Course Table'!$A$2:$G$331,4,FALSE)/$I16,2),VLOOKUP($A16,'Course Table'!$A$2:$G$331,4,FALSE)))),0)</f>
        <v>0</v>
      </c>
      <c r="H16" s="358" t="str">
        <f>IF(OR(B16="X",B16="x"),0,IF(AND($A16&lt;&gt;"",B16&lt;&gt;"*"),VLOOKUP($A16,'Course Table'!$A$2:$G$331,6,FALSE),""))</f>
        <v/>
      </c>
      <c r="I16" s="358" t="str">
        <f>IF(OR(B16="X",B16="x"),0,IF(AND($A16&lt;&gt;"",B16&lt;&gt;"*"),VLOOKUP($A16,'Course Table'!$A$2:$G$331,7,FALSE),""))</f>
        <v/>
      </c>
      <c r="J16" s="303" t="str">
        <f t="shared" si="0"/>
        <v/>
      </c>
      <c r="K16" s="303" t="str">
        <f>IF(AND(B16&lt;&gt;"*",A16&lt;&gt;""),COUNTIF($H$7:$H16,$H16),"")</f>
        <v/>
      </c>
      <c r="L16" s="358">
        <f>IF($A16="",99999,VLOOKUP($A16,'Course Table'!$A$2:$J$331,10,FALSE))</f>
        <v>99999</v>
      </c>
      <c r="M16" s="340"/>
      <c r="N16" s="340"/>
      <c r="O16" s="340"/>
    </row>
    <row r="17" spans="1:15" ht="15" customHeight="1">
      <c r="A17" s="239"/>
      <c r="B17" s="360"/>
      <c r="C17" s="244" t="str">
        <f>IF($A17&lt;&gt;0,HYPERLINK(""&amp;(VLOOKUP($A17,'Course Table'!$A$2:$M$331,13,TRUE)),VLOOKUP($A17,'Course Table'!$A$2:$G$331,2,TRUE)),"")</f>
        <v/>
      </c>
      <c r="D17" s="355" t="str">
        <f>IF(OR($A17="",$B17="X",$B17="x",$B17="*"),"",IF($A16&lt;&gt;"",IF(VLOOKUP($A17,'Course Table'!$A$2:$K$331,11,FALSE)=VLOOKUP($A16,'Course Table'!$A$2:$K$331,11,FALSE),"",VLOOKUP($A17,'Course Table'!$A$2:$K$331,11,FALSE)),VLOOKUP($A17,'Course Table'!$A$2:$K$331,11,FALSE)))</f>
        <v/>
      </c>
      <c r="E17" s="242" t="str">
        <f>IF($A17&lt;&gt;"",IF(OR($B17="X",$B17="x"),"",IF($B17&lt;&gt;"*",VLOOKUP($A17,'Course Table'!$A$2:$G$331,5,FALSE),'Outline Info'!$B$18)),"")</f>
        <v/>
      </c>
      <c r="F17" s="356">
        <f>IF($A17&lt;&gt;"",IF(OR($B17="X",$B17="x"),0,IF($B17="*",'Outline Info'!$B$19,IF(AND($J17=$I17,$I17&lt;&gt;0),IF($K17=1,VLOOKUP($H17,'Course Table'!$A$2:$G$331,4,FALSE),0),VLOOKUP($A17,'Course Table'!$A$2:$G$331,4,FALSE)))),0)+IF('Student Info'!$B$9="Y",IF(OR(MID($A17,1,5)="BOOKS",MID($A17,1,3)="LAB",RIGHT($A17,5)="BOOKS",RIGHT($A17,3)="LAB"),0,IF($A17&lt;&gt;"",IF(OR($B17="X",$B17="x"),0,IF($B17="*",'Outline Info'!$B$19,IF(AND($J17=$I17,$I17&lt;&gt;0),IF($K17=1,VLOOKUP($H17,'Course Table'!$A$2:$G$331,4,FALSE),0),VLOOKUP($A17,'Course Table'!$A$2:$G$331,4,FALSE)))),0)*'Franchise Info'!$C$12),0)</f>
        <v>0</v>
      </c>
      <c r="G17" s="357">
        <f>IF($A17&lt;&gt;"",IF(OR($B17="X",$B17="x"),0,IF($B17="*",'Outline Info'!$B$19,IF(AND($J17=$I17,$I17&lt;&gt;0),ROUND(VLOOKUP($H17,'Course Table'!$A$2:$G$331,4,FALSE)/$I17,2),VLOOKUP($A17,'Course Table'!$A$2:$G$331,4,FALSE)))),0)</f>
        <v>0</v>
      </c>
      <c r="H17" s="358" t="str">
        <f>IF(OR(B17="X",B17="x"),0,IF(AND($A17&lt;&gt;"",B17&lt;&gt;"*"),VLOOKUP($A17,'Course Table'!$A$2:$G$331,6,FALSE),""))</f>
        <v/>
      </c>
      <c r="I17" s="358" t="str">
        <f>IF(OR(B17="X",B17="x"),0,IF(AND($A17&lt;&gt;"",B17&lt;&gt;"*"),VLOOKUP($A17,'Course Table'!$A$2:$G$331,7,FALSE),""))</f>
        <v/>
      </c>
      <c r="J17" s="303" t="str">
        <f t="shared" si="0"/>
        <v/>
      </c>
      <c r="K17" s="303" t="str">
        <f>IF(AND(B17&lt;&gt;"*",A17&lt;&gt;""),COUNTIF($H$7:$H17,$H17),"")</f>
        <v/>
      </c>
      <c r="L17" s="358">
        <f>IF($A17="",99999,VLOOKUP($A17,'Course Table'!$A$2:$J$331,10,FALSE))</f>
        <v>99999</v>
      </c>
      <c r="M17" s="340"/>
      <c r="N17" s="340"/>
      <c r="O17" s="340"/>
    </row>
    <row r="18" spans="1:15" ht="15" customHeight="1">
      <c r="A18" s="239"/>
      <c r="B18" s="360"/>
      <c r="C18" s="244" t="str">
        <f>IF($A18&lt;&gt;0,HYPERLINK(""&amp;(VLOOKUP($A18,'Course Table'!$A$2:$M$331,13,TRUE)),VLOOKUP($A18,'Course Table'!$A$2:$G$331,2,TRUE)),"")</f>
        <v/>
      </c>
      <c r="D18" s="355" t="str">
        <f>IF(OR($A18="",$B18="X",$B18="x",$B18="*"),"",IF($A17&lt;&gt;"",IF(VLOOKUP($A18,'Course Table'!$A$2:$K$331,11,FALSE)=VLOOKUP($A17,'Course Table'!$A$2:$K$331,11,FALSE),"",VLOOKUP($A18,'Course Table'!$A$2:$K$331,11,FALSE)),VLOOKUP($A18,'Course Table'!$A$2:$K$331,11,FALSE)))</f>
        <v/>
      </c>
      <c r="E18" s="242" t="str">
        <f>IF($A18&lt;&gt;"",IF(OR($B18="X",$B18="x"),"",IF($B18&lt;&gt;"*",VLOOKUP($A18,'Course Table'!$A$2:$G$331,5,FALSE),'Outline Info'!$B$18)),"")</f>
        <v/>
      </c>
      <c r="F18" s="356">
        <f>IF($A18&lt;&gt;"",IF(OR($B18="X",$B18="x"),0,IF($B18="*",'Outline Info'!$B$19,IF(AND($J18=$I18,$I18&lt;&gt;0),IF($K18=1,VLOOKUP($H18,'Course Table'!$A$2:$G$331,4,FALSE),0),VLOOKUP($A18,'Course Table'!$A$2:$G$331,4,FALSE)))),0)+IF('Student Info'!$B$9="Y",IF(OR(MID($A18,1,5)="BOOKS",MID($A18,1,3)="LAB",RIGHT($A18,5)="BOOKS",RIGHT($A18,3)="LAB"),0,IF($A18&lt;&gt;"",IF(OR($B18="X",$B18="x"),0,IF($B18="*",'Outline Info'!$B$19,IF(AND($J18=$I18,$I18&lt;&gt;0),IF($K18=1,VLOOKUP($H18,'Course Table'!$A$2:$G$331,4,FALSE),0),VLOOKUP($A18,'Course Table'!$A$2:$G$331,4,FALSE)))),0)*'Franchise Info'!$C$12),0)</f>
        <v>0</v>
      </c>
      <c r="G18" s="357">
        <f>IF($A18&lt;&gt;"",IF(OR($B18="X",$B18="x"),0,IF($B18="*",'Outline Info'!$B$19,IF(AND($J18=$I18,$I18&lt;&gt;0),ROUND(VLOOKUP($H18,'Course Table'!$A$2:$G$331,4,FALSE)/$I18,2),VLOOKUP($A18,'Course Table'!$A$2:$G$331,4,FALSE)))),0)</f>
        <v>0</v>
      </c>
      <c r="H18" s="358" t="str">
        <f>IF(OR(B18="X",B18="x"),0,IF(AND($A18&lt;&gt;"",B18&lt;&gt;"*"),VLOOKUP($A18,'Course Table'!$A$2:$G$331,6,FALSE),""))</f>
        <v/>
      </c>
      <c r="I18" s="358" t="str">
        <f>IF(OR(B18="X",B18="x"),0,IF(AND($A18&lt;&gt;"",B18&lt;&gt;"*"),VLOOKUP($A18,'Course Table'!$A$2:$G$331,7,FALSE),""))</f>
        <v/>
      </c>
      <c r="J18" s="303" t="str">
        <f t="shared" si="0"/>
        <v/>
      </c>
      <c r="K18" s="303" t="str">
        <f>IF(AND(B18&lt;&gt;"*",A18&lt;&gt;""),COUNTIF($H$7:$H18,$H18),"")</f>
        <v/>
      </c>
      <c r="L18" s="358">
        <f>IF($A18="",99999,VLOOKUP($A18,'Course Table'!$A$2:$J$331,10,FALSE))</f>
        <v>99999</v>
      </c>
      <c r="M18" s="340"/>
      <c r="N18" s="340"/>
      <c r="O18" s="340"/>
    </row>
    <row r="19" spans="1:15" ht="15" customHeight="1">
      <c r="A19" s="239"/>
      <c r="B19" s="360"/>
      <c r="C19" s="244" t="str">
        <f>IF($A19&lt;&gt;0,HYPERLINK(""&amp;(VLOOKUP($A19,'Course Table'!$A$2:$M$331,13,TRUE)),VLOOKUP($A19,'Course Table'!$A$2:$G$331,2,TRUE)),"")</f>
        <v/>
      </c>
      <c r="D19" s="355" t="str">
        <f>IF(OR($A19="",$B19="X",$B19="x",$B19="*"),"",IF($A18&lt;&gt;"",IF(VLOOKUP($A19,'Course Table'!$A$2:$K$331,11,FALSE)=VLOOKUP($A18,'Course Table'!$A$2:$K$331,11,FALSE),"",VLOOKUP($A19,'Course Table'!$A$2:$K$331,11,FALSE)),VLOOKUP($A19,'Course Table'!$A$2:$K$331,11,FALSE)))</f>
        <v/>
      </c>
      <c r="E19" s="242" t="str">
        <f>IF($A19&lt;&gt;"",IF(OR($B19="X",$B19="x"),"",IF($B19&lt;&gt;"*",VLOOKUP($A19,'Course Table'!$A$2:$G$331,5,FALSE),'Outline Info'!$B$18)),"")</f>
        <v/>
      </c>
      <c r="F19" s="356">
        <f>IF($A19&lt;&gt;"",IF(OR($B19="X",$B19="x"),0,IF($B19="*",'Outline Info'!$B$19,IF(AND($J19=$I19,$I19&lt;&gt;0),IF($K19=1,VLOOKUP($H19,'Course Table'!$A$2:$G$331,4,FALSE),0),VLOOKUP($A19,'Course Table'!$A$2:$G$331,4,FALSE)))),0)+IF('Student Info'!$B$9="Y",IF(OR(MID($A19,1,5)="BOOKS",MID($A19,1,3)="LAB",RIGHT($A19,5)="BOOKS",RIGHT($A19,3)="LAB"),0,IF($A19&lt;&gt;"",IF(OR($B19="X",$B19="x"),0,IF($B19="*",'Outline Info'!$B$19,IF(AND($J19=$I19,$I19&lt;&gt;0),IF($K19=1,VLOOKUP($H19,'Course Table'!$A$2:$G$331,4,FALSE),0),VLOOKUP($A19,'Course Table'!$A$2:$G$331,4,FALSE)))),0)*'Franchise Info'!$C$12),0)</f>
        <v>0</v>
      </c>
      <c r="G19" s="357">
        <f>IF($A19&lt;&gt;"",IF(OR($B19="X",$B19="x"),0,IF($B19="*",'Outline Info'!$B$19,IF(AND($J19=$I19,$I19&lt;&gt;0),ROUND(VLOOKUP($H19,'Course Table'!$A$2:$G$331,4,FALSE)/$I19,2),VLOOKUP($A19,'Course Table'!$A$2:$G$331,4,FALSE)))),0)</f>
        <v>0</v>
      </c>
      <c r="H19" s="358" t="str">
        <f>IF(OR(B19="X",B19="x"),0,IF(AND($A19&lt;&gt;"",B19&lt;&gt;"*"),VLOOKUP($A19,'Course Table'!$A$2:$G$331,6,FALSE),""))</f>
        <v/>
      </c>
      <c r="I19" s="358" t="str">
        <f>IF(OR(B19="X",B19="x"),0,IF(AND($A19&lt;&gt;"",B19&lt;&gt;"*"),VLOOKUP($A19,'Course Table'!$A$2:$G$331,7,FALSE),""))</f>
        <v/>
      </c>
      <c r="J19" s="303" t="str">
        <f t="shared" si="0"/>
        <v/>
      </c>
      <c r="K19" s="303" t="str">
        <f>IF(AND(B19&lt;&gt;"*",A19&lt;&gt;""),COUNTIF($H$7:$H19,$H19),"")</f>
        <v/>
      </c>
      <c r="L19" s="358">
        <f>IF($A19="",99999,VLOOKUP($A19,'Course Table'!$A$2:$J$331,10,FALSE))</f>
        <v>99999</v>
      </c>
      <c r="M19" s="340"/>
      <c r="N19" s="340"/>
      <c r="O19" s="340"/>
    </row>
    <row r="20" spans="1:15" ht="15" customHeight="1">
      <c r="A20" s="239"/>
      <c r="B20" s="360"/>
      <c r="C20" s="244" t="str">
        <f>IF($A20&lt;&gt;0,HYPERLINK(""&amp;(VLOOKUP($A20,'Course Table'!$A$2:$M$331,13,TRUE)),VLOOKUP($A20,'Course Table'!$A$2:$G$331,2,TRUE)),"")</f>
        <v/>
      </c>
      <c r="D20" s="355" t="str">
        <f>IF(OR($A20="",$B20="X",$B20="x",$B20="*"),"",IF($A19&lt;&gt;"",IF(VLOOKUP($A20,'Course Table'!$A$2:$K$331,11,FALSE)=VLOOKUP($A19,'Course Table'!$A$2:$K$331,11,FALSE),"",VLOOKUP($A20,'Course Table'!$A$2:$K$331,11,FALSE)),VLOOKUP($A20,'Course Table'!$A$2:$K$331,11,FALSE)))</f>
        <v/>
      </c>
      <c r="E20" s="242" t="str">
        <f>IF($A20&lt;&gt;"",IF(OR($B20="X",$B20="x"),"",IF($B20&lt;&gt;"*",VLOOKUP($A20,'Course Table'!$A$2:$G$331,5,FALSE),'Outline Info'!$B$18)),"")</f>
        <v/>
      </c>
      <c r="F20" s="356">
        <f>IF($A20&lt;&gt;"",IF(OR($B20="X",$B20="x"),0,IF($B20="*",'Outline Info'!$B$19,IF(AND($J20=$I20,$I20&lt;&gt;0),IF($K20=1,VLOOKUP($H20,'Course Table'!$A$2:$G$331,4,FALSE),0),VLOOKUP($A20,'Course Table'!$A$2:$G$331,4,FALSE)))),0)+IF('Student Info'!$B$9="Y",IF(OR(MID($A20,1,5)="BOOKS",MID($A20,1,3)="LAB",RIGHT($A20,5)="BOOKS",RIGHT($A20,3)="LAB"),0,IF($A20&lt;&gt;"",IF(OR($B20="X",$B20="x"),0,IF($B20="*",'Outline Info'!$B$19,IF(AND($J20=$I20,$I20&lt;&gt;0),IF($K20=1,VLOOKUP($H20,'Course Table'!$A$2:$G$331,4,FALSE),0),VLOOKUP($A20,'Course Table'!$A$2:$G$331,4,FALSE)))),0)*'Franchise Info'!$C$12),0)</f>
        <v>0</v>
      </c>
      <c r="G20" s="357">
        <f>IF($A20&lt;&gt;"",IF(OR($B20="X",$B20="x"),0,IF($B20="*",'Outline Info'!$B$19,IF(AND($J20=$I20,$I20&lt;&gt;0),ROUND(VLOOKUP($H20,'Course Table'!$A$2:$G$331,4,FALSE)/$I20,2),VLOOKUP($A20,'Course Table'!$A$2:$G$331,4,FALSE)))),0)</f>
        <v>0</v>
      </c>
      <c r="H20" s="358" t="str">
        <f>IF(OR(B20="X",B20="x"),0,IF(AND($A20&lt;&gt;"",B20&lt;&gt;"*"),VLOOKUP($A20,'Course Table'!$A$2:$G$331,6,FALSE),""))</f>
        <v/>
      </c>
      <c r="I20" s="358" t="str">
        <f>IF(OR(B20="X",B20="x"),0,IF(AND($A20&lt;&gt;"",B20&lt;&gt;"*"),VLOOKUP($A20,'Course Table'!$A$2:$G$331,7,FALSE),""))</f>
        <v/>
      </c>
      <c r="J20" s="303" t="str">
        <f t="shared" si="0"/>
        <v/>
      </c>
      <c r="K20" s="303" t="str">
        <f>IF(AND(B20&lt;&gt;"*",A20&lt;&gt;""),COUNTIF($H$7:$H20,$H20),"")</f>
        <v/>
      </c>
      <c r="L20" s="358">
        <f>IF($A20="",99999,VLOOKUP($A20,'Course Table'!$A$2:$J$331,10,FALSE))</f>
        <v>99999</v>
      </c>
      <c r="M20" s="340"/>
      <c r="N20" s="340"/>
      <c r="O20" s="340"/>
    </row>
    <row r="21" spans="1:15" ht="15" customHeight="1">
      <c r="A21" s="239"/>
      <c r="B21" s="360"/>
      <c r="C21" s="244" t="str">
        <f>IF($A21&lt;&gt;0,HYPERLINK(""&amp;(VLOOKUP($A21,'Course Table'!$A$2:$M$331,13,TRUE)),VLOOKUP($A21,'Course Table'!$A$2:$G$331,2,TRUE)),"")</f>
        <v/>
      </c>
      <c r="D21" s="355" t="str">
        <f>IF(OR($A21="",$B21="X",$B21="x",$B21="*"),"",IF($A20&lt;&gt;"",IF(VLOOKUP($A21,'Course Table'!$A$2:$K$331,11,FALSE)=VLOOKUP($A20,'Course Table'!$A$2:$K$331,11,FALSE),"",VLOOKUP($A21,'Course Table'!$A$2:$K$331,11,FALSE)),VLOOKUP($A21,'Course Table'!$A$2:$K$331,11,FALSE)))</f>
        <v/>
      </c>
      <c r="E21" s="242" t="str">
        <f>IF($A21&lt;&gt;"",IF(OR($B21="X",$B21="x"),"",IF($B21&lt;&gt;"*",VLOOKUP($A21,'Course Table'!$A$2:$G$331,5,FALSE),'Outline Info'!$B$18)),"")</f>
        <v/>
      </c>
      <c r="F21" s="356">
        <f>IF($A21&lt;&gt;"",IF(OR($B21="X",$B21="x"),0,IF($B21="*",'Outline Info'!$B$19,IF(AND($J21=$I21,$I21&lt;&gt;0),IF($K21=1,VLOOKUP($H21,'Course Table'!$A$2:$G$331,4,FALSE),0),VLOOKUP($A21,'Course Table'!$A$2:$G$331,4,FALSE)))),0)+IF('Student Info'!$B$9="Y",IF(OR(MID($A21,1,5)="BOOKS",MID($A21,1,3)="LAB",RIGHT($A21,5)="BOOKS",RIGHT($A21,3)="LAB"),0,IF($A21&lt;&gt;"",IF(OR($B21="X",$B21="x"),0,IF($B21="*",'Outline Info'!$B$19,IF(AND($J21=$I21,$I21&lt;&gt;0),IF($K21=1,VLOOKUP($H21,'Course Table'!$A$2:$G$331,4,FALSE),0),VLOOKUP($A21,'Course Table'!$A$2:$G$331,4,FALSE)))),0)*'Franchise Info'!$C$12),0)</f>
        <v>0</v>
      </c>
      <c r="G21" s="357">
        <f>IF($A21&lt;&gt;"",IF(OR($B21="X",$B21="x"),0,IF($B21="*",'Outline Info'!$B$19,IF(AND($J21=$I21,$I21&lt;&gt;0),ROUND(VLOOKUP($H21,'Course Table'!$A$2:$G$331,4,FALSE)/$I21,2),VLOOKUP($A21,'Course Table'!$A$2:$G$331,4,FALSE)))),0)</f>
        <v>0</v>
      </c>
      <c r="H21" s="358" t="str">
        <f>IF(OR(B21="X",B21="x"),0,IF(AND($A21&lt;&gt;"",B21&lt;&gt;"*"),VLOOKUP($A21,'Course Table'!$A$2:$G$331,6,FALSE),""))</f>
        <v/>
      </c>
      <c r="I21" s="358" t="str">
        <f>IF(OR(B21="X",B21="x"),0,IF(AND($A21&lt;&gt;"",B21&lt;&gt;"*"),VLOOKUP($A21,'Course Table'!$A$2:$G$331,7,FALSE),""))</f>
        <v/>
      </c>
      <c r="J21" s="303" t="str">
        <f t="shared" si="0"/>
        <v/>
      </c>
      <c r="K21" s="303" t="str">
        <f>IF(AND(B21&lt;&gt;"*",A21&lt;&gt;""),COUNTIF($H$7:$H21,$H21),"")</f>
        <v/>
      </c>
      <c r="L21" s="358">
        <f>IF($A21="",99999,VLOOKUP($A21,'Course Table'!$A$2:$J$331,10,FALSE))</f>
        <v>99999</v>
      </c>
      <c r="M21" s="340"/>
      <c r="N21" s="340"/>
      <c r="O21" s="340"/>
    </row>
    <row r="22" spans="1:15" ht="15" customHeight="1">
      <c r="A22" s="239"/>
      <c r="B22" s="360"/>
      <c r="C22" s="244" t="str">
        <f>IF($A22&lt;&gt;0,HYPERLINK(""&amp;(VLOOKUP($A22,'Course Table'!$A$2:$M$331,13,TRUE)),VLOOKUP($A22,'Course Table'!$A$2:$G$331,2,TRUE)),"")</f>
        <v/>
      </c>
      <c r="D22" s="355" t="str">
        <f>IF(OR($A22="",$B22="X",$B22="x",$B22="*"),"",IF($A21&lt;&gt;"",IF(VLOOKUP($A22,'Course Table'!$A$2:$K$331,11,FALSE)=VLOOKUP($A21,'Course Table'!$A$2:$K$331,11,FALSE),"",VLOOKUP($A22,'Course Table'!$A$2:$K$331,11,FALSE)),VLOOKUP($A22,'Course Table'!$A$2:$K$331,11,FALSE)))</f>
        <v/>
      </c>
      <c r="E22" s="242" t="str">
        <f>IF($A22&lt;&gt;"",IF(OR($B22="X",$B22="x"),"",IF($B22&lt;&gt;"*",VLOOKUP($A22,'Course Table'!$A$2:$G$331,5,FALSE),'Outline Info'!$B$18)),"")</f>
        <v/>
      </c>
      <c r="F22" s="356">
        <f>IF($A22&lt;&gt;"",IF(OR($B22="X",$B22="x"),0,IF($B22="*",'Outline Info'!$B$19,IF(AND($J22=$I22,$I22&lt;&gt;0),IF($K22=1,VLOOKUP($H22,'Course Table'!$A$2:$G$331,4,FALSE),0),VLOOKUP($A22,'Course Table'!$A$2:$G$331,4,FALSE)))),0)+IF('Student Info'!$B$9="Y",IF(OR(MID($A22,1,5)="BOOKS",MID($A22,1,3)="LAB",RIGHT($A22,5)="BOOKS",RIGHT($A22,3)="LAB"),0,IF($A22&lt;&gt;"",IF(OR($B22="X",$B22="x"),0,IF($B22="*",'Outline Info'!$B$19,IF(AND($J22=$I22,$I22&lt;&gt;0),IF($K22=1,VLOOKUP($H22,'Course Table'!$A$2:$G$331,4,FALSE),0),VLOOKUP($A22,'Course Table'!$A$2:$G$331,4,FALSE)))),0)*'Franchise Info'!$C$12),0)</f>
        <v>0</v>
      </c>
      <c r="G22" s="357">
        <f>IF($A22&lt;&gt;"",IF(OR($B22="X",$B22="x"),0,IF($B22="*",'Outline Info'!$B$19,IF(AND($J22=$I22,$I22&lt;&gt;0),ROUND(VLOOKUP($H22,'Course Table'!$A$2:$G$331,4,FALSE)/$I22,2),VLOOKUP($A22,'Course Table'!$A$2:$G$331,4,FALSE)))),0)</f>
        <v>0</v>
      </c>
      <c r="H22" s="358" t="str">
        <f>IF(OR(B22="X",B22="x"),0,IF(AND($A22&lt;&gt;"",B22&lt;&gt;"*"),VLOOKUP($A22,'Course Table'!$A$2:$G$331,6,FALSE),""))</f>
        <v/>
      </c>
      <c r="I22" s="358" t="str">
        <f>IF(OR(B22="X",B22="x"),0,IF(AND($A22&lt;&gt;"",B22&lt;&gt;"*"),VLOOKUP($A22,'Course Table'!$A$2:$G$331,7,FALSE),""))</f>
        <v/>
      </c>
      <c r="J22" s="303" t="str">
        <f t="shared" si="0"/>
        <v/>
      </c>
      <c r="K22" s="303" t="str">
        <f>IF(AND(B22&lt;&gt;"*",A22&lt;&gt;""),COUNTIF($H$7:$H22,$H22),"")</f>
        <v/>
      </c>
      <c r="L22" s="358">
        <f>IF($A22="",99999,VLOOKUP($A22,'Course Table'!$A$2:$J$331,10,FALSE))</f>
        <v>99999</v>
      </c>
      <c r="M22" s="340"/>
      <c r="N22" s="340"/>
      <c r="O22" s="340"/>
    </row>
    <row r="23" spans="1:15" ht="15" customHeight="1">
      <c r="A23" s="239"/>
      <c r="B23" s="360"/>
      <c r="C23" s="244" t="str">
        <f>IF($A23&lt;&gt;0,HYPERLINK(""&amp;(VLOOKUP($A23,'Course Table'!$A$2:$M$331,13,TRUE)),VLOOKUP($A23,'Course Table'!$A$2:$G$331,2,TRUE)),"")</f>
        <v/>
      </c>
      <c r="D23" s="355" t="str">
        <f>IF(OR($A23="",$B23="X",$B23="x",$B23="*"),"",IF($A22&lt;&gt;"",IF(VLOOKUP($A23,'Course Table'!$A$2:$K$331,11,FALSE)=VLOOKUP($A22,'Course Table'!$A$2:$K$331,11,FALSE),"",VLOOKUP($A23,'Course Table'!$A$2:$K$331,11,FALSE)),VLOOKUP($A23,'Course Table'!$A$2:$K$331,11,FALSE)))</f>
        <v/>
      </c>
      <c r="E23" s="242" t="str">
        <f>IF($A23&lt;&gt;"",IF(OR($B23="X",$B23="x"),"",IF($B23&lt;&gt;"*",VLOOKUP($A23,'Course Table'!$A$2:$G$331,5,FALSE),'Outline Info'!$B$18)),"")</f>
        <v/>
      </c>
      <c r="F23" s="356">
        <f>IF($A23&lt;&gt;"",IF(OR($B23="X",$B23="x"),0,IF($B23="*",'Outline Info'!$B$19,IF(AND($J23=$I23,$I23&lt;&gt;0),IF($K23=1,VLOOKUP($H23,'Course Table'!$A$2:$G$331,4,FALSE),0),VLOOKUP($A23,'Course Table'!$A$2:$G$331,4,FALSE)))),0)+IF('Student Info'!$B$9="Y",IF(OR(MID($A23,1,5)="BOOKS",MID($A23,1,3)="LAB",RIGHT($A23,5)="BOOKS",RIGHT($A23,3)="LAB"),0,IF($A23&lt;&gt;"",IF(OR($B23="X",$B23="x"),0,IF($B23="*",'Outline Info'!$B$19,IF(AND($J23=$I23,$I23&lt;&gt;0),IF($K23=1,VLOOKUP($H23,'Course Table'!$A$2:$G$331,4,FALSE),0),VLOOKUP($A23,'Course Table'!$A$2:$G$331,4,FALSE)))),0)*'Franchise Info'!$C$12),0)</f>
        <v>0</v>
      </c>
      <c r="G23" s="357">
        <f>IF($A23&lt;&gt;"",IF(OR($B23="X",$B23="x"),0,IF($B23="*",'Outline Info'!$B$19,IF(AND($J23=$I23,$I23&lt;&gt;0),ROUND(VLOOKUP($H23,'Course Table'!$A$2:$G$331,4,FALSE)/$I23,2),VLOOKUP($A23,'Course Table'!$A$2:$G$331,4,FALSE)))),0)</f>
        <v>0</v>
      </c>
      <c r="H23" s="358" t="str">
        <f>IF(OR(B23="X",B23="x"),0,IF(AND($A23&lt;&gt;"",B23&lt;&gt;"*"),VLOOKUP($A23,'Course Table'!$A$2:$G$331,6,FALSE),""))</f>
        <v/>
      </c>
      <c r="I23" s="358" t="str">
        <f>IF(OR(B23="X",B23="x"),0,IF(AND($A23&lt;&gt;"",B23&lt;&gt;"*"),VLOOKUP($A23,'Course Table'!$A$2:$G$331,7,FALSE),""))</f>
        <v/>
      </c>
      <c r="J23" s="303" t="str">
        <f t="shared" si="0"/>
        <v/>
      </c>
      <c r="K23" s="303" t="str">
        <f>IF(AND(B23&lt;&gt;"*",A23&lt;&gt;""),COUNTIF($H$7:$H23,$H23),"")</f>
        <v/>
      </c>
      <c r="L23" s="358">
        <f>IF($A23="",99999,VLOOKUP($A23,'Course Table'!$A$2:$J$331,10,FALSE))</f>
        <v>99999</v>
      </c>
      <c r="M23" s="340"/>
      <c r="N23" s="340"/>
      <c r="O23" s="340"/>
    </row>
    <row r="24" spans="1:15" ht="15" customHeight="1">
      <c r="A24" s="239"/>
      <c r="B24" s="360"/>
      <c r="C24" s="244" t="str">
        <f>IF($A24&lt;&gt;0,HYPERLINK(""&amp;(VLOOKUP($A24,'Course Table'!$A$2:$M$331,13,TRUE)),VLOOKUP($A24,'Course Table'!$A$2:$G$331,2,TRUE)),"")</f>
        <v/>
      </c>
      <c r="D24" s="355" t="str">
        <f>IF(OR($A24="",$B24="X",$B24="x",$B24="*"),"",IF($A23&lt;&gt;"",IF(VLOOKUP($A24,'Course Table'!$A$2:$K$331,11,FALSE)=VLOOKUP($A23,'Course Table'!$A$2:$K$331,11,FALSE),"",VLOOKUP($A24,'Course Table'!$A$2:$K$331,11,FALSE)),VLOOKUP($A24,'Course Table'!$A$2:$K$331,11,FALSE)))</f>
        <v/>
      </c>
      <c r="E24" s="242" t="str">
        <f>IF($A24&lt;&gt;"",IF(OR($B24="X",$B24="x"),"",IF($B24&lt;&gt;"*",VLOOKUP($A24,'Course Table'!$A$2:$G$331,5,FALSE),'Outline Info'!$B$18)),"")</f>
        <v/>
      </c>
      <c r="F24" s="356">
        <f>IF($A24&lt;&gt;"",IF(OR($B24="X",$B24="x"),0,IF($B24="*",'Outline Info'!$B$19,IF(AND($J24=$I24,$I24&lt;&gt;0),IF($K24=1,VLOOKUP($H24,'Course Table'!$A$2:$G$331,4,FALSE),0),VLOOKUP($A24,'Course Table'!$A$2:$G$331,4,FALSE)))),0)+IF('Student Info'!$B$9="Y",IF(OR(MID($A24,1,5)="BOOKS",MID($A24,1,3)="LAB",RIGHT($A24,5)="BOOKS",RIGHT($A24,3)="LAB"),0,IF($A24&lt;&gt;"",IF(OR($B24="X",$B24="x"),0,IF($B24="*",'Outline Info'!$B$19,IF(AND($J24=$I24,$I24&lt;&gt;0),IF($K24=1,VLOOKUP($H24,'Course Table'!$A$2:$G$331,4,FALSE),0),VLOOKUP($A24,'Course Table'!$A$2:$G$331,4,FALSE)))),0)*'Franchise Info'!$C$12),0)</f>
        <v>0</v>
      </c>
      <c r="G24" s="357">
        <f>IF($A24&lt;&gt;"",IF(OR($B24="X",$B24="x"),0,IF($B24="*",'Outline Info'!$B$19,IF(AND($J24=$I24,$I24&lt;&gt;0),ROUND(VLOOKUP($H24,'Course Table'!$A$2:$G$331,4,FALSE)/$I24,2),VLOOKUP($A24,'Course Table'!$A$2:$G$331,4,FALSE)))),0)</f>
        <v>0</v>
      </c>
      <c r="H24" s="358" t="str">
        <f>IF(OR(B24="X",B24="x"),0,IF(AND($A24&lt;&gt;"",B24&lt;&gt;"*"),VLOOKUP($A24,'Course Table'!$A$2:$G$331,6,FALSE),""))</f>
        <v/>
      </c>
      <c r="I24" s="358" t="str">
        <f>IF(OR(B24="X",B24="x"),0,IF(AND($A24&lt;&gt;"",B24&lt;&gt;"*"),VLOOKUP($A24,'Course Table'!$A$2:$G$331,7,FALSE),""))</f>
        <v/>
      </c>
      <c r="J24" s="303" t="str">
        <f t="shared" si="0"/>
        <v/>
      </c>
      <c r="K24" s="303" t="str">
        <f>IF(AND(B24&lt;&gt;"*",A24&lt;&gt;""),COUNTIF($H$7:$H24,$H24),"")</f>
        <v/>
      </c>
      <c r="L24" s="358">
        <f>IF($A24="",99999,VLOOKUP($A24,'Course Table'!$A$2:$J$331,10,FALSE))</f>
        <v>99999</v>
      </c>
      <c r="M24" s="340"/>
      <c r="N24" s="340"/>
      <c r="O24" s="340"/>
    </row>
    <row r="25" spans="1:15" ht="15" customHeight="1">
      <c r="A25" s="239"/>
      <c r="B25" s="360"/>
      <c r="C25" s="244" t="str">
        <f>IF($A25&lt;&gt;0,HYPERLINK(""&amp;(VLOOKUP($A25,'Course Table'!$A$2:$M$331,13,TRUE)),VLOOKUP($A25,'Course Table'!$A$2:$G$331,2,TRUE)),"")</f>
        <v/>
      </c>
      <c r="D25" s="355" t="str">
        <f>IF(OR($A25="",$B25="X",$B25="x",$B25="*"),"",IF($A24&lt;&gt;"",IF(VLOOKUP($A25,'Course Table'!$A$2:$K$331,11,FALSE)=VLOOKUP($A24,'Course Table'!$A$2:$K$331,11,FALSE),"",VLOOKUP($A25,'Course Table'!$A$2:$K$331,11,FALSE)),VLOOKUP($A25,'Course Table'!$A$2:$K$331,11,FALSE)))</f>
        <v/>
      </c>
      <c r="E25" s="242" t="str">
        <f>IF($A25&lt;&gt;"",IF(OR($B25="X",$B25="x"),"",IF($B25&lt;&gt;"*",VLOOKUP($A25,'Course Table'!$A$2:$G$331,5,FALSE),'Outline Info'!$B$18)),"")</f>
        <v/>
      </c>
      <c r="F25" s="356">
        <f>IF($A25&lt;&gt;"",IF(OR($B25="X",$B25="x"),0,IF($B25="*",'Outline Info'!$B$19,IF(AND($J25=$I25,$I25&lt;&gt;0),IF($K25=1,VLOOKUP($H25,'Course Table'!$A$2:$G$331,4,FALSE),0),VLOOKUP($A25,'Course Table'!$A$2:$G$331,4,FALSE)))),0)+IF('Student Info'!$B$9="Y",IF(OR(MID($A25,1,5)="BOOKS",MID($A25,1,3)="LAB",RIGHT($A25,5)="BOOKS",RIGHT($A25,3)="LAB"),0,IF($A25&lt;&gt;"",IF(OR($B25="X",$B25="x"),0,IF($B25="*",'Outline Info'!$B$19,IF(AND($J25=$I25,$I25&lt;&gt;0),IF($K25=1,VLOOKUP($H25,'Course Table'!$A$2:$G$331,4,FALSE),0),VLOOKUP($A25,'Course Table'!$A$2:$G$331,4,FALSE)))),0)*'Franchise Info'!$C$12),0)</f>
        <v>0</v>
      </c>
      <c r="G25" s="357">
        <f>IF($A25&lt;&gt;"",IF(OR($B25="X",$B25="x"),0,IF($B25="*",'Outline Info'!$B$19,IF(AND($J25=$I25,$I25&lt;&gt;0),ROUND(VLOOKUP($H25,'Course Table'!$A$2:$G$331,4,FALSE)/$I25,2),VLOOKUP($A25,'Course Table'!$A$2:$G$331,4,FALSE)))),0)</f>
        <v>0</v>
      </c>
      <c r="H25" s="358" t="str">
        <f>IF(OR(B25="X",B25="x"),0,IF(AND($A25&lt;&gt;"",B25&lt;&gt;"*"),VLOOKUP($A25,'Course Table'!$A$2:$G$331,6,FALSE),""))</f>
        <v/>
      </c>
      <c r="I25" s="358" t="str">
        <f>IF(OR(B25="X",B25="x"),0,IF(AND($A25&lt;&gt;"",B25&lt;&gt;"*"),VLOOKUP($A25,'Course Table'!$A$2:$G$331,7,FALSE),""))</f>
        <v/>
      </c>
      <c r="J25" s="303" t="str">
        <f t="shared" si="0"/>
        <v/>
      </c>
      <c r="K25" s="303" t="str">
        <f>IF(AND(B25&lt;&gt;"*",A25&lt;&gt;""),COUNTIF($H$7:$H25,$H25),"")</f>
        <v/>
      </c>
      <c r="L25" s="358">
        <f>IF($A25="",99999,VLOOKUP($A25,'Course Table'!$A$2:$J$331,10,FALSE))</f>
        <v>99999</v>
      </c>
      <c r="M25" s="340"/>
      <c r="N25" s="340"/>
      <c r="O25" s="340"/>
    </row>
    <row r="26" spans="1:15" ht="15" customHeight="1">
      <c r="A26" s="239"/>
      <c r="B26" s="360"/>
      <c r="C26" s="244" t="str">
        <f>IF($A26&lt;&gt;0,HYPERLINK(""&amp;(VLOOKUP($A26,'Course Table'!$A$2:$M$331,13,TRUE)),VLOOKUP($A26,'Course Table'!$A$2:$G$331,2,TRUE)),"")</f>
        <v/>
      </c>
      <c r="D26" s="355" t="str">
        <f>IF(OR($A26="",$B26="X",$B26="x",$B26="*"),"",IF($A25&lt;&gt;"",IF(VLOOKUP($A26,'Course Table'!$A$2:$K$331,11,FALSE)=VLOOKUP($A25,'Course Table'!$A$2:$K$331,11,FALSE),"",VLOOKUP($A26,'Course Table'!$A$2:$K$331,11,FALSE)),VLOOKUP($A26,'Course Table'!$A$2:$K$331,11,FALSE)))</f>
        <v/>
      </c>
      <c r="E26" s="242" t="str">
        <f>IF($A26&lt;&gt;"",IF(OR($B26="X",$B26="x"),"",IF($B26&lt;&gt;"*",VLOOKUP($A26,'Course Table'!$A$2:$G$331,5,FALSE),'Outline Info'!$B$18)),"")</f>
        <v/>
      </c>
      <c r="F26" s="356">
        <f>IF($A26&lt;&gt;"",IF(OR($B26="X",$B26="x"),0,IF($B26="*",'Outline Info'!$B$19,IF(AND($J26=$I26,$I26&lt;&gt;0),IF($K26=1,VLOOKUP($H26,'Course Table'!$A$2:$G$331,4,FALSE),0),VLOOKUP($A26,'Course Table'!$A$2:$G$331,4,FALSE)))),0)+IF('Student Info'!$B$9="Y",IF(OR(MID($A26,1,5)="BOOKS",MID($A26,1,3)="LAB",RIGHT($A26,5)="BOOKS",RIGHT($A26,3)="LAB"),0,IF($A26&lt;&gt;"",IF(OR($B26="X",$B26="x"),0,IF($B26="*",'Outline Info'!$B$19,IF(AND($J26=$I26,$I26&lt;&gt;0),IF($K26=1,VLOOKUP($H26,'Course Table'!$A$2:$G$331,4,FALSE),0),VLOOKUP($A26,'Course Table'!$A$2:$G$331,4,FALSE)))),0)*'Franchise Info'!$C$12),0)</f>
        <v>0</v>
      </c>
      <c r="G26" s="357">
        <f>IF($A26&lt;&gt;"",IF(OR($B26="X",$B26="x"),0,IF($B26="*",'Outline Info'!$B$19,IF(AND($J26=$I26,$I26&lt;&gt;0),ROUND(VLOOKUP($H26,'Course Table'!$A$2:$G$331,4,FALSE)/$I26,2),VLOOKUP($A26,'Course Table'!$A$2:$G$331,4,FALSE)))),0)</f>
        <v>0</v>
      </c>
      <c r="H26" s="358" t="str">
        <f>IF(OR(B26="X",B26="x"),0,IF(AND($A26&lt;&gt;"",B26&lt;&gt;"*"),VLOOKUP($A26,'Course Table'!$A$2:$G$331,6,FALSE),""))</f>
        <v/>
      </c>
      <c r="I26" s="358" t="str">
        <f>IF(OR(B26="X",B26="x"),0,IF(AND($A26&lt;&gt;"",B26&lt;&gt;"*"),VLOOKUP($A26,'Course Table'!$A$2:$G$331,7,FALSE),""))</f>
        <v/>
      </c>
      <c r="J26" s="303" t="str">
        <f t="shared" si="0"/>
        <v/>
      </c>
      <c r="K26" s="303" t="str">
        <f>IF(AND(B26&lt;&gt;"*",A26&lt;&gt;""),COUNTIF($H$7:$H26,$H26),"")</f>
        <v/>
      </c>
      <c r="L26" s="358">
        <f>IF($A26="",99999,VLOOKUP($A26,'Course Table'!$A$2:$J$331,10,FALSE))</f>
        <v>99999</v>
      </c>
      <c r="M26" s="340"/>
      <c r="N26" s="340"/>
      <c r="O26" s="340"/>
    </row>
    <row r="27" spans="1:15" ht="15" customHeight="1">
      <c r="A27" s="239"/>
      <c r="B27" s="360"/>
      <c r="C27" s="244" t="str">
        <f>IF($A27&lt;&gt;0,HYPERLINK(""&amp;(VLOOKUP($A27,'Course Table'!$A$2:$M$331,13,TRUE)),VLOOKUP($A27,'Course Table'!$A$2:$G$331,2,TRUE)),"")</f>
        <v/>
      </c>
      <c r="D27" s="355" t="str">
        <f>IF(OR($A27="",$B27="X",$B27="x",$B27="*"),"",IF($A26&lt;&gt;"",IF(VLOOKUP($A27,'Course Table'!$A$2:$K$331,11,FALSE)=VLOOKUP($A26,'Course Table'!$A$2:$K$331,11,FALSE),"",VLOOKUP($A27,'Course Table'!$A$2:$K$331,11,FALSE)),VLOOKUP($A27,'Course Table'!$A$2:$K$331,11,FALSE)))</f>
        <v/>
      </c>
      <c r="E27" s="242" t="str">
        <f>IF($A27&lt;&gt;"",IF(OR($B27="X",$B27="x"),"",IF($B27&lt;&gt;"*",VLOOKUP($A27,'Course Table'!$A$2:$G$331,5,FALSE),'Outline Info'!$B$18)),"")</f>
        <v/>
      </c>
      <c r="F27" s="356">
        <f>IF($A27&lt;&gt;"",IF(OR($B27="X",$B27="x"),0,IF($B27="*",'Outline Info'!$B$19,IF(AND($J27=$I27,$I27&lt;&gt;0),IF($K27=1,VLOOKUP($H27,'Course Table'!$A$2:$G$331,4,FALSE),0),VLOOKUP($A27,'Course Table'!$A$2:$G$331,4,FALSE)))),0)+IF('Student Info'!$B$9="Y",IF(OR(MID($A27,1,5)="BOOKS",MID($A27,1,3)="LAB",RIGHT($A27,5)="BOOKS",RIGHT($A27,3)="LAB"),0,IF($A27&lt;&gt;"",IF(OR($B27="X",$B27="x"),0,IF($B27="*",'Outline Info'!$B$19,IF(AND($J27=$I27,$I27&lt;&gt;0),IF($K27=1,VLOOKUP($H27,'Course Table'!$A$2:$G$331,4,FALSE),0),VLOOKUP($A27,'Course Table'!$A$2:$G$331,4,FALSE)))),0)*'Franchise Info'!$C$12),0)</f>
        <v>0</v>
      </c>
      <c r="G27" s="357">
        <f>IF($A27&lt;&gt;"",IF(OR($B27="X",$B27="x"),0,IF($B27="*",'Outline Info'!$B$19,IF(AND($J27=$I27,$I27&lt;&gt;0),ROUND(VLOOKUP($H27,'Course Table'!$A$2:$G$331,4,FALSE)/$I27,2),VLOOKUP($A27,'Course Table'!$A$2:$G$331,4,FALSE)))),0)</f>
        <v>0</v>
      </c>
      <c r="H27" s="358" t="str">
        <f>IF(OR(B27="X",B27="x"),0,IF(AND($A27&lt;&gt;"",B27&lt;&gt;"*"),VLOOKUP($A27,'Course Table'!$A$2:$G$331,6,FALSE),""))</f>
        <v/>
      </c>
      <c r="I27" s="358" t="str">
        <f>IF(OR(B27="X",B27="x"),0,IF(AND($A27&lt;&gt;"",B27&lt;&gt;"*"),VLOOKUP($A27,'Course Table'!$A$2:$G$331,7,FALSE),""))</f>
        <v/>
      </c>
      <c r="J27" s="303" t="str">
        <f t="shared" si="0"/>
        <v/>
      </c>
      <c r="K27" s="303" t="str">
        <f>IF(AND(B27&lt;&gt;"*",A27&lt;&gt;""),COUNTIF($H$7:$H27,$H27),"")</f>
        <v/>
      </c>
      <c r="L27" s="358">
        <f>IF($A27="",99999,VLOOKUP($A27,'Course Table'!$A$2:$J$331,10,FALSE))</f>
        <v>99999</v>
      </c>
      <c r="M27" s="340"/>
      <c r="N27" s="340"/>
      <c r="O27" s="340"/>
    </row>
    <row r="28" spans="1:15" ht="15" customHeight="1">
      <c r="A28" s="239"/>
      <c r="B28" s="360"/>
      <c r="C28" s="244" t="str">
        <f>IF($A28&lt;&gt;0,HYPERLINK(""&amp;(VLOOKUP($A28,'Course Table'!$A$2:$M$331,13,TRUE)),VLOOKUP($A28,'Course Table'!$A$2:$G$331,2,TRUE)),"")</f>
        <v/>
      </c>
      <c r="D28" s="355" t="str">
        <f>IF(OR($A28="",$B28="X",$B28="x",$B28="*"),"",IF($A27&lt;&gt;"",IF(VLOOKUP($A28,'Course Table'!$A$2:$K$331,11,FALSE)=VLOOKUP($A27,'Course Table'!$A$2:$K$331,11,FALSE),"",VLOOKUP($A28,'Course Table'!$A$2:$K$331,11,FALSE)),VLOOKUP($A28,'Course Table'!$A$2:$K$331,11,FALSE)))</f>
        <v/>
      </c>
      <c r="E28" s="242" t="str">
        <f>IF($A28&lt;&gt;"",IF(OR($B28="X",$B28="x"),"",IF($B28&lt;&gt;"*",VLOOKUP($A28,'Course Table'!$A$2:$G$331,5,FALSE),'Outline Info'!$B$18)),"")</f>
        <v/>
      </c>
      <c r="F28" s="356">
        <f>IF($A28&lt;&gt;"",IF(OR($B28="X",$B28="x"),0,IF($B28="*",'Outline Info'!$B$19,IF(AND($J28=$I28,$I28&lt;&gt;0),IF($K28=1,VLOOKUP($H28,'Course Table'!$A$2:$G$331,4,FALSE),0),VLOOKUP($A28,'Course Table'!$A$2:$G$331,4,FALSE)))),0)+IF('Student Info'!$B$9="Y",IF(OR(MID($A28,1,5)="BOOKS",MID($A28,1,3)="LAB",RIGHT($A28,5)="BOOKS",RIGHT($A28,3)="LAB"),0,IF($A28&lt;&gt;"",IF(OR($B28="X",$B28="x"),0,IF($B28="*",'Outline Info'!$B$19,IF(AND($J28=$I28,$I28&lt;&gt;0),IF($K28=1,VLOOKUP($H28,'Course Table'!$A$2:$G$331,4,FALSE),0),VLOOKUP($A28,'Course Table'!$A$2:$G$331,4,FALSE)))),0)*'Franchise Info'!$C$12),0)</f>
        <v>0</v>
      </c>
      <c r="G28" s="357">
        <f>IF($A28&lt;&gt;"",IF(OR($B28="X",$B28="x"),0,IF($B28="*",'Outline Info'!$B$19,IF(AND($J28=$I28,$I28&lt;&gt;0),ROUND(VLOOKUP($H28,'Course Table'!$A$2:$G$331,4,FALSE)/$I28,2),VLOOKUP($A28,'Course Table'!$A$2:$G$331,4,FALSE)))),0)</f>
        <v>0</v>
      </c>
      <c r="H28" s="358" t="str">
        <f>IF(OR(B28="X",B28="x"),0,IF(AND($A28&lt;&gt;"",B28&lt;&gt;"*"),VLOOKUP($A28,'Course Table'!$A$2:$G$331,6,FALSE),""))</f>
        <v/>
      </c>
      <c r="I28" s="358" t="str">
        <f>IF(OR(B28="X",B28="x"),0,IF(AND($A28&lt;&gt;"",B28&lt;&gt;"*"),VLOOKUP($A28,'Course Table'!$A$2:$G$331,7,FALSE),""))</f>
        <v/>
      </c>
      <c r="J28" s="303" t="str">
        <f t="shared" si="0"/>
        <v/>
      </c>
      <c r="K28" s="303" t="str">
        <f>IF(AND(B28&lt;&gt;"*",A28&lt;&gt;""),COUNTIF($H$7:$H28,$H28),"")</f>
        <v/>
      </c>
      <c r="L28" s="358">
        <f>IF($A28="",99999,VLOOKUP($A28,'Course Table'!$A$2:$J$331,10,FALSE))</f>
        <v>99999</v>
      </c>
      <c r="M28" s="340"/>
      <c r="N28" s="340"/>
      <c r="O28" s="340"/>
    </row>
    <row r="29" spans="1:15" ht="15" customHeight="1">
      <c r="A29" s="239"/>
      <c r="B29" s="360"/>
      <c r="C29" s="244" t="str">
        <f>IF($A29&lt;&gt;0,HYPERLINK(""&amp;(VLOOKUP($A29,'Course Table'!$A$2:$M$331,13,TRUE)),VLOOKUP($A29,'Course Table'!$A$2:$G$331,2,TRUE)),"")</f>
        <v/>
      </c>
      <c r="D29" s="355" t="str">
        <f>IF(OR($A29="",$B29="X",$B29="x",$B29="*"),"",IF($A28&lt;&gt;"",IF(VLOOKUP($A29,'Course Table'!$A$2:$K$331,11,FALSE)=VLOOKUP($A28,'Course Table'!$A$2:$K$331,11,FALSE),"",VLOOKUP($A29,'Course Table'!$A$2:$K$331,11,FALSE)),VLOOKUP($A29,'Course Table'!$A$2:$K$331,11,FALSE)))</f>
        <v/>
      </c>
      <c r="E29" s="242" t="str">
        <f>IF($A29&lt;&gt;"",IF(OR($B29="X",$B29="x"),"",IF($B29&lt;&gt;"*",VLOOKUP($A29,'Course Table'!$A$2:$G$331,5,FALSE),'Outline Info'!$B$18)),"")</f>
        <v/>
      </c>
      <c r="F29" s="356">
        <f>IF($A29&lt;&gt;"",IF(OR($B29="X",$B29="x"),0,IF($B29="*",'Outline Info'!$B$19,IF(AND($J29=$I29,$I29&lt;&gt;0),IF($K29=1,VLOOKUP($H29,'Course Table'!$A$2:$G$331,4,FALSE),0),VLOOKUP($A29,'Course Table'!$A$2:$G$331,4,FALSE)))),0)+IF('Student Info'!$B$9="Y",IF(OR(MID($A29,1,5)="BOOKS",MID($A29,1,3)="LAB",RIGHT($A29,5)="BOOKS",RIGHT($A29,3)="LAB"),0,IF($A29&lt;&gt;"",IF(OR($B29="X",$B29="x"),0,IF($B29="*",'Outline Info'!$B$19,IF(AND($J29=$I29,$I29&lt;&gt;0),IF($K29=1,VLOOKUP($H29,'Course Table'!$A$2:$G$331,4,FALSE),0),VLOOKUP($A29,'Course Table'!$A$2:$G$331,4,FALSE)))),0)*'Franchise Info'!$C$12),0)</f>
        <v>0</v>
      </c>
      <c r="G29" s="357">
        <f>IF($A29&lt;&gt;"",IF(OR($B29="X",$B29="x"),0,IF($B29="*",'Outline Info'!$B$19,IF(AND($J29=$I29,$I29&lt;&gt;0),ROUND(VLOOKUP($H29,'Course Table'!$A$2:$G$331,4,FALSE)/$I29,2),VLOOKUP($A29,'Course Table'!$A$2:$G$331,4,FALSE)))),0)</f>
        <v>0</v>
      </c>
      <c r="H29" s="358" t="str">
        <f>IF(OR(B29="X",B29="x"),0,IF(AND($A29&lt;&gt;"",B29&lt;&gt;"*"),VLOOKUP($A29,'Course Table'!$A$2:$G$331,6,FALSE),""))</f>
        <v/>
      </c>
      <c r="I29" s="358" t="str">
        <f>IF(OR(B29="X",B29="x"),0,IF(AND($A29&lt;&gt;"",B29&lt;&gt;"*"),VLOOKUP($A29,'Course Table'!$A$2:$G$331,7,FALSE),""))</f>
        <v/>
      </c>
      <c r="J29" s="303" t="str">
        <f t="shared" si="0"/>
        <v/>
      </c>
      <c r="K29" s="303" t="str">
        <f>IF(AND(B29&lt;&gt;"*",A29&lt;&gt;""),COUNTIF($H$7:$H29,$H29),"")</f>
        <v/>
      </c>
      <c r="L29" s="358">
        <f>IF($A29="",99999,VLOOKUP($A29,'Course Table'!$A$2:$J$331,10,FALSE))</f>
        <v>99999</v>
      </c>
      <c r="M29" s="340"/>
      <c r="N29" s="340"/>
      <c r="O29" s="340"/>
    </row>
    <row r="30" spans="1:15" ht="15" customHeight="1">
      <c r="A30" s="239"/>
      <c r="B30" s="360"/>
      <c r="C30" s="244" t="str">
        <f>IF($A30&lt;&gt;0,HYPERLINK(""&amp;(VLOOKUP($A30,'Course Table'!$A$2:$M$331,13,TRUE)),VLOOKUP($A30,'Course Table'!$A$2:$G$331,2,TRUE)),"")</f>
        <v/>
      </c>
      <c r="D30" s="355" t="str">
        <f>IF(OR($A30="",$B30="X",$B30="x",$B30="*"),"",IF($A29&lt;&gt;"",IF(VLOOKUP($A30,'Course Table'!$A$2:$K$331,11,FALSE)=VLOOKUP($A29,'Course Table'!$A$2:$K$331,11,FALSE),"",VLOOKUP($A30,'Course Table'!$A$2:$K$331,11,FALSE)),VLOOKUP($A30,'Course Table'!$A$2:$K$331,11,FALSE)))</f>
        <v/>
      </c>
      <c r="E30" s="242" t="str">
        <f>IF($A30&lt;&gt;"",IF(OR($B30="X",$B30="x"),"",IF($B30&lt;&gt;"*",VLOOKUP($A30,'Course Table'!$A$2:$G$331,5,FALSE),'Outline Info'!$B$18)),"")</f>
        <v/>
      </c>
      <c r="F30" s="356">
        <f>IF($A30&lt;&gt;"",IF(OR($B30="X",$B30="x"),0,IF($B30="*",'Outline Info'!$B$19,IF(AND($J30=$I30,$I30&lt;&gt;0),IF($K30=1,VLOOKUP($H30,'Course Table'!$A$2:$G$331,4,FALSE),0),VLOOKUP($A30,'Course Table'!$A$2:$G$331,4,FALSE)))),0)+IF('Student Info'!$B$9="Y",IF(OR(MID($A30,1,5)="BOOKS",MID($A30,1,3)="LAB",RIGHT($A30,5)="BOOKS",RIGHT($A30,3)="LAB"),0,IF($A30&lt;&gt;"",IF(OR($B30="X",$B30="x"),0,IF($B30="*",'Outline Info'!$B$19,IF(AND($J30=$I30,$I30&lt;&gt;0),IF($K30=1,VLOOKUP($H30,'Course Table'!$A$2:$G$331,4,FALSE),0),VLOOKUP($A30,'Course Table'!$A$2:$G$331,4,FALSE)))),0)*'Franchise Info'!$C$12),0)</f>
        <v>0</v>
      </c>
      <c r="G30" s="357">
        <f>IF($A30&lt;&gt;"",IF(OR($B30="X",$B30="x"),0,IF($B30="*",'Outline Info'!$B$19,IF(AND($J30=$I30,$I30&lt;&gt;0),ROUND(VLOOKUP($H30,'Course Table'!$A$2:$G$331,4,FALSE)/$I30,2),VLOOKUP($A30,'Course Table'!$A$2:$G$331,4,FALSE)))),0)</f>
        <v>0</v>
      </c>
      <c r="H30" s="358" t="str">
        <f>IF(OR(B30="X",B30="x"),0,IF(AND($A30&lt;&gt;"",B30&lt;&gt;"*"),VLOOKUP($A30,'Course Table'!$A$2:$G$331,6,FALSE),""))</f>
        <v/>
      </c>
      <c r="I30" s="358" t="str">
        <f>IF(OR(B30="X",B30="x"),0,IF(AND($A30&lt;&gt;"",B30&lt;&gt;"*"),VLOOKUP($A30,'Course Table'!$A$2:$G$331,7,FALSE),""))</f>
        <v/>
      </c>
      <c r="J30" s="303" t="str">
        <f t="shared" si="0"/>
        <v/>
      </c>
      <c r="K30" s="303" t="str">
        <f>IF(AND(B30&lt;&gt;"*",A30&lt;&gt;""),COUNTIF($H$7:$H30,$H30),"")</f>
        <v/>
      </c>
      <c r="L30" s="358">
        <f>IF($A30="",99999,VLOOKUP($A30,'Course Table'!$A$2:$J$331,10,FALSE))</f>
        <v>99999</v>
      </c>
      <c r="M30" s="340"/>
      <c r="N30" s="340"/>
      <c r="O30" s="340"/>
    </row>
    <row r="31" spans="1:15" ht="15" customHeight="1">
      <c r="A31" s="239"/>
      <c r="B31" s="360"/>
      <c r="C31" s="244" t="str">
        <f>IF($A31&lt;&gt;0,HYPERLINK(""&amp;(VLOOKUP($A31,'Course Table'!$A$2:$M$331,13,TRUE)),VLOOKUP($A31,'Course Table'!$A$2:$G$331,2,TRUE)),"")</f>
        <v/>
      </c>
      <c r="D31" s="355" t="str">
        <f>IF(OR($A31="",$B31="X",$B31="x",$B31="*"),"",IF($A30&lt;&gt;"",IF(VLOOKUP($A31,'Course Table'!$A$2:$K$331,11,FALSE)=VLOOKUP($A30,'Course Table'!$A$2:$K$331,11,FALSE),"",VLOOKUP($A31,'Course Table'!$A$2:$K$331,11,FALSE)),VLOOKUP($A31,'Course Table'!$A$2:$K$331,11,FALSE)))</f>
        <v/>
      </c>
      <c r="E31" s="242" t="str">
        <f>IF($A31&lt;&gt;"",IF(OR($B31="X",$B31="x"),"",IF($B31&lt;&gt;"*",VLOOKUP($A31,'Course Table'!$A$2:$G$331,5,FALSE),'Outline Info'!$B$18)),"")</f>
        <v/>
      </c>
      <c r="F31" s="356">
        <f>IF($A31&lt;&gt;"",IF(OR($B31="X",$B31="x"),0,IF($B31="*",'Outline Info'!$B$19,IF(AND($J31=$I31,$I31&lt;&gt;0),IF($K31=1,VLOOKUP($H31,'Course Table'!$A$2:$G$331,4,FALSE),0),VLOOKUP($A31,'Course Table'!$A$2:$G$331,4,FALSE)))),0)+IF('Student Info'!$B$9="Y",IF(OR(MID($A31,1,5)="BOOKS",MID($A31,1,3)="LAB",RIGHT($A31,5)="BOOKS",RIGHT($A31,3)="LAB"),0,IF($A31&lt;&gt;"",IF(OR($B31="X",$B31="x"),0,IF($B31="*",'Outline Info'!$B$19,IF(AND($J31=$I31,$I31&lt;&gt;0),IF($K31=1,VLOOKUP($H31,'Course Table'!$A$2:$G$331,4,FALSE),0),VLOOKUP($A31,'Course Table'!$A$2:$G$331,4,FALSE)))),0)*'Franchise Info'!$C$12),0)</f>
        <v>0</v>
      </c>
      <c r="G31" s="357">
        <f>IF($A31&lt;&gt;"",IF(OR($B31="X",$B31="x"),0,IF($B31="*",'Outline Info'!$B$19,IF(AND($J31=$I31,$I31&lt;&gt;0),ROUND(VLOOKUP($H31,'Course Table'!$A$2:$G$331,4,FALSE)/$I31,2),VLOOKUP($A31,'Course Table'!$A$2:$G$331,4,FALSE)))),0)</f>
        <v>0</v>
      </c>
      <c r="H31" s="358" t="str">
        <f>IF(OR(B31="X",B31="x"),0,IF(AND($A31&lt;&gt;"",B31&lt;&gt;"*"),VLOOKUP($A31,'Course Table'!$A$2:$G$331,6,FALSE),""))</f>
        <v/>
      </c>
      <c r="I31" s="358" t="str">
        <f>IF(OR(B31="X",B31="x"),0,IF(AND($A31&lt;&gt;"",B31&lt;&gt;"*"),VLOOKUP($A31,'Course Table'!$A$2:$G$331,7,FALSE),""))</f>
        <v/>
      </c>
      <c r="J31" s="303" t="str">
        <f t="shared" si="0"/>
        <v/>
      </c>
      <c r="K31" s="303" t="str">
        <f>IF(AND(B31&lt;&gt;"*",A31&lt;&gt;""),COUNTIF($H$7:$H31,$H31),"")</f>
        <v/>
      </c>
      <c r="L31" s="358">
        <f>IF($A31="",99999,VLOOKUP($A31,'Course Table'!$A$2:$J$331,10,FALSE))</f>
        <v>99999</v>
      </c>
      <c r="M31" s="340"/>
      <c r="N31" s="340"/>
      <c r="O31" s="340"/>
    </row>
    <row r="32" spans="1:15" ht="15" customHeight="1">
      <c r="A32" s="239"/>
      <c r="B32" s="360"/>
      <c r="C32" s="244" t="str">
        <f>IF($A32&lt;&gt;0,HYPERLINK(""&amp;(VLOOKUP($A32,'Course Table'!$A$2:$M$331,13,TRUE)),VLOOKUP($A32,'Course Table'!$A$2:$G$331,2,TRUE)),"")</f>
        <v/>
      </c>
      <c r="D32" s="355" t="str">
        <f>IF(OR($A32="",$B32="X",$B32="x",$B32="*"),"",IF($A31&lt;&gt;"",IF(VLOOKUP($A32,'Course Table'!$A$2:$K$331,11,FALSE)=VLOOKUP($A31,'Course Table'!$A$2:$K$331,11,FALSE),"",VLOOKUP($A32,'Course Table'!$A$2:$K$331,11,FALSE)),VLOOKUP($A32,'Course Table'!$A$2:$K$331,11,FALSE)))</f>
        <v/>
      </c>
      <c r="E32" s="242" t="str">
        <f>IF($A32&lt;&gt;"",IF(OR($B32="X",$B32="x"),"",IF($B32&lt;&gt;"*",VLOOKUP($A32,'Course Table'!$A$2:$G$331,5,FALSE),'Outline Info'!$B$18)),"")</f>
        <v/>
      </c>
      <c r="F32" s="356">
        <f>IF($A32&lt;&gt;"",IF(OR($B32="X",$B32="x"),0,IF($B32="*",'Outline Info'!$B$19,IF(AND($J32=$I32,$I32&lt;&gt;0),IF($K32=1,VLOOKUP($H32,'Course Table'!$A$2:$G$331,4,FALSE),0),VLOOKUP($A32,'Course Table'!$A$2:$G$331,4,FALSE)))),0)+IF('Student Info'!$B$9="Y",IF(OR(MID($A32,1,5)="BOOKS",MID($A32,1,3)="LAB",RIGHT($A32,5)="BOOKS",RIGHT($A32,3)="LAB"),0,IF($A32&lt;&gt;"",IF(OR($B32="X",$B32="x"),0,IF($B32="*",'Outline Info'!$B$19,IF(AND($J32=$I32,$I32&lt;&gt;0),IF($K32=1,VLOOKUP($H32,'Course Table'!$A$2:$G$331,4,FALSE),0),VLOOKUP($A32,'Course Table'!$A$2:$G$331,4,FALSE)))),0)*'Franchise Info'!$C$12),0)</f>
        <v>0</v>
      </c>
      <c r="G32" s="357">
        <f>IF($A32&lt;&gt;"",IF(OR($B32="X",$B32="x"),0,IF($B32="*",'Outline Info'!$B$19,IF(AND($J32=$I32,$I32&lt;&gt;0),ROUND(VLOOKUP($H32,'Course Table'!$A$2:$G$331,4,FALSE)/$I32,2),VLOOKUP($A32,'Course Table'!$A$2:$G$331,4,FALSE)))),0)</f>
        <v>0</v>
      </c>
      <c r="H32" s="358" t="str">
        <f>IF(OR(B32="X",B32="x"),0,IF(AND($A32&lt;&gt;"",B32&lt;&gt;"*"),VLOOKUP($A32,'Course Table'!$A$2:$G$331,6,FALSE),""))</f>
        <v/>
      </c>
      <c r="I32" s="358" t="str">
        <f>IF(OR(B32="X",B32="x"),0,IF(AND($A32&lt;&gt;"",B32&lt;&gt;"*"),VLOOKUP($A32,'Course Table'!$A$2:$G$331,7,FALSE),""))</f>
        <v/>
      </c>
      <c r="J32" s="303" t="str">
        <f t="shared" si="0"/>
        <v/>
      </c>
      <c r="K32" s="303" t="str">
        <f>IF(AND(B32&lt;&gt;"*",A32&lt;&gt;""),COUNTIF($H$7:$H32,$H32),"")</f>
        <v/>
      </c>
      <c r="L32" s="358">
        <f>IF($A32="",99999,VLOOKUP($A32,'Course Table'!$A$2:$J$331,10,FALSE))</f>
        <v>99999</v>
      </c>
      <c r="M32" s="340"/>
      <c r="N32" s="340"/>
      <c r="O32" s="340"/>
    </row>
    <row r="33" spans="1:15" ht="15" customHeight="1">
      <c r="A33" s="239"/>
      <c r="B33" s="360"/>
      <c r="C33" s="244" t="str">
        <f>IF($A33&lt;&gt;0,HYPERLINK(""&amp;(VLOOKUP($A33,'Course Table'!$A$2:$M$331,13,TRUE)),VLOOKUP($A33,'Course Table'!$A$2:$G$331,2,TRUE)),"")</f>
        <v/>
      </c>
      <c r="D33" s="355" t="str">
        <f>IF(OR($A33="",$B33="X",$B33="x",$B33="*"),"",IF($A32&lt;&gt;"",IF(VLOOKUP($A33,'Course Table'!$A$2:$K$331,11,FALSE)=VLOOKUP($A32,'Course Table'!$A$2:$K$331,11,FALSE),"",VLOOKUP($A33,'Course Table'!$A$2:$K$331,11,FALSE)),VLOOKUP($A33,'Course Table'!$A$2:$K$331,11,FALSE)))</f>
        <v/>
      </c>
      <c r="E33" s="242" t="str">
        <f>IF($A33&lt;&gt;"",IF(OR($B33="X",$B33="x"),"",IF($B33&lt;&gt;"*",VLOOKUP($A33,'Course Table'!$A$2:$G$331,5,FALSE),'Outline Info'!$B$18)),"")</f>
        <v/>
      </c>
      <c r="F33" s="356">
        <f>IF($A33&lt;&gt;"",IF(OR($B33="X",$B33="x"),0,IF($B33="*",'Outline Info'!$B$19,IF(AND($J33=$I33,$I33&lt;&gt;0),IF($K33=1,VLOOKUP($H33,'Course Table'!$A$2:$G$331,4,FALSE),0),VLOOKUP($A33,'Course Table'!$A$2:$G$331,4,FALSE)))),0)+IF('Student Info'!$B$9="Y",IF(OR(MID($A33,1,5)="BOOKS",MID($A33,1,3)="LAB",RIGHT($A33,5)="BOOKS",RIGHT($A33,3)="LAB"),0,IF($A33&lt;&gt;"",IF(OR($B33="X",$B33="x"),0,IF($B33="*",'Outline Info'!$B$19,IF(AND($J33=$I33,$I33&lt;&gt;0),IF($K33=1,VLOOKUP($H33,'Course Table'!$A$2:$G$331,4,FALSE),0),VLOOKUP($A33,'Course Table'!$A$2:$G$331,4,FALSE)))),0)*'Franchise Info'!$C$12),0)</f>
        <v>0</v>
      </c>
      <c r="G33" s="357">
        <f>IF($A33&lt;&gt;"",IF(OR($B33="X",$B33="x"),0,IF($B33="*",'Outline Info'!$B$19,IF(AND($J33=$I33,$I33&lt;&gt;0),ROUND(VLOOKUP($H33,'Course Table'!$A$2:$G$331,4,FALSE)/$I33,2),VLOOKUP($A33,'Course Table'!$A$2:$G$331,4,FALSE)))),0)</f>
        <v>0</v>
      </c>
      <c r="H33" s="358" t="str">
        <f>IF(OR(B33="X",B33="x"),0,IF(AND($A33&lt;&gt;"",B33&lt;&gt;"*"),VLOOKUP($A33,'Course Table'!$A$2:$G$331,6,FALSE),""))</f>
        <v/>
      </c>
      <c r="I33" s="358" t="str">
        <f>IF(OR(B33="X",B33="x"),0,IF(AND($A33&lt;&gt;"",B33&lt;&gt;"*"),VLOOKUP($A33,'Course Table'!$A$2:$G$331,7,FALSE),""))</f>
        <v/>
      </c>
      <c r="J33" s="303" t="str">
        <f t="shared" si="0"/>
        <v/>
      </c>
      <c r="K33" s="303" t="str">
        <f>IF(AND(B33&lt;&gt;"*",A33&lt;&gt;""),COUNTIF($H$7:$H33,$H33),"")</f>
        <v/>
      </c>
      <c r="L33" s="358">
        <f>IF($A33="",99999,VLOOKUP($A33,'Course Table'!$A$2:$J$331,10,FALSE))</f>
        <v>99999</v>
      </c>
      <c r="M33" s="340"/>
      <c r="N33" s="340"/>
      <c r="O33" s="340"/>
    </row>
    <row r="34" spans="1:15" ht="15" customHeight="1">
      <c r="A34" s="239"/>
      <c r="B34" s="360"/>
      <c r="C34" s="244" t="str">
        <f>IF($A34&lt;&gt;0,HYPERLINK(""&amp;(VLOOKUP($A34,'Course Table'!$A$2:$M$331,13,TRUE)),VLOOKUP($A34,'Course Table'!$A$2:$G$331,2,TRUE)),"")</f>
        <v/>
      </c>
      <c r="D34" s="355" t="str">
        <f>IF(OR($A34="",$B34="X",$B34="x",$B34="*"),"",IF($A33&lt;&gt;"",IF(VLOOKUP($A34,'Course Table'!$A$2:$K$331,11,FALSE)=VLOOKUP($A33,'Course Table'!$A$2:$K$331,11,FALSE),"",VLOOKUP($A34,'Course Table'!$A$2:$K$331,11,FALSE)),VLOOKUP($A34,'Course Table'!$A$2:$K$331,11,FALSE)))</f>
        <v/>
      </c>
      <c r="E34" s="242" t="str">
        <f>IF($A34&lt;&gt;"",IF(OR($B34="X",$B34="x"),"",IF($B34&lt;&gt;"*",VLOOKUP($A34,'Course Table'!$A$2:$G$331,5,FALSE),'Outline Info'!$B$18)),"")</f>
        <v/>
      </c>
      <c r="F34" s="356">
        <f>IF($A34&lt;&gt;"",IF(OR($B34="X",$B34="x"),0,IF($B34="*",'Outline Info'!$B$19,IF(AND($J34=$I34,$I34&lt;&gt;0),IF($K34=1,VLOOKUP($H34,'Course Table'!$A$2:$G$331,4,FALSE),0),VLOOKUP($A34,'Course Table'!$A$2:$G$331,4,FALSE)))),0)+IF('Student Info'!$B$9="Y",IF(OR(MID($A34,1,5)="BOOKS",MID($A34,1,3)="LAB",RIGHT($A34,5)="BOOKS",RIGHT($A34,3)="LAB"),0,IF($A34&lt;&gt;"",IF(OR($B34="X",$B34="x"),0,IF($B34="*",'Outline Info'!$B$19,IF(AND($J34=$I34,$I34&lt;&gt;0),IF($K34=1,VLOOKUP($H34,'Course Table'!$A$2:$G$331,4,FALSE),0),VLOOKUP($A34,'Course Table'!$A$2:$G$331,4,FALSE)))),0)*'Franchise Info'!$C$12),0)</f>
        <v>0</v>
      </c>
      <c r="G34" s="357">
        <f>IF($A34&lt;&gt;"",IF(OR($B34="X",$B34="x"),0,IF($B34="*",'Outline Info'!$B$19,IF(AND($J34=$I34,$I34&lt;&gt;0),ROUND(VLOOKUP($H34,'Course Table'!$A$2:$G$331,4,FALSE)/$I34,2),VLOOKUP($A34,'Course Table'!$A$2:$G$331,4,FALSE)))),0)</f>
        <v>0</v>
      </c>
      <c r="H34" s="358" t="str">
        <f>IF(OR(B34="X",B34="x"),0,IF(AND($A34&lt;&gt;"",B34&lt;&gt;"*"),VLOOKUP($A34,'Course Table'!$A$2:$G$331,6,FALSE),""))</f>
        <v/>
      </c>
      <c r="I34" s="358" t="str">
        <f>IF(OR(B34="X",B34="x"),0,IF(AND($A34&lt;&gt;"",B34&lt;&gt;"*"),VLOOKUP($A34,'Course Table'!$A$2:$G$331,7,FALSE),""))</f>
        <v/>
      </c>
      <c r="J34" s="303" t="str">
        <f t="shared" si="0"/>
        <v/>
      </c>
      <c r="K34" s="303" t="str">
        <f>IF(AND(B34&lt;&gt;"*",A34&lt;&gt;""),COUNTIF($H$7:$H34,$H34),"")</f>
        <v/>
      </c>
      <c r="L34" s="358">
        <f>IF($A34="",99999,VLOOKUP($A34,'Course Table'!$A$2:$J$331,10,FALSE))</f>
        <v>99999</v>
      </c>
      <c r="M34" s="340"/>
      <c r="N34" s="340"/>
      <c r="O34" s="340"/>
    </row>
    <row r="35" spans="1:15" ht="15" customHeight="1">
      <c r="A35" s="239"/>
      <c r="B35" s="360"/>
      <c r="C35" s="244" t="str">
        <f>IF($A35&lt;&gt;0,HYPERLINK(""&amp;(VLOOKUP($A35,'Course Table'!$A$2:$M$331,13,TRUE)),VLOOKUP($A35,'Course Table'!$A$2:$G$331,2,TRUE)),"")</f>
        <v/>
      </c>
      <c r="D35" s="355" t="str">
        <f>IF(OR($A35="",$B35="X",$B35="x",$B35="*"),"",IF($A34&lt;&gt;"",IF(VLOOKUP($A35,'Course Table'!$A$2:$K$331,11,FALSE)=VLOOKUP($A34,'Course Table'!$A$2:$K$331,11,FALSE),"",VLOOKUP($A35,'Course Table'!$A$2:$K$331,11,FALSE)),VLOOKUP($A35,'Course Table'!$A$2:$K$331,11,FALSE)))</f>
        <v/>
      </c>
      <c r="E35" s="242" t="str">
        <f>IF($A35&lt;&gt;"",IF(OR($B35="X",$B35="x"),"",IF($B35&lt;&gt;"*",VLOOKUP($A35,'Course Table'!$A$2:$G$331,5,FALSE),'Outline Info'!$B$18)),"")</f>
        <v/>
      </c>
      <c r="F35" s="356">
        <f>IF($A35&lt;&gt;"",IF(OR($B35="X",$B35="x"),0,IF($B35="*",'Outline Info'!$B$19,IF(AND($J35=$I35,$I35&lt;&gt;0),IF($K35=1,VLOOKUP($H35,'Course Table'!$A$2:$G$331,4,FALSE),0),VLOOKUP($A35,'Course Table'!$A$2:$G$331,4,FALSE)))),0)+IF('Student Info'!$B$9="Y",IF(OR(MID($A35,1,5)="BOOKS",MID($A35,1,3)="LAB",RIGHT($A35,5)="BOOKS",RIGHT($A35,3)="LAB"),0,IF($A35&lt;&gt;"",IF(OR($B35="X",$B35="x"),0,IF($B35="*",'Outline Info'!$B$19,IF(AND($J35=$I35,$I35&lt;&gt;0),IF($K35=1,VLOOKUP($H35,'Course Table'!$A$2:$G$331,4,FALSE),0),VLOOKUP($A35,'Course Table'!$A$2:$G$331,4,FALSE)))),0)*'Franchise Info'!$C$12),0)</f>
        <v>0</v>
      </c>
      <c r="G35" s="357">
        <f>IF($A35&lt;&gt;"",IF(OR($B35="X",$B35="x"),0,IF($B35="*",'Outline Info'!$B$19,IF(AND($J35=$I35,$I35&lt;&gt;0),ROUND(VLOOKUP($H35,'Course Table'!$A$2:$G$331,4,FALSE)/$I35,2),VLOOKUP($A35,'Course Table'!$A$2:$G$331,4,FALSE)))),0)</f>
        <v>0</v>
      </c>
      <c r="H35" s="358" t="str">
        <f>IF(OR(B35="X",B35="x"),0,IF(AND($A35&lt;&gt;"",B35&lt;&gt;"*"),VLOOKUP($A35,'Course Table'!$A$2:$G$331,6,FALSE),""))</f>
        <v/>
      </c>
      <c r="I35" s="358" t="str">
        <f>IF(OR(B35="X",B35="x"),0,IF(AND($A35&lt;&gt;"",B35&lt;&gt;"*"),VLOOKUP($A35,'Course Table'!$A$2:$G$331,7,FALSE),""))</f>
        <v/>
      </c>
      <c r="J35" s="303" t="str">
        <f t="shared" si="0"/>
        <v/>
      </c>
      <c r="K35" s="303" t="str">
        <f>IF(AND(B35&lt;&gt;"*",A35&lt;&gt;""),COUNTIF($H$7:$H35,$H35),"")</f>
        <v/>
      </c>
      <c r="L35" s="358">
        <f>IF($A35="",99999,VLOOKUP($A35,'Course Table'!$A$2:$J$331,10,FALSE))</f>
        <v>99999</v>
      </c>
      <c r="M35" s="340"/>
      <c r="N35" s="340"/>
      <c r="O35" s="340"/>
    </row>
    <row r="36" spans="1:15" ht="15" customHeight="1">
      <c r="A36" s="239"/>
      <c r="B36" s="360"/>
      <c r="C36" s="244" t="str">
        <f>IF($A36&lt;&gt;0,HYPERLINK(""&amp;(VLOOKUP($A36,'Course Table'!$A$2:$M$331,13,TRUE)),VLOOKUP($A36,'Course Table'!$A$2:$G$331,2,TRUE)),"")</f>
        <v/>
      </c>
      <c r="D36" s="355" t="str">
        <f>IF(OR($A36="",$B36="X",$B36="x",$B36="*"),"",IF($A35&lt;&gt;"",IF(VLOOKUP($A36,'Course Table'!$A$2:$K$331,11,FALSE)=VLOOKUP($A35,'Course Table'!$A$2:$K$331,11,FALSE),"",VLOOKUP($A36,'Course Table'!$A$2:$K$331,11,FALSE)),VLOOKUP($A36,'Course Table'!$A$2:$K$331,11,FALSE)))</f>
        <v/>
      </c>
      <c r="E36" s="242" t="str">
        <f>IF($A36&lt;&gt;"",IF(OR($B36="X",$B36="x"),"",IF($B36&lt;&gt;"*",VLOOKUP($A36,'Course Table'!$A$2:$G$331,5,FALSE),'Outline Info'!$B$18)),"")</f>
        <v/>
      </c>
      <c r="F36" s="356">
        <f>IF($A36&lt;&gt;"",IF(OR($B36="X",$B36="x"),0,IF($B36="*",'Outline Info'!$B$19,IF(AND($J36=$I36,$I36&lt;&gt;0),IF($K36=1,VLOOKUP($H36,'Course Table'!$A$2:$G$331,4,FALSE),0),VLOOKUP($A36,'Course Table'!$A$2:$G$331,4,FALSE)))),0)+IF('Student Info'!$B$9="Y",IF(OR(MID($A36,1,5)="BOOKS",MID($A36,1,3)="LAB",RIGHT($A36,5)="BOOKS",RIGHT($A36,3)="LAB"),0,IF($A36&lt;&gt;"",IF(OR($B36="X",$B36="x"),0,IF($B36="*",'Outline Info'!$B$19,IF(AND($J36=$I36,$I36&lt;&gt;0),IF($K36=1,VLOOKUP($H36,'Course Table'!$A$2:$G$331,4,FALSE),0),VLOOKUP($A36,'Course Table'!$A$2:$G$331,4,FALSE)))),0)*'Franchise Info'!$C$12),0)</f>
        <v>0</v>
      </c>
      <c r="G36" s="357">
        <f>IF($A36&lt;&gt;"",IF(OR($B36="X",$B36="x"),0,IF($B36="*",'Outline Info'!$B$19,IF(AND($J36=$I36,$I36&lt;&gt;0),ROUND(VLOOKUP($H36,'Course Table'!$A$2:$G$331,4,FALSE)/$I36,2),VLOOKUP($A36,'Course Table'!$A$2:$G$331,4,FALSE)))),0)</f>
        <v>0</v>
      </c>
      <c r="H36" s="358" t="str">
        <f>IF(OR(B36="X",B36="x"),0,IF(AND($A36&lt;&gt;"",B36&lt;&gt;"*"),VLOOKUP($A36,'Course Table'!$A$2:$G$331,6,FALSE),""))</f>
        <v/>
      </c>
      <c r="I36" s="358" t="str">
        <f>IF(OR(B36="X",B36="x"),0,IF(AND($A36&lt;&gt;"",B36&lt;&gt;"*"),VLOOKUP($A36,'Course Table'!$A$2:$G$331,7,FALSE),""))</f>
        <v/>
      </c>
      <c r="J36" s="303" t="str">
        <f t="shared" si="0"/>
        <v/>
      </c>
      <c r="K36" s="303" t="str">
        <f>IF(AND(B36&lt;&gt;"*",A36&lt;&gt;""),COUNTIF($H$7:$H36,$H36),"")</f>
        <v/>
      </c>
      <c r="L36" s="358">
        <f>IF($A36="",99999,VLOOKUP($A36,'Course Table'!$A$2:$J$331,10,FALSE))</f>
        <v>99999</v>
      </c>
      <c r="M36" s="340"/>
      <c r="N36" s="340"/>
      <c r="O36" s="340"/>
    </row>
    <row r="37" spans="1:15" ht="15" customHeight="1">
      <c r="A37" s="239"/>
      <c r="B37" s="360"/>
      <c r="C37" s="244" t="str">
        <f>IF($A37&lt;&gt;0,HYPERLINK(""&amp;(VLOOKUP($A37,'Course Table'!$A$2:$M$331,13,TRUE)),VLOOKUP($A37,'Course Table'!$A$2:$G$331,2,TRUE)),"")</f>
        <v/>
      </c>
      <c r="D37" s="355" t="str">
        <f>IF(OR($A37="",$B37="X",$B37="x",$B37="*"),"",IF($A36&lt;&gt;"",IF(VLOOKUP($A37,'Course Table'!$A$2:$K$331,11,FALSE)=VLOOKUP($A36,'Course Table'!$A$2:$K$331,11,FALSE),"",VLOOKUP($A37,'Course Table'!$A$2:$K$331,11,FALSE)),VLOOKUP($A37,'Course Table'!$A$2:$K$331,11,FALSE)))</f>
        <v/>
      </c>
      <c r="E37" s="242" t="str">
        <f>IF($A37&lt;&gt;"",IF(OR($B37="X",$B37="x"),"",IF($B37&lt;&gt;"*",VLOOKUP($A37,'Course Table'!$A$2:$G$331,5,FALSE),'Outline Info'!$B$18)),"")</f>
        <v/>
      </c>
      <c r="F37" s="356">
        <f>IF($A37&lt;&gt;"",IF(OR($B37="X",$B37="x"),0,IF($B37="*",'Outline Info'!$B$19,IF(AND($J37=$I37,$I37&lt;&gt;0),IF($K37=1,VLOOKUP($H37,'Course Table'!$A$2:$G$331,4,FALSE),0),VLOOKUP($A37,'Course Table'!$A$2:$G$331,4,FALSE)))),0)+IF('Student Info'!$B$9="Y",IF(OR(MID($A37,1,5)="BOOKS",MID($A37,1,3)="LAB",RIGHT($A37,5)="BOOKS",RIGHT($A37,3)="LAB"),0,IF($A37&lt;&gt;"",IF(OR($B37="X",$B37="x"),0,IF($B37="*",'Outline Info'!$B$19,IF(AND($J37=$I37,$I37&lt;&gt;0),IF($K37=1,VLOOKUP($H37,'Course Table'!$A$2:$G$331,4,FALSE),0),VLOOKUP($A37,'Course Table'!$A$2:$G$331,4,FALSE)))),0)*'Franchise Info'!$C$12),0)</f>
        <v>0</v>
      </c>
      <c r="G37" s="357">
        <f>IF($A37&lt;&gt;"",IF(OR($B37="X",$B37="x"),0,IF($B37="*",'Outline Info'!$B$19,IF(AND($J37=$I37,$I37&lt;&gt;0),ROUND(VLOOKUP($H37,'Course Table'!$A$2:$G$331,4,FALSE)/$I37,2),VLOOKUP($A37,'Course Table'!$A$2:$G$331,4,FALSE)))),0)</f>
        <v>0</v>
      </c>
      <c r="H37" s="358" t="str">
        <f>IF(OR(B37="X",B37="x"),0,IF(AND($A37&lt;&gt;"",B37&lt;&gt;"*"),VLOOKUP($A37,'Course Table'!$A$2:$G$331,6,FALSE),""))</f>
        <v/>
      </c>
      <c r="I37" s="358" t="str">
        <f>IF(OR(B37="X",B37="x"),0,IF(AND($A37&lt;&gt;"",B37&lt;&gt;"*"),VLOOKUP($A37,'Course Table'!$A$2:$G$331,7,FALSE),""))</f>
        <v/>
      </c>
      <c r="J37" s="303" t="str">
        <f t="shared" si="0"/>
        <v/>
      </c>
      <c r="K37" s="303" t="str">
        <f>IF(AND(B37&lt;&gt;"*",A37&lt;&gt;""),COUNTIF($H$7:$H37,$H37),"")</f>
        <v/>
      </c>
      <c r="L37" s="358">
        <f>IF($A37="",99999,VLOOKUP($A37,'Course Table'!$A$2:$J$331,10,FALSE))</f>
        <v>99999</v>
      </c>
      <c r="M37" s="340"/>
      <c r="N37" s="340"/>
      <c r="O37" s="340"/>
    </row>
    <row r="38" spans="1:15" ht="15" customHeight="1">
      <c r="A38" s="239"/>
      <c r="B38" s="360"/>
      <c r="C38" s="244" t="str">
        <f>IF($A38&lt;&gt;0,HYPERLINK(""&amp;(VLOOKUP($A38,'Course Table'!$A$2:$M$331,13,TRUE)),VLOOKUP($A38,'Course Table'!$A$2:$G$331,2,TRUE)),"")</f>
        <v/>
      </c>
      <c r="D38" s="355" t="str">
        <f>IF(OR($A38="",$B38="X",$B38="x",$B38="*"),"",IF($A37&lt;&gt;"",IF(VLOOKUP($A38,'Course Table'!$A$2:$K$331,11,FALSE)=VLOOKUP($A37,'Course Table'!$A$2:$K$331,11,FALSE),"",VLOOKUP($A38,'Course Table'!$A$2:$K$331,11,FALSE)),VLOOKUP($A38,'Course Table'!$A$2:$K$331,11,FALSE)))</f>
        <v/>
      </c>
      <c r="E38" s="242" t="str">
        <f>IF($A38&lt;&gt;"",IF(OR($B38="X",$B38="x"),"",IF($B38&lt;&gt;"*",VLOOKUP($A38,'Course Table'!$A$2:$G$331,5,FALSE),'Outline Info'!$B$18)),"")</f>
        <v/>
      </c>
      <c r="F38" s="356">
        <f>IF($A38&lt;&gt;"",IF(OR($B38="X",$B38="x"),0,IF($B38="*",'Outline Info'!$B$19,IF(AND($J38=$I38,$I38&lt;&gt;0),IF($K38=1,VLOOKUP($H38,'Course Table'!$A$2:$G$331,4,FALSE),0),VLOOKUP($A38,'Course Table'!$A$2:$G$331,4,FALSE)))),0)+IF('Student Info'!$B$9="Y",IF(OR(MID($A38,1,5)="BOOKS",MID($A38,1,3)="LAB",RIGHT($A38,5)="BOOKS",RIGHT($A38,3)="LAB"),0,IF($A38&lt;&gt;"",IF(OR($B38="X",$B38="x"),0,IF($B38="*",'Outline Info'!$B$19,IF(AND($J38=$I38,$I38&lt;&gt;0),IF($K38=1,VLOOKUP($H38,'Course Table'!$A$2:$G$331,4,FALSE),0),VLOOKUP($A38,'Course Table'!$A$2:$G$331,4,FALSE)))),0)*'Franchise Info'!$C$12),0)</f>
        <v>0</v>
      </c>
      <c r="G38" s="357">
        <f>IF($A38&lt;&gt;"",IF(OR($B38="X",$B38="x"),0,IF($B38="*",'Outline Info'!$B$19,IF(AND($J38=$I38,$I38&lt;&gt;0),ROUND(VLOOKUP($H38,'Course Table'!$A$2:$G$331,4,FALSE)/$I38,2),VLOOKUP($A38,'Course Table'!$A$2:$G$331,4,FALSE)))),0)</f>
        <v>0</v>
      </c>
      <c r="H38" s="358" t="str">
        <f>IF(OR(B38="X",B38="x"),0,IF(AND($A38&lt;&gt;"",B38&lt;&gt;"*"),VLOOKUP($A38,'Course Table'!$A$2:$G$331,6,FALSE),""))</f>
        <v/>
      </c>
      <c r="I38" s="358" t="str">
        <f>IF(OR(B38="X",B38="x"),0,IF(AND($A38&lt;&gt;"",B38&lt;&gt;"*"),VLOOKUP($A38,'Course Table'!$A$2:$G$331,7,FALSE),""))</f>
        <v/>
      </c>
      <c r="J38" s="303" t="str">
        <f t="shared" si="0"/>
        <v/>
      </c>
      <c r="K38" s="303" t="str">
        <f>IF(AND(B38&lt;&gt;"*",A38&lt;&gt;""),COUNTIF($H$7:$H38,$H38),"")</f>
        <v/>
      </c>
      <c r="L38" s="358">
        <f>IF($A38="",99999,VLOOKUP($A38,'Course Table'!$A$2:$J$331,10,FALSE))</f>
        <v>99999</v>
      </c>
      <c r="M38" s="340"/>
      <c r="N38" s="340"/>
      <c r="O38" s="340"/>
    </row>
    <row r="39" spans="1:15" ht="15" customHeight="1">
      <c r="A39" s="239"/>
      <c r="B39" s="360"/>
      <c r="C39" s="244" t="str">
        <f>IF($A39&lt;&gt;0,HYPERLINK(""&amp;(VLOOKUP($A39,'Course Table'!$A$2:$M$331,13,TRUE)),VLOOKUP($A39,'Course Table'!$A$2:$G$331,2,TRUE)),"")</f>
        <v/>
      </c>
      <c r="D39" s="355" t="str">
        <f>IF(OR($A39="",$B39="X",$B39="x",$B39="*"),"",IF($A38&lt;&gt;"",IF(VLOOKUP($A39,'Course Table'!$A$2:$K$331,11,FALSE)=VLOOKUP($A38,'Course Table'!$A$2:$K$331,11,FALSE),"",VLOOKUP($A39,'Course Table'!$A$2:$K$331,11,FALSE)),VLOOKUP($A39,'Course Table'!$A$2:$K$331,11,FALSE)))</f>
        <v/>
      </c>
      <c r="E39" s="242" t="str">
        <f>IF($A39&lt;&gt;"",IF(OR($B39="X",$B39="x"),"",IF($B39&lt;&gt;"*",VLOOKUP($A39,'Course Table'!$A$2:$G$331,5,FALSE),'Outline Info'!$B$18)),"")</f>
        <v/>
      </c>
      <c r="F39" s="356">
        <f>IF($A39&lt;&gt;"",IF(OR($B39="X",$B39="x"),0,IF($B39="*",'Outline Info'!$B$19,IF(AND($J39=$I39,$I39&lt;&gt;0),IF($K39=1,VLOOKUP($H39,'Course Table'!$A$2:$G$331,4,FALSE),0),VLOOKUP($A39,'Course Table'!$A$2:$G$331,4,FALSE)))),0)+IF('Student Info'!$B$9="Y",IF(OR(MID($A39,1,5)="BOOKS",MID($A39,1,3)="LAB",RIGHT($A39,5)="BOOKS",RIGHT($A39,3)="LAB"),0,IF($A39&lt;&gt;"",IF(OR($B39="X",$B39="x"),0,IF($B39="*",'Outline Info'!$B$19,IF(AND($J39=$I39,$I39&lt;&gt;0),IF($K39=1,VLOOKUP($H39,'Course Table'!$A$2:$G$331,4,FALSE),0),VLOOKUP($A39,'Course Table'!$A$2:$G$331,4,FALSE)))),0)*'Franchise Info'!$C$12),0)</f>
        <v>0</v>
      </c>
      <c r="G39" s="357">
        <f>IF($A39&lt;&gt;"",IF(OR($B39="X",$B39="x"),0,IF($B39="*",'Outline Info'!$B$19,IF(AND($J39=$I39,$I39&lt;&gt;0),ROUND(VLOOKUP($H39,'Course Table'!$A$2:$G$331,4,FALSE)/$I39,2),VLOOKUP($A39,'Course Table'!$A$2:$G$331,4,FALSE)))),0)</f>
        <v>0</v>
      </c>
      <c r="H39" s="358" t="str">
        <f>IF(OR(B39="X",B39="x"),0,IF(AND($A39&lt;&gt;"",B39&lt;&gt;"*"),VLOOKUP($A39,'Course Table'!$A$2:$G$331,6,FALSE),""))</f>
        <v/>
      </c>
      <c r="I39" s="358" t="str">
        <f>IF(OR(B39="X",B39="x"),0,IF(AND($A39&lt;&gt;"",B39&lt;&gt;"*"),VLOOKUP($A39,'Course Table'!$A$2:$G$331,7,FALSE),""))</f>
        <v/>
      </c>
      <c r="J39" s="303" t="str">
        <f t="shared" si="0"/>
        <v/>
      </c>
      <c r="K39" s="303" t="str">
        <f>IF(AND(B39&lt;&gt;"*",A39&lt;&gt;""),COUNTIF($H$7:$H39,$H39),"")</f>
        <v/>
      </c>
      <c r="L39" s="358">
        <f>IF($A39="",99999,VLOOKUP($A39,'Course Table'!$A$2:$J$331,10,FALSE))</f>
        <v>99999</v>
      </c>
      <c r="M39" s="340"/>
      <c r="N39" s="340"/>
      <c r="O39" s="340"/>
    </row>
    <row r="40" spans="1:15" ht="15" customHeight="1">
      <c r="A40" s="239"/>
      <c r="B40" s="360"/>
      <c r="C40" s="244" t="str">
        <f>IF($A40&lt;&gt;0,HYPERLINK(""&amp;(VLOOKUP($A40,'Course Table'!$A$2:$M$331,13,TRUE)),VLOOKUP($A40,'Course Table'!$A$2:$G$331,2,TRUE)),"")</f>
        <v/>
      </c>
      <c r="D40" s="355" t="str">
        <f>IF(OR($A40="",$B40="X",$B40="x",$B40="*"),"",IF($A39&lt;&gt;"",IF(VLOOKUP($A40,'Course Table'!$A$2:$K$331,11,FALSE)=VLOOKUP($A39,'Course Table'!$A$2:$K$331,11,FALSE),"",VLOOKUP($A40,'Course Table'!$A$2:$K$331,11,FALSE)),VLOOKUP($A40,'Course Table'!$A$2:$K$331,11,FALSE)))</f>
        <v/>
      </c>
      <c r="E40" s="242" t="str">
        <f>IF($A40&lt;&gt;"",IF(OR($B40="X",$B40="x"),"",IF($B40&lt;&gt;"*",VLOOKUP($A40,'Course Table'!$A$2:$G$331,5,FALSE),'Outline Info'!$B$18)),"")</f>
        <v/>
      </c>
      <c r="F40" s="356">
        <f>IF($A40&lt;&gt;"",IF(OR($B40="X",$B40="x"),0,IF($B40="*",'Outline Info'!$B$19,IF(AND($J40=$I40,$I40&lt;&gt;0),IF($K40=1,VLOOKUP($H40,'Course Table'!$A$2:$G$331,4,FALSE),0),VLOOKUP($A40,'Course Table'!$A$2:$G$331,4,FALSE)))),0)+IF('Student Info'!$B$9="Y",IF(OR(MID($A40,1,5)="BOOKS",MID($A40,1,3)="LAB",RIGHT($A40,5)="BOOKS",RIGHT($A40,3)="LAB"),0,IF($A40&lt;&gt;"",IF(OR($B40="X",$B40="x"),0,IF($B40="*",'Outline Info'!$B$19,IF(AND($J40=$I40,$I40&lt;&gt;0),IF($K40=1,VLOOKUP($H40,'Course Table'!$A$2:$G$331,4,FALSE),0),VLOOKUP($A40,'Course Table'!$A$2:$G$331,4,FALSE)))),0)*'Franchise Info'!$C$12),0)</f>
        <v>0</v>
      </c>
      <c r="G40" s="357">
        <f>IF($A40&lt;&gt;"",IF(OR($B40="X",$B40="x"),0,IF($B40="*",'Outline Info'!$B$19,IF(AND($J40=$I40,$I40&lt;&gt;0),ROUND(VLOOKUP($H40,'Course Table'!$A$2:$G$331,4,FALSE)/$I40,2),VLOOKUP($A40,'Course Table'!$A$2:$G$331,4,FALSE)))),0)</f>
        <v>0</v>
      </c>
      <c r="H40" s="358" t="str">
        <f>IF(OR(B40="X",B40="x"),0,IF(AND($A40&lt;&gt;"",B40&lt;&gt;"*"),VLOOKUP($A40,'Course Table'!$A$2:$G$331,6,FALSE),""))</f>
        <v/>
      </c>
      <c r="I40" s="358" t="str">
        <f>IF(OR(B40="X",B40="x"),0,IF(AND($A40&lt;&gt;"",B40&lt;&gt;"*"),VLOOKUP($A40,'Course Table'!$A$2:$G$331,7,FALSE),""))</f>
        <v/>
      </c>
      <c r="J40" s="303" t="str">
        <f t="shared" si="0"/>
        <v/>
      </c>
      <c r="K40" s="303" t="str">
        <f>IF(AND(B40&lt;&gt;"*",A40&lt;&gt;""),COUNTIF($H$7:$H40,$H40),"")</f>
        <v/>
      </c>
      <c r="L40" s="358">
        <f>IF($A40="",99999,VLOOKUP($A40,'Course Table'!$A$2:$J$331,10,FALSE))</f>
        <v>99999</v>
      </c>
      <c r="M40" s="340"/>
      <c r="N40" s="340"/>
      <c r="O40" s="340"/>
    </row>
    <row r="41" spans="1:15" ht="15" customHeight="1">
      <c r="A41" s="239"/>
      <c r="B41" s="360"/>
      <c r="C41" s="244" t="str">
        <f>IF($A41&lt;&gt;0,HYPERLINK(""&amp;(VLOOKUP($A41,'Course Table'!$A$2:$M$331,13,TRUE)),VLOOKUP($A41,'Course Table'!$A$2:$G$331,2,TRUE)),"")</f>
        <v/>
      </c>
      <c r="D41" s="355" t="str">
        <f>IF(OR($A41="",$B41="X",$B41="x",$B41="*"),"",IF($A40&lt;&gt;"",IF(VLOOKUP($A41,'Course Table'!$A$2:$K$331,11,FALSE)=VLOOKUP($A40,'Course Table'!$A$2:$K$331,11,FALSE),"",VLOOKUP($A41,'Course Table'!$A$2:$K$331,11,FALSE)),VLOOKUP($A41,'Course Table'!$A$2:$K$331,11,FALSE)))</f>
        <v/>
      </c>
      <c r="E41" s="242" t="str">
        <f>IF($A41&lt;&gt;"",IF(OR($B41="X",$B41="x"),"",IF($B41&lt;&gt;"*",VLOOKUP($A41,'Course Table'!$A$2:$G$331,5,FALSE),'Outline Info'!$B$18)),"")</f>
        <v/>
      </c>
      <c r="F41" s="356">
        <f>IF($A41&lt;&gt;"",IF(OR($B41="X",$B41="x"),0,IF($B41="*",'Outline Info'!$B$19,IF(AND($J41=$I41,$I41&lt;&gt;0),IF($K41=1,VLOOKUP($H41,'Course Table'!$A$2:$G$331,4,FALSE),0),VLOOKUP($A41,'Course Table'!$A$2:$G$331,4,FALSE)))),0)+IF('Student Info'!$B$9="Y",IF(OR(MID($A41,1,5)="BOOKS",MID($A41,1,3)="LAB",RIGHT($A41,5)="BOOKS",RIGHT($A41,3)="LAB"),0,IF($A41&lt;&gt;"",IF(OR($B41="X",$B41="x"),0,IF($B41="*",'Outline Info'!$B$19,IF(AND($J41=$I41,$I41&lt;&gt;0),IF($K41=1,VLOOKUP($H41,'Course Table'!$A$2:$G$331,4,FALSE),0),VLOOKUP($A41,'Course Table'!$A$2:$G$331,4,FALSE)))),0)*'Franchise Info'!$C$12),0)</f>
        <v>0</v>
      </c>
      <c r="G41" s="357">
        <f>IF($A41&lt;&gt;"",IF(OR($B41="X",$B41="x"),0,IF($B41="*",'Outline Info'!$B$19,IF(AND($J41=$I41,$I41&lt;&gt;0),ROUND(VLOOKUP($H41,'Course Table'!$A$2:$G$331,4,FALSE)/$I41,2),VLOOKUP($A41,'Course Table'!$A$2:$G$331,4,FALSE)))),0)</f>
        <v>0</v>
      </c>
      <c r="H41" s="358" t="str">
        <f>IF(OR(B41="X",B41="x"),0,IF(AND($A41&lt;&gt;"",B41&lt;&gt;"*"),VLOOKUP($A41,'Course Table'!$A$2:$G$331,6,FALSE),""))</f>
        <v/>
      </c>
      <c r="I41" s="358" t="str">
        <f>IF(OR(B41="X",B41="x"),0,IF(AND($A41&lt;&gt;"",B41&lt;&gt;"*"),VLOOKUP($A41,'Course Table'!$A$2:$G$331,7,FALSE),""))</f>
        <v/>
      </c>
      <c r="J41" s="303" t="str">
        <f t="shared" si="0"/>
        <v/>
      </c>
      <c r="K41" s="303" t="str">
        <f>IF(AND(B41&lt;&gt;"*",A41&lt;&gt;""),COUNTIF($H$7:$H41,$H41),"")</f>
        <v/>
      </c>
      <c r="L41" s="358">
        <f>IF($A41="",99999,VLOOKUP($A41,'Course Table'!$A$2:$J$331,10,FALSE))</f>
        <v>99999</v>
      </c>
      <c r="M41" s="340"/>
      <c r="N41" s="340"/>
      <c r="O41" s="340"/>
    </row>
    <row r="42" spans="1:15" ht="15" customHeight="1">
      <c r="A42" s="239"/>
      <c r="B42" s="360"/>
      <c r="C42" s="244" t="str">
        <f>IF($A42&lt;&gt;0,HYPERLINK(""&amp;(VLOOKUP($A42,'Course Table'!$A$2:$M$331,13,TRUE)),VLOOKUP($A42,'Course Table'!$A$2:$G$331,2,TRUE)),"")</f>
        <v/>
      </c>
      <c r="D42" s="355" t="str">
        <f>IF(OR($A42="",$B42="X",$B42="x",$B42="*"),"",IF($A41&lt;&gt;"",IF(VLOOKUP($A42,'Course Table'!$A$2:$K$331,11,FALSE)=VLOOKUP($A41,'Course Table'!$A$2:$K$331,11,FALSE),"",VLOOKUP($A42,'Course Table'!$A$2:$K$331,11,FALSE)),VLOOKUP($A42,'Course Table'!$A$2:$K$331,11,FALSE)))</f>
        <v/>
      </c>
      <c r="E42" s="242" t="str">
        <f>IF($A42&lt;&gt;"",IF(OR($B42="X",$B42="x"),"",IF($B42&lt;&gt;"*",VLOOKUP($A42,'Course Table'!$A$2:$G$331,5,FALSE),'Outline Info'!$B$18)),"")</f>
        <v/>
      </c>
      <c r="F42" s="356">
        <f>IF($A42&lt;&gt;"",IF(OR($B42="X",$B42="x"),0,IF($B42="*",'Outline Info'!$B$19,IF(AND($J42=$I42,$I42&lt;&gt;0),IF($K42=1,VLOOKUP($H42,'Course Table'!$A$2:$G$331,4,FALSE),0),VLOOKUP($A42,'Course Table'!$A$2:$G$331,4,FALSE)))),0)+IF('Student Info'!$B$9="Y",IF(OR(MID($A42,1,5)="BOOKS",MID($A42,1,3)="LAB",RIGHT($A42,5)="BOOKS",RIGHT($A42,3)="LAB"),0,IF($A42&lt;&gt;"",IF(OR($B42="X",$B42="x"),0,IF($B42="*",'Outline Info'!$B$19,IF(AND($J42=$I42,$I42&lt;&gt;0),IF($K42=1,VLOOKUP($H42,'Course Table'!$A$2:$G$331,4,FALSE),0),VLOOKUP($A42,'Course Table'!$A$2:$G$331,4,FALSE)))),0)*'Franchise Info'!$C$12),0)</f>
        <v>0</v>
      </c>
      <c r="G42" s="357">
        <f>IF($A42&lt;&gt;"",IF(OR($B42="X",$B42="x"),0,IF($B42="*",'Outline Info'!$B$19,IF(AND($J42=$I42,$I42&lt;&gt;0),ROUND(VLOOKUP($H42,'Course Table'!$A$2:$G$331,4,FALSE)/$I42,2),VLOOKUP($A42,'Course Table'!$A$2:$G$331,4,FALSE)))),0)</f>
        <v>0</v>
      </c>
      <c r="H42" s="358" t="str">
        <f>IF(OR(B42="X",B42="x"),0,IF(AND($A42&lt;&gt;"",B42&lt;&gt;"*"),VLOOKUP($A42,'Course Table'!$A$2:$G$331,6,FALSE),""))</f>
        <v/>
      </c>
      <c r="I42" s="358" t="str">
        <f>IF(OR(B42="X",B42="x"),0,IF(AND($A42&lt;&gt;"",B42&lt;&gt;"*"),VLOOKUP($A42,'Course Table'!$A$2:$G$331,7,FALSE),""))</f>
        <v/>
      </c>
      <c r="J42" s="303" t="str">
        <f t="shared" si="0"/>
        <v/>
      </c>
      <c r="K42" s="303" t="str">
        <f>IF(AND(B42&lt;&gt;"*",A42&lt;&gt;""),COUNTIF($H$7:$H42,$H42),"")</f>
        <v/>
      </c>
      <c r="L42" s="358">
        <f>IF($A42="",99999,VLOOKUP($A42,'Course Table'!$A$2:$J$331,10,FALSE))</f>
        <v>99999</v>
      </c>
      <c r="M42" s="340"/>
      <c r="N42" s="340"/>
      <c r="O42" s="340"/>
    </row>
    <row r="43" spans="1:15" ht="15" customHeight="1">
      <c r="A43" s="361"/>
      <c r="B43" s="360"/>
      <c r="C43" s="244" t="str">
        <f>IF($A43&lt;&gt;0,HYPERLINK(""&amp;(VLOOKUP($A43,'Course Table'!$A$2:$M$331,13,TRUE)),VLOOKUP($A43,'Course Table'!$A$2:$G$331,2,TRUE)),"")</f>
        <v/>
      </c>
      <c r="D43" s="355" t="str">
        <f>IF(OR($A43="",$B43="X",$B43="x",$B43="*"),"",IF($A42&lt;&gt;"",IF(VLOOKUP($A43,'Course Table'!$A$2:$K$331,11,FALSE)=VLOOKUP($A42,'Course Table'!$A$2:$K$331,11,FALSE),"",VLOOKUP($A43,'Course Table'!$A$2:$K$331,11,FALSE)),VLOOKUP($A43,'Course Table'!$A$2:$K$331,11,FALSE)))</f>
        <v/>
      </c>
      <c r="E43" s="242" t="str">
        <f>IF($A43&lt;&gt;"",IF(OR($B43="X",$B43="x"),"",IF($B43&lt;&gt;"*",VLOOKUP($A43,'Course Table'!$A$2:$G$331,5,FALSE),'Outline Info'!$B$18)),"")</f>
        <v/>
      </c>
      <c r="F43" s="356">
        <f>IF($A43&lt;&gt;"",IF(OR($B43="X",$B43="x"),0,IF($B43="*",'Outline Info'!$B$19,IF(AND($J43=$I43,$I43&lt;&gt;0),IF($K43=1,VLOOKUP($H43,'Course Table'!$A$2:$G$331,4,FALSE),0),VLOOKUP($A43,'Course Table'!$A$2:$G$331,4,FALSE)))),0)+IF('Student Info'!$B$9="Y",IF(OR(MID($A43,1,5)="BOOKS",MID($A43,1,3)="LAB",RIGHT($A43,5)="BOOKS",RIGHT($A43,3)="LAB"),0,IF($A43&lt;&gt;"",IF(OR($B43="X",$B43="x"),0,IF($B43="*",'Outline Info'!$B$19,IF(AND($J43=$I43,$I43&lt;&gt;0),IF($K43=1,VLOOKUP($H43,'Course Table'!$A$2:$G$331,4,FALSE),0),VLOOKUP($A43,'Course Table'!$A$2:$G$331,4,FALSE)))),0)*'Franchise Info'!$C$12),0)</f>
        <v>0</v>
      </c>
      <c r="G43" s="357">
        <f>IF($A43&lt;&gt;"",IF(OR($B43="X",$B43="x"),0,IF($B43="*",'Outline Info'!$B$19,IF(AND($J43=$I43,$I43&lt;&gt;0),ROUND(VLOOKUP($H43,'Course Table'!$A$2:$G$331,4,FALSE)/$I43,2),VLOOKUP($A43,'Course Table'!$A$2:$G$331,4,FALSE)))),0)</f>
        <v>0</v>
      </c>
      <c r="H43" s="358" t="str">
        <f>IF(OR(B43="X",B43="x"),0,IF(AND($A43&lt;&gt;"",B43&lt;&gt;"*"),VLOOKUP($A43,'Course Table'!$A$2:$G$331,6,FALSE),""))</f>
        <v/>
      </c>
      <c r="I43" s="358" t="str">
        <f>IF(OR(B43="X",B43="x"),0,IF(AND($A43&lt;&gt;"",B43&lt;&gt;"*"),VLOOKUP($A43,'Course Table'!$A$2:$G$331,7,FALSE),""))</f>
        <v/>
      </c>
      <c r="J43" s="303" t="str">
        <f t="shared" si="0"/>
        <v/>
      </c>
      <c r="K43" s="303" t="str">
        <f>IF(AND(B43&lt;&gt;"*",A43&lt;&gt;""),COUNTIF($H$7:$H43,$H43),"")</f>
        <v/>
      </c>
      <c r="L43" s="358">
        <f>IF($A43="",99999,VLOOKUP($A43,'Course Table'!$A$2:$J$331,10,FALSE))</f>
        <v>99999</v>
      </c>
      <c r="M43" s="340"/>
      <c r="N43" s="340"/>
      <c r="O43" s="340"/>
    </row>
    <row r="44" spans="1:15" ht="15" customHeight="1">
      <c r="A44" s="361"/>
      <c r="B44" s="360"/>
      <c r="C44" s="244" t="str">
        <f>IF($A44&lt;&gt;0,HYPERLINK(""&amp;(VLOOKUP($A44,'Course Table'!$A$2:$M$331,13,TRUE)),VLOOKUP($A44,'Course Table'!$A$2:$G$331,2,TRUE)),"")</f>
        <v/>
      </c>
      <c r="D44" s="355" t="str">
        <f>IF(OR($A44="",$B44="X",$B44="x",$B44="*"),"",IF($A43&lt;&gt;"",IF(VLOOKUP($A44,'Course Table'!$A$2:$K$331,11,FALSE)=VLOOKUP($A43,'Course Table'!$A$2:$K$331,11,FALSE),"",VLOOKUP($A44,'Course Table'!$A$2:$K$331,11,FALSE)),VLOOKUP($A44,'Course Table'!$A$2:$K$331,11,FALSE)))</f>
        <v/>
      </c>
      <c r="E44" s="242" t="str">
        <f>IF($A44&lt;&gt;"",IF(OR($B44="X",$B44="x"),"",IF($B44&lt;&gt;"*",VLOOKUP($A44,'Course Table'!$A$2:$G$331,5,FALSE),'Outline Info'!$B$18)),"")</f>
        <v/>
      </c>
      <c r="F44" s="356">
        <f>IF($A44&lt;&gt;"",IF(OR($B44="X",$B44="x"),0,IF($B44="*",'Outline Info'!$B$19,IF(AND($J44=$I44,$I44&lt;&gt;0),IF($K44=1,VLOOKUP($H44,'Course Table'!$A$2:$G$331,4,FALSE),0),VLOOKUP($A44,'Course Table'!$A$2:$G$331,4,FALSE)))),0)+IF('Student Info'!$B$9="Y",IF(OR(MID($A44,1,5)="BOOKS",MID($A44,1,3)="LAB",RIGHT($A44,5)="BOOKS",RIGHT($A44,3)="LAB"),0,IF($A44&lt;&gt;"",IF(OR($B44="X",$B44="x"),0,IF($B44="*",'Outline Info'!$B$19,IF(AND($J44=$I44,$I44&lt;&gt;0),IF($K44=1,VLOOKUP($H44,'Course Table'!$A$2:$G$331,4,FALSE),0),VLOOKUP($A44,'Course Table'!$A$2:$G$331,4,FALSE)))),0)*'Franchise Info'!$C$12),0)</f>
        <v>0</v>
      </c>
      <c r="G44" s="357">
        <f>IF($A44&lt;&gt;"",IF(OR($B44="X",$B44="x"),0,IF($B44="*",'Outline Info'!$B$19,IF(AND($J44=$I44,$I44&lt;&gt;0),ROUND(VLOOKUP($H44,'Course Table'!$A$2:$G$331,4,FALSE)/$I44,2),VLOOKUP($A44,'Course Table'!$A$2:$G$331,4,FALSE)))),0)</f>
        <v>0</v>
      </c>
      <c r="H44" s="358" t="str">
        <f>IF(OR(B44="X",B44="x"),0,IF(AND($A44&lt;&gt;"",B44&lt;&gt;"*"),VLOOKUP($A44,'Course Table'!$A$2:$G$331,6,FALSE),""))</f>
        <v/>
      </c>
      <c r="I44" s="358" t="str">
        <f>IF(OR(B44="X",B44="x"),0,IF(AND($A44&lt;&gt;"",B44&lt;&gt;"*"),VLOOKUP($A44,'Course Table'!$A$2:$G$331,7,FALSE),""))</f>
        <v/>
      </c>
      <c r="J44" s="303" t="str">
        <f t="shared" si="0"/>
        <v/>
      </c>
      <c r="K44" s="303" t="str">
        <f>IF(AND(B44&lt;&gt;"*",A44&lt;&gt;""),COUNTIF($H$7:$H44,$H44),"")</f>
        <v/>
      </c>
      <c r="L44" s="358">
        <f>IF($A44="",99999,VLOOKUP($A44,'Course Table'!$A$2:$J$331,10,FALSE))</f>
        <v>99999</v>
      </c>
      <c r="M44" s="340"/>
      <c r="N44" s="340"/>
      <c r="O44" s="340"/>
    </row>
    <row r="45" spans="1:15" ht="15" customHeight="1">
      <c r="A45" s="361"/>
      <c r="B45" s="360"/>
      <c r="C45" s="244" t="str">
        <f>IF($A45&lt;&gt;0,HYPERLINK(""&amp;(VLOOKUP($A45,'Course Table'!$A$2:$M$331,13,TRUE)),VLOOKUP($A45,'Course Table'!$A$2:$G$331,2,TRUE)),"")</f>
        <v/>
      </c>
      <c r="D45" s="355" t="str">
        <f>IF(OR($A45="",$B45="X",$B45="x",$B45="*"),"",IF($A44&lt;&gt;"",IF(VLOOKUP($A45,'Course Table'!$A$2:$K$331,11,FALSE)=VLOOKUP($A44,'Course Table'!$A$2:$K$331,11,FALSE),"",VLOOKUP($A45,'Course Table'!$A$2:$K$331,11,FALSE)),VLOOKUP($A45,'Course Table'!$A$2:$K$331,11,FALSE)))</f>
        <v/>
      </c>
      <c r="E45" s="242" t="str">
        <f>IF($A45&lt;&gt;"",IF(OR($B45="X",$B45="x"),"",IF($B45&lt;&gt;"*",VLOOKUP($A45,'Course Table'!$A$2:$G$331,5,FALSE),'Outline Info'!$B$18)),"")</f>
        <v/>
      </c>
      <c r="F45" s="356">
        <f>IF($A45&lt;&gt;"",IF(OR($B45="X",$B45="x"),0,IF($B45="*",'Outline Info'!$B$19,IF(AND($J45=$I45,$I45&lt;&gt;0),IF($K45=1,VLOOKUP($H45,'Course Table'!$A$2:$G$331,4,FALSE),0),VLOOKUP($A45,'Course Table'!$A$2:$G$331,4,FALSE)))),0)+IF('Student Info'!$B$9="Y",IF(OR(MID($A45,1,5)="BOOKS",MID($A45,1,3)="LAB",RIGHT($A45,5)="BOOKS",RIGHT($A45,3)="LAB"),0,IF($A45&lt;&gt;"",IF(OR($B45="X",$B45="x"),0,IF($B45="*",'Outline Info'!$B$19,IF(AND($J45=$I45,$I45&lt;&gt;0),IF($K45=1,VLOOKUP($H45,'Course Table'!$A$2:$G$331,4,FALSE),0),VLOOKUP($A45,'Course Table'!$A$2:$G$331,4,FALSE)))),0)*'Franchise Info'!$C$12),0)</f>
        <v>0</v>
      </c>
      <c r="G45" s="357">
        <f>IF($A45&lt;&gt;"",IF(OR($B45="X",$B45="x"),0,IF($B45="*",'Outline Info'!$B$19,IF(AND($J45=$I45,$I45&lt;&gt;0),ROUND(VLOOKUP($H45,'Course Table'!$A$2:$G$331,4,FALSE)/$I45,2),VLOOKUP($A45,'Course Table'!$A$2:$G$331,4,FALSE)))),0)</f>
        <v>0</v>
      </c>
      <c r="H45" s="358" t="str">
        <f>IF(OR(B45="X",B45="x"),0,IF(AND($A45&lt;&gt;"",B45&lt;&gt;"*"),VLOOKUP($A45,'Course Table'!$A$2:$G$331,6,FALSE),""))</f>
        <v/>
      </c>
      <c r="I45" s="358" t="str">
        <f>IF(OR(B45="X",B45="x"),0,IF(AND($A45&lt;&gt;"",B45&lt;&gt;"*"),VLOOKUP($A45,'Course Table'!$A$2:$G$331,7,FALSE),""))</f>
        <v/>
      </c>
      <c r="J45" s="303" t="str">
        <f t="shared" si="0"/>
        <v/>
      </c>
      <c r="K45" s="303" t="str">
        <f>IF(AND(B45&lt;&gt;"*",A45&lt;&gt;""),COUNTIF($H$7:$H45,$H45),"")</f>
        <v/>
      </c>
      <c r="L45" s="358">
        <f>IF($A45="",99999,VLOOKUP($A45,'Course Table'!$A$2:$J$331,10,FALSE))</f>
        <v>99999</v>
      </c>
      <c r="M45" s="340"/>
      <c r="N45" s="340"/>
      <c r="O45" s="340"/>
    </row>
    <row r="46" spans="1:15" ht="15" customHeight="1">
      <c r="A46" s="361"/>
      <c r="B46" s="360"/>
      <c r="C46" s="244" t="str">
        <f>IF($A46&lt;&gt;0,HYPERLINK(""&amp;(VLOOKUP($A46,'Course Table'!$A$2:$M$331,13,TRUE)),VLOOKUP($A46,'Course Table'!$A$2:$G$331,2,TRUE)),"")</f>
        <v/>
      </c>
      <c r="D46" s="355" t="str">
        <f>IF(OR($A46="",$B46="X",$B46="x",$B46="*"),"",IF($A45&lt;&gt;"",IF(VLOOKUP($A46,'Course Table'!$A$2:$K$331,11,FALSE)=VLOOKUP($A45,'Course Table'!$A$2:$K$331,11,FALSE),"",VLOOKUP($A46,'Course Table'!$A$2:$K$331,11,FALSE)),VLOOKUP($A46,'Course Table'!$A$2:$K$331,11,FALSE)))</f>
        <v/>
      </c>
      <c r="E46" s="242" t="str">
        <f>IF($A46&lt;&gt;"",IF(OR($B46="X",$B46="x"),"",IF($B46&lt;&gt;"*",VLOOKUP($A46,'Course Table'!$A$2:$G$331,5,FALSE),'Outline Info'!$B$18)),"")</f>
        <v/>
      </c>
      <c r="F46" s="356">
        <f>IF($A46&lt;&gt;"",IF(OR($B46="X",$B46="x"),0,IF($B46="*",'Outline Info'!$B$19,IF(AND($J46=$I46,$I46&lt;&gt;0),IF($K46=1,VLOOKUP($H46,'Course Table'!$A$2:$G$331,4,FALSE),0),VLOOKUP($A46,'Course Table'!$A$2:$G$331,4,FALSE)))),0)+IF('Student Info'!$B$9="Y",IF(OR(MID($A46,1,5)="BOOKS",MID($A46,1,3)="LAB",RIGHT($A46,5)="BOOKS",RIGHT($A46,3)="LAB"),0,IF($A46&lt;&gt;"",IF(OR($B46="X",$B46="x"),0,IF($B46="*",'Outline Info'!$B$19,IF(AND($J46=$I46,$I46&lt;&gt;0),IF($K46=1,VLOOKUP($H46,'Course Table'!$A$2:$G$331,4,FALSE),0),VLOOKUP($A46,'Course Table'!$A$2:$G$331,4,FALSE)))),0)*'Franchise Info'!$C$12),0)</f>
        <v>0</v>
      </c>
      <c r="G46" s="357">
        <f>IF($A46&lt;&gt;"",IF(OR($B46="X",$B46="x"),0,IF($B46="*",'Outline Info'!$B$19,IF(AND($J46=$I46,$I46&lt;&gt;0),ROUND(VLOOKUP($H46,'Course Table'!$A$2:$G$331,4,FALSE)/$I46,2),VLOOKUP($A46,'Course Table'!$A$2:$G$331,4,FALSE)))),0)</f>
        <v>0</v>
      </c>
      <c r="H46" s="358" t="str">
        <f>IF(OR(B46="X",B46="x"),0,IF(AND($A46&lt;&gt;"",B46&lt;&gt;"*"),VLOOKUP($A46,'Course Table'!$A$2:$G$331,6,FALSE),""))</f>
        <v/>
      </c>
      <c r="I46" s="358" t="str">
        <f>IF(OR(B46="X",B46="x"),0,IF(AND($A46&lt;&gt;"",B46&lt;&gt;"*"),VLOOKUP($A46,'Course Table'!$A$2:$G$331,7,FALSE),""))</f>
        <v/>
      </c>
      <c r="J46" s="303" t="str">
        <f t="shared" si="0"/>
        <v/>
      </c>
      <c r="K46" s="303" t="str">
        <f>IF(AND(B46&lt;&gt;"*",A46&lt;&gt;""),COUNTIF($H$7:$H46,$H46),"")</f>
        <v/>
      </c>
      <c r="L46" s="358">
        <f>IF($A46="",99999,VLOOKUP($A46,'Course Table'!$A$2:$J$331,10,FALSE))</f>
        <v>99999</v>
      </c>
      <c r="M46" s="340"/>
      <c r="N46" s="340"/>
      <c r="O46" s="340"/>
    </row>
    <row r="47" spans="1:15" ht="15" customHeight="1">
      <c r="A47" s="361"/>
      <c r="B47" s="360"/>
      <c r="C47" s="244" t="str">
        <f>IF($A47&lt;&gt;0,HYPERLINK(""&amp;(VLOOKUP($A47,'Course Table'!$A$2:$M$331,13,TRUE)),VLOOKUP($A47,'Course Table'!$A$2:$G$331,2,TRUE)),"")</f>
        <v/>
      </c>
      <c r="D47" s="355" t="str">
        <f>IF(OR($A47="",$B47="X",$B47="x",$B47="*"),"",IF($A46&lt;&gt;"",IF(VLOOKUP($A47,'Course Table'!$A$2:$K$331,11,FALSE)=VLOOKUP($A46,'Course Table'!$A$2:$K$331,11,FALSE),"",VLOOKUP($A47,'Course Table'!$A$2:$K$331,11,FALSE)),VLOOKUP($A47,'Course Table'!$A$2:$K$331,11,FALSE)))</f>
        <v/>
      </c>
      <c r="E47" s="242" t="str">
        <f>IF($A47&lt;&gt;"",IF(OR($B47="X",$B47="x"),"",IF($B47&lt;&gt;"*",VLOOKUP($A47,'Course Table'!$A$2:$G$331,5,FALSE),'Outline Info'!$B$18)),"")</f>
        <v/>
      </c>
      <c r="F47" s="356">
        <f>IF($A47&lt;&gt;"",IF(OR($B47="X",$B47="x"),0,IF($B47="*",'Outline Info'!$B$19,IF(AND($J47=$I47,$I47&lt;&gt;0),IF($K47=1,VLOOKUP($H47,'Course Table'!$A$2:$G$331,4,FALSE),0),VLOOKUP($A47,'Course Table'!$A$2:$G$331,4,FALSE)))),0)+IF('Student Info'!$B$9="Y",IF(OR(MID($A47,1,5)="BOOKS",MID($A47,1,3)="LAB",RIGHT($A47,5)="BOOKS",RIGHT($A47,3)="LAB"),0,IF($A47&lt;&gt;"",IF(OR($B47="X",$B47="x"),0,IF($B47="*",'Outline Info'!$B$19,IF(AND($J47=$I47,$I47&lt;&gt;0),IF($K47=1,VLOOKUP($H47,'Course Table'!$A$2:$G$331,4,FALSE),0),VLOOKUP($A47,'Course Table'!$A$2:$G$331,4,FALSE)))),0)*'Franchise Info'!$C$12),0)</f>
        <v>0</v>
      </c>
      <c r="G47" s="357">
        <f>IF($A47&lt;&gt;"",IF(OR($B47="X",$B47="x"),0,IF($B47="*",'Outline Info'!$B$19,IF(AND($J47=$I47,$I47&lt;&gt;0),ROUND(VLOOKUP($H47,'Course Table'!$A$2:$G$331,4,FALSE)/$I47,2),VLOOKUP($A47,'Course Table'!$A$2:$G$331,4,FALSE)))),0)</f>
        <v>0</v>
      </c>
      <c r="H47" s="358" t="str">
        <f>IF(OR(B47="X",B47="x"),0,IF(AND($A47&lt;&gt;"",B47&lt;&gt;"*"),VLOOKUP($A47,'Course Table'!$A$2:$G$331,6,FALSE),""))</f>
        <v/>
      </c>
      <c r="I47" s="358" t="str">
        <f>IF(OR(B47="X",B47="x"),0,IF(AND($A47&lt;&gt;"",B47&lt;&gt;"*"),VLOOKUP($A47,'Course Table'!$A$2:$G$331,7,FALSE),""))</f>
        <v/>
      </c>
      <c r="J47" s="303" t="str">
        <f t="shared" si="0"/>
        <v/>
      </c>
      <c r="K47" s="303" t="str">
        <f>IF(AND(B47&lt;&gt;"*",A47&lt;&gt;""),COUNTIF($H$7:$H47,$H47),"")</f>
        <v/>
      </c>
      <c r="L47" s="358">
        <f>IF($A47="",99999,VLOOKUP($A47,'Course Table'!$A$2:$J$331,10,FALSE))</f>
        <v>99999</v>
      </c>
      <c r="M47" s="340"/>
      <c r="N47" s="340"/>
      <c r="O47" s="340"/>
    </row>
    <row r="48" spans="1:15" ht="15" customHeight="1">
      <c r="A48" s="361"/>
      <c r="B48" s="360"/>
      <c r="C48" s="244" t="str">
        <f>IF($A48&lt;&gt;0,HYPERLINK(""&amp;(VLOOKUP($A48,'Course Table'!$A$2:$M$331,13,TRUE)),VLOOKUP($A48,'Course Table'!$A$2:$G$331,2,TRUE)),"")</f>
        <v/>
      </c>
      <c r="D48" s="355" t="str">
        <f>IF(OR($A48="",$B48="X",$B48="x",$B48="*"),"",IF($A47&lt;&gt;"",IF(VLOOKUP($A48,'Course Table'!$A$2:$K$331,11,FALSE)=VLOOKUP($A47,'Course Table'!$A$2:$K$331,11,FALSE),"",VLOOKUP($A48,'Course Table'!$A$2:$K$331,11,FALSE)),VLOOKUP($A48,'Course Table'!$A$2:$K$331,11,FALSE)))</f>
        <v/>
      </c>
      <c r="E48" s="242" t="str">
        <f>IF($A48&lt;&gt;"",IF(OR($B48="X",$B48="x"),"",IF($B48&lt;&gt;"*",VLOOKUP($A48,'Course Table'!$A$2:$G$331,5,FALSE),'Outline Info'!$B$18)),"")</f>
        <v/>
      </c>
      <c r="F48" s="356">
        <f>IF($A48&lt;&gt;"",IF(OR($B48="X",$B48="x"),0,IF($B48="*",'Outline Info'!$B$19,IF(AND($J48=$I48,$I48&lt;&gt;0),IF($K48=1,VLOOKUP($H48,'Course Table'!$A$2:$G$331,4,FALSE),0),VLOOKUP($A48,'Course Table'!$A$2:$G$331,4,FALSE)))),0)+IF('Student Info'!$B$9="Y",IF(OR(MID($A48,1,5)="BOOKS",MID($A48,1,3)="LAB",RIGHT($A48,5)="BOOKS",RIGHT($A48,3)="LAB"),0,IF($A48&lt;&gt;"",IF(OR($B48="X",$B48="x"),0,IF($B48="*",'Outline Info'!$B$19,IF(AND($J48=$I48,$I48&lt;&gt;0),IF($K48=1,VLOOKUP($H48,'Course Table'!$A$2:$G$331,4,FALSE),0),VLOOKUP($A48,'Course Table'!$A$2:$G$331,4,FALSE)))),0)*'Franchise Info'!$C$12),0)</f>
        <v>0</v>
      </c>
      <c r="G48" s="357">
        <f>IF($A48&lt;&gt;"",IF(OR($B48="X",$B48="x"),0,IF($B48="*",'Outline Info'!$B$19,IF(AND($J48=$I48,$I48&lt;&gt;0),ROUND(VLOOKUP($H48,'Course Table'!$A$2:$G$331,4,FALSE)/$I48,2),VLOOKUP($A48,'Course Table'!$A$2:$G$331,4,FALSE)))),0)</f>
        <v>0</v>
      </c>
      <c r="H48" s="358" t="str">
        <f>IF(OR(B48="X",B48="x"),0,IF(AND($A48&lt;&gt;"",B48&lt;&gt;"*"),VLOOKUP($A48,'Course Table'!$A$2:$G$331,6,FALSE),""))</f>
        <v/>
      </c>
      <c r="I48" s="358" t="str">
        <f>IF(OR(B48="X",B48="x"),0,IF(AND($A48&lt;&gt;"",B48&lt;&gt;"*"),VLOOKUP($A48,'Course Table'!$A$2:$G$331,7,FALSE),""))</f>
        <v/>
      </c>
      <c r="J48" s="303" t="str">
        <f t="shared" si="0"/>
        <v/>
      </c>
      <c r="K48" s="303" t="str">
        <f>IF(AND(B48&lt;&gt;"*",A48&lt;&gt;""),COUNTIF($H$7:$H48,$H48),"")</f>
        <v/>
      </c>
      <c r="L48" s="358">
        <f>IF($A48="",99999,VLOOKUP($A48,'Course Table'!$A$2:$J$331,10,FALSE))</f>
        <v>99999</v>
      </c>
      <c r="M48" s="340"/>
      <c r="N48" s="340"/>
      <c r="O48" s="340"/>
    </row>
    <row r="49" spans="1:15" ht="15" customHeight="1">
      <c r="A49" s="361"/>
      <c r="B49" s="360"/>
      <c r="C49" s="244" t="str">
        <f>IF($A49&lt;&gt;0,HYPERLINK(""&amp;(VLOOKUP($A49,'Course Table'!$A$2:$M$331,13,TRUE)),VLOOKUP($A49,'Course Table'!$A$2:$G$331,2,TRUE)),"")</f>
        <v/>
      </c>
      <c r="D49" s="355" t="str">
        <f>IF(OR($A49="",$B49="X",$B49="x",$B49="*"),"",IF($A48&lt;&gt;"",IF(VLOOKUP($A49,'Course Table'!$A$2:$K$331,11,FALSE)=VLOOKUP($A48,'Course Table'!$A$2:$K$331,11,FALSE),"",VLOOKUP($A49,'Course Table'!$A$2:$K$331,11,FALSE)),VLOOKUP($A49,'Course Table'!$A$2:$K$331,11,FALSE)))</f>
        <v/>
      </c>
      <c r="E49" s="242" t="str">
        <f>IF($A49&lt;&gt;"",IF(OR($B49="X",$B49="x"),"",IF($B49&lt;&gt;"*",VLOOKUP($A49,'Course Table'!$A$2:$G$331,5,FALSE),'Outline Info'!$B$18)),"")</f>
        <v/>
      </c>
      <c r="F49" s="356">
        <f>IF($A49&lt;&gt;"",IF(OR($B49="X",$B49="x"),0,IF($B49="*",'Outline Info'!$B$19,IF(AND($J49=$I49,$I49&lt;&gt;0),IF($K49=1,VLOOKUP($H49,'Course Table'!$A$2:$G$331,4,FALSE),0),VLOOKUP($A49,'Course Table'!$A$2:$G$331,4,FALSE)))),0)+IF('Student Info'!$B$9="Y",IF(OR(MID($A49,1,5)="BOOKS",MID($A49,1,3)="LAB",RIGHT($A49,5)="BOOKS",RIGHT($A49,3)="LAB"),0,IF($A49&lt;&gt;"",IF(OR($B49="X",$B49="x"),0,IF($B49="*",'Outline Info'!$B$19,IF(AND($J49=$I49,$I49&lt;&gt;0),IF($K49=1,VLOOKUP($H49,'Course Table'!$A$2:$G$331,4,FALSE),0),VLOOKUP($A49,'Course Table'!$A$2:$G$331,4,FALSE)))),0)*'Franchise Info'!$C$12),0)</f>
        <v>0</v>
      </c>
      <c r="G49" s="357">
        <f>IF($A49&lt;&gt;"",IF(OR($B49="X",$B49="x"),0,IF($B49="*",'Outline Info'!$B$19,IF(AND($J49=$I49,$I49&lt;&gt;0),ROUND(VLOOKUP($H49,'Course Table'!$A$2:$G$331,4,FALSE)/$I49,2),VLOOKUP($A49,'Course Table'!$A$2:$G$331,4,FALSE)))),0)</f>
        <v>0</v>
      </c>
      <c r="H49" s="358" t="str">
        <f>IF(OR(B49="X",B49="x"),0,IF(AND($A49&lt;&gt;"",B49&lt;&gt;"*"),VLOOKUP($A49,'Course Table'!$A$2:$G$331,6,FALSE),""))</f>
        <v/>
      </c>
      <c r="I49" s="358" t="str">
        <f>IF(OR(B49="X",B49="x"),0,IF(AND($A49&lt;&gt;"",B49&lt;&gt;"*"),VLOOKUP($A49,'Course Table'!$A$2:$G$331,7,FALSE),""))</f>
        <v/>
      </c>
      <c r="J49" s="303" t="str">
        <f t="shared" si="0"/>
        <v/>
      </c>
      <c r="K49" s="303" t="str">
        <f>IF(AND(B49&lt;&gt;"*",A49&lt;&gt;""),COUNTIF($H$7:$H49,$H49),"")</f>
        <v/>
      </c>
      <c r="L49" s="358">
        <f>IF($A49="",99999,VLOOKUP($A49,'Course Table'!$A$2:$J$331,10,FALSE))</f>
        <v>99999</v>
      </c>
      <c r="M49" s="340"/>
      <c r="N49" s="340"/>
      <c r="O49" s="340"/>
    </row>
    <row r="50" spans="1:15" ht="15" customHeight="1">
      <c r="A50" s="361"/>
      <c r="B50" s="360"/>
      <c r="C50" s="244" t="str">
        <f>IF($A50&lt;&gt;0,HYPERLINK(""&amp;(VLOOKUP($A50,'Course Table'!$A$2:$M$331,13,TRUE)),VLOOKUP($A50,'Course Table'!$A$2:$G$331,2,TRUE)),"")</f>
        <v/>
      </c>
      <c r="D50" s="355" t="str">
        <f>IF(OR($A50="",$B50="X",$B50="x",$B50="*"),"",IF($A49&lt;&gt;"",IF(VLOOKUP($A50,'Course Table'!$A$2:$K$331,11,FALSE)=VLOOKUP($A49,'Course Table'!$A$2:$K$331,11,FALSE),"",VLOOKUP($A50,'Course Table'!$A$2:$K$331,11,FALSE)),VLOOKUP($A50,'Course Table'!$A$2:$K$331,11,FALSE)))</f>
        <v/>
      </c>
      <c r="E50" s="242" t="str">
        <f>IF($A50&lt;&gt;"",IF(OR($B50="X",$B50="x"),"",IF($B50&lt;&gt;"*",VLOOKUP($A50,'Course Table'!$A$2:$G$331,5,FALSE),'Outline Info'!$B$18)),"")</f>
        <v/>
      </c>
      <c r="F50" s="356">
        <f>IF($A50&lt;&gt;"",IF(OR($B50="X",$B50="x"),0,IF($B50="*",'Outline Info'!$B$19,IF(AND($J50=$I50,$I50&lt;&gt;0),IF($K50=1,VLOOKUP($H50,'Course Table'!$A$2:$G$331,4,FALSE),0),VLOOKUP($A50,'Course Table'!$A$2:$G$331,4,FALSE)))),0)+IF('Student Info'!$B$9="Y",IF(OR(MID($A50,1,5)="BOOKS",MID($A50,1,3)="LAB",RIGHT($A50,5)="BOOKS",RIGHT($A50,3)="LAB"),0,IF($A50&lt;&gt;"",IF(OR($B50="X",$B50="x"),0,IF($B50="*",'Outline Info'!$B$19,IF(AND($J50=$I50,$I50&lt;&gt;0),IF($K50=1,VLOOKUP($H50,'Course Table'!$A$2:$G$331,4,FALSE),0),VLOOKUP($A50,'Course Table'!$A$2:$G$331,4,FALSE)))),0)*'Franchise Info'!$C$12),0)</f>
        <v>0</v>
      </c>
      <c r="G50" s="357">
        <f>IF($A50&lt;&gt;"",IF(OR($B50="X",$B50="x"),0,IF($B50="*",'Outline Info'!$B$19,IF(AND($J50=$I50,$I50&lt;&gt;0),ROUND(VLOOKUP($H50,'Course Table'!$A$2:$G$331,4,FALSE)/$I50,2),VLOOKUP($A50,'Course Table'!$A$2:$G$331,4,FALSE)))),0)</f>
        <v>0</v>
      </c>
      <c r="H50" s="358" t="str">
        <f>IF(OR(B50="X",B50="x"),0,IF(AND($A50&lt;&gt;"",B50&lt;&gt;"*"),VLOOKUP($A50,'Course Table'!$A$2:$G$331,6,FALSE),""))</f>
        <v/>
      </c>
      <c r="I50" s="358" t="str">
        <f>IF(OR(B50="X",B50="x"),0,IF(AND($A50&lt;&gt;"",B50&lt;&gt;"*"),VLOOKUP($A50,'Course Table'!$A$2:$G$331,7,FALSE),""))</f>
        <v/>
      </c>
      <c r="J50" s="303" t="str">
        <f t="shared" si="0"/>
        <v/>
      </c>
      <c r="K50" s="303" t="str">
        <f>IF(AND(B50&lt;&gt;"*",A50&lt;&gt;""),COUNTIF($H$7:$H50,$H50),"")</f>
        <v/>
      </c>
      <c r="L50" s="358">
        <f>IF($A50="",99999,VLOOKUP($A50,'Course Table'!$A$2:$J$331,10,FALSE))</f>
        <v>99999</v>
      </c>
      <c r="M50" s="340"/>
      <c r="N50" s="340"/>
      <c r="O50" s="340"/>
    </row>
    <row r="51" spans="1:15" ht="15" customHeight="1">
      <c r="A51" s="361"/>
      <c r="B51" s="360"/>
      <c r="C51" s="244" t="str">
        <f>IF($A51&lt;&gt;0,HYPERLINK(""&amp;(VLOOKUP($A51,'Course Table'!$A$2:$M$331,13,TRUE)),VLOOKUP($A51,'Course Table'!$A$2:$G$331,2,TRUE)),"")</f>
        <v/>
      </c>
      <c r="D51" s="355" t="str">
        <f>IF(OR($A51="",$B51="X",$B51="x",$B51="*"),"",IF($A50&lt;&gt;"",IF(VLOOKUP($A51,'Course Table'!$A$2:$K$331,11,FALSE)=VLOOKUP($A50,'Course Table'!$A$2:$K$331,11,FALSE),"",VLOOKUP($A51,'Course Table'!$A$2:$K$331,11,FALSE)),VLOOKUP($A51,'Course Table'!$A$2:$K$331,11,FALSE)))</f>
        <v/>
      </c>
      <c r="E51" s="242" t="str">
        <f>IF($A51&lt;&gt;"",IF(OR($B51="X",$B51="x"),"",IF($B51&lt;&gt;"*",VLOOKUP($A51,'Course Table'!$A$2:$G$331,5,FALSE),'Outline Info'!$B$18)),"")</f>
        <v/>
      </c>
      <c r="F51" s="356">
        <f>IF($A51&lt;&gt;"",IF(OR($B51="X",$B51="x"),0,IF($B51="*",'Outline Info'!$B$19,IF(AND($J51=$I51,$I51&lt;&gt;0),IF($K51=1,VLOOKUP($H51,'Course Table'!$A$2:$G$331,4,FALSE),0),VLOOKUP($A51,'Course Table'!$A$2:$G$331,4,FALSE)))),0)+IF('Student Info'!$B$9="Y",IF(OR(MID($A51,1,5)="BOOKS",MID($A51,1,3)="LAB",RIGHT($A51,5)="BOOKS",RIGHT($A51,3)="LAB"),0,IF($A51&lt;&gt;"",IF(OR($B51="X",$B51="x"),0,IF($B51="*",'Outline Info'!$B$19,IF(AND($J51=$I51,$I51&lt;&gt;0),IF($K51=1,VLOOKUP($H51,'Course Table'!$A$2:$G$331,4,FALSE),0),VLOOKUP($A51,'Course Table'!$A$2:$G$331,4,FALSE)))),0)*'Franchise Info'!$C$12),0)</f>
        <v>0</v>
      </c>
      <c r="G51" s="357">
        <f>IF($A51&lt;&gt;"",IF(OR($B51="X",$B51="x"),0,IF($B51="*",'Outline Info'!$B$19,IF(AND($J51=$I51,$I51&lt;&gt;0),ROUND(VLOOKUP($H51,'Course Table'!$A$2:$G$331,4,FALSE)/$I51,2),VLOOKUP($A51,'Course Table'!$A$2:$G$331,4,FALSE)))),0)</f>
        <v>0</v>
      </c>
      <c r="H51" s="358" t="str">
        <f>IF(OR(B51="X",B51="x"),0,IF(AND($A51&lt;&gt;"",B51&lt;&gt;"*"),VLOOKUP($A51,'Course Table'!$A$2:$G$331,6,FALSE),""))</f>
        <v/>
      </c>
      <c r="I51" s="358" t="str">
        <f>IF(OR(B51="X",B51="x"),0,IF(AND($A51&lt;&gt;"",B51&lt;&gt;"*"),VLOOKUP($A51,'Course Table'!$A$2:$G$331,7,FALSE),""))</f>
        <v/>
      </c>
      <c r="J51" s="303" t="str">
        <f t="shared" si="0"/>
        <v/>
      </c>
      <c r="K51" s="303" t="str">
        <f>IF(AND(B51&lt;&gt;"*",A51&lt;&gt;""),COUNTIF($H$7:$H51,$H51),"")</f>
        <v/>
      </c>
      <c r="L51" s="358">
        <f>IF($A51="",99999,VLOOKUP($A51,'Course Table'!$A$2:$J$331,10,FALSE))</f>
        <v>99999</v>
      </c>
      <c r="M51" s="340"/>
      <c r="N51" s="340"/>
      <c r="O51" s="340"/>
    </row>
    <row r="52" spans="1:15" ht="15" customHeight="1">
      <c r="A52" s="361"/>
      <c r="B52" s="360"/>
      <c r="C52" s="244" t="str">
        <f>IF($A52&lt;&gt;0,HYPERLINK(""&amp;(VLOOKUP($A52,'Course Table'!$A$2:$M$331,13,TRUE)),VLOOKUP($A52,'Course Table'!$A$2:$G$331,2,TRUE)),"")</f>
        <v/>
      </c>
      <c r="D52" s="355" t="str">
        <f>IF(OR($A52="",$B52="X",$B52="x",$B52="*"),"",IF($A51&lt;&gt;"",IF(VLOOKUP($A52,'Course Table'!$A$2:$K$331,11,FALSE)=VLOOKUP($A51,'Course Table'!$A$2:$K$331,11,FALSE),"",VLOOKUP($A52,'Course Table'!$A$2:$K$331,11,FALSE)),VLOOKUP($A52,'Course Table'!$A$2:$K$331,11,FALSE)))</f>
        <v/>
      </c>
      <c r="E52" s="242" t="str">
        <f>IF($A52&lt;&gt;"",IF(OR($B52="X",$B52="x"),"",IF($B52&lt;&gt;"*",VLOOKUP($A52,'Course Table'!$A$2:$G$331,5,FALSE),'Outline Info'!$B$18)),"")</f>
        <v/>
      </c>
      <c r="F52" s="356">
        <f>IF($A52&lt;&gt;"",IF(OR($B52="X",$B52="x"),0,IF($B52="*",'Outline Info'!$B$19,IF(AND($J52=$I52,$I52&lt;&gt;0),IF($K52=1,VLOOKUP($H52,'Course Table'!$A$2:$G$331,4,FALSE),0),VLOOKUP($A52,'Course Table'!$A$2:$G$331,4,FALSE)))),0)+IF('Student Info'!$B$9="Y",IF(OR(MID($A52,1,5)="BOOKS",MID($A52,1,3)="LAB",RIGHT($A52,5)="BOOKS",RIGHT($A52,3)="LAB"),0,IF($A52&lt;&gt;"",IF(OR($B52="X",$B52="x"),0,IF($B52="*",'Outline Info'!$B$19,IF(AND($J52=$I52,$I52&lt;&gt;0),IF($K52=1,VLOOKUP($H52,'Course Table'!$A$2:$G$331,4,FALSE),0),VLOOKUP($A52,'Course Table'!$A$2:$G$331,4,FALSE)))),0)*'Franchise Info'!$C$12),0)</f>
        <v>0</v>
      </c>
      <c r="G52" s="357">
        <f>IF($A52&lt;&gt;"",IF(OR($B52="X",$B52="x"),0,IF($B52="*",'Outline Info'!$B$19,IF(AND($J52=$I52,$I52&lt;&gt;0),ROUND(VLOOKUP($H52,'Course Table'!$A$2:$G$331,4,FALSE)/$I52,2),VLOOKUP($A52,'Course Table'!$A$2:$G$331,4,FALSE)))),0)</f>
        <v>0</v>
      </c>
      <c r="H52" s="358" t="str">
        <f>IF(OR(B52="X",B52="x"),0,IF(AND($A52&lt;&gt;"",B52&lt;&gt;"*"),VLOOKUP($A52,'Course Table'!$A$2:$G$331,6,FALSE),""))</f>
        <v/>
      </c>
      <c r="I52" s="358" t="str">
        <f>IF(OR(B52="X",B52="x"),0,IF(AND($A52&lt;&gt;"",B52&lt;&gt;"*"),VLOOKUP($A52,'Course Table'!$A$2:$G$331,7,FALSE),""))</f>
        <v/>
      </c>
      <c r="J52" s="303" t="str">
        <f t="shared" si="0"/>
        <v/>
      </c>
      <c r="K52" s="303" t="str">
        <f>IF(AND(B52&lt;&gt;"*",A52&lt;&gt;""),COUNTIF($H$7:$H52,$H52),"")</f>
        <v/>
      </c>
      <c r="L52" s="358">
        <f>IF($A52="",99999,VLOOKUP($A52,'Course Table'!$A$2:$J$331,10,FALSE))</f>
        <v>99999</v>
      </c>
      <c r="M52" s="340"/>
      <c r="N52" s="340"/>
      <c r="O52" s="340"/>
    </row>
    <row r="53" spans="1:15" s="362" customFormat="1" ht="15" customHeight="1" thickBot="1">
      <c r="A53" s="361"/>
      <c r="B53" s="360"/>
      <c r="C53" s="244" t="str">
        <f>IF($A53&lt;&gt;0,HYPERLINK(""&amp;(VLOOKUP($A53,'Course Table'!$A$2:$M$331,13,TRUE)),VLOOKUP($A53,'Course Table'!$A$2:$G$331,2,TRUE)),"")</f>
        <v/>
      </c>
      <c r="D53" s="355" t="str">
        <f>IF(OR($A53="",$B53="X",$B53="x",$B53="*"),"",IF($A52&lt;&gt;"",IF(VLOOKUP($A53,'Course Table'!$A$2:$K$331,11,FALSE)=VLOOKUP($A52,'Course Table'!$A$2:$K$331,11,FALSE),"",VLOOKUP($A53,'Course Table'!$A$2:$K$331,11,FALSE)),VLOOKUP($A53,'Course Table'!$A$2:$K$331,11,FALSE)))</f>
        <v/>
      </c>
      <c r="E53" s="242" t="str">
        <f>IF($A53&lt;&gt;"",IF(OR($B53="X",$B53="x"),"",IF($B53&lt;&gt;"*",VLOOKUP($A53,'Course Table'!$A$2:$G$331,5,FALSE),'Outline Info'!$B$18)),"")</f>
        <v/>
      </c>
      <c r="F53" s="356">
        <f>IF($A53&lt;&gt;"",IF(OR($B53="X",$B53="x"),0,IF($B53="*",'Outline Info'!$B$19,IF(AND($J53=$I53,$I53&lt;&gt;0),IF($K53=1,VLOOKUP($H53,'Course Table'!$A$2:$G$331,4,FALSE),0),VLOOKUP($A53,'Course Table'!$A$2:$G$331,4,FALSE)))),0)+IF('Student Info'!$B$9="Y",IF(OR(MID($A53,1,5)="BOOKS",MID($A53,1,3)="LAB",RIGHT($A53,5)="BOOKS",RIGHT($A53,3)="LAB"),0,IF($A53&lt;&gt;"",IF(OR($B53="X",$B53="x"),0,IF($B53="*",'Outline Info'!$B$19,IF(AND($J53=$I53,$I53&lt;&gt;0),IF($K53=1,VLOOKUP($H53,'Course Table'!$A$2:$G$331,4,FALSE),0),VLOOKUP($A53,'Course Table'!$A$2:$G$331,4,FALSE)))),0)*'Franchise Info'!$C$12),0)</f>
        <v>0</v>
      </c>
      <c r="G53" s="357">
        <f>IF($A53&lt;&gt;"",IF(OR($B53="X",$B53="x"),0,IF($B53="*",'Outline Info'!$B$19,IF(AND($J53=$I53,$I53&lt;&gt;0),ROUND(VLOOKUP($H53,'Course Table'!$A$2:$G$331,4,FALSE)/$I53,2),VLOOKUP($A53,'Course Table'!$A$2:$G$331,4,FALSE)))),0)</f>
        <v>0</v>
      </c>
      <c r="H53" s="358" t="str">
        <f>IF(OR(B53="X",B53="x"),0,IF(AND($A53&lt;&gt;"",B53&lt;&gt;"*"),VLOOKUP($A53,'Course Table'!$A$2:$G$331,6,FALSE),""))</f>
        <v/>
      </c>
      <c r="I53" s="358" t="str">
        <f>IF(OR(B53="X",B53="x"),0,IF(AND($A53&lt;&gt;"",B53&lt;&gt;"*"),VLOOKUP($A53,'Course Table'!$A$2:$G$331,7,FALSE),""))</f>
        <v/>
      </c>
      <c r="J53" s="303" t="str">
        <f t="shared" si="0"/>
        <v/>
      </c>
      <c r="K53" s="303" t="str">
        <f>IF(AND(B53&lt;&gt;"*",A53&lt;&gt;""),COUNTIF($H$7:$H53,$H53),"")</f>
        <v/>
      </c>
      <c r="L53" s="358">
        <f>IF($A53="",99999,VLOOKUP($A53,'Course Table'!$A$2:$J$331,10,FALSE))</f>
        <v>99999</v>
      </c>
      <c r="M53" s="350"/>
      <c r="N53" s="350"/>
      <c r="O53" s="350"/>
    </row>
    <row r="54" spans="1:15" s="387" customFormat="1" ht="15" customHeight="1" thickBot="1">
      <c r="A54" s="1067" t="s">
        <v>171</v>
      </c>
      <c r="B54" s="1068"/>
      <c r="C54" s="1068"/>
      <c r="D54" s="1068"/>
      <c r="E54" s="1068"/>
      <c r="F54" s="1069"/>
      <c r="G54" s="383"/>
      <c r="H54" s="384"/>
      <c r="I54" s="384"/>
      <c r="J54" s="385"/>
      <c r="K54" s="385"/>
      <c r="L54" s="384"/>
      <c r="M54" s="386"/>
      <c r="N54" s="386"/>
      <c r="O54" s="386"/>
    </row>
    <row r="55" spans="1:15" s="362" customFormat="1" ht="13.8">
      <c r="A55" s="363" t="s">
        <v>10</v>
      </c>
      <c r="B55" s="364"/>
      <c r="C55" s="1084" t="str">
        <f>IF(OR($A$5="MEDICAL OFFICE ASSISTANT DIPLOMA",$A$5="MEDICAL OFFICE ASSISTANT DIPLOMA - HEALTH UNIT COORDINATOR",$A$5="COMMUNITY SERVICE WORKER DIPLOMA",$A$5="ADDICTIONS WORKER CERTIFICATE",$A$5="COMMUNITY SERVICE WORKER &amp; ADDICTION WORKER DIPLOMA",$A$5="Business Administration Co-op Diploma",$A$5="Business Service Essentials Co-op Diploma"),CONCATENATE("Course Hours - ",H57,,"     ","Practicum Hours - ",H56,"     ","Review Hours - ",H58,"     ","Total Hours - ",H59),CONCATENATE("Course Hours - ",H57,"    ","Exam &amp;Review Hours - ",H58,"    ","Total Hours - ",H59))</f>
        <v>Course Hours - 0    Exam &amp;Review Hours - 0    Total Hours - 0</v>
      </c>
      <c r="D55" s="1085"/>
      <c r="E55" s="1085"/>
      <c r="F55" s="1086"/>
      <c r="G55" s="864" t="s">
        <v>1</v>
      </c>
      <c r="H55" s="365">
        <f>_xlfn.IFNA(SUM(F7:F53)+'Outline Info'!$B$17+'Outline Info'!$B$14+'Outline Info'!$B$15+'Outline Info'!$C$15,0)</f>
        <v>354</v>
      </c>
      <c r="I55" s="350"/>
      <c r="J55" s="350"/>
      <c r="K55" s="350"/>
      <c r="L55" s="350"/>
      <c r="M55" s="350"/>
      <c r="N55" s="350"/>
      <c r="O55" s="350"/>
    </row>
    <row r="56" spans="1:15" s="362" customFormat="1" ht="13.8">
      <c r="A56" s="366" t="str">
        <f>'Franchise Info'!$C$3</f>
        <v>Mon-Fri 9am-5pm</v>
      </c>
      <c r="B56" s="367"/>
      <c r="C56" s="368" t="str">
        <f>CONCATENATE("Duration at ",'Outline Info'!$B$10," Hrs/Week : ",$H$60," Months  (",$H$61," Weeks)")</f>
        <v>Duration at 20 Hrs/Week : 0 Months  (0 Weeks)</v>
      </c>
      <c r="D56" s="368" t="s">
        <v>16</v>
      </c>
      <c r="E56" s="368"/>
      <c r="F56" s="369">
        <f>IFERROR($H$62,0)</f>
        <v>0</v>
      </c>
      <c r="G56" s="864" t="s">
        <v>1539</v>
      </c>
      <c r="H56" s="370">
        <f>IF(OR(COUNTIF(A7:A53,"HCCP1BC_HUC"),COUNTIF(A7:A53,"HCCP1BC_MOA"),COUNTIF(A7:A53,"HCCP1BC_CSW"),COUNTIF(A7:A53,"HCCP1BC_CSWAW"),COUNTIF(A7:A53,"BAC-COOP(BAC-BC)"),COUNTIF(A7:A53,"BSE-COOP(BSE-BC)")),SUM(SUMIF(A7:A53,"HCCP1BC_HUC",E7:E53),SUMIF(A7:A53,"HCCP1BC_MOA",E7:E53),SUMIF(A7:A53,"HCCP1BC_CSW",E7:E53),SUMIF(A7:A53,"HCCP1BC_CSWAW",E7:E53),SUMIF(A7:A53,"BAC-COOP(BAC-BC)",E7:E53),SUMIF(A7:A53,"BSE-COOP(BSE-BC)",E7:E53)),0)</f>
        <v>0</v>
      </c>
      <c r="I56" s="350"/>
      <c r="J56" s="350"/>
      <c r="K56" s="350"/>
      <c r="L56" s="350"/>
      <c r="M56" s="350"/>
      <c r="N56" s="350"/>
      <c r="O56" s="350"/>
    </row>
    <row r="57" spans="1:15" s="226" customFormat="1" ht="14.4" thickBot="1">
      <c r="A57" s="366">
        <f>'Franchise Info'!$C$4</f>
        <v>0</v>
      </c>
      <c r="B57" s="367"/>
      <c r="C57" s="371" t="s">
        <v>141</v>
      </c>
      <c r="D57" s="372"/>
      <c r="E57" s="372"/>
      <c r="F57" s="373">
        <f>$H$55</f>
        <v>354</v>
      </c>
      <c r="G57" s="864" t="s">
        <v>1540</v>
      </c>
      <c r="H57" s="374">
        <f>_xlfn.IFNA(SUM(E7:E53)-H56-H58,0)</f>
        <v>0</v>
      </c>
      <c r="I57" s="303"/>
      <c r="J57" s="303"/>
      <c r="K57" s="303"/>
      <c r="L57" s="303"/>
      <c r="M57" s="303"/>
      <c r="N57" s="303"/>
      <c r="O57" s="303"/>
    </row>
    <row r="58" spans="1:15" s="226" customFormat="1" ht="14.4" thickBot="1">
      <c r="A58" s="375">
        <f>'Franchise Info'!$C$5</f>
        <v>0</v>
      </c>
      <c r="B58" s="376"/>
      <c r="C58" s="377" t="s">
        <v>18</v>
      </c>
      <c r="D58" s="1070">
        <f ca="1">NOW()+30</f>
        <v>44472.482572800924</v>
      </c>
      <c r="E58" s="1070"/>
      <c r="F58" s="1071"/>
      <c r="G58" s="864" t="s">
        <v>1541</v>
      </c>
      <c r="H58" s="350">
        <f>_xlfn.IFNA(VLOOKUP("SR"&amp;"*",$A$7:$F$53,5,FALSE)+_xlfn.IFNA(VLOOKUP("SR"&amp;"*"&amp;"Y2"&amp;"*",$A$7:$F$53,5,FALSE),0),0)+('Outline Info'!$B$16*SUM($E$7:$E$53))</f>
        <v>0</v>
      </c>
      <c r="I58" s="303"/>
      <c r="J58" s="303"/>
      <c r="K58" s="303"/>
      <c r="L58" s="303"/>
      <c r="M58" s="303"/>
      <c r="N58" s="303"/>
      <c r="O58" s="303"/>
    </row>
    <row r="59" spans="1:15" s="226" customFormat="1" ht="13.8">
      <c r="A59" s="1072" t="str">
        <f>'Franchise Info'!B7</f>
        <v>Phone : (604) 532-4040                                             E-Mail : admin.langley@aolccbc.com                                             Fax : (604) 532-4001</v>
      </c>
      <c r="B59" s="1072"/>
      <c r="C59" s="1073"/>
      <c r="D59" s="1073"/>
      <c r="E59" s="1073"/>
      <c r="F59" s="1073"/>
      <c r="G59" s="864" t="s">
        <v>1542</v>
      </c>
      <c r="H59" s="374">
        <f>H56+H57+H58</f>
        <v>0</v>
      </c>
      <c r="I59" s="303"/>
      <c r="J59" s="303"/>
      <c r="K59" s="303"/>
      <c r="L59" s="303"/>
      <c r="M59" s="303"/>
      <c r="N59" s="303"/>
      <c r="O59" s="303"/>
    </row>
    <row r="60" spans="1:15">
      <c r="G60" s="864" t="s">
        <v>1543</v>
      </c>
      <c r="H60" s="374">
        <f>ROUND((EndDate!B13/4.333),1)</f>
        <v>0</v>
      </c>
    </row>
    <row r="61" spans="1:15">
      <c r="G61" s="864" t="s">
        <v>1544</v>
      </c>
      <c r="H61" s="374">
        <f>EndDate!B13</f>
        <v>0</v>
      </c>
    </row>
    <row r="62" spans="1:15">
      <c r="G62" s="864" t="s">
        <v>16</v>
      </c>
      <c r="H62" s="374" t="e">
        <f>ROUND(H55/(H61*5),2)</f>
        <v>#DIV/0!</v>
      </c>
    </row>
  </sheetData>
  <mergeCells count="10">
    <mergeCell ref="A54:F54"/>
    <mergeCell ref="D58:F58"/>
    <mergeCell ref="A59:F59"/>
    <mergeCell ref="D1:E1"/>
    <mergeCell ref="A3:B3"/>
    <mergeCell ref="E3:F3"/>
    <mergeCell ref="A4:B4"/>
    <mergeCell ref="E4:F4"/>
    <mergeCell ref="A5:F5"/>
    <mergeCell ref="C55:F55"/>
  </mergeCells>
  <phoneticPr fontId="117" type="noConversion"/>
  <dataValidations count="1">
    <dataValidation allowBlank="1" showInputMessage="1" showErrorMessage="1" sqref="A5:F5 A7:B53 D2:E2" xr:uid="{00000000-0002-0000-0500-000000000000}"/>
  </dataValidations>
  <pageMargins left="0.7" right="0.55118110236220474" top="0.5" bottom="0.3" header="0.11811023622047245" footer="0"/>
  <pageSetup scale="83" orientation="portrait" horizontalDpi="360" verticalDpi="36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92D050"/>
  </sheetPr>
  <dimension ref="A1:F20"/>
  <sheetViews>
    <sheetView workbookViewId="0">
      <selection activeCell="B12" sqref="B12"/>
    </sheetView>
  </sheetViews>
  <sheetFormatPr defaultRowHeight="13.2"/>
  <cols>
    <col min="1" max="1" width="50" customWidth="1"/>
    <col min="2" max="2" width="12.6640625" customWidth="1"/>
    <col min="3" max="3" width="10.44140625" customWidth="1"/>
    <col min="4" max="4" width="12.6640625" customWidth="1"/>
    <col min="5" max="5" width="12.33203125" customWidth="1"/>
    <col min="6" max="6" width="17.77734375" bestFit="1" customWidth="1"/>
  </cols>
  <sheetData>
    <row r="1" spans="1:6" ht="19.2" thickBot="1">
      <c r="A1" s="1087" t="s">
        <v>59</v>
      </c>
      <c r="B1" s="1088"/>
      <c r="C1" s="1088"/>
      <c r="D1" s="1088"/>
      <c r="E1" s="1088"/>
      <c r="F1" s="1089"/>
    </row>
    <row r="2" spans="1:6" ht="14.4" thickBot="1">
      <c r="A2" s="891" t="s">
        <v>9</v>
      </c>
      <c r="B2" s="892">
        <f>'Outline Info'!$B$6</f>
        <v>44473</v>
      </c>
      <c r="C2" s="893" t="s">
        <v>60</v>
      </c>
      <c r="D2" s="894" t="s">
        <v>60</v>
      </c>
      <c r="E2" s="895" t="str">
        <f>IF(WEEKDAY(B2)=1,"Sunday",IF(WEEKDAY(B2)=2,"Monday",IF(WEEKDAY(B2)=3,"Tuesday",IF(WEEKDAY(B2)=4,"Wednesday",IF(WEEKDAY(B2)=5,"Thursday",IF(WEEKDAY(B2)=6,"Friday","Saturday"))))))</f>
        <v>Monday</v>
      </c>
      <c r="F2" s="896">
        <f>B2</f>
        <v>44473</v>
      </c>
    </row>
    <row r="3" spans="1:6" ht="13.8">
      <c r="A3" s="897" t="s">
        <v>61</v>
      </c>
      <c r="B3" s="898">
        <f>'Outline Admin'!$H$57+'Outline Admin'!$H$58</f>
        <v>0</v>
      </c>
      <c r="C3" s="899" t="s">
        <v>62</v>
      </c>
      <c r="D3" s="900" t="s">
        <v>63</v>
      </c>
      <c r="E3" s="901"/>
      <c r="F3" s="902"/>
    </row>
    <row r="4" spans="1:6" ht="14.4" thickBot="1">
      <c r="A4" s="903" t="s">
        <v>64</v>
      </c>
      <c r="B4" s="904">
        <f>'Outline Info'!$B$10</f>
        <v>20</v>
      </c>
      <c r="C4" s="905" t="s">
        <v>65</v>
      </c>
      <c r="D4" s="906" t="s">
        <v>65</v>
      </c>
      <c r="E4" s="901"/>
      <c r="F4" s="902"/>
    </row>
    <row r="5" spans="1:6" ht="14.4" thickBot="1">
      <c r="A5" s="907" t="s">
        <v>66</v>
      </c>
      <c r="B5" s="908">
        <f>'Outline Info'!B13+IF('Outline Admin'!A5="Business Administration Co-Op Diploma",'Outline Admin'!H56/20,IF('Outline Admin'!A5="Business Service Essentials Co-Op Diploma",'Outline Admin'!H56/22.6,IF(OR('Outline Admin'!A5=[1]MOADipHUC!$D$4),'Outline Admin'!H56/37.5,'Outline Admin'!H56/40)))</f>
        <v>0</v>
      </c>
      <c r="C5" s="899"/>
      <c r="D5" s="900"/>
      <c r="E5" s="901"/>
      <c r="F5" s="902"/>
    </row>
    <row r="6" spans="1:6" ht="14.4" thickBot="1">
      <c r="A6" s="909" t="s">
        <v>67</v>
      </c>
      <c r="B6" s="910" t="str">
        <f>'Outline Info'!B12</f>
        <v>Y</v>
      </c>
      <c r="C6" s="911"/>
      <c r="D6" s="912"/>
      <c r="E6" s="901"/>
      <c r="F6" s="902"/>
    </row>
    <row r="7" spans="1:6" ht="14.4" thickBot="1">
      <c r="A7" s="913" t="s">
        <v>68</v>
      </c>
      <c r="B7" s="914">
        <f>ROUND((B3/B4)+B5,1)</f>
        <v>0</v>
      </c>
      <c r="C7" s="899"/>
      <c r="D7" s="900"/>
      <c r="E7" s="901"/>
      <c r="F7" s="902"/>
    </row>
    <row r="8" spans="1:6" ht="14.4" thickBot="1">
      <c r="A8" s="915" t="s">
        <v>69</v>
      </c>
      <c r="B8" s="916">
        <f>B2-1+(B7*7)</f>
        <v>44472</v>
      </c>
      <c r="C8" s="917">
        <f>ClosedDays!C34</f>
        <v>0</v>
      </c>
      <c r="D8" s="902">
        <f>(INT(C8/5)*7)+C8-(INT(C8/5)*5)</f>
        <v>0</v>
      </c>
      <c r="E8" s="895" t="str">
        <f>IF(WEEKDAY(B8)=1,"Sunday",IF(WEEKDAY(B8)=2,"Monday",IF(WEEKDAY(B8)=3,"Tuesday",IF(WEEKDAY(B8)=4,"Wednesday",IF(WEEKDAY(B8)=5,"Thursday",IF(WEEKDAY(B8)=6,"Friday","Saturday"))))))</f>
        <v>Sunday</v>
      </c>
      <c r="F8" s="918"/>
    </row>
    <row r="9" spans="1:6" ht="14.4" thickBot="1">
      <c r="A9" s="909" t="s">
        <v>70</v>
      </c>
      <c r="B9" s="919">
        <f>B8+D8</f>
        <v>44472</v>
      </c>
      <c r="C9" s="917">
        <f>ClosedDays!C35</f>
        <v>0</v>
      </c>
      <c r="D9" s="902">
        <f>(INT(C9/5)*7)+C9-(INT(C9/5)*5)</f>
        <v>0</v>
      </c>
      <c r="E9" s="895"/>
      <c r="F9" s="918"/>
    </row>
    <row r="10" spans="1:6" ht="14.4" thickBot="1">
      <c r="A10" s="909" t="s">
        <v>71</v>
      </c>
      <c r="B10" s="919">
        <f>B8+D9</f>
        <v>44472</v>
      </c>
      <c r="C10" s="917">
        <f>ClosedDays!C36</f>
        <v>0</v>
      </c>
      <c r="D10" s="902">
        <f>(INT(C10/5)*7)+C10-(INT(C10/5)*5)</f>
        <v>0</v>
      </c>
      <c r="E10" s="895"/>
      <c r="F10" s="918"/>
    </row>
    <row r="11" spans="1:6" ht="14.4" thickBot="1">
      <c r="A11" s="920" t="s">
        <v>72</v>
      </c>
      <c r="B11" s="921">
        <f>B8+D10</f>
        <v>44472</v>
      </c>
      <c r="C11" s="922"/>
      <c r="D11" s="902"/>
      <c r="E11" s="895" t="str">
        <f>IF(WEEKDAY(B11)=1,"Sunday",IF(WEEKDAY(B11)=2,"Monday",IF(WEEKDAY(B11)=3,"Tuesday",IF(WEEKDAY(B11)=4,"Wednesday",IF(WEEKDAY(B11)=5,"Thursday",IF(WEEKDAY(B11)=6,"Friday","Saturday"))))))</f>
        <v>Sunday</v>
      </c>
      <c r="F11" s="918">
        <f>WEEKDAY(B11)</f>
        <v>1</v>
      </c>
    </row>
    <row r="12" spans="1:6" ht="14.4" thickBot="1">
      <c r="A12" s="923" t="s">
        <v>73</v>
      </c>
      <c r="B12" s="924">
        <f>IF(OR(B6="Y",B6="y"),IF(F11=1,B11-2,B11+6-F11),IF(F11=1,B11+1,IF(F11=7,B11-1,B11)))</f>
        <v>44470</v>
      </c>
      <c r="C12" s="922"/>
      <c r="D12" s="902"/>
      <c r="E12" s="925" t="str">
        <f>IF(WEEKDAY(B12)=1,"Sunday",IF(WEEKDAY(B12)=2,"Monday",IF(WEEKDAY(B12)=3,"Tuesday",IF(WEEKDAY(B12)=4,"Wednesday",IF(WEEKDAY(B12)=5,"Thursday",IF(WEEKDAY(B12)=6,"Friday","Saturday"))))))</f>
        <v>Friday</v>
      </c>
      <c r="F12" s="926">
        <f>B12</f>
        <v>44470</v>
      </c>
    </row>
    <row r="13" spans="1:6" ht="14.4" thickBot="1">
      <c r="A13" s="927" t="s">
        <v>74</v>
      </c>
      <c r="B13" s="928">
        <f>ROUND((B12-B2)/7,0)</f>
        <v>0</v>
      </c>
      <c r="C13" s="920"/>
      <c r="D13" s="929"/>
      <c r="E13" s="930"/>
      <c r="F13" s="931"/>
    </row>
    <row r="14" spans="1:6" ht="13.8">
      <c r="A14" s="865"/>
      <c r="B14" s="865"/>
      <c r="C14" s="238"/>
      <c r="D14" s="238"/>
      <c r="E14" s="865"/>
      <c r="F14" s="865"/>
    </row>
    <row r="15" spans="1:6" ht="13.8">
      <c r="A15" s="865" t="s">
        <v>75</v>
      </c>
      <c r="B15" s="865"/>
      <c r="C15" s="865"/>
      <c r="D15" s="865"/>
      <c r="E15" s="865"/>
      <c r="F15" s="865"/>
    </row>
    <row r="16" spans="1:6" ht="13.8">
      <c r="A16" s="865"/>
      <c r="B16" s="865" t="s">
        <v>76</v>
      </c>
      <c r="C16" s="865"/>
      <c r="D16" s="865"/>
      <c r="E16" s="865"/>
      <c r="F16" s="865"/>
    </row>
    <row r="17" spans="1:6" ht="13.8">
      <c r="A17" s="865"/>
      <c r="B17" s="865" t="s">
        <v>77</v>
      </c>
      <c r="C17" s="865"/>
      <c r="D17" s="865"/>
      <c r="E17" s="865"/>
      <c r="F17" s="865"/>
    </row>
    <row r="18" spans="1:6" ht="13.8">
      <c r="A18" s="865"/>
      <c r="B18" s="865" t="s">
        <v>78</v>
      </c>
      <c r="C18" s="865"/>
      <c r="D18" s="865"/>
      <c r="E18" s="865"/>
      <c r="F18" s="865"/>
    </row>
    <row r="19" spans="1:6" ht="13.8">
      <c r="A19" s="865"/>
      <c r="B19" s="865"/>
      <c r="C19" s="865"/>
      <c r="D19" s="865"/>
      <c r="E19" s="865"/>
      <c r="F19" s="865"/>
    </row>
    <row r="20" spans="1:6" ht="13.8">
      <c r="A20" s="932" t="s">
        <v>79</v>
      </c>
      <c r="B20" s="865" t="s">
        <v>80</v>
      </c>
      <c r="C20" s="865"/>
      <c r="D20" s="865"/>
      <c r="E20" s="865"/>
      <c r="F20" s="865"/>
    </row>
  </sheetData>
  <mergeCells count="1">
    <mergeCell ref="A1:F1"/>
  </mergeCells>
  <phoneticPr fontId="0" type="noConversion"/>
  <conditionalFormatting sqref="B13">
    <cfRule type="cellIs" dxfId="101" priority="1" stopIfTrue="1" operator="greaterThan">
      <formula>52</formula>
    </cfRule>
  </conditionalFormatting>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92D050"/>
  </sheetPr>
  <dimension ref="A1:S37"/>
  <sheetViews>
    <sheetView workbookViewId="0">
      <selection activeCell="S3" sqref="S3"/>
    </sheetView>
  </sheetViews>
  <sheetFormatPr defaultRowHeight="13.2"/>
  <cols>
    <col min="1" max="1" width="12.77734375" bestFit="1" customWidth="1"/>
    <col min="2" max="2" width="12.44140625" bestFit="1" customWidth="1"/>
    <col min="3" max="3" width="3.77734375" bestFit="1" customWidth="1"/>
    <col min="4" max="5" width="2.77734375" customWidth="1"/>
    <col min="6" max="6" width="12.44140625" bestFit="1" customWidth="1"/>
    <col min="7" max="9" width="2.77734375" customWidth="1"/>
    <col min="10" max="10" width="12.44140625" bestFit="1" customWidth="1"/>
    <col min="11" max="13" width="2.77734375" customWidth="1"/>
    <col min="14" max="14" width="12.44140625" bestFit="1" customWidth="1"/>
    <col min="15" max="17" width="2.77734375" customWidth="1"/>
    <col min="18" max="18" width="20.6640625" customWidth="1"/>
  </cols>
  <sheetData>
    <row r="1" spans="1:19" ht="19.5" customHeight="1">
      <c r="A1" s="1090" t="s">
        <v>81</v>
      </c>
      <c r="B1" s="1091"/>
      <c r="C1" s="1091"/>
      <c r="D1" s="1091"/>
      <c r="E1" s="1091"/>
      <c r="F1" s="1091"/>
      <c r="G1" s="1091"/>
      <c r="H1" s="1091"/>
      <c r="I1" s="1091"/>
      <c r="J1" s="1091"/>
      <c r="K1" s="1091"/>
      <c r="L1" s="1091"/>
      <c r="M1" s="1091"/>
      <c r="N1" s="1091"/>
      <c r="O1" s="1091"/>
      <c r="P1" s="1091"/>
      <c r="Q1" s="1091"/>
    </row>
    <row r="2" spans="1:19" ht="13.8">
      <c r="A2" s="880"/>
      <c r="B2" s="881"/>
      <c r="C2" s="881"/>
      <c r="D2" s="881"/>
      <c r="E2" s="881"/>
      <c r="F2" s="881"/>
      <c r="G2" s="881"/>
      <c r="H2" s="881"/>
      <c r="I2" s="881"/>
      <c r="J2" s="881"/>
      <c r="K2" s="881"/>
      <c r="L2" s="881"/>
      <c r="M2" s="881"/>
      <c r="N2" s="881"/>
      <c r="O2" s="881"/>
      <c r="P2" s="881"/>
      <c r="Q2" s="881"/>
      <c r="S2" s="959" t="s">
        <v>1721</v>
      </c>
    </row>
    <row r="3" spans="1:19" ht="13.8">
      <c r="A3" s="880"/>
      <c r="B3" s="882">
        <v>2020</v>
      </c>
      <c r="C3" s="883"/>
      <c r="D3" s="883"/>
      <c r="E3" s="883"/>
      <c r="F3" s="882">
        <v>2021</v>
      </c>
      <c r="G3" s="883"/>
      <c r="H3" s="883"/>
      <c r="I3" s="883"/>
      <c r="J3" s="882">
        <v>2022</v>
      </c>
      <c r="K3" s="883"/>
      <c r="L3" s="883"/>
      <c r="M3" s="883"/>
      <c r="N3" s="882">
        <v>2023</v>
      </c>
      <c r="O3" s="883"/>
      <c r="P3" s="883"/>
      <c r="Q3" s="884"/>
      <c r="R3" s="258"/>
      <c r="S3" s="258" t="b">
        <f>IF(OR('Outline Admin'!A5=S5,'Outline Admin'!A5=S6,'Outline Admin'!A5=S7,'Outline Admin'!A5=S8,'Outline Admin'!A5=S9,'Outline Admin'!A5=S10),TRUE,FALSE)</f>
        <v>0</v>
      </c>
    </row>
    <row r="4" spans="1:19" ht="13.8">
      <c r="A4" s="880"/>
      <c r="B4" s="885">
        <v>43831</v>
      </c>
      <c r="C4" s="886" t="str">
        <f>IF($S$3,IF(AND($B4&gt;=EndDate!$B$2,$B4&lt;=EndDate!$B$8),1),IF(OR(MONTH($B4)=1,MONTH($B4)=12),IF(AND($B4&gt;=EndDate!$B$2,$B4&lt;=EndDate!$B$8),1,"")))</f>
        <v/>
      </c>
      <c r="D4" s="886" t="str">
        <f>IF($S$3,IF(AND($B4&gt;=EndDate!$B$2,$B4&lt;=EndDate!$B$8),1),IF(OR(MONTH($B4)=1,MONTH($B4)=12),IF(AND($B4&gt;=EndDate!$B$2,$B4&lt;=EndDate!$B$8),1,"")))</f>
        <v/>
      </c>
      <c r="E4" s="886" t="str">
        <f>IF($S$3,IF(AND($B4&gt;=EndDate!$B$2,$B4&lt;=EndDate!$B$8),1),IF(OR(MONTH($B4)=1,MONTH($B4)=12),IF(AND($B4&gt;=EndDate!$B$2,$B4&lt;=EndDate!$B$8),1,"")))</f>
        <v/>
      </c>
      <c r="F4" s="885">
        <v>44197</v>
      </c>
      <c r="G4" s="886" t="str">
        <f>IF($S$3,IF(AND($F4&gt;=EndDate!$B$2,$F4&lt;=EndDate!$B$8),1,IF(WEEKDAY($F4)=2,IF(ISERROR(VLOOKUP($F4-3,$B4:$C32,2,0)),"",IF(VLOOKUP($F4-3,$B4:$C32,2,0)=1,1,"")),IF(ISERROR(VLOOKUP($F4-1,$B4:$C32,2,0)),"",IF(VLOOKUP($F4-1,$B4:$C32,2,0)=1,1,"")))),IF(OR(MONTH($F4)=1,MONTH($F4)=12),IF(AND($F4&gt;=EndDate!$B$2,$F4&lt;=EndDate!$B$8),1,IF(WEEKDAY($F4)=2,IF(ISERROR(VLOOKUP($F4-3,$B4:$C32,2,0)),"",IF(VLOOKUP($F4-3,$B4:$C32,2,0)=1,1,"")),IF(ISERROR(VLOOKUP($F4-1,$B4:$C32,2,0)),"",IF(VLOOKUP($F4-1,$B4:$C32,2,0)=1,1,"")))),""))</f>
        <v/>
      </c>
      <c r="H4" s="886" t="str">
        <f>IF($S$3,IF(AND($F4&gt;=EndDate!$B$2,$F4&lt;=EndDate!$B$9),1,IF(WEEKDAY($F4)=2,IF(ISERROR(VLOOKUP($F4-3,$B4:$C32,2,0)),"",IF(VLOOKUP($F4-3,$B4:$C32,2,0)=1,1,"")),IF(ISERROR(VLOOKUP($F4-1,$B4:$C32,2,0)),"",IF(VLOOKUP($F4-1,$B4:$C32,2,0)=1,1,"")))),IF(OR(MONTH($F4)=1,MONTH($F4)=12),IF(AND($F4&gt;=EndDate!$B$2,$F4&lt;=EndDate!$B$9),1,IF(WEEKDAY($F4)=2,IF(ISERROR(VLOOKUP($F4-3,$B4:$C32,2,0)),"",IF(VLOOKUP($F4-3,$B4:$C32,2,0)=1,1,"")),IF(ISERROR(VLOOKUP($F4-1,$B4:$C32,2,0)),"",IF(VLOOKUP($F4-1,$B4:$C32,2,0)=1,1,"")))),))</f>
        <v/>
      </c>
      <c r="I4" s="886" t="str">
        <f>IF($S$3,IF(AND($F4&gt;=EndDate!$B$2,$F4&lt;=EndDate!$B$10),1,IF(WEEKDAY($F4)=2,IF(ISERROR(VLOOKUP($F4-3,$B4:$C32,2,0)),"",IF(VLOOKUP($F4-3,$B4:$C32,2,0)=1,1,"")),IF(ISERROR(VLOOKUP($F4-1,$B4:$C32,2,0)),"",IF(VLOOKUP($F4-1,$B4:$C32,2,0)=1,1,"")))),IF(OR(MONTH($F4)=1,MONTH($F4)=12),IF(AND($F4&gt;=EndDate!$B$2,$F4&lt;=EndDate!$B$10),1,IF(WEEKDAY($F4)=2,IF(ISERROR(VLOOKUP($F4-3,$B4:$C32,2,0)),"",IF(VLOOKUP($F4-3,$B4:$C32,2,0)=1,1,"")),IF(ISERROR(VLOOKUP($F4-1,$B4:$C32,2,0)),"",IF(VLOOKUP($F4-1,$B4:$C32,2,0)=1,1,"")))),""))</f>
        <v/>
      </c>
      <c r="J4" s="885">
        <v>44564</v>
      </c>
      <c r="K4" s="886" t="str">
        <f>IF($S$3,IF(AND($J4&gt;=EndDate!$B$2,$J4&lt;=EndDate!$B$8),1,IF(WEEKDAY($J4)=2,IF(ISERROR(VLOOKUP($J4-3,$F4:$G32,2,0)),"",IF(VLOOKUP($J4-3,$F4:$G32,2,0)=1,1,"")),IF(ISERROR(VLOOKUP($J4-1,$F4:$G32,2,0)),"",IF(VLOOKUP($J4-1,$F4:$G32,2,0)=1,1,"")))),IF(OR(MONTH($J4)=1,MONTH($J4)=12),IF(AND($J4&gt;=EndDate!$B$2,$J4&lt;=EndDate!$B$8),1,IF(WEEKDAY($J4)=2,IF(ISERROR(VLOOKUP($J4-3,$F4:$G32,2,0)),"",IF(VLOOKUP($J4-3,$F4:$G32,2,0)=1,1,"")),IF(ISERROR(VLOOKUP($J4-1,$F4:$G32,2,0)),"",IF(VLOOKUP($J4-1,$F4:$G32,2,0)=1,1,"")))),""))</f>
        <v/>
      </c>
      <c r="L4" s="886" t="str">
        <f>IF($S$3,IF(AND($J4&gt;=EndDate!$B$2,$J4&lt;=EndDate!$B$9),1,IF(WEEKDAY($J4)=2,IF(ISERROR(VLOOKUP($J4-3,$F4:$G32,2,0)),"",IF(VLOOKUP($J4-3,$F4:$G32,2,0)=1,1,"")),IF(ISERROR(VLOOKUP($J4-1,$F4:$G32,2,0)),"",IF(VLOOKUP($J4-1,$F4:$G32,2,0)=1,1,"")))),IF(OR(MONTH($J4)=1,MONTH($J4)=12),IF(AND($J4&gt;=EndDate!$B$2,$J4&lt;=EndDate!$B$9),1,IF(WEEKDAY($J4)=2,IF(ISERROR(VLOOKUP($J4-3,$F4:$G32,2,0)),"",IF(VLOOKUP($J4-3,$F4:$G32,2,0)=1,1,"")),IF(ISERROR(VLOOKUP($J4-1,$F4:$G32,2,0)),"",IF(VLOOKUP($J4-1,$F4:$G32,2,0)=1,1,"")))),""))</f>
        <v/>
      </c>
      <c r="M4" s="886" t="str">
        <f>IF($S$3,IF(AND($J4&gt;=EndDate!$B$2,$J4&lt;=EndDate!$B$10),1,IF(WEEKDAY($J4)=2,IF(ISERROR(VLOOKUP($J4-3,$F4:$G32,2,0)),"",IF(VLOOKUP($J4-3,$F4:$G32,2,0)=1,1,"")),IF(ISERROR(VLOOKUP($J4-1,$F4:$G32,2,0)),"",IF(VLOOKUP($J4-1,$F4:$G32,2,0)=1,1,"")))),IF(OR(MONTH($J4)=1,MONTH($J4)=12),IF(AND($J4&gt;=EndDate!$B$2,$J4&lt;=EndDate!$B$10),1,IF(WEEKDAY($J4)=2,IF(ISERROR(VLOOKUP($J4-3,$F4:$G32,2,0)),"",IF(VLOOKUP($J4-3,$F4:$G32,2,0)=1,1,"")),IF(ISERROR(VLOOKUP($J4-1,$F4:$G32,2,0)),"",IF(VLOOKUP($J4-1,$F4:$G32,2,0)=1,1,"")))),""))</f>
        <v/>
      </c>
      <c r="N4" s="885">
        <v>44928</v>
      </c>
      <c r="O4" s="886" t="str">
        <f>IF($S$3,IF(AND($N4&gt;=EndDate!$B$2,$N4&lt;=EndDate!$B$8),1,IF(WEEKDAY($N4)=2,IF(ISERROR(VLOOKUP($N4-3,$J4:$K32,2,0)),"",IF(VLOOKUP($N4-3,$J4:$K32,2,0)=1,1,"")),IF(ISERROR(VLOOKUP($N4-1,$J4:$K32,2,0)),"",IF(VLOOKUP($N4-1,$J4:$K32,2,0)=1,1,"")))),IF(OR(MONTH($N4)=1,MONTH($N4)=12),IF(AND($N4&gt;=EndDate!$B$2,$N4&lt;=EndDate!$B$8),1,IF(WEEKDAY($N4)=2,IF(ISERROR(VLOOKUP($N4-3,$J4:$K32,2,0)),"",IF(VLOOKUP($N4-3,$J4:$K32,2,0)=1,1,"")),IF(ISERROR(VLOOKUP($N4-1,$J4:$K32,2,0)),"",IF(VLOOKUP($N4-1,$J4:$K32,2,0)=1,1,"")))),""))</f>
        <v/>
      </c>
      <c r="P4" s="886" t="str">
        <f>IF($S$3,IF(AND($N4&gt;=EndDate!$B$2,$N4&lt;=EndDate!$B$9),1,IF(WEEKDAY($N4)=2,IF(ISERROR(VLOOKUP($N4-3,$J4:$K32,2,0)),"",IF(VLOOKUP($N4-3,$J4:$K32,2,0)=1,1,"")),IF(ISERROR(VLOOKUP($N4-1,$J4:$K32,2,0)),"",IF(VLOOKUP($N4-1,$J4:$K32,2,0)=1,1,"")))),IF(OR(MONTH($N4)=1,MONTH($N4)=12),IF(AND($N4&gt;=EndDate!$B$2,$N4&lt;=EndDate!$B$9),1,IF(WEEKDAY($N4)=2,IF(ISERROR(VLOOKUP($N4-3,$J4:$K32,2,0)),"",IF(VLOOKUP($N4-3,$J4:$K32,2,0)=1,1,"")),IF(ISERROR(VLOOKUP($N4-1,$J4:$K32,2,0)),"",IF(VLOOKUP($N4-1,$J4:$K32,2,0)=1,1,"")))),""))</f>
        <v/>
      </c>
      <c r="Q4" s="886" t="str">
        <f>IF($S$3,IF(AND($N4&gt;=EndDate!$B$2,$N4&lt;=EndDate!$B$10),1,IF(WEEKDAY($N4)=2,IF(ISERROR(VLOOKUP($N4-3,$J4:$K32,2,0)),"",IF(VLOOKUP($N4-3,$J4:$K32,2,0)=1,1,"")),IF(ISERROR(VLOOKUP($N4-1,$J4:$K32,2,0)),"",IF(VLOOKUP($N4-1,$J4:$K32,2,0)=1,1,"")))),IF(OR(MONTH($N4)=1,MONTH($N4)=12),IF(AND($N4&gt;=EndDate!$B$2,$N4&lt;=EndDate!$B$10),1,IF(WEEKDAY($N4)=2,IF(ISERROR(VLOOKUP($N4-3,$J4:$K32,2,0)),"",IF(VLOOKUP($N4-3,$J4:$K32,2,0)=1,1,"")),IF(ISERROR(VLOOKUP($N4-1,$J4:$K32,2,0)),"",IF(VLOOKUP($N4-1,$J4:$K32,2,0)=1,1,"")))),""))</f>
        <v/>
      </c>
      <c r="R4" s="258" t="s">
        <v>82</v>
      </c>
      <c r="S4" s="959" t="s">
        <v>1720</v>
      </c>
    </row>
    <row r="5" spans="1:19" ht="13.8">
      <c r="A5" s="880"/>
      <c r="B5" s="885">
        <v>43878</v>
      </c>
      <c r="C5" s="886" t="str">
        <f>IF($S$3,IF(AND($B5&gt;=EndDate!$B$2,$B5&lt;=EndDate!$B$8),1,IF(AND($B4+1=$B5,C4=1),1,IF(AND(WEEKDAY($B4)=6,WEEKDAY($B5)=2,$B5-$B4=3,C4=1),1,""))),IF(OR(MONTH($B5)=1,MONTH($B5)=12),IF(AND($B5&gt;=EndDate!$B$2,$B5&lt;=EndDate!$B$8),1,IF(AND($B4+1=$B5,C4=1),1,IF(AND(WEEKDAY($B4)=6,WEEKDAY($B5)=2,$B5-$B4=3,C4=1),1,""))),""))</f>
        <v/>
      </c>
      <c r="D5" s="886" t="str">
        <f>IF($S$3,IF(AND($B5&gt;=EndDate!$B$2,$B5&lt;=EndDate!$B$8),1,IF(AND($B4+1=$B5,D4=1),1,IF(AND(WEEKDAY($B4)=6,WEEKDAY($B5)=2,$B5-$B4=3,D4=1),1,""))),IF(OR(MONTH($B5)=1,MONTH($B5)=12),IF(AND($B5&gt;=EndDate!$B$2,$B5&lt;=EndDate!$B$8),1,IF(AND($B4+1=$B5,D4=1),1,IF(AND(WEEKDAY($B4)=6,WEEKDAY($B5)=2,$B5-$B4=3,D4=1),1,""))),""))</f>
        <v/>
      </c>
      <c r="E5" s="886" t="str">
        <f>IF($S$3,IF(AND($B5&gt;=EndDate!$B$2,$B5&lt;=EndDate!$B$8),1,IF(AND($B4+1=$B5,E4=1),1,IF(AND(WEEKDAY($B4)=6,WEEKDAY($B5)=2,$B5-$B4=3,E4=1),1,""))),IF(OR(MONTH($B5)=1,MONTH($B5)=12),IF(AND($B5&gt;=EndDate!$B$2,$B5&lt;=EndDate!$B$8),1,IF(AND($B4+1=$B5,E4=1),1,IF(AND(WEEKDAY($B4)=6,WEEKDAY($B5)=2,$B5-$B4=3,E4=1),1,""))),""))</f>
        <v/>
      </c>
      <c r="F5" s="885">
        <v>44242</v>
      </c>
      <c r="G5" s="886" t="str">
        <f>IF($S$3,IF(AND($F5&gt;=EndDate!$B$2,$F5&lt;=EndDate!$B$8),1,IF(AND($F4+1=$F5,G4=1),1,IF(AND(WEEKDAY($F4)=6,WEEKDAY($F5)=2,$F5-$F4=3,G4=1),1,""))),IF(OR(MONTH($F5)=1,MONTH($F5)=12),IF(AND($F5&gt;=EndDate!$B$2,$F5&lt;=EndDate!$B$8),1,IF(AND($F4+1=$F5,G4=1),1,IF(AND(WEEKDAY($F4)=6,WEEKDAY($F5)=2,$F5-$F4=3,G4=1),1,""))),""))</f>
        <v/>
      </c>
      <c r="H5" s="886" t="str">
        <f>IF($S$3,IF(AND($F5&gt;=EndDate!$B$2,$F5&lt;=EndDate!$B$9),1,IF(AND($F4+1=$F5,H4=1),1,IF(AND(WEEKDAY($F4)=6,WEEKDAY($F5)=2,$F5-$F4=3,H4=1),1,""))),IF(OR(MONTH($F5)=1,MONTH($F5)=12),IF(AND($F5&gt;=EndDate!$B$2,$F5&lt;=EndDate!$B$9),1,IF(AND($F4+1=$F5,H4=1),1,IF(AND(WEEKDAY($F4)=6,WEEKDAY($F5)=2,$F5-$F4=3,H4=1),1,""))),""))</f>
        <v/>
      </c>
      <c r="I5" s="886" t="str">
        <f>IF($S$3,IF(AND($F5&gt;=EndDate!$B$2,$F5&lt;=EndDate!$B$10),1,IF(AND($F4+1=$F5,I4=1),1,IF(AND(WEEKDAY($F4)=6,WEEKDAY($F5)=2,$F5-$F4=3,I4=1),1,""))),IF(OR(MONTH($F5)=1,MONTH($F5)=12),IF(AND($F5&gt;=EndDate!$B$2,$F5&lt;=EndDate!$B$10),1,IF(AND($F4+1=$F5,I4=1),1,IF(AND(WEEKDAY($F4)=6,WEEKDAY($F5)=2,$F5-$F4=3,I4=1),1,""))),""))</f>
        <v/>
      </c>
      <c r="J5" s="885">
        <v>44613</v>
      </c>
      <c r="K5" s="886" t="str">
        <f>IF($S$3,IF(AND($J5&gt;=EndDate!$B$2,$J5&lt;=EndDate!$B$8),1,IF(AND($J4+1=$J5,K4=1),1,IF(AND(WEEKDAY($J4)=6,WEEKDAY($J5)=2,$J5-$J4=3,K4=1),1,""))),IF(OR(MONTH($J5)=1,MONTH($J5)=12),IF(AND($J5&gt;=EndDate!$B$2,$J5&lt;=EndDate!$B$8),1,IF(AND($J4+1=$J5,K4=1),1,IF(AND(WEEKDAY($J4)=6,WEEKDAY($J5)=2,$J5-$J4=3,K4=1),1,""))),""))</f>
        <v/>
      </c>
      <c r="L5" s="886" t="str">
        <f>IF($S$3,IF(AND($J5&gt;=EndDate!$B$2,$J5&lt;=EndDate!$B$9),1,IF(AND($J4+1=$J5,L4=1),1,IF(AND(WEEKDAY($J4)=6,WEEKDAY($J5)=2,$J5-$J4=3,L4=1),1,""))),IF(OR(MONTH($J5)=1,MONTH($J5)=12),IF(AND($J5&gt;=EndDate!$B$2,$J5&lt;=EndDate!$B$9),1,IF(AND($J4+1=$J5,L4=1),1,IF(AND(WEEKDAY($J4)=6,WEEKDAY($J5)=2,$J5-$J4=3,L4=1),1,""))),""))</f>
        <v/>
      </c>
      <c r="M5" s="886" t="str">
        <f>IF($S$3,IF(AND($J5&gt;=EndDate!$B$2,$J5&lt;=EndDate!$B$10),1,IF(AND($J4+1=$J5,M4=1),1,IF(AND(WEEKDAY($J4)=6,WEEKDAY($J5)=2,$J5-$J4=3,M4=1),1,""))),IF(OR(MONTH($J5)=1,MONTH($J5)=12),IF(AND($J5&gt;=EndDate!$B$2,$J5&lt;=EndDate!$B$10),1,IF(AND($J4+1=$J5,M4=1),1,IF(AND(WEEKDAY($J4)=6,WEEKDAY($J5)=2,$J5-$J4=3,M4=1),1,""))),""))</f>
        <v/>
      </c>
      <c r="N5" s="885">
        <v>44977</v>
      </c>
      <c r="O5" s="886" t="str">
        <f>IF($S$3,IF(AND($N5&gt;=EndDate!$B$2,$N5&lt;=EndDate!$B$8),1,IF(AND($N4+1=$N5,O4=1),1,IF(AND(WEEKDAY($N4)=6,WEEKDAY($N5)=2,$N5-$N4=3,O4=1),1,""))),IF(OR(MONTH($N5)=1,MONTH($N5)=12),IF(AND($N5&gt;=EndDate!$B$2,$N5&lt;=EndDate!$B$8),1,IF(AND($N4+1=$N5,O4=1),1,IF(AND(WEEKDAY($N4)=6,WEEKDAY($N5)=2,$N5-$N4=3,O4=1),1,""))),""))</f>
        <v/>
      </c>
      <c r="P5" s="886" t="str">
        <f>IF($S$3,IF(AND($N5&gt;=EndDate!$B$2,$N5&lt;=EndDate!$B$9),1,IF(AND($N4+1=$N5,P4=1),1,IF(AND(WEEKDAY($N4)=6,WEEKDAY($N5)=2,$N5-$N4=3,P4=1),1,""))),IF(OR(MONTH($N5)=1,MONTH($N5)=12),IF(AND($N5&gt;=EndDate!$B$2,$N5&lt;=EndDate!$B$9),1,IF(AND($N4+1=$N5,P4=1),1,IF(AND(WEEKDAY($N4)=6,WEEKDAY($N5)=2,$N5-$N4=3,P4=1),1,""))),""))</f>
        <v/>
      </c>
      <c r="Q5" s="886" t="str">
        <f>IF($S$3,IF(AND($N5&gt;=EndDate!$B$2,$N5&lt;=EndDate!$B$10),1,IF(AND($N4+1=$N5,Q4=1),1,IF(AND(WEEKDAY($N4)=6,WEEKDAY($N5)=2,$N5-$N4=3,Q4=1),1,""))),IF(OR(MONTH($N5)=1,MONTH($N5)=12),IF(AND($N5&gt;=EndDate!$B$2,$N5&lt;=EndDate!$B$10),1,IF(AND($N4+1=$N5,Q4=1),1,IF(AND(WEEKDAY($N4)=6,WEEKDAY($N5)=2,$N5-$N4=3,Q4=1),1,""))),""))</f>
        <v/>
      </c>
      <c r="R5" s="258" t="s">
        <v>885</v>
      </c>
      <c r="S5" s="258" t="str">
        <f>[1]CusSrvRepCrt!$D$4</f>
        <v>CUSTOMER SERVICE REPRESENTATIVE CERTIFICATE</v>
      </c>
    </row>
    <row r="6" spans="1:19" ht="13.8">
      <c r="A6" s="880"/>
      <c r="B6" s="885">
        <v>43931</v>
      </c>
      <c r="C6" s="886" t="str">
        <f>IF($S$3,IF(AND($B6&gt;=EndDate!$B$2,$B6&lt;=EndDate!$B$8),1,IF(AND($B5+1=$B6,C5=1),1,IF(AND(WEEKDAY($B5)=6,WEEKDAY($B6)=2,$B6-$B5=3,C5=1),1,""))),IF(OR(MONTH($B6)=1,MONTH($B6)=12),IF(AND($B6&gt;=EndDate!$B$2,$B6&lt;=EndDate!$B$8),1,IF(AND($B5+1=$B6,C5=1),1,IF(AND(WEEKDAY($B5)=6,WEEKDAY($B6)=2,$B6-$B5=3,C5=1),1,""))),""))</f>
        <v/>
      </c>
      <c r="D6" s="886" t="str">
        <f>IF($S$3,IF(AND($B6&gt;=EndDate!$B$2,$B6&lt;=EndDate!$B$8),1,IF(AND($B5+1=$B6,D5=1),1,IF(AND(WEEKDAY($B5)=6,WEEKDAY($B6)=2,$B6-$B5=3,D5=1),1,""))),IF(OR(MONTH($B6)=1,MONTH($B6)=12),IF(AND($B6&gt;=EndDate!$B$2,$B6&lt;=EndDate!$B$8),1,IF(AND($B5+1=$B6,D5=1),1,IF(AND(WEEKDAY($B5)=6,WEEKDAY($B6)=2,$B6-$B5=3,D5=1),1,""))),""))</f>
        <v/>
      </c>
      <c r="E6" s="886" t="str">
        <f>IF($S$3,IF(AND($B6&gt;=EndDate!$B$2,$B6&lt;=EndDate!$B$8),1,IF(AND($B5+1=$B6,E5=1),1,IF(AND(WEEKDAY($B5)=6,WEEKDAY($B6)=2,$B6-$B5=3,E5=1),1,""))),IF(OR(MONTH($B6)=1,MONTH($B6)=12),IF(AND($B6&gt;=EndDate!$B$2,$B6&lt;=EndDate!$B$8),1,IF(AND($B5+1=$B6,E5=1),1,IF(AND(WEEKDAY($B5)=6,WEEKDAY($B6)=2,$B6-$B5=3,E5=1),1,""))),""))</f>
        <v/>
      </c>
      <c r="F6" s="885">
        <v>44288</v>
      </c>
      <c r="G6" s="886" t="str">
        <f>IF($S$3,IF(AND($F6&gt;=EndDate!$B$2,$F6&lt;=EndDate!$B$8),1,IF(AND($F5+1=$F6,G5=1),1,IF(AND(WEEKDAY($F5)=6,WEEKDAY($F6)=2,$F6-$F5=3,G5=1),1,""))),IF(OR(MONTH($F6)=1,MONTH($F6)=12),IF(AND($F6&gt;=EndDate!$B$2,$F6&lt;=EndDate!$B$8),1,IF(AND($F5+1=$F6,G5=1),1,IF(AND(WEEKDAY($F5)=6,WEEKDAY($F6)=2,$F6-$F5=3,G5=1),1,""))),""))</f>
        <v/>
      </c>
      <c r="H6" s="886" t="str">
        <f>IF($S$3,IF(AND($F6&gt;=EndDate!$B$2,$F6&lt;=EndDate!$B$9),1,IF(AND($F5+1=$F6,H5=1),1,IF(AND(WEEKDAY($F5)=6,WEEKDAY($F6)=2,$F6-$F5=3,H5=1),1,""))),IF(OR(MONTH($F6)=1,MONTH($F6)=12),IF(AND($F6&gt;=EndDate!$B$2,$F6&lt;=EndDate!$B$9),1,IF(AND($F5+1=$F6,H5=1),1,IF(AND(WEEKDAY($F5)=6,WEEKDAY($F6)=2,$F6-$F5=3,H5=1),1,""))),""))</f>
        <v/>
      </c>
      <c r="I6" s="886" t="str">
        <f>IF($S$3,IF(AND($F6&gt;=EndDate!$B$2,$F6&lt;=EndDate!$B$10),1,IF(AND($F5+1=$F6,I5=1),1,IF(AND(WEEKDAY($F5)=6,WEEKDAY($F6)=2,$F6-$F5=3,I5=1),1,""))),IF(OR(MONTH($F6)=1,MONTH($F6)=12),IF(AND($F6&gt;=EndDate!$B$2,$F6&lt;=EndDate!$B$10),1,IF(AND($F5+1=$F6,I5=1),1,IF(AND(WEEKDAY($F5)=6,WEEKDAY($F6)=2,$F6-$F5=3,I5=1),1,""))),""))</f>
        <v/>
      </c>
      <c r="J6" s="885">
        <v>44666</v>
      </c>
      <c r="K6" s="886" t="str">
        <f>IF($S$3,IF(AND($J6&gt;=EndDate!$B$2,$J6&lt;=EndDate!$B$8),1,IF(AND($J5+1=$J6,K5=1),1,IF(AND(WEEKDAY($J5)=6,WEEKDAY($J6)=2,$J6-$J5=3,K5=1),1,""))),IF(OR(MONTH($J6)=1,MONTH($J6)=12),IF(AND($J6&gt;=EndDate!$B$2,$J6&lt;=EndDate!$B$8),1,IF(AND($J5+1=$J6,K5=1),1,IF(AND(WEEKDAY($J5)=6,WEEKDAY($J6)=2,$J6-$J5=3,K5=1),1,""))),""))</f>
        <v/>
      </c>
      <c r="L6" s="886" t="str">
        <f>IF($S$3,IF(AND($J6&gt;=EndDate!$B$2,$J6&lt;=EndDate!$B$9),1,IF(AND($J5+1=$J6,L5=1),1,IF(AND(WEEKDAY($J5)=6,WEEKDAY($J6)=2,$J6-$J5=3,L5=1),1,""))),IF(OR(MONTH($J6)=1,MONTH($J6)=12),IF(AND($J6&gt;=EndDate!$B$2,$J6&lt;=EndDate!$B$9),1,IF(AND($J5+1=$J6,L5=1),1,IF(AND(WEEKDAY($J5)=6,WEEKDAY($J6)=2,$J6-$J5=3,L5=1),1,""))),""))</f>
        <v/>
      </c>
      <c r="M6" s="886" t="str">
        <f>IF($S$3,IF(AND($J6&gt;=EndDate!$B$2,$J6&lt;=EndDate!$B$10),1,IF(AND($J5+1=$J6,M5=1),1,IF(AND(WEEKDAY($J5)=6,WEEKDAY($J6)=2,$J6-$J5=3,M5=1),1,""))),IF(OR(MONTH($J6)=1,MONTH($J6)=12),IF(AND($J6&gt;=EndDate!$B$2,$J6&lt;=EndDate!$B$10),1,IF(AND($J5+1=$J6,M5=1),1,IF(AND(WEEKDAY($J5)=6,WEEKDAY($J6)=2,$J6-$J5=3,M5=1),1,""))),""))</f>
        <v/>
      </c>
      <c r="N6" s="885">
        <v>45023</v>
      </c>
      <c r="O6" s="886" t="str">
        <f>IF($S$3,IF(AND($N6&gt;=EndDate!$B$2,$N6&lt;=EndDate!$B$8),1,IF(AND($N5+1=$N6,O5=1),1,IF(AND(WEEKDAY($N5)=6,WEEKDAY($N6)=2,$N6-$N5=3,O5=1),1,""))),IF(OR(MONTH($N6)=1,MONTH($N6)=12),IF(AND($N6&gt;=EndDate!$B$2,$N6&lt;=EndDate!$B$8),1,IF(AND($N5+1=$N6,O5=1),1,IF(AND(WEEKDAY($N5)=6,WEEKDAY($N6)=2,$N6-$N5=3,O5=1),1,""))),""))</f>
        <v/>
      </c>
      <c r="P6" s="886" t="str">
        <f>IF($S$3,IF(AND($N6&gt;=EndDate!$B$2,$N6&lt;=EndDate!$B$9),1,IF(AND($N5+1=$N6,P5=1),1,IF(AND(WEEKDAY($N5)=6,WEEKDAY($N6)=2,$N6-$N5=3,P5=1),1,""))),IF(OR(MONTH($N6)=1,MONTH($N6)=12),IF(AND($N6&gt;=EndDate!$B$2,$N6&lt;=EndDate!$B$9),1,IF(AND($N5+1=$N6,P5=1),1,IF(AND(WEEKDAY($N5)=6,WEEKDAY($N6)=2,$N6-$N5=3,P5=1),1,""))),""))</f>
        <v/>
      </c>
      <c r="Q6" s="886" t="str">
        <f>IF($S$3,IF(AND($N6&gt;=EndDate!$B$2,$N6&lt;=EndDate!$B$10),1,IF(AND($N5+1=$N6,Q5=1),1,IF(AND(WEEKDAY($N5)=6,WEEKDAY($N6)=2,$N6-$N5=3,Q5=1),1,""))),IF(OR(MONTH($N6)=1,MONTH($N6)=12),IF(AND($N6&gt;=EndDate!$B$2,$N6&lt;=EndDate!$B$10),1,IF(AND($N5+1=$N6,Q5=1),1,IF(AND(WEEKDAY($N5)=6,WEEKDAY($N6)=2,$N6-$N5=3,Q5=1),1,""))),""))</f>
        <v/>
      </c>
      <c r="R6" s="258" t="s">
        <v>83</v>
      </c>
      <c r="S6" s="258" t="str">
        <f>[1]MCSASrvCrt!$D$4</f>
        <v>MCSA: WINDOWS SERVER CERTIFICATION PREPARATION</v>
      </c>
    </row>
    <row r="7" spans="1:19" ht="13.8">
      <c r="A7" s="880"/>
      <c r="B7" s="885">
        <v>43934</v>
      </c>
      <c r="C7" s="886" t="str">
        <f>IF($S$3,IF(AND($B7&gt;=EndDate!$B$2,$B7&lt;=EndDate!$B$8),1,IF(AND($B6+1=$B7,C6=1),1,IF(AND(WEEKDAY($B6)=6,WEEKDAY($B7)=2,$B7-$B6=3,C6=1),1,""))),IF(OR(MONTH($B7)=1,MONTH($B7)=12),IF(AND($B7&gt;=EndDate!$B$2,$B7&lt;=EndDate!$B$8),1,IF(AND($B6+1=$B7,C6=1),1,IF(AND(WEEKDAY($B6)=6,WEEKDAY($B7)=2,$B7-$B6=3,C6=1),1,""))),""))</f>
        <v/>
      </c>
      <c r="D7" s="886" t="str">
        <f>IF($S$3,IF(AND($B7&gt;=EndDate!$B$2,$B7&lt;=EndDate!$B$8),1,IF(AND($B6+1=$B7,D6=1),1,IF(AND(WEEKDAY($B6)=6,WEEKDAY($B7)=2,$B7-$B6=3,D6=1),1,""))),IF(OR(MONTH($B7)=1,MONTH($B7)=12),IF(AND($B7&gt;=EndDate!$B$2,$B7&lt;=EndDate!$B$8),1,IF(AND($B6+1=$B7,D6=1),1,IF(AND(WEEKDAY($B6)=6,WEEKDAY($B7)=2,$B7-$B6=3,D6=1),1,""))),""))</f>
        <v/>
      </c>
      <c r="E7" s="886" t="str">
        <f>IF($S$3,IF(AND($B7&gt;=EndDate!$B$2,$B7&lt;=EndDate!$B$8),1,IF(AND($B6+1=$B7,E6=1),1,IF(AND(WEEKDAY($B6)=6,WEEKDAY($B7)=2,$B7-$B6=3,E6=1),1,""))),IF(OR(MONTH($B7)=1,MONTH($B7)=12),IF(AND($B7&gt;=EndDate!$B$2,$B7&lt;=EndDate!$B$8),1,IF(AND($B6+1=$B7,E6=1),1,IF(AND(WEEKDAY($B6)=6,WEEKDAY($B7)=2,$B7-$B6=3,E6=1),1,""))),""))</f>
        <v/>
      </c>
      <c r="F7" s="885">
        <v>44291</v>
      </c>
      <c r="G7" s="886" t="str">
        <f>IF($S$3,IF(AND($F7&gt;=EndDate!$B$2,$F7&lt;=EndDate!$B$8),1,IF(AND($F6+1=$F7,G6=1),1,IF(AND(WEEKDAY($F6)=6,WEEKDAY($F7)=2,$F7-$F6=3,G6=1),1,""))),IF(OR(MONTH($F7)=1,MONTH($F7)=12),IF(AND($F7&gt;=EndDate!$B$2,$F7&lt;=EndDate!$B$8),1,IF(AND($F6+1=$F7,G6=1),1,IF(AND(WEEKDAY($F6)=6,WEEKDAY($F7)=2,$F7-$F6=3,G6=1),1,""))),""))</f>
        <v/>
      </c>
      <c r="H7" s="886" t="str">
        <f>IF($S$3,IF(AND($F7&gt;=EndDate!$B$2,$F7&lt;=EndDate!$B$9),1,IF(AND($F6+1=$F7,H6=1),1,IF(AND(WEEKDAY($F6)=6,WEEKDAY($F7)=2,$F7-$F6=3,H6=1),1,""))),IF(OR(MONTH($F7)=1,MONTH($F7)=12),IF(AND($F7&gt;=EndDate!$B$2,$F7&lt;=EndDate!$B$9),1,IF(AND($F6+1=$F7,H6=1),1,IF(AND(WEEKDAY($F6)=6,WEEKDAY($F7)=2,$F7-$F6=3,H6=1),1,""))),""))</f>
        <v/>
      </c>
      <c r="I7" s="886" t="str">
        <f>IF($S$3,IF(AND($F7&gt;=EndDate!$B$2,$F7&lt;=EndDate!$B$10),1,IF(AND($F6+1=$F7,I6=1),1,IF(AND(WEEKDAY($F6)=6,WEEKDAY($F7)=2,$F7-$F6=3,I6=1),1,""))),IF(OR(MONTH($F7)=1,MONTH($F7)=12),IF(AND($F7&gt;=EndDate!$B$2,$F7&lt;=EndDate!$B$10),1,IF(AND($F6+1=$F7,I6=1),1,IF(AND(WEEKDAY($F6)=6,WEEKDAY($F7)=2,$F7-$F6=3,I6=1),1,""))),""))</f>
        <v/>
      </c>
      <c r="J7" s="885">
        <v>44669</v>
      </c>
      <c r="K7" s="886" t="str">
        <f>IF($S$3,IF(AND($J7&gt;=EndDate!$B$2,$J7&lt;=EndDate!$B$8),1,IF(AND($J6+1=$J7,K6=1),1,IF(AND(WEEKDAY($J6)=6,WEEKDAY($J7)=2,$J7-$J6=3,K6=1),1,""))),IF(OR(MONTH($J7)=1,MONTH($J7)=12),IF(AND($J7&gt;=EndDate!$B$2,$J7&lt;=EndDate!$B$8),1,IF(AND($J6+1=$J7,K6=1),1,IF(AND(WEEKDAY($J6)=6,WEEKDAY($J7)=2,$J7-$J6=3,K6=1),1,""))),""))</f>
        <v/>
      </c>
      <c r="L7" s="886" t="str">
        <f>IF($S$3,IF(AND($J7&gt;=EndDate!$B$2,$J7&lt;=EndDate!$B$9),1,IF(AND($J6+1=$J7,L6=1),1,IF(AND(WEEKDAY($J6)=6,WEEKDAY($J7)=2,$J7-$J6=3,L6=1),1,""))),IF(OR(MONTH($J7)=1,MONTH($J7)=12),IF(AND($J7&gt;=EndDate!$B$2,$J7&lt;=EndDate!$B$9),1,IF(AND($J6+1=$J7,L6=1),1,IF(AND(WEEKDAY($J6)=6,WEEKDAY($J7)=2,$J7-$J6=3,L6=1),1,""))),""))</f>
        <v/>
      </c>
      <c r="M7" s="886" t="str">
        <f>IF($S$3,IF(AND($J7&gt;=EndDate!$B$2,$J7&lt;=EndDate!$B$10),1,IF(AND($J6+1=$J7,M6=1),1,IF(AND(WEEKDAY($J6)=6,WEEKDAY($J7)=2,$J7-$J6=3,M6=1),1,""))),IF(OR(MONTH($J7)=1,MONTH($J7)=12),IF(AND($J7&gt;=EndDate!$B$2,$J7&lt;=EndDate!$B$10),1,IF(AND($J6+1=$J7,M6=1),1,IF(AND(WEEKDAY($J6)=6,WEEKDAY($J7)=2,$J7-$J6=3,M6=1),1,""))),""))</f>
        <v/>
      </c>
      <c r="N7" s="885">
        <v>45026</v>
      </c>
      <c r="O7" s="886" t="str">
        <f>IF($S$3,IF(AND($N7&gt;=EndDate!$B$2,$N7&lt;=EndDate!$B$8),1,IF(AND($N6+1=$N7,O6=1),1,IF(AND(WEEKDAY($N6)=6,WEEKDAY($N7)=2,$N7-$N6=3,O6=1),1,""))),IF(OR(MONTH($N7)=1,MONTH($N7)=12),IF(AND($N7&gt;=EndDate!$B$2,$N7&lt;=EndDate!$B$8),1,IF(AND($N6+1=$N7,O6=1),1,IF(AND(WEEKDAY($N6)=6,WEEKDAY($N7)=2,$N7-$N6=3,O6=1),1,""))),""))</f>
        <v/>
      </c>
      <c r="P7" s="886" t="str">
        <f>IF($S$3,IF(AND($N7&gt;=EndDate!$B$2,$N7&lt;=EndDate!$B$9),1,IF(AND($N6+1=$N7,P6=1),1,IF(AND(WEEKDAY($N6)=6,WEEKDAY($N7)=2,$N7-$N6=3,P6=1),1,""))),IF(OR(MONTH($N7)=1,MONTH($N7)=12),IF(AND($N7&gt;=EndDate!$B$2,$N7&lt;=EndDate!$B$9),1,IF(AND($N6+1=$N7,P6=1),1,IF(AND(WEEKDAY($N6)=6,WEEKDAY($N7)=2,$N7-$N6=3,P6=1),1,""))),""))</f>
        <v/>
      </c>
      <c r="Q7" s="886" t="str">
        <f>IF($S$3,IF(AND($N7&gt;=EndDate!$B$2,$N7&lt;=EndDate!$B$10),1,IF(AND($N6+1=$N7,Q6=1),1,IF(AND(WEEKDAY($N6)=6,WEEKDAY($N7)=2,$N7-$N6=3,Q6=1),1,""))),IF(OR(MONTH($N7)=1,MONTH($N7)=12),IF(AND($N7&gt;=EndDate!$B$2,$N7&lt;=EndDate!$B$10),1,IF(AND($N6+1=$N7,Q6=1),1,IF(AND(WEEKDAY($N6)=6,WEEKDAY($N7)=2,$N7-$N6=3,Q6=1),1,""))),""))</f>
        <v/>
      </c>
      <c r="R7" s="258" t="s">
        <v>84</v>
      </c>
      <c r="S7" s="258" t="str">
        <f>[1]OffClkCrt!$D$4</f>
        <v>OFFICE CLERK CERTIFICATE</v>
      </c>
    </row>
    <row r="8" spans="1:19" ht="13.8">
      <c r="A8" s="880"/>
      <c r="B8" s="885">
        <v>43969</v>
      </c>
      <c r="C8" s="886" t="str">
        <f>IF($S$3,IF(AND($B8&gt;=EndDate!$B$2,$B8&lt;=EndDate!$B$8),1,IF(AND($B7+1=$B8,C7=1),1,IF(AND(WEEKDAY($B7)=6,WEEKDAY($B8)=2,$B8-$B7=3,C7=1),1,""))),IF(OR(MONTH($B8)=1,MONTH($B8)=12),IF(AND($B8&gt;=EndDate!$B$2,$B8&lt;=EndDate!$B$8),1,IF(AND($B7+1=$B8,C7=1),1,IF(AND(WEEKDAY($B7)=6,WEEKDAY($B8)=2,$B8-$B7=3,C7=1),1,""))),""))</f>
        <v/>
      </c>
      <c r="D8" s="886" t="str">
        <f>IF($S$3,IF(AND($B8&gt;=EndDate!$B$2,$B8&lt;=EndDate!$B$8),1,IF(AND($B7+1=$B8,D7=1),1,IF(AND(WEEKDAY($B7)=6,WEEKDAY($B8)=2,$B8-$B7=3,D7=1),1,""))),IF(OR(MONTH($B8)=1,MONTH($B8)=12),IF(AND($B8&gt;=EndDate!$B$2,$B8&lt;=EndDate!$B$8),1,IF(AND($B7+1=$B8,D7=1),1,IF(AND(WEEKDAY($B7)=6,WEEKDAY($B8)=2,$B8-$B7=3,D7=1),1,""))),""))</f>
        <v/>
      </c>
      <c r="E8" s="886" t="str">
        <f>IF($S$3,IF(AND($B8&gt;=EndDate!$B$2,$B8&lt;=EndDate!$B$8),1,IF(AND($B7+1=$B8,E7=1),1,IF(AND(WEEKDAY($B7)=6,WEEKDAY($B8)=2,$B8-$B7=3,E7=1),1,""))),IF(OR(MONTH($B8)=1,MONTH($B8)=12),IF(AND($B8&gt;=EndDate!$B$2,$B8&lt;=EndDate!$B$8),1,IF(AND($B7+1=$B8,E7=1),1,IF(AND(WEEKDAY($B7)=6,WEEKDAY($B8)=2,$B8-$B7=3,E7=1),1,""))),""))</f>
        <v/>
      </c>
      <c r="F8" s="885">
        <v>44340</v>
      </c>
      <c r="G8" s="886" t="str">
        <f>IF($S$3,IF(AND($F8&gt;=EndDate!$B$2,$F8&lt;=EndDate!$B$8),1,IF(AND($F7+1=$F8,G7=1),1,IF(AND(WEEKDAY($F7)=6,WEEKDAY($F8)=2,$F8-$F7=3,G7=1),1,""))),IF(OR(MONTH($F8)=1,MONTH($F8)=12),IF(AND($F8&gt;=EndDate!$B$2,$F8&lt;=EndDate!$B$8),1,IF(AND($F7+1=$F8,G7=1),1,IF(AND(WEEKDAY($F7)=6,WEEKDAY($F8)=2,$F8-$F7=3,G7=1),1,""))),""))</f>
        <v/>
      </c>
      <c r="H8" s="886" t="str">
        <f>IF($S$3,IF(AND($F8&gt;=EndDate!$B$2,$F8&lt;=EndDate!$B$9),1,IF(AND($F7+1=$F8,H7=1),1,IF(AND(WEEKDAY($F7)=6,WEEKDAY($F8)=2,$F8-$F7=3,H7=1),1,""))),IF(OR(MONTH($F8)=1,MONTH($F8)=12),IF(AND($F8&gt;=EndDate!$B$2,$F8&lt;=EndDate!$B$9),1,IF(AND($F7+1=$F8,H7=1),1,IF(AND(WEEKDAY($F7)=6,WEEKDAY($F8)=2,$F8-$F7=3,H7=1),1,""))),""))</f>
        <v/>
      </c>
      <c r="I8" s="886" t="str">
        <f>IF($S$3,IF(AND($F8&gt;=EndDate!$B$2,$F8&lt;=EndDate!$B$10),1,IF(AND($F7+1=$F8,I7=1),1,IF(AND(WEEKDAY($F7)=6,WEEKDAY($F8)=2,$F8-$F7=3,I7=1),1,""))),IF(OR(MONTH($F8)=1,MONTH($F8)=12),IF(AND($F8&gt;=EndDate!$B$2,$F8&lt;=EndDate!$B$10),1,IF(AND($F7+1=$F8,I7=1),1,IF(AND(WEEKDAY($F7)=6,WEEKDAY($F8)=2,$F8-$F7=3,I7=1),1,""))),""))</f>
        <v/>
      </c>
      <c r="J8" s="885">
        <v>44704</v>
      </c>
      <c r="K8" s="886" t="str">
        <f>IF($S$3,IF(AND($J8&gt;=EndDate!$B$2,$J8&lt;=EndDate!$B$8),1,IF(AND($J7+1=$J8,K7=1),1,IF(AND(WEEKDAY($J7)=6,WEEKDAY($J8)=2,$J8-$J7=3,K7=1),1,""))),IF(OR(MONTH($J8)=1,MONTH($J8)=12),IF(AND($J8&gt;=EndDate!$B$2,$J8&lt;=EndDate!$B$8),1,IF(AND($J7+1=$J8,K7=1),1,IF(AND(WEEKDAY($J7)=6,WEEKDAY($J8)=2,$J8-$J7=3,K7=1),1,""))),""))</f>
        <v/>
      </c>
      <c r="L8" s="886" t="str">
        <f>IF($S$3,IF(AND($J8&gt;=EndDate!$B$2,$J8&lt;=EndDate!$B$9),1,IF(AND($J7+1=$J8,L7=1),1,IF(AND(WEEKDAY($J7)=6,WEEKDAY($J8)=2,$J8-$J7=3,L7=1),1,""))),IF(OR(MONTH($J8)=1,MONTH($J8)=12),IF(AND($J8&gt;=EndDate!$B$2,$J8&lt;=EndDate!$B$9),1,IF(AND($J7+1=$J8,L7=1),1,IF(AND(WEEKDAY($J7)=6,WEEKDAY($J8)=2,$J8-$J7=3,L7=1),1,""))),""))</f>
        <v/>
      </c>
      <c r="M8" s="886" t="str">
        <f>IF($S$3,IF(AND($J8&gt;=EndDate!$B$2,$J8&lt;=EndDate!$B$10),1,IF(AND($J7+1=$J8,M7=1),1,IF(AND(WEEKDAY($J7)=6,WEEKDAY($J8)=2,$J8-$J7=3,M7=1),1,""))),IF(OR(MONTH($J8)=1,MONTH($J8)=12),IF(AND($J8&gt;=EndDate!$B$2,$J8&lt;=EndDate!$B$10),1,IF(AND($J7+1=$J8,M7=1),1,IF(AND(WEEKDAY($J7)=6,WEEKDAY($J8)=2,$J8-$J7=3,M7=1),1,""))),""))</f>
        <v/>
      </c>
      <c r="N8" s="885">
        <v>45068</v>
      </c>
      <c r="O8" s="886" t="str">
        <f>IF($S$3,IF(AND($N8&gt;=EndDate!$B$2,$N8&lt;=EndDate!$B$8),1,IF(AND($N7+1=$N8,O7=1),1,IF(AND(WEEKDAY($N7)=6,WEEKDAY($N8)=2,$N8-$N7=3,O7=1),1,""))),IF(OR(MONTH($N8)=1,MONTH($N8)=12),IF(AND($N8&gt;=EndDate!$B$2,$N8&lt;=EndDate!$B$8),1,IF(AND($N7+1=$N8,O7=1),1,IF(AND(WEEKDAY($N7)=6,WEEKDAY($N8)=2,$N8-$N7=3,O7=1),1,""))),""))</f>
        <v/>
      </c>
      <c r="P8" s="886" t="str">
        <f>IF($S$3,IF(AND($N8&gt;=EndDate!$B$2,$N8&lt;=EndDate!$B$9),1,IF(AND($N7+1=$N8,P7=1),1,IF(AND(WEEKDAY($N7)=6,WEEKDAY($N8)=2,$N8-$N7=3,P7=1),1,""))),IF(OR(MONTH($N8)=1,MONTH($N8)=12),IF(AND($N8&gt;=EndDate!$B$2,$N8&lt;=EndDate!$B$9),1,IF(AND($N7+1=$N8,P7=1),1,IF(AND(WEEKDAY($N7)=6,WEEKDAY($N8)=2,$N8-$N7=3,P7=1),1,""))),""))</f>
        <v/>
      </c>
      <c r="Q8" s="886" t="str">
        <f>IF($S$3,IF(AND($N8&gt;=EndDate!$B$2,$N8&lt;=EndDate!$B$10),1,IF(AND($N7+1=$N8,Q7=1),1,IF(AND(WEEKDAY($N7)=6,WEEKDAY($N8)=2,$N8-$N7=3,Q7=1),1,""))),IF(OR(MONTH($N8)=1,MONTH($N8)=12),IF(AND($N8&gt;=EndDate!$B$2,$N8&lt;=EndDate!$B$10),1,IF(AND($N7+1=$N8,Q7=1),1,IF(AND(WEEKDAY($N7)=6,WEEKDAY($N8)=2,$N8-$N7=3,Q7=1),1,""))),""))</f>
        <v/>
      </c>
      <c r="R8" s="258" t="s">
        <v>886</v>
      </c>
      <c r="S8" s="258" t="str">
        <f>[1]SalesAscCrt!$D$4</f>
        <v>SALES ASSOCIATE CERTIFICATE</v>
      </c>
    </row>
    <row r="9" spans="1:19" ht="13.8">
      <c r="A9" s="880"/>
      <c r="B9" s="885">
        <v>44013</v>
      </c>
      <c r="C9" s="886" t="str">
        <f>IF($S$3,IF(AND($B9&gt;=EndDate!$B$2,$B9&lt;=EndDate!$B$8),1,IF(AND($B8+1=$B9,C8=1),1,IF(AND(WEEKDAY($B8)=6,WEEKDAY($B9)=2,$B9-$B8=3,C8=1),1,""))),IF(OR(MONTH($B9)=1,MONTH($B9)=12),IF(AND($B9&gt;=EndDate!$B$2,$B9&lt;=EndDate!$B$8),1,IF(AND($B8+1=$B9,C8=1),1,IF(AND(WEEKDAY($B8)=6,WEEKDAY($B9)=2,$B9-$B8=3,C8=1),1,""))),""))</f>
        <v/>
      </c>
      <c r="D9" s="886" t="str">
        <f>IF($S$3,IF(AND($B9&gt;=EndDate!$B$2,$B9&lt;=EndDate!$B$8),1,IF(AND($B8+1=$B9,D8=1),1,IF(AND(WEEKDAY($B8)=6,WEEKDAY($B9)=2,$B9-$B8=3,D8=1),1,""))),IF(OR(MONTH($B9)=1,MONTH($B9)=12),IF(AND($B9&gt;=EndDate!$B$2,$B9&lt;=EndDate!$B$8),1,IF(AND($B8+1=$B9,D8=1),1,IF(AND(WEEKDAY($B8)=6,WEEKDAY($B9)=2,$B9-$B8=3,D8=1),1,""))),""))</f>
        <v/>
      </c>
      <c r="E9" s="886" t="str">
        <f>IF($S$3,IF(AND($B9&gt;=EndDate!$B$2,$B9&lt;=EndDate!$B$8),1,IF(AND($B8+1=$B9,E8=1),1,IF(AND(WEEKDAY($B8)=6,WEEKDAY($B9)=2,$B9-$B8=3,E8=1),1,""))),IF(OR(MONTH($B9)=1,MONTH($B9)=12),IF(AND($B9&gt;=EndDate!$B$2,$B9&lt;=EndDate!$B$8),1,IF(AND($B8+1=$B9,E8=1),1,IF(AND(WEEKDAY($B8)=6,WEEKDAY($B9)=2,$B9-$B8=3,E8=1),1,""))),""))</f>
        <v/>
      </c>
      <c r="F9" s="885">
        <v>44378</v>
      </c>
      <c r="G9" s="886" t="str">
        <f>IF($S$3,IF(AND($F9&gt;=EndDate!$B$2,$F9&lt;=EndDate!$B$8),1,IF(AND($F8+1=$F9,G8=1),1,IF(AND(WEEKDAY($F8)=6,WEEKDAY($F9)=2,$F9-$F8=3,G8=1),1,""))),IF(OR(MONTH($F9)=1,MONTH($F9)=12),IF(AND($F9&gt;=EndDate!$B$2,$F9&lt;=EndDate!$B$8),1,IF(AND($F8+1=$F9,G8=1),1,IF(AND(WEEKDAY($F8)=6,WEEKDAY($F9)=2,$F9-$F8=3,G8=1),1,""))),""))</f>
        <v/>
      </c>
      <c r="H9" s="886" t="str">
        <f>IF($S$3,IF(AND($F9&gt;=EndDate!$B$2,$F9&lt;=EndDate!$B$9),1,IF(AND($F8+1=$F9,H8=1),1,IF(AND(WEEKDAY($F8)=6,WEEKDAY($F9)=2,$F9-$F8=3,H8=1),1,""))),IF(OR(MONTH($F9)=1,MONTH($F9)=12),IF(AND($F9&gt;=EndDate!$B$2,$F9&lt;=EndDate!$B$9),1,IF(AND($F8+1=$F9,H8=1),1,IF(AND(WEEKDAY($F8)=6,WEEKDAY($F9)=2,$F9-$F8=3,H8=1),1,""))),""))</f>
        <v/>
      </c>
      <c r="I9" s="886" t="str">
        <f>IF($S$3,IF(AND($F9&gt;=EndDate!$B$2,$F9&lt;=EndDate!$B$10),1,IF(AND($F8+1=$F9,I8=1),1,IF(AND(WEEKDAY($F8)=6,WEEKDAY($F9)=2,$F9-$F8=3,I8=1),1,""))),IF(OR(MONTH($F9)=1,MONTH($F9)=12),IF(AND($F9&gt;=EndDate!$B$2,$F9&lt;=EndDate!$B$10),1,IF(AND($F8+1=$F9,I8=1),1,IF(AND(WEEKDAY($F8)=6,WEEKDAY($F9)=2,$F9-$F8=3,I8=1),1,""))),""))</f>
        <v/>
      </c>
      <c r="J9" s="885">
        <v>44743</v>
      </c>
      <c r="K9" s="886" t="str">
        <f>IF($S$3,IF(AND($J9&gt;=EndDate!$B$2,$J9&lt;=EndDate!$B$8),1,IF(AND($J8+1=$J9,K8=1),1,IF(AND(WEEKDAY($J8)=6,WEEKDAY($J9)=2,$J9-$J8=3,K8=1),1,""))),IF(OR(MONTH($J9)=1,MONTH($J9)=12),IF(AND($J9&gt;=EndDate!$B$2,$J9&lt;=EndDate!$B$8),1,IF(AND($J8+1=$J9,K8=1),1,IF(AND(WEEKDAY($J8)=6,WEEKDAY($J9)=2,$J9-$J8=3,K8=1),1,""))),""))</f>
        <v/>
      </c>
      <c r="L9" s="886" t="str">
        <f>IF($S$3,IF(AND($J9&gt;=EndDate!$B$2,$J9&lt;=EndDate!$B$9),1,IF(AND($J8+1=$J9,L8=1),1,IF(AND(WEEKDAY($J8)=6,WEEKDAY($J9)=2,$J9-$J8=3,L8=1),1,""))),IF(OR(MONTH($J9)=1,MONTH($J9)=12),IF(AND($J9&gt;=EndDate!$B$2,$J9&lt;=EndDate!$B$9),1,IF(AND($J8+1=$J9,L8=1),1,IF(AND(WEEKDAY($J8)=6,WEEKDAY($J9)=2,$J9-$J8=3,L8=1),1,""))),""))</f>
        <v/>
      </c>
      <c r="M9" s="886" t="str">
        <f>IF($S$3,IF(AND($J9&gt;=EndDate!$B$2,$J9&lt;=EndDate!$B$10),1,IF(AND($J8+1=$J9,M8=1),1,IF(AND(WEEKDAY($J8)=6,WEEKDAY($J9)=2,$J9-$J8=3,M8=1),1,""))),IF(OR(MONTH($J9)=1,MONTH($J9)=12),IF(AND($J9&gt;=EndDate!$B$2,$J9&lt;=EndDate!$B$10),1,IF(AND($J8+1=$J9,M8=1),1,IF(AND(WEEKDAY($J8)=6,WEEKDAY($J9)=2,$J9-$J8=3,M8=1),1,""))),""))</f>
        <v/>
      </c>
      <c r="N9" s="885">
        <v>45108</v>
      </c>
      <c r="O9" s="886" t="str">
        <f>IF($S$3,IF(AND($N9&gt;=EndDate!$B$2,$N9&lt;=EndDate!$B$8),1,IF(AND($N8+1=$N9,O8=1),1,IF(AND(WEEKDAY($N8)=6,WEEKDAY($N9)=2,$N9-$N8=3,O8=1),1,""))),IF(OR(MONTH($N9)=1,MONTH($N9)=12),IF(AND($N9&gt;=EndDate!$B$2,$N9&lt;=EndDate!$B$8),1,IF(AND($N8+1=$N9,O8=1),1,IF(AND(WEEKDAY($N8)=6,WEEKDAY($N9)=2,$N9-$N8=3,O8=1),1,""))),""))</f>
        <v/>
      </c>
      <c r="P9" s="886" t="str">
        <f>IF($S$3,IF(AND($N9&gt;=EndDate!$B$2,$N9&lt;=EndDate!$B$9),1,IF(AND($N8+1=$N9,P8=1),1,IF(AND(WEEKDAY($N8)=6,WEEKDAY($N9)=2,$N9-$N8=3,P8=1),1,""))),IF(OR(MONTH($N9)=1,MONTH($N9)=12),IF(AND($N9&gt;=EndDate!$B$2,$N9&lt;=EndDate!$B$9),1,IF(AND($N8+1=$N9,P8=1),1,IF(AND(WEEKDAY($N8)=6,WEEKDAY($N9)=2,$N9-$N8=3,P8=1),1,""))),""))</f>
        <v/>
      </c>
      <c r="Q9" s="886" t="str">
        <f>IF($S$3,IF(AND($N9&gt;=EndDate!$B$2,$N9&lt;=EndDate!$B$10),1,IF(AND($N8+1=$N9,Q8=1),1,IF(AND(WEEKDAY($N8)=6,WEEKDAY($N9)=2,$N9-$N8=3,Q8=1),1,""))),IF(OR(MONTH($N9)=1,MONTH($N9)=12),IF(AND($N9&gt;=EndDate!$B$2,$N9&lt;=EndDate!$B$10),1,IF(AND($N8+1=$N9,Q8=1),1,IF(AND(WEEKDAY($N8)=6,WEEKDAY($N9)=2,$N9-$N8=3,Q8=1),1,""))),""))</f>
        <v/>
      </c>
      <c r="R9" s="258" t="s">
        <v>85</v>
      </c>
      <c r="S9" s="258" t="str">
        <f>[1]ESLCourses!$D$4</f>
        <v>ENGLISH AS SECOND LANGUAGE</v>
      </c>
    </row>
    <row r="10" spans="1:19" ht="13.8">
      <c r="A10" s="880"/>
      <c r="B10" s="885">
        <v>44046</v>
      </c>
      <c r="C10" s="886" t="str">
        <f>IF($S$3,IF(AND($B10&gt;=EndDate!$B$2,$B10&lt;=EndDate!$B$8),1,IF(AND($B9+1=$B10,C9=1),1,IF(AND(WEEKDAY($B9)=6,WEEKDAY($B10)=2,$B10-$B9=3,C9=1),1,""))),IF(OR(MONTH($B10)=1,MONTH($B10)=12),IF(AND($B10&gt;=EndDate!$B$2,$B10&lt;=EndDate!$B$8),1,IF(AND($B9+1=$B10,C9=1),1,IF(AND(WEEKDAY($B9)=6,WEEKDAY($B10)=2,$B10-$B9=3,C9=1),1,""))),""))</f>
        <v/>
      </c>
      <c r="D10" s="886" t="str">
        <f>IF($S$3,IF(AND($B10&gt;=EndDate!$B$2,$B10&lt;=EndDate!$B$8),1,IF(AND($B9+1=$B10,D9=1),1,IF(AND(WEEKDAY($B9)=6,WEEKDAY($B10)=2,$B10-$B9=3,D9=1),1,""))),IF(OR(MONTH($B10)=1,MONTH($B10)=12),IF(AND($B10&gt;=EndDate!$B$2,$B10&lt;=EndDate!$B$8),1,IF(AND($B9+1=$B10,D9=1),1,IF(AND(WEEKDAY($B9)=6,WEEKDAY($B10)=2,$B10-$B9=3,D9=1),1,""))),""))</f>
        <v/>
      </c>
      <c r="E10" s="886" t="str">
        <f>IF($S$3,IF(AND($B10&gt;=EndDate!$B$2,$B10&lt;=EndDate!$B$8),1,IF(AND($B9+1=$B10,E9=1),1,IF(AND(WEEKDAY($B9)=6,WEEKDAY($B10)=2,$B10-$B9=3,E9=1),1,""))),IF(OR(MONTH($B10)=1,MONTH($B10)=12),IF(AND($B10&gt;=EndDate!$B$2,$B10&lt;=EndDate!$B$8),1,IF(AND($B9+1=$B10,E9=1),1,IF(AND(WEEKDAY($B9)=6,WEEKDAY($B10)=2,$B10-$B9=3,E9=1),1,""))),""))</f>
        <v/>
      </c>
      <c r="F10" s="885">
        <v>44410</v>
      </c>
      <c r="G10" s="886" t="str">
        <f>IF($S$3,IF(AND($F10&gt;=EndDate!$B$2,$F10&lt;=EndDate!$B$8),1,IF(AND($F9+1=$F10,G9=1),1,IF(AND(WEEKDAY($F9)=6,WEEKDAY($F10)=2,$F10-$F9=3,G9=1),1,""))),IF(OR(MONTH($F10)=1,MONTH($F10)=12),IF(AND($F10&gt;=EndDate!$B$2,$F10&lt;=EndDate!$B$8),1,IF(AND($F9+1=$F10,G9=1),1,IF(AND(WEEKDAY($F9)=6,WEEKDAY($F10)=2,$F10-$F9=3,G9=1),1,""))),""))</f>
        <v/>
      </c>
      <c r="H10" s="886" t="str">
        <f>IF($S$3,IF(AND($F10&gt;=EndDate!$B$2,$F10&lt;=EndDate!$B$9),1,IF(AND($F9+1=$F10,H9=1),1,IF(AND(WEEKDAY($F9)=6,WEEKDAY($F10)=2,$F10-$F9=3,H9=1),1,""))),IF(OR(MONTH($F10)=1,MONTH($F10)=12),IF(AND($F10&gt;=EndDate!$B$2,$F10&lt;=EndDate!$B$9),1,IF(AND($F9+1=$F10,H9=1),1,IF(AND(WEEKDAY($F9)=6,WEEKDAY($F10)=2,$F10-$F9=3,H9=1),1,""))),""))</f>
        <v/>
      </c>
      <c r="I10" s="886" t="str">
        <f>IF($S$3,IF(AND($F10&gt;=EndDate!$B$2,$F10&lt;=EndDate!$B$10),1,IF(AND($F9+1=$F10,I9=1),1,IF(AND(WEEKDAY($F9)=6,WEEKDAY($F10)=2,$F10-$F9=3,I9=1),1,""))),IF(OR(MONTH($F10)=1,MONTH($F10)=12),IF(AND($F10&gt;=EndDate!$B$2,$F10&lt;=EndDate!$B$10),1,IF(AND($F9+1=$F10,I9=1),1,IF(AND(WEEKDAY($F9)=6,WEEKDAY($F10)=2,$F10-$F9=3,I9=1),1,""))),""))</f>
        <v/>
      </c>
      <c r="J10" s="885">
        <v>44774</v>
      </c>
      <c r="K10" s="886" t="str">
        <f>IF($S$3,IF(AND($J10&gt;=EndDate!$B$2,$J10&lt;=EndDate!$B$8),1,IF(AND($J9+1=$J10,K9=1),1,IF(AND(WEEKDAY($J9)=6,WEEKDAY($J10)=2,$J10-$J9=3,K9=1),1,""))),IF(OR(MONTH($J10)=1,MONTH($J10)=12),IF(AND($J10&gt;=EndDate!$B$2,$J10&lt;=EndDate!$B$8),1,IF(AND($J9+1=$J10,K9=1),1,IF(AND(WEEKDAY($J9)=6,WEEKDAY($J10)=2,$J10-$J9=3,K9=1),1,""))),""))</f>
        <v/>
      </c>
      <c r="L10" s="886" t="str">
        <f>IF($S$3,IF(AND($J10&gt;=EndDate!$B$2,$J10&lt;=EndDate!$B$9),1,IF(AND($J9+1=$J10,L9=1),1,IF(AND(WEEKDAY($J9)=6,WEEKDAY($J10)=2,$J10-$J9=3,L9=1),1,""))),IF(OR(MONTH($J10)=1,MONTH($J10)=12),IF(AND($J10&gt;=EndDate!$B$2,$J10&lt;=EndDate!$B$9),1,IF(AND($J9+1=$J10,L9=1),1,IF(AND(WEEKDAY($J9)=6,WEEKDAY($J10)=2,$J10-$J9=3,L9=1),1,""))),""))</f>
        <v/>
      </c>
      <c r="M10" s="886" t="str">
        <f>IF($S$3,IF(AND($J10&gt;=EndDate!$B$2,$J10&lt;=EndDate!$B$10),1,IF(AND($J9+1=$J10,M9=1),1,IF(AND(WEEKDAY($J9)=6,WEEKDAY($J10)=2,$J10-$J9=3,M9=1),1,""))),IF(OR(MONTH($J10)=1,MONTH($J10)=12),IF(AND($J10&gt;=EndDate!$B$2,$J10&lt;=EndDate!$B$10),1,IF(AND($J9+1=$J10,M9=1),1,IF(AND(WEEKDAY($J9)=6,WEEKDAY($J10)=2,$J10-$J9=3,M9=1),1,""))),""))</f>
        <v/>
      </c>
      <c r="N10" s="885">
        <v>45145</v>
      </c>
      <c r="O10" s="886" t="str">
        <f>IF($S$3,IF(AND($N10&gt;=EndDate!$B$2,$N10&lt;=EndDate!$B$8),1,IF(AND($N9+1=$N10,O9=1),1,IF(AND(WEEKDAY($N9)=6,WEEKDAY($N10)=2,$N10-$N9=3,O9=1),1,""))),IF(OR(MONTH($N10)=1,MONTH($N10)=12),IF(AND($N10&gt;=EndDate!$B$2,$N10&lt;=EndDate!$B$8),1,IF(AND($N9+1=$N10,O9=1),1,IF(AND(WEEKDAY($N9)=6,WEEKDAY($N10)=2,$N10-$N9=3,O9=1),1,""))),""))</f>
        <v/>
      </c>
      <c r="P10" s="886" t="str">
        <f>IF($S$3,IF(AND($N10&gt;=EndDate!$B$2,$N10&lt;=EndDate!$B$9),1,IF(AND($N9+1=$N10,P9=1),1,IF(AND(WEEKDAY($N9)=6,WEEKDAY($N10)=2,$N10-$N9=3,P9=1),1,""))),IF(OR(MONTH($N10)=1,MONTH($N10)=12),IF(AND($N10&gt;=EndDate!$B$2,$N10&lt;=EndDate!$B$9),1,IF(AND($N9+1=$N10,P9=1),1,IF(AND(WEEKDAY($N9)=6,WEEKDAY($N10)=2,$N10-$N9=3,P9=1),1,""))),""))</f>
        <v/>
      </c>
      <c r="Q10" s="886" t="str">
        <f>IF($S$3,IF(AND($N10&gt;=EndDate!$B$2,$N10&lt;=EndDate!$B$10),1,IF(AND($N9+1=$N10,Q9=1),1,IF(AND(WEEKDAY($N9)=6,WEEKDAY($N10)=2,$N10-$N9=3,Q9=1),1,""))),IF(OR(MONTH($N10)=1,MONTH($N10)=12),IF(AND($N10&gt;=EndDate!$B$2,$N10&lt;=EndDate!$B$10),1,IF(AND($N9+1=$N10,Q9=1),1,IF(AND(WEEKDAY($N9)=6,WEEKDAY($N10)=2,$N10-$N9=3,Q9=1),1,""))),""))</f>
        <v/>
      </c>
      <c r="R10" s="258" t="s">
        <v>86</v>
      </c>
      <c r="S10" s="258" t="str">
        <f>[1]IndividualProgram!$D$4</f>
        <v>INDIVIDUAL COURSES</v>
      </c>
    </row>
    <row r="11" spans="1:19" ht="13.8">
      <c r="A11" s="880"/>
      <c r="B11" s="885">
        <v>44081</v>
      </c>
      <c r="C11" s="886" t="str">
        <f>IF($S$3,IF(AND($B11&gt;=EndDate!$B$2,$B11&lt;=EndDate!$B$8),1,IF(AND($B10+1=$B11,C10=1),1,IF(AND(WEEKDAY($B10)=6,WEEKDAY($B11)=2,$B11-$B10=3,C10=1),1,""))),IF(OR(MONTH($B11)=1,MONTH($B11)=12),IF(AND($B11&gt;=EndDate!$B$2,$B11&lt;=EndDate!$B$8),1,IF(AND($B10+1=$B11,C10=1),1,IF(AND(WEEKDAY($B10)=6,WEEKDAY($B11)=2,$B11-$B10=3,C10=1),1,""))),""))</f>
        <v/>
      </c>
      <c r="D11" s="886" t="str">
        <f>IF($S$3,IF(AND($B11&gt;=EndDate!$B$2,$B11&lt;=EndDate!$B$8),1,IF(AND($B10+1=$B11,D10=1),1,IF(AND(WEEKDAY($B10)=6,WEEKDAY($B11)=2,$B11-$B10=3,D10=1),1,""))),IF(OR(MONTH($B11)=1,MONTH($B11)=12),IF(AND($B11&gt;=EndDate!$B$2,$B11&lt;=EndDate!$B$8),1,IF(AND($B10+1=$B11,D10=1),1,IF(AND(WEEKDAY($B10)=6,WEEKDAY($B11)=2,$B11-$B10=3,D10=1),1,""))),""))</f>
        <v/>
      </c>
      <c r="E11" s="886" t="str">
        <f>IF($S$3,IF(AND($B11&gt;=EndDate!$B$2,$B11&lt;=EndDate!$B$8),1,IF(AND($B10+1=$B11,E10=1),1,IF(AND(WEEKDAY($B10)=6,WEEKDAY($B11)=2,$B11-$B10=3,E10=1),1,""))),IF(OR(MONTH($B11)=1,MONTH($B11)=12),IF(AND($B11&gt;=EndDate!$B$2,$B11&lt;=EndDate!$B$8),1,IF(AND($B10+1=$B11,E10=1),1,IF(AND(WEEKDAY($B10)=6,WEEKDAY($B11)=2,$B11-$B10=3,E10=1),1,""))),""))</f>
        <v/>
      </c>
      <c r="F11" s="885">
        <v>44445</v>
      </c>
      <c r="G11" s="886" t="str">
        <f>IF($S$3,IF(AND($F11&gt;=EndDate!$B$2,$F11&lt;=EndDate!$B$8),1,IF(AND($F10+1=$F11,G10=1),1,IF(AND(WEEKDAY($F10)=6,WEEKDAY($F11)=2,$F11-$F10=3,G10=1),1,""))),IF(OR(MONTH($F11)=1,MONTH($F11)=12),IF(AND($F11&gt;=EndDate!$B$2,$F11&lt;=EndDate!$B$8),1,IF(AND($F10+1=$F11,G10=1),1,IF(AND(WEEKDAY($F10)=6,WEEKDAY($F11)=2,$F11-$F10=3,G10=1),1,""))),""))</f>
        <v/>
      </c>
      <c r="H11" s="886" t="str">
        <f>IF($S$3,IF(AND($F11&gt;=EndDate!$B$2,$F11&lt;=EndDate!$B$9),1,IF(AND($F10+1=$F11,H10=1),1,IF(AND(WEEKDAY($F10)=6,WEEKDAY($F11)=2,$F11-$F10=3,H10=1),1,""))),IF(OR(MONTH($F11)=1,MONTH($F11)=12),IF(AND($F11&gt;=EndDate!$B$2,$F11&lt;=EndDate!$B$9),1,IF(AND($F10+1=$F11,H10=1),1,IF(AND(WEEKDAY($F10)=6,WEEKDAY($F11)=2,$F11-$F10=3,H10=1),1,""))),""))</f>
        <v/>
      </c>
      <c r="I11" s="886" t="str">
        <f>IF($S$3,IF(AND($F11&gt;=EndDate!$B$2,$F11&lt;=EndDate!$B$10),1,IF(AND($F10+1=$F11,I10=1),1,IF(AND(WEEKDAY($F10)=6,WEEKDAY($F11)=2,$F11-$F10=3,I10=1),1,""))),IF(OR(MONTH($F11)=1,MONTH($F11)=12),IF(AND($F11&gt;=EndDate!$B$2,$F11&lt;=EndDate!$B$10),1,IF(AND($F10+1=$F11,I10=1),1,IF(AND(WEEKDAY($F10)=6,WEEKDAY($F11)=2,$F11-$F10=3,I10=1),1,""))),""))</f>
        <v/>
      </c>
      <c r="J11" s="885">
        <v>44809</v>
      </c>
      <c r="K11" s="886" t="str">
        <f>IF($S$3,IF(AND($J11&gt;=EndDate!$B$2,$J11&lt;=EndDate!$B$8),1,IF(AND($J10+1=$J11,K10=1),1,IF(AND(WEEKDAY($J10)=6,WEEKDAY($J11)=2,$J11-$J10=3,K10=1),1,""))),IF(OR(MONTH($J11)=1,MONTH($J11)=12),IF(AND($J11&gt;=EndDate!$B$2,$J11&lt;=EndDate!$B$8),1,IF(AND($J10+1=$J11,K10=1),1,IF(AND(WEEKDAY($J10)=6,WEEKDAY($J11)=2,$J11-$J10=3,K10=1),1,""))),""))</f>
        <v/>
      </c>
      <c r="L11" s="886" t="str">
        <f>IF($S$3,IF(AND($J11&gt;=EndDate!$B$2,$J11&lt;=EndDate!$B$9),1,IF(AND($J10+1=$J11,L10=1),1,IF(AND(WEEKDAY($J10)=6,WEEKDAY($J11)=2,$J11-$J10=3,L10=1),1,""))),IF(OR(MONTH($J11)=1,MONTH($J11)=12),IF(AND($J11&gt;=EndDate!$B$2,$J11&lt;=EndDate!$B$9),1,IF(AND($J10+1=$J11,L10=1),1,IF(AND(WEEKDAY($J10)=6,WEEKDAY($J11)=2,$J11-$J10=3,L10=1),1,""))),""))</f>
        <v/>
      </c>
      <c r="M11" s="886" t="str">
        <f>IF($S$3,IF(AND($J11&gt;=EndDate!$B$2,$J11&lt;=EndDate!$B$10),1,IF(AND($J10+1=$J11,M10=1),1,IF(AND(WEEKDAY($J10)=6,WEEKDAY($J11)=2,$J11-$J10=3,M10=1),1,""))),IF(OR(MONTH($J11)=1,MONTH($J11)=12),IF(AND($J11&gt;=EndDate!$B$2,$J11&lt;=EndDate!$B$10),1,IF(AND($J10+1=$J11,M10=1),1,IF(AND(WEEKDAY($J10)=6,WEEKDAY($J11)=2,$J11-$J10=3,M10=1),1,""))),""))</f>
        <v/>
      </c>
      <c r="N11" s="885">
        <v>45173</v>
      </c>
      <c r="O11" s="886" t="str">
        <f>IF($S$3,IF(AND($N11&gt;=EndDate!$B$2,$N11&lt;=EndDate!$B$8),1,IF(AND($N10+1=$N11,O10=1),1,IF(AND(WEEKDAY($N10)=6,WEEKDAY($N11)=2,$N11-$N10=3,O10=1),1,""))),IF(OR(MONTH($N11)=1,MONTH($N11)=12),IF(AND($N11&gt;=EndDate!$B$2,$N11&lt;=EndDate!$B$8),1,IF(AND($N10+1=$N11,O10=1),1,IF(AND(WEEKDAY($N10)=6,WEEKDAY($N11)=2,$N11-$N10=3,O10=1),1,""))),""))</f>
        <v/>
      </c>
      <c r="P11" s="886" t="str">
        <f>IF($S$3,IF(AND($N11&gt;=EndDate!$B$2,$N11&lt;=EndDate!$B$9),1,IF(AND($N10+1=$N11,P10=1),1,IF(AND(WEEKDAY($N10)=6,WEEKDAY($N11)=2,$N11-$N10=3,P10=1),1,""))),IF(OR(MONTH($N11)=1,MONTH($N11)=12),IF(AND($N11&gt;=EndDate!$B$2,$N11&lt;=EndDate!$B$9),1,IF(AND($N10+1=$N11,P10=1),1,IF(AND(WEEKDAY($N10)=6,WEEKDAY($N11)=2,$N11-$N10=3,P10=1),1,""))),""))</f>
        <v/>
      </c>
      <c r="Q11" s="886" t="str">
        <f>IF($S$3,IF(AND($N11&gt;=EndDate!$B$2,$N11&lt;=EndDate!$B$10),1,IF(AND($N10+1=$N11,Q10=1),1,IF(AND(WEEKDAY($N10)=6,WEEKDAY($N11)=2,$N11-$N10=3,Q10=1),1,""))),IF(OR(MONTH($N11)=1,MONTH($N11)=12),IF(AND($N11&gt;=EndDate!$B$2,$N11&lt;=EndDate!$B$10),1,IF(AND($N10+1=$N11,Q10=1),1,IF(AND(WEEKDAY($N10)=6,WEEKDAY($N11)=2,$N11-$N10=3,Q10=1),1,""))),""))</f>
        <v/>
      </c>
      <c r="R11" s="258" t="s">
        <v>87</v>
      </c>
      <c r="S11" s="1"/>
    </row>
    <row r="12" spans="1:19" ht="13.8">
      <c r="A12" s="880"/>
      <c r="B12" s="885">
        <v>44116</v>
      </c>
      <c r="C12" s="886" t="str">
        <f>IF($S$3,IF(AND($B12&gt;=EndDate!$B$2,$B12&lt;=EndDate!$B$8),1,IF(AND($B11+1=$B12,C11=1),1,IF(AND(WEEKDAY($B11)=6,WEEKDAY($B12)=2,$B12-$B11=3,C11=1),1,""))),IF(OR(MONTH($B12)=1,MONTH($B12)=12),IF(AND($B12&gt;=EndDate!$B$2,$B12&lt;=EndDate!$B$8),1,IF(AND($B11+1=$B12,C11=1),1,IF(AND(WEEKDAY($B11)=6,WEEKDAY($B12)=2,$B12-$B11=3,C11=1),1,""))),""))</f>
        <v/>
      </c>
      <c r="D12" s="886" t="str">
        <f>IF($S$3,IF(AND($B12&gt;=EndDate!$B$2,$B12&lt;=EndDate!$B$8),1,IF(AND($B11+1=$B12,D11=1),1,IF(AND(WEEKDAY($B11)=6,WEEKDAY($B12)=2,$B12-$B11=3,D11=1),1,""))),IF(OR(MONTH($B12)=1,MONTH($B12)=12),IF(AND($B12&gt;=EndDate!$B$2,$B12&lt;=EndDate!$B$8),1,IF(AND($B11+1=$B12,D11=1),1,IF(AND(WEEKDAY($B11)=6,WEEKDAY($B12)=2,$B12-$B11=3,D11=1),1,""))),""))</f>
        <v/>
      </c>
      <c r="E12" s="886" t="str">
        <f>IF($S$3,IF(AND($B12&gt;=EndDate!$B$2,$B12&lt;=EndDate!$B$8),1,IF(AND($B11+1=$B12,E11=1),1,IF(AND(WEEKDAY($B11)=6,WEEKDAY($B12)=2,$B12-$B11=3,E11=1),1,""))),IF(OR(MONTH($B12)=1,MONTH($B12)=12),IF(AND($B12&gt;=EndDate!$B$2,$B12&lt;=EndDate!$B$8),1,IF(AND($B11+1=$B12,E11=1),1,IF(AND(WEEKDAY($B11)=6,WEEKDAY($B12)=2,$B12-$B11=3,E11=1),1,""))),""))</f>
        <v/>
      </c>
      <c r="F12" s="885">
        <v>44480</v>
      </c>
      <c r="G12" s="886" t="str">
        <f>IF($S$3,IF(AND($F12&gt;=EndDate!$B$2,$F12&lt;=EndDate!$B$8),1,IF(AND($F11+1=$F12,G11=1),1,IF(AND(WEEKDAY($F11)=6,WEEKDAY($F12)=2,$F12-$F11=3,G11=1),1,""))),IF(OR(MONTH($F12)=1,MONTH($F12)=12),IF(AND($F12&gt;=EndDate!$B$2,$F12&lt;=EndDate!$B$8),1,IF(AND($F11+1=$F12,G11=1),1,IF(AND(WEEKDAY($F11)=6,WEEKDAY($F12)=2,$F12-$F11=3,G11=1),1,""))),""))</f>
        <v/>
      </c>
      <c r="H12" s="886" t="str">
        <f>IF($S$3,IF(AND($F12&gt;=EndDate!$B$2,$F12&lt;=EndDate!$B$9),1,IF(AND($F11+1=$F12,H11=1),1,IF(AND(WEEKDAY($F11)=6,WEEKDAY($F12)=2,$F12-$F11=3,H11=1),1,""))),IF(OR(MONTH($F12)=1,MONTH($F12)=12),IF(AND($F12&gt;=EndDate!$B$2,$F12&lt;=EndDate!$B$9),1,IF(AND($F11+1=$F12,H11=1),1,IF(AND(WEEKDAY($F11)=6,WEEKDAY($F12)=2,$F12-$F11=3,H11=1),1,""))),""))</f>
        <v/>
      </c>
      <c r="I12" s="886" t="str">
        <f>IF($S$3,IF(AND($F12&gt;=EndDate!$B$2,$F12&lt;=EndDate!$B$10),1,IF(AND($F11+1=$F12,I11=1),1,IF(AND(WEEKDAY($F11)=6,WEEKDAY($F12)=2,$F12-$F11=3,I11=1),1,""))),IF(OR(MONTH($F12)=1,MONTH($F12)=12),IF(AND($F12&gt;=EndDate!$B$2,$F12&lt;=EndDate!$B$10),1,IF(AND($F11+1=$F12,I11=1),1,IF(AND(WEEKDAY($F11)=6,WEEKDAY($F12)=2,$F12-$F11=3,I11=1),1,""))),""))</f>
        <v/>
      </c>
      <c r="J12" s="885">
        <v>44844</v>
      </c>
      <c r="K12" s="886" t="str">
        <f>IF($S$3,IF(AND($J12&gt;=EndDate!$B$2,$J12&lt;=EndDate!$B$8),1,IF(AND($J11+1=$J12,K11=1),1,IF(AND(WEEKDAY($J11)=6,WEEKDAY($J12)=2,$J12-$J11=3,K11=1),1,""))),IF(OR(MONTH($J12)=1,MONTH($J12)=12),IF(AND($J12&gt;=EndDate!$B$2,$J12&lt;=EndDate!$B$8),1,IF(AND($J11+1=$J12,K11=1),1,IF(AND(WEEKDAY($J11)=6,WEEKDAY($J12)=2,$J12-$J11=3,K11=1),1,""))),""))</f>
        <v/>
      </c>
      <c r="L12" s="886" t="str">
        <f>IF($S$3,IF(AND($J12&gt;=EndDate!$B$2,$J12&lt;=EndDate!$B$9),1,IF(AND($J11+1=$J12,L11=1),1,IF(AND(WEEKDAY($J11)=6,WEEKDAY($J12)=2,$J12-$J11=3,L11=1),1,""))),IF(OR(MONTH($J12)=1,MONTH($J12)=12),IF(AND($J12&gt;=EndDate!$B$2,$J12&lt;=EndDate!$B$9),1,IF(AND($J11+1=$J12,L11=1),1,IF(AND(WEEKDAY($J11)=6,WEEKDAY($J12)=2,$J12-$J11=3,L11=1),1,""))),""))</f>
        <v/>
      </c>
      <c r="M12" s="886" t="str">
        <f>IF($S$3,IF(AND($J12&gt;=EndDate!$B$2,$J12&lt;=EndDate!$B$10),1,IF(AND($J11+1=$J12,M11=1),1,IF(AND(WEEKDAY($J11)=6,WEEKDAY($J12)=2,$J12-$J11=3,M11=1),1,""))),IF(OR(MONTH($J12)=1,MONTH($J12)=12),IF(AND($J12&gt;=EndDate!$B$2,$J12&lt;=EndDate!$B$10),1,IF(AND($J11+1=$J12,M11=1),1,IF(AND(WEEKDAY($J11)=6,WEEKDAY($J12)=2,$J12-$J11=3,M11=1),1,""))),""))</f>
        <v/>
      </c>
      <c r="N12" s="885">
        <v>45208</v>
      </c>
      <c r="O12" s="886" t="str">
        <f>IF($S$3,IF(AND($N12&gt;=EndDate!$B$2,$N12&lt;=EndDate!$B$8),1,IF(AND($N11+1=$N12,O11=1),1,IF(AND(WEEKDAY($N11)=6,WEEKDAY($N12)=2,$N12-$N11=3,O11=1),1,""))),IF(OR(MONTH($N12)=1,MONTH($N12)=12),IF(AND($N12&gt;=EndDate!$B$2,$N12&lt;=EndDate!$B$8),1,IF(AND($N11+1=$N12,O11=1),1,IF(AND(WEEKDAY($N11)=6,WEEKDAY($N12)=2,$N12-$N11=3,O11=1),1,""))),""))</f>
        <v/>
      </c>
      <c r="P12" s="886" t="str">
        <f>IF($S$3,IF(AND($N12&gt;=EndDate!$B$2,$N12&lt;=EndDate!$B$9),1,IF(AND($N11+1=$N12,P11=1),1,IF(AND(WEEKDAY($N11)=6,WEEKDAY($N12)=2,$N12-$N11=3,P11=1),1,""))),IF(OR(MONTH($N12)=1,MONTH($N12)=12),IF(AND($N12&gt;=EndDate!$B$2,$N12&lt;=EndDate!$B$9),1,IF(AND($N11+1=$N12,P11=1),1,IF(AND(WEEKDAY($N11)=6,WEEKDAY($N12)=2,$N12-$N11=3,P11=1),1,""))),""))</f>
        <v/>
      </c>
      <c r="Q12" s="886" t="str">
        <f>IF($S$3,IF(AND($N12&gt;=EndDate!$B$2,$N12&lt;=EndDate!$B$10),1,IF(AND($N11+1=$N12,Q11=1),1,IF(AND(WEEKDAY($N11)=6,WEEKDAY($N12)=2,$N12-$N11=3,Q11=1),1,""))),IF(OR(MONTH($N12)=1,MONTH($N12)=12),IF(AND($N12&gt;=EndDate!$B$2,$N12&lt;=EndDate!$B$10),1,IF(AND($N11+1=$N12,Q11=1),1,IF(AND(WEEKDAY($N11)=6,WEEKDAY($N12)=2,$N12-$N11=3,Q11=1),1,""))),""))</f>
        <v/>
      </c>
      <c r="R12" s="258" t="s">
        <v>88</v>
      </c>
      <c r="S12" s="1"/>
    </row>
    <row r="13" spans="1:19" ht="13.8">
      <c r="A13" s="880"/>
      <c r="B13" s="885">
        <v>44146</v>
      </c>
      <c r="C13" s="886" t="str">
        <f>IF($S$3,IF(AND($B13&gt;=EndDate!$B$2,$B13&lt;=EndDate!$B$8),1,IF(AND($B12+1=$B13,C12=1),1,IF(AND(WEEKDAY($B12)=6,WEEKDAY($B13)=2,$B13-$B12=3,C12=1),1,""))),IF(OR(MONTH($B13)=1,MONTH($B13)=12),IF(AND($B13&gt;=EndDate!$B$2,$B13&lt;=EndDate!$B$8),1,IF(AND($B12+1=$B13,C12=1),1,IF(AND(WEEKDAY($B12)=6,WEEKDAY($B13)=2,$B13-$B12=3,C12=1),1,""))),""))</f>
        <v/>
      </c>
      <c r="D13" s="886" t="str">
        <f>IF($S$3,IF(AND($B13&gt;=EndDate!$B$2,$B13&lt;=EndDate!$B$8),1,IF(AND($B12+1=$B13,D12=1),1,IF(AND(WEEKDAY($B12)=6,WEEKDAY($B13)=2,$B13-$B12=3,D12=1),1,""))),IF(OR(MONTH($B13)=1,MONTH($B13)=12),IF(AND($B13&gt;=EndDate!$B$2,$B13&lt;=EndDate!$B$8),1,IF(AND($B12+1=$B13,D12=1),1,IF(AND(WEEKDAY($B12)=6,WEEKDAY($B13)=2,$B13-$B12=3,D12=1),1,""))),""))</f>
        <v/>
      </c>
      <c r="E13" s="886" t="str">
        <f>IF($S$3,IF(AND($B13&gt;=EndDate!$B$2,$B13&lt;=EndDate!$B$8),1,IF(AND($B12+1=$B13,E12=1),1,IF(AND(WEEKDAY($B12)=6,WEEKDAY($B13)=2,$B13-$B12=3,E12=1),1,""))),IF(OR(MONTH($B13)=1,MONTH($B13)=12),IF(AND($B13&gt;=EndDate!$B$2,$B13&lt;=EndDate!$B$8),1,IF(AND($B12+1=$B13,E12=1),1,IF(AND(WEEKDAY($B12)=6,WEEKDAY($B13)=2,$B13-$B12=3,E12=1),1,""))),""))</f>
        <v/>
      </c>
      <c r="F13" s="885">
        <v>44511</v>
      </c>
      <c r="G13" s="886" t="str">
        <f>IF($S$3,IF(AND($F13&gt;=EndDate!$B$2,$F13&lt;=EndDate!$B$8),1,IF(AND($F12+1=$F13,G12=1),1,IF(AND(WEEKDAY($F12)=6,WEEKDAY($F13)=2,$F13-$F12=3,G12=1),1,""))),IF(OR(MONTH($F13)=1,MONTH($F13)=12),IF(AND($F13&gt;=EndDate!$B$2,$F13&lt;=EndDate!$B$8),1,IF(AND($F12+1=$F13,G12=1),1,IF(AND(WEEKDAY($F12)=6,WEEKDAY($F13)=2,$F13-$F12=3,G12=1),1,""))),""))</f>
        <v/>
      </c>
      <c r="H13" s="886" t="str">
        <f>IF($S$3,IF(AND($F13&gt;=EndDate!$B$2,$F13&lt;=EndDate!$B$9),1,IF(AND($F12+1=$F13,H12=1),1,IF(AND(WEEKDAY($F12)=6,WEEKDAY($F13)=2,$F13-$F12=3,H12=1),1,""))),IF(OR(MONTH($F13)=1,MONTH($F13)=12),IF(AND($F13&gt;=EndDate!$B$2,$F13&lt;=EndDate!$B$9),1,IF(AND($F12+1=$F13,H12=1),1,IF(AND(WEEKDAY($F12)=6,WEEKDAY($F13)=2,$F13-$F12=3,H12=1),1,""))),""))</f>
        <v/>
      </c>
      <c r="I13" s="886" t="str">
        <f>IF($S$3,IF(AND($F13&gt;=EndDate!$B$2,$F13&lt;=EndDate!$B$10),1,IF(AND($F12+1=$F13,I12=1),1,IF(AND(WEEKDAY($F12)=6,WEEKDAY($F13)=2,$F13-$F12=3,I12=1),1,""))),IF(OR(MONTH($F13)=1,MONTH($F13)=12),IF(AND($F13&gt;=EndDate!$B$2,$F13&lt;=EndDate!$B$10),1,IF(AND($F12+1=$F13,I12=1),1,IF(AND(WEEKDAY($F12)=6,WEEKDAY($F13)=2,$F13-$F12=3,I12=1),1,""))),""))</f>
        <v/>
      </c>
      <c r="J13" s="885">
        <v>44877</v>
      </c>
      <c r="K13" s="886" t="str">
        <f>IF($S$3,IF(AND($J13&gt;=EndDate!$B$2,$J13&lt;=EndDate!$B$8),1,IF(AND($J12+1=$J13,K12=1),1,IF(AND(WEEKDAY($J12)=6,WEEKDAY($J13)=2,$J13-$J12=3,K12=1),1,""))),IF(OR(MONTH($J13)=1,MONTH($J13)=12),IF(AND($J13&gt;=EndDate!$B$2,$J13&lt;=EndDate!$B$8),1,IF(AND($J12+1=$J13,K12=1),1,IF(AND(WEEKDAY($J12)=6,WEEKDAY($J13)=2,$J13-$J12=3,K12=1),1,""))),""))</f>
        <v/>
      </c>
      <c r="L13" s="886" t="str">
        <f>IF($S$3,IF(AND($J13&gt;=EndDate!$B$2,$J13&lt;=EndDate!$B$9),1,IF(AND($J12+1=$J13,L12=1),1,IF(AND(WEEKDAY($J12)=6,WEEKDAY($J13)=2,$J13-$J12=3,L12=1),1,""))),IF(OR(MONTH($J13)=1,MONTH($J13)=12),IF(AND($J13&gt;=EndDate!$B$2,$J13&lt;=EndDate!$B$9),1,IF(AND($J12+1=$J13,L12=1),1,IF(AND(WEEKDAY($J12)=6,WEEKDAY($J13)=2,$J13-$J12=3,L12=1),1,""))),""))</f>
        <v/>
      </c>
      <c r="M13" s="886" t="str">
        <f>IF($S$3,IF(AND($J13&gt;=EndDate!$B$2,$J13&lt;=EndDate!$B$10),1,IF(AND($J12+1=$J13,M12=1),1,IF(AND(WEEKDAY($J12)=6,WEEKDAY($J13)=2,$J13-$J12=3,M12=1),1,""))),IF(OR(MONTH($J13)=1,MONTH($J13)=12),IF(AND($J13&gt;=EndDate!$B$2,$J13&lt;=EndDate!$B$10),1,IF(AND($J12+1=$J13,M12=1),1,IF(AND(WEEKDAY($J12)=6,WEEKDAY($J13)=2,$J13-$J12=3,M12=1),1,""))),""))</f>
        <v/>
      </c>
      <c r="N13" s="885">
        <v>45241</v>
      </c>
      <c r="O13" s="886" t="str">
        <f>IF($S$3,IF(AND($N13&gt;=EndDate!$B$2,$N13&lt;=EndDate!$B$8),1,IF(AND($N12+1=$N13,O12=1),1,IF(AND(WEEKDAY($N12)=6,WEEKDAY($N13)=2,$N13-$N12=3,O12=1),1,""))),IF(OR(MONTH($N13)=1,MONTH($N13)=12),IF(AND($N13&gt;=EndDate!$B$2,$N13&lt;=EndDate!$B$8),1,IF(AND($N12+1=$N13,O12=1),1,IF(AND(WEEKDAY($N12)=6,WEEKDAY($N13)=2,$N13-$N12=3,O12=1),1,""))),""))</f>
        <v/>
      </c>
      <c r="P13" s="886" t="str">
        <f>IF($S$3,IF(AND($N13&gt;=EndDate!$B$2,$N13&lt;=EndDate!$B$9),1,IF(AND($N12+1=$N13,P12=1),1,IF(AND(WEEKDAY($N12)=6,WEEKDAY($N13)=2,$N13-$N12=3,P12=1),1,""))),IF(OR(MONTH($N13)=1,MONTH($N13)=12),IF(AND($N13&gt;=EndDate!$B$2,$N13&lt;=EndDate!$B$9),1,IF(AND($N12+1=$N13,P12=1),1,IF(AND(WEEKDAY($N12)=6,WEEKDAY($N13)=2,$N13-$N12=3,P12=1),1,""))),""))</f>
        <v/>
      </c>
      <c r="Q13" s="886" t="str">
        <f>IF($S$3,IF(AND($N13&gt;=EndDate!$B$2,$N13&lt;=EndDate!$B$10),1,IF(AND($N12+1=$N13,Q12=1),1,IF(AND(WEEKDAY($N12)=6,WEEKDAY($N13)=2,$N13-$N12=3,Q12=1),1,""))),IF(OR(MONTH($N13)=1,MONTH($N13)=12),IF(AND($N13&gt;=EndDate!$B$2,$N13&lt;=EndDate!$B$10),1,IF(AND($N12+1=$N13,Q12=1),1,IF(AND(WEEKDAY($N12)=6,WEEKDAY($N13)=2,$N13-$N12=3,Q12=1),1,""))),""))</f>
        <v/>
      </c>
      <c r="R13" s="258" t="s">
        <v>89</v>
      </c>
      <c r="S13" s="1"/>
    </row>
    <row r="14" spans="1:19" ht="13.8">
      <c r="A14" s="880"/>
      <c r="B14" s="885">
        <v>44186</v>
      </c>
      <c r="C14" s="886" t="str">
        <f>IF($S$3,IF(AND($B14&gt;=EndDate!$B$2,$B14&lt;=EndDate!$B$8),1,IF(AND($B13+1=$B14,C13=1),1,IF(AND(WEEKDAY($B13)=6,WEEKDAY($B14)=2,$B14-$B13=3,C13=1),1,""))),IF(OR(MONTH($B14)=1,MONTH($B14)=12),IF(AND($B14&gt;=EndDate!$B$2,$B14&lt;=EndDate!$B$8),1,IF(AND($B13+1=$B14,C13=1),1,IF(AND(WEEKDAY($B13)=6,WEEKDAY($B14)=2,$B14-$B13=3,C13=1),1,""))),""))</f>
        <v/>
      </c>
      <c r="D14" s="886" t="str">
        <f>IF($S$3,IF(AND($B14&gt;=EndDate!$B$2,$B14&lt;=EndDate!$B$8),1,IF(AND($B13+1=$B14,D13=1),1,IF(AND(WEEKDAY($B13)=6,WEEKDAY($B14)=2,$B14-$B13=3,D13=1),1,""))),IF(OR(MONTH($B14)=1,MONTH($B14)=12),IF(AND($B14&gt;=EndDate!$B$2,$B14&lt;=EndDate!$B$8),1,IF(AND($B13+1=$B14,D13=1),1,IF(AND(WEEKDAY($B13)=6,WEEKDAY($B14)=2,$B14-$B13=3,D13=1),1,""))),""))</f>
        <v/>
      </c>
      <c r="E14" s="886" t="str">
        <f>IF($S$3,IF(AND($B14&gt;=EndDate!$B$2,$B14&lt;=EndDate!$B$8),1,IF(AND($B13+1=$B14,E13=1),1,IF(AND(WEEKDAY($B13)=6,WEEKDAY($B14)=2,$B14-$B13=3,E13=1),1,""))),IF(OR(MONTH($B14)=1,MONTH($B14)=12),IF(AND($B14&gt;=EndDate!$B$2,$B14&lt;=EndDate!$B$8),1,IF(AND($B13+1=$B14,E13=1),1,IF(AND(WEEKDAY($B13)=6,WEEKDAY($B14)=2,$B14-$B13=3,E13=1),1,""))),""))</f>
        <v/>
      </c>
      <c r="F14" s="885">
        <v>44550</v>
      </c>
      <c r="G14" s="886" t="str">
        <f>IF($S$3,IF(AND($F14&gt;=EndDate!$B$2,$F14&lt;=EndDate!$B$8),1,IF(AND($F13+1=$F14,G13=1),1,IF(AND(WEEKDAY($F13)=6,WEEKDAY($F14)=2,$F14-$F13=3,G13=1),1,""))),IF(OR(MONTH($F14)=1,MONTH($F14)=12),IF(AND($F14&gt;=EndDate!$B$2,$F14&lt;=EndDate!$B$8),1,IF(AND($F13+1=$F14,G13=1),1,IF(AND(WEEKDAY($F13)=6,WEEKDAY($F14)=2,$F14-$F13=3,G13=1),1,""))),""))</f>
        <v/>
      </c>
      <c r="H14" s="886" t="str">
        <f>IF($S$3,IF(AND($F14&gt;=EndDate!$B$2,$F14&lt;=EndDate!$B$9),1,IF(AND($F13+1=$F14,H13=1),1,IF(AND(WEEKDAY($F13)=6,WEEKDAY($F14)=2,$F14-$F13=3,H13=1),1,""))),IF(OR(MONTH($F14)=1,MONTH($F14)=12),IF(AND($F14&gt;=EndDate!$B$2,$F14&lt;=EndDate!$B$9),1,IF(AND($F13+1=$F14,H13=1),1,IF(AND(WEEKDAY($F13)=6,WEEKDAY($F14)=2,$F14-$F13=3,H13=1),1,""))),""))</f>
        <v/>
      </c>
      <c r="I14" s="886" t="str">
        <f>IF($S$3,IF(AND($F14&gt;=EndDate!$B$2,$F14&lt;=EndDate!$B$10),1,IF(AND($F13+1=$F14,I13=1),1,IF(AND(WEEKDAY($F13)=6,WEEKDAY($F14)=2,$F14-$F13=3,I13=1),1,""))),IF(OR(MONTH($F14)=1,MONTH($F14)=12),IF(AND($F14&gt;=EndDate!$B$2,$F14&lt;=EndDate!$B$10),1,IF(AND($F13+1=$F14,I13=1),1,IF(AND(WEEKDAY($F13)=6,WEEKDAY($F14)=2,$F14-$F13=3,I13=1),1,""))),""))</f>
        <v/>
      </c>
      <c r="J14" s="885">
        <v>44914</v>
      </c>
      <c r="K14" s="886" t="str">
        <f>IF($S$3,IF(AND($J14&gt;=EndDate!$B$2,$J14&lt;=EndDate!$B$8),1,IF(AND($J13+1=$J14,K13=1),1,IF(AND(WEEKDAY($J13)=6,WEEKDAY($J14)=2,$J14-$J13=3,K13=1),1,""))),IF(OR(MONTH($J14)=1,MONTH($J14)=12),IF(AND($J14&gt;=EndDate!$B$2,$J14&lt;=EndDate!$B$8),1,IF(AND($J13+1=$J14,K13=1),1,IF(AND(WEEKDAY($J13)=6,WEEKDAY($J14)=2,$J14-$J13=3,K13=1),1,""))),""))</f>
        <v/>
      </c>
      <c r="L14" s="886" t="str">
        <f>IF($S$3,IF(AND($J14&gt;=EndDate!$B$2,$J14&lt;=EndDate!$B$9),1,IF(AND($J13+1=$J14,L13=1),1,IF(AND(WEEKDAY($J13)=6,WEEKDAY($J14)=2,$J14-$J13=3,L13=1),1,""))),IF(OR(MONTH($J14)=1,MONTH($J14)=12),IF(AND($J14&gt;=EndDate!$B$2,$J14&lt;=EndDate!$B$9),1,IF(AND($J13+1=$J14,L13=1),1,IF(AND(WEEKDAY($J13)=6,WEEKDAY($J14)=2,$J14-$J13=3,L13=1),1,""))),""))</f>
        <v/>
      </c>
      <c r="M14" s="886" t="str">
        <f>IF($S$3,IF(AND($J14&gt;=EndDate!$B$2,$J14&lt;=EndDate!$B$10),1,IF(AND($J13+1=$J14,M13=1),1,IF(AND(WEEKDAY($J13)=6,WEEKDAY($J14)=2,$J14-$J13=3,M13=1),1,""))),IF(OR(MONTH($J14)=1,MONTH($J14)=12),IF(AND($J14&gt;=EndDate!$B$2,$J14&lt;=EndDate!$B$10),1,IF(AND($J13+1=$J14,M13=1),1,IF(AND(WEEKDAY($J13)=6,WEEKDAY($J14)=2,$J14-$J13=3,M13=1),1,""))),""))</f>
        <v/>
      </c>
      <c r="N14" s="885">
        <v>45285</v>
      </c>
      <c r="O14" s="886" t="str">
        <f>IF($S$3,IF(AND($N14&gt;=EndDate!$B$2,$N14&lt;=EndDate!$B$8),1,IF(AND($N13+1=$N14,O13=1),1,IF(AND(WEEKDAY($N13)=6,WEEKDAY($N14)=2,$N14-$N13=3,O13=1),1,""))),IF(OR(MONTH($N14)=1,MONTH($N14)=12),IF(AND($N14&gt;=EndDate!$B$2,$N14&lt;=EndDate!$B$8),1,IF(AND($N13+1=$N14,O13=1),1,IF(AND(WEEKDAY($N13)=6,WEEKDAY($N14)=2,$N14-$N13=3,O13=1),1,""))),""))</f>
        <v/>
      </c>
      <c r="P14" s="886" t="str">
        <f>IF($S$3,IF(AND($N14&gt;=EndDate!$B$2,$N14&lt;=EndDate!$B$9),1,IF(AND($N13+1=$N14,P13=1),1,IF(AND(WEEKDAY($N13)=6,WEEKDAY($N14)=2,$N14-$N13=3,P13=1),1,""))),IF(OR(MONTH($N14)=1,MONTH($N14)=12),IF(AND($N14&gt;=EndDate!$B$2,$N14&lt;=EndDate!$B$9),1,IF(AND($N13+1=$N14,P13=1),1,IF(AND(WEEKDAY($N13)=6,WEEKDAY($N14)=2,$N14-$N13=3,P13=1),1,""))),""))</f>
        <v/>
      </c>
      <c r="Q14" s="886" t="str">
        <f>IF($S$3,IF(AND($N14&gt;=EndDate!$B$2,$N14&lt;=EndDate!$B$10),1,IF(AND($N13+1=$N14,Q13=1),1,IF(AND(WEEKDAY($N13)=6,WEEKDAY($N14)=2,$N14-$N13=3,Q13=1),1,""))),IF(OR(MONTH($N14)=1,MONTH($N14)=12),IF(AND($N14&gt;=EndDate!$B$2,$N14&lt;=EndDate!$B$10),1,IF(AND($N13+1=$N14,Q13=1),1,IF(AND(WEEKDAY($N13)=6,WEEKDAY($N14)=2,$N14-$N13=3,Q13=1),1,""))),""))</f>
        <v/>
      </c>
      <c r="R14" s="258" t="s">
        <v>90</v>
      </c>
      <c r="S14" s="1"/>
    </row>
    <row r="15" spans="1:19" ht="13.8">
      <c r="A15" s="880"/>
      <c r="B15" s="885">
        <v>44187</v>
      </c>
      <c r="C15" s="886" t="str">
        <f>IF($S$3,IF(AND($B15&gt;=EndDate!$B$2,$B15&lt;=EndDate!$B$8),1,IF(AND($B14+1=$B15,C14=1),1,IF(AND(WEEKDAY($B14)=6,WEEKDAY($B15)=2,$B15-$B14=3,C14=1),1,""))),IF(OR(MONTH($B15)=1,MONTH($B15)=12),IF(AND($B15&gt;=EndDate!$B$2,$B15&lt;=EndDate!$B$8),1,IF(AND($B14+1=$B15,C14=1),1,IF(AND(WEEKDAY($B14)=6,WEEKDAY($B15)=2,$B15-$B14=3,C14=1),1,""))),""))</f>
        <v/>
      </c>
      <c r="D15" s="886" t="str">
        <f>IF($S$3,IF(AND($B15&gt;=EndDate!$B$2,$B15&lt;=EndDate!$B$8),1,IF(AND($B14+1=$B15,D14=1),1,IF(AND(WEEKDAY($B14)=6,WEEKDAY($B15)=2,$B15-$B14=3,D14=1),1,""))),IF(OR(MONTH($B15)=1,MONTH($B15)=12),IF(AND($B15&gt;=EndDate!$B$2,$B15&lt;=EndDate!$B$8),1,IF(AND($B14+1=$B15,D14=1),1,IF(AND(WEEKDAY($B14)=6,WEEKDAY($B15)=2,$B15-$B14=3,D14=1),1,""))),""))</f>
        <v/>
      </c>
      <c r="E15" s="886" t="str">
        <f>IF($S$3,IF(AND($B15&gt;=EndDate!$B$2,$B15&lt;=EndDate!$B$8),1,IF(AND($B14+1=$B15,E14=1),1,IF(AND(WEEKDAY($B14)=6,WEEKDAY($B15)=2,$B15-$B14=3,E14=1),1,""))),IF(OR(MONTH($B15)=1,MONTH($B15)=12),IF(AND($B15&gt;=EndDate!$B$2,$B15&lt;=EndDate!$B$8),1,IF(AND($B14+1=$B15,E14=1),1,IF(AND(WEEKDAY($B14)=6,WEEKDAY($B15)=2,$B15-$B14=3,E14=1),1,""))),""))</f>
        <v/>
      </c>
      <c r="F15" s="885">
        <v>44551</v>
      </c>
      <c r="G15" s="886" t="str">
        <f>IF($S$3,IF(AND($F15&gt;=EndDate!$B$2,$F15&lt;=EndDate!$B$8),1,IF(AND($F14+1=$F15,G14=1),1,IF(AND(WEEKDAY($F14)=6,WEEKDAY($F15)=2,$F15-$F14=3,G14=1),1,""))),IF(OR(MONTH($F15)=1,MONTH($F15)=12),IF(AND($F15&gt;=EndDate!$B$2,$F15&lt;=EndDate!$B$8),1,IF(AND($F14+1=$F15,G14=1),1,IF(AND(WEEKDAY($F14)=6,WEEKDAY($F15)=2,$F15-$F14=3,G14=1),1,""))),""))</f>
        <v/>
      </c>
      <c r="H15" s="886" t="str">
        <f>IF($S$3,IF(AND($F15&gt;=EndDate!$B$2,$F15&lt;=EndDate!$B$9),1,IF(AND($F14+1=$F15,H14=1),1,IF(AND(WEEKDAY($F14)=6,WEEKDAY($F15)=2,$F15-$F14=3,H14=1),1,""))),IF(OR(MONTH($F15)=1,MONTH($F15)=12),IF(AND($F15&gt;=EndDate!$B$2,$F15&lt;=EndDate!$B$9),1,IF(AND($F14+1=$F15,H14=1),1,IF(AND(WEEKDAY($F14)=6,WEEKDAY($F15)=2,$F15-$F14=3,H14=1),1,""))),""))</f>
        <v/>
      </c>
      <c r="I15" s="886" t="str">
        <f>IF($S$3,IF(AND($F15&gt;=EndDate!$B$2,$F15&lt;=EndDate!$B$10),1,IF(AND($F14+1=$F15,I14=1),1,IF(AND(WEEKDAY($F14)=6,WEEKDAY($F15)=2,$F15-$F14=3,I14=1),1,""))),IF(OR(MONTH($F15)=1,MONTH($F15)=12),IF(AND($F15&gt;=EndDate!$B$2,$F15&lt;=EndDate!$B$10),1,IF(AND($F14+1=$F15,I14=1),1,IF(AND(WEEKDAY($F14)=6,WEEKDAY($F15)=2,$F15-$F14=3,I14=1),1,""))),""))</f>
        <v/>
      </c>
      <c r="J15" s="885">
        <v>44915</v>
      </c>
      <c r="K15" s="886" t="str">
        <f>IF($S$3,IF(AND($J15&gt;=EndDate!$B$2,$J15&lt;=EndDate!$B$8),1,IF(AND($J14+1=$J15,K14=1),1,IF(AND(WEEKDAY($J14)=6,WEEKDAY($J15)=2,$J15-$J14=3,K14=1),1,""))),IF(OR(MONTH($J15)=1,MONTH($J15)=12),IF(AND($J15&gt;=EndDate!$B$2,$J15&lt;=EndDate!$B$8),1,IF(AND($J14+1=$J15,K14=1),1,IF(AND(WEEKDAY($J14)=6,WEEKDAY($J15)=2,$J15-$J14=3,K14=1),1,""))),""))</f>
        <v/>
      </c>
      <c r="L15" s="886" t="str">
        <f>IF($S$3,IF(AND($J15&gt;=EndDate!$B$2,$J15&lt;=EndDate!$B$9),1,IF(AND($J14+1=$J15,L14=1),1,IF(AND(WEEKDAY($J14)=6,WEEKDAY($J15)=2,$J15-$J14=3,L14=1),1,""))),IF(OR(MONTH($J15)=1,MONTH($J15)=12),IF(AND($J15&gt;=EndDate!$B$2,$J15&lt;=EndDate!$B$9),1,IF(AND($J14+1=$J15,L14=1),1,IF(AND(WEEKDAY($J14)=6,WEEKDAY($J15)=2,$J15-$J14=3,L14=1),1,""))),""))</f>
        <v/>
      </c>
      <c r="M15" s="886" t="str">
        <f>IF($S$3,IF(AND($J15&gt;=EndDate!$B$2,$J15&lt;=EndDate!$B$10),1,IF(AND($J14+1=$J15,M14=1),1,IF(AND(WEEKDAY($J14)=6,WEEKDAY($J15)=2,$J15-$J14=3,M14=1),1,""))),IF(OR(MONTH($J15)=1,MONTH($J15)=12),IF(AND($J15&gt;=EndDate!$B$2,$J15&lt;=EndDate!$B$10),1,IF(AND($J14+1=$J15,M14=1),1,IF(AND(WEEKDAY($J14)=6,WEEKDAY($J15)=2,$J15-$J14=3,M14=1),1,""))),""))</f>
        <v/>
      </c>
      <c r="N15" s="885">
        <v>45286</v>
      </c>
      <c r="O15" s="886" t="str">
        <f>IF($S$3,IF(AND($N15&gt;=EndDate!$B$2,$N15&lt;=EndDate!$B$8),1,IF(AND($N14+1=$N15,O14=1),1,IF(AND(WEEKDAY($N14)=6,WEEKDAY($N15)=2,$N15-$N14=3,O14=1),1,""))),IF(OR(MONTH($N15)=1,MONTH($N15)=12),IF(AND($N15&gt;=EndDate!$B$2,$N15&lt;=EndDate!$B$8),1,IF(AND($N14+1=$N15,O14=1),1,IF(AND(WEEKDAY($N14)=6,WEEKDAY($N15)=2,$N15-$N14=3,O14=1),1,""))),""))</f>
        <v/>
      </c>
      <c r="P15" s="886" t="str">
        <f>IF($S$3,IF(AND($N15&gt;=EndDate!$B$2,$N15&lt;=EndDate!$B$9),1,IF(AND($N14+1=$N15,P14=1),1,IF(AND(WEEKDAY($N14)=6,WEEKDAY($N15)=2,$N15-$N14=3,P14=1),1,""))),IF(OR(MONTH($N15)=1,MONTH($N15)=12),IF(AND($N15&gt;=EndDate!$B$2,$N15&lt;=EndDate!$B$9),1,IF(AND($N14+1=$N15,P14=1),1,IF(AND(WEEKDAY($N14)=6,WEEKDAY($N15)=2,$N15-$N14=3,P14=1),1,""))),""))</f>
        <v/>
      </c>
      <c r="Q15" s="886" t="str">
        <f>IF($S$3,IF(AND($N15&gt;=EndDate!$B$2,$N15&lt;=EndDate!$B$10),1,IF(AND($N14+1=$N15,Q14=1),1,IF(AND(WEEKDAY($N14)=6,WEEKDAY($N15)=2,$N15-$N14=3,Q14=1),1,""))),IF(OR(MONTH($N15)=1,MONTH($N15)=12),IF(AND($N15&gt;=EndDate!$B$2,$N15&lt;=EndDate!$B$10),1,IF(AND($N14+1=$N15,Q14=1),1,IF(AND(WEEKDAY($N14)=6,WEEKDAY($N15)=2,$N15-$N14=3,Q14=1),1,""))),""))</f>
        <v/>
      </c>
      <c r="R15" s="258"/>
      <c r="S15" s="1"/>
    </row>
    <row r="16" spans="1:19" ht="13.8">
      <c r="A16" s="880"/>
      <c r="B16" s="885">
        <v>44188</v>
      </c>
      <c r="C16" s="886" t="str">
        <f>IF($S$3,IF(AND($B16&gt;=EndDate!$B$2,$B16&lt;=EndDate!$B$8),1,IF(AND($B15+1=$B16,C15=1),1,IF(AND(WEEKDAY($B15)=6,WEEKDAY($B16)=2,$B16-$B15=3,C15=1),1,""))),IF(OR(MONTH($B16)=1,MONTH($B16)=12),IF(AND($B16&gt;=EndDate!$B$2,$B16&lt;=EndDate!$B$8),1,IF(AND($B15+1=$B16,C15=1),1,IF(AND(WEEKDAY($B15)=6,WEEKDAY($B16)=2,$B16-$B15=3,C15=1),1,""))),""))</f>
        <v/>
      </c>
      <c r="D16" s="886" t="str">
        <f>IF($S$3,IF(AND($B16&gt;=EndDate!$B$2,$B16&lt;=EndDate!$B$8),1,IF(AND($B15+1=$B16,D15=1),1,IF(AND(WEEKDAY($B15)=6,WEEKDAY($B16)=2,$B16-$B15=3,D15=1),1,""))),IF(OR(MONTH($B16)=1,MONTH($B16)=12),IF(AND($B16&gt;=EndDate!$B$2,$B16&lt;=EndDate!$B$8),1,IF(AND($B15+1=$B16,D15=1),1,IF(AND(WEEKDAY($B15)=6,WEEKDAY($B16)=2,$B16-$B15=3,D15=1),1,""))),""))</f>
        <v/>
      </c>
      <c r="E16" s="886" t="str">
        <f>IF($S$3,IF(AND($B16&gt;=EndDate!$B$2,$B16&lt;=EndDate!$B$8),1,IF(AND($B15+1=$B16,E15=1),1,IF(AND(WEEKDAY($B15)=6,WEEKDAY($B16)=2,$B16-$B15=3,E15=1),1,""))),IF(OR(MONTH($B16)=1,MONTH($B16)=12),IF(AND($B16&gt;=EndDate!$B$2,$B16&lt;=EndDate!$B$8),1,IF(AND($B15+1=$B16,E15=1),1,IF(AND(WEEKDAY($B15)=6,WEEKDAY($B16)=2,$B16-$B15=3,E15=1),1,""))),""))</f>
        <v/>
      </c>
      <c r="F16" s="885">
        <v>44552</v>
      </c>
      <c r="G16" s="886" t="str">
        <f>IF($S$3,IF(AND($F16&gt;=EndDate!$B$2,$F16&lt;=EndDate!$B$8),1,IF(AND($F15+1=$F16,G15=1),1,IF(AND(WEEKDAY($F15)=6,WEEKDAY($F16)=2,$F16-$F15=3,G15=1),1,""))),IF(OR(MONTH($F16)=1,MONTH($F16)=12),IF(AND($F16&gt;=EndDate!$B$2,$F16&lt;=EndDate!$B$8),1,IF(AND($F15+1=$F16,G15=1),1,IF(AND(WEEKDAY($F15)=6,WEEKDAY($F16)=2,$F16-$F15=3,G15=1),1,""))),""))</f>
        <v/>
      </c>
      <c r="H16" s="886" t="str">
        <f>IF($S$3,IF(AND($F16&gt;=EndDate!$B$2,$F16&lt;=EndDate!$B$9),1,IF(AND($F15+1=$F16,H15=1),1,IF(AND(WEEKDAY($F15)=6,WEEKDAY($F16)=2,$F16-$F15=3,H15=1),1,""))),IF(OR(MONTH($F16)=1,MONTH($F16)=12),IF(AND($F16&gt;=EndDate!$B$2,$F16&lt;=EndDate!$B$9),1,IF(AND($F15+1=$F16,H15=1),1,IF(AND(WEEKDAY($F15)=6,WEEKDAY($F16)=2,$F16-$F15=3,H15=1),1,""))),""))</f>
        <v/>
      </c>
      <c r="I16" s="886" t="str">
        <f>IF($S$3,IF(AND($F16&gt;=EndDate!$B$2,$F16&lt;=EndDate!$B$10),1,IF(AND($F15+1=$F16,I15=1),1,IF(AND(WEEKDAY($F15)=6,WEEKDAY($F16)=2,$F16-$F15=3,I15=1),1,""))),IF(OR(MONTH($F16)=1,MONTH($F16)=12),IF(AND($F16&gt;=EndDate!$B$2,$F16&lt;=EndDate!$B$10),1,IF(AND($F15+1=$F16,I15=1),1,IF(AND(WEEKDAY($F15)=6,WEEKDAY($F16)=2,$F16-$F15=3,I15=1),1,""))),""))</f>
        <v/>
      </c>
      <c r="J16" s="885">
        <v>44916</v>
      </c>
      <c r="K16" s="886" t="str">
        <f>IF($S$3,IF(AND($J16&gt;=EndDate!$B$2,$J16&lt;=EndDate!$B$8),1,IF(AND($J15+1=$J16,K15=1),1,IF(AND(WEEKDAY($J15)=6,WEEKDAY($J16)=2,$J16-$J15=3,K15=1),1,""))),IF(OR(MONTH($J16)=1,MONTH($J16)=12),IF(AND($J16&gt;=EndDate!$B$2,$J16&lt;=EndDate!$B$8),1,IF(AND($J15+1=$J16,K15=1),1,IF(AND(WEEKDAY($J15)=6,WEEKDAY($J16)=2,$J16-$J15=3,K15=1),1,""))),""))</f>
        <v/>
      </c>
      <c r="L16" s="886" t="str">
        <f>IF($S$3,IF(AND($J16&gt;=EndDate!$B$2,$J16&lt;=EndDate!$B$9),1,IF(AND($J15+1=$J16,L15=1),1,IF(AND(WEEKDAY($J15)=6,WEEKDAY($J16)=2,$J16-$J15=3,L15=1),1,""))),IF(OR(MONTH($J16)=1,MONTH($J16)=12),IF(AND($J16&gt;=EndDate!$B$2,$J16&lt;=EndDate!$B$9),1,IF(AND($J15+1=$J16,L15=1),1,IF(AND(WEEKDAY($J15)=6,WEEKDAY($J16)=2,$J16-$J15=3,L15=1),1,""))),""))</f>
        <v/>
      </c>
      <c r="M16" s="886" t="str">
        <f>IF($S$3,IF(AND($J16&gt;=EndDate!$B$2,$J16&lt;=EndDate!$B$10),1,IF(AND($J15+1=$J16,M15=1),1,IF(AND(WEEKDAY($J15)=6,WEEKDAY($J16)=2,$J16-$J15=3,M15=1),1,""))),IF(OR(MONTH($J16)=1,MONTH($J16)=12),IF(AND($J16&gt;=EndDate!$B$2,$J16&lt;=EndDate!$B$10),1,IF(AND($J15+1=$J16,M15=1),1,IF(AND(WEEKDAY($J15)=6,WEEKDAY($J16)=2,$J16-$J15=3,M15=1),1,""))),""))</f>
        <v/>
      </c>
      <c r="N16" s="885">
        <v>45287</v>
      </c>
      <c r="O16" s="886" t="str">
        <f>IF($S$3,IF(AND($N16&gt;=EndDate!$B$2,$N16&lt;=EndDate!$B$8),1,IF(AND($N15+1=$N16,O15=1),1,IF(AND(WEEKDAY($N15)=6,WEEKDAY($N16)=2,$N16-$N15=3,O15=1),1,""))),IF(OR(MONTH($N16)=1,MONTH($N16)=12),IF(AND($N16&gt;=EndDate!$B$2,$N16&lt;=EndDate!$B$8),1,IF(AND($N15+1=$N16,O15=1),1,IF(AND(WEEKDAY($N15)=6,WEEKDAY($N16)=2,$N16-$N15=3,O15=1),1,""))),""))</f>
        <v/>
      </c>
      <c r="P16" s="886" t="str">
        <f>IF($S$3,IF(AND($N16&gt;=EndDate!$B$2,$N16&lt;=EndDate!$B$9),1,IF(AND($N15+1=$N16,P15=1),1,IF(AND(WEEKDAY($N15)=6,WEEKDAY($N16)=2,$N16-$N15=3,P15=1),1,""))),IF(OR(MONTH($N16)=1,MONTH($N16)=12),IF(AND($N16&gt;=EndDate!$B$2,$N16&lt;=EndDate!$B$9),1,IF(AND($N15+1=$N16,P15=1),1,IF(AND(WEEKDAY($N15)=6,WEEKDAY($N16)=2,$N16-$N15=3,P15=1),1,""))),""))</f>
        <v/>
      </c>
      <c r="Q16" s="886" t="str">
        <f>IF($S$3,IF(AND($N16&gt;=EndDate!$B$2,$N16&lt;=EndDate!$B$10),1,IF(AND($N15+1=$N16,Q15=1),1,IF(AND(WEEKDAY($N15)=6,WEEKDAY($N16)=2,$N16-$N15=3,Q15=1),1,""))),IF(OR(MONTH($N16)=1,MONTH($N16)=12),IF(AND($N16&gt;=EndDate!$B$2,$N16&lt;=EndDate!$B$10),1,IF(AND($N15+1=$N16,Q15=1),1,IF(AND(WEEKDAY($N15)=6,WEEKDAY($N16)=2,$N16-$N15=3,Q15=1),1,""))),""))</f>
        <v/>
      </c>
      <c r="R16" s="258"/>
      <c r="S16" s="1"/>
    </row>
    <row r="17" spans="1:19" ht="13.8">
      <c r="A17" s="880"/>
      <c r="B17" s="885">
        <v>44189</v>
      </c>
      <c r="C17" s="886" t="str">
        <f>IF($S$3,IF(AND($B17&gt;=EndDate!$B$2,$B17&lt;=EndDate!$B$8),1,IF(AND($B16+1=$B17,C16=1),1,IF(AND(WEEKDAY($B16)=6,WEEKDAY($B17)=2,$B17-$B16=3,C16=1),1,""))),IF(OR(MONTH($B17)=1,MONTH($B17)=12),IF(AND($B17&gt;=EndDate!$B$2,$B17&lt;=EndDate!$B$8),1,IF(AND($B16+1=$B17,C16=1),1,IF(AND(WEEKDAY($B16)=6,WEEKDAY($B17)=2,$B17-$B16=3,C16=1),1,""))),""))</f>
        <v/>
      </c>
      <c r="D17" s="886" t="str">
        <f>IF($S$3,IF(AND($B17&gt;=EndDate!$B$2,$B17&lt;=EndDate!$B$8),1,IF(AND($B16+1=$B17,D16=1),1,IF(AND(WEEKDAY($B16)=6,WEEKDAY($B17)=2,$B17-$B16=3,D16=1),1,""))),IF(OR(MONTH($B17)=1,MONTH($B17)=12),IF(AND($B17&gt;=EndDate!$B$2,$B17&lt;=EndDate!$B$8),1,IF(AND($B16+1=$B17,D16=1),1,IF(AND(WEEKDAY($B16)=6,WEEKDAY($B17)=2,$B17-$B16=3,D16=1),1,""))),""))</f>
        <v/>
      </c>
      <c r="E17" s="886" t="str">
        <f>IF($S$3,IF(AND($B17&gt;=EndDate!$B$2,$B17&lt;=EndDate!$B$8),1,IF(AND($B16+1=$B17,E16=1),1,IF(AND(WEEKDAY($B16)=6,WEEKDAY($B17)=2,$B17-$B16=3,E16=1),1,""))),IF(OR(MONTH($B17)=1,MONTH($B17)=12),IF(AND($B17&gt;=EndDate!$B$2,$B17&lt;=EndDate!$B$8),1,IF(AND($B16+1=$B17,E16=1),1,IF(AND(WEEKDAY($B16)=6,WEEKDAY($B17)=2,$B17-$B16=3,E16=1),1,""))),""))</f>
        <v/>
      </c>
      <c r="F17" s="885">
        <v>44553</v>
      </c>
      <c r="G17" s="886" t="str">
        <f>IF($S$3,IF(AND($F17&gt;=EndDate!$B$2,$F17&lt;=EndDate!$B$8),1,IF(AND($F16+1=$F17,G16=1),1,IF(AND(WEEKDAY($F16)=6,WEEKDAY($F17)=2,$F17-$F16=3,G16=1),1,""))),IF(OR(MONTH($F17)=1,MONTH($F17)=12),IF(AND($F17&gt;=EndDate!$B$2,$F17&lt;=EndDate!$B$8),1,IF(AND($F16+1=$F17,G16=1),1,IF(AND(WEEKDAY($F16)=6,WEEKDAY($F17)=2,$F17-$F16=3,G16=1),1,""))),""))</f>
        <v/>
      </c>
      <c r="H17" s="886" t="str">
        <f>IF($S$3,IF(AND($F17&gt;=EndDate!$B$2,$F17&lt;=EndDate!$B$9),1,IF(AND($F16+1=$F17,H16=1),1,IF(AND(WEEKDAY($F16)=6,WEEKDAY($F17)=2,$F17-$F16=3,H16=1),1,""))),IF(OR(MONTH($F17)=1,MONTH($F17)=12),IF(AND($F17&gt;=EndDate!$B$2,$F17&lt;=EndDate!$B$9),1,IF(AND($F16+1=$F17,H16=1),1,IF(AND(WEEKDAY($F16)=6,WEEKDAY($F17)=2,$F17-$F16=3,H16=1),1,""))),""))</f>
        <v/>
      </c>
      <c r="I17" s="886" t="str">
        <f>IF($S$3,IF(AND($F17&gt;=EndDate!$B$2,$F17&lt;=EndDate!$B$10),1,IF(AND($F16+1=$F17,I16=1),1,IF(AND(WEEKDAY($F16)=6,WEEKDAY($F17)=2,$F17-$F16=3,I16=1),1,""))),IF(OR(MONTH($F17)=1,MONTH($F17)=12),IF(AND($F17&gt;=EndDate!$B$2,$F17&lt;=EndDate!$B$10),1,IF(AND($F16+1=$F17,I16=1),1,IF(AND(WEEKDAY($F16)=6,WEEKDAY($F17)=2,$F17-$F16=3,I16=1),1,""))),""))</f>
        <v/>
      </c>
      <c r="J17" s="885">
        <v>44917</v>
      </c>
      <c r="K17" s="886" t="str">
        <f>IF($S$3,IF(AND($J17&gt;=EndDate!$B$2,$J17&lt;=EndDate!$B$8),1,IF(AND($J16+1=$J17,K16=1),1,IF(AND(WEEKDAY($J16)=6,WEEKDAY($J17)=2,$J17-$J16=3,K16=1),1,""))),IF(OR(MONTH($J17)=1,MONTH($J17)=12),IF(AND($J17&gt;=EndDate!$B$2,$J17&lt;=EndDate!$B$8),1,IF(AND($J16+1=$J17,K16=1),1,IF(AND(WEEKDAY($J16)=6,WEEKDAY($J17)=2,$J17-$J16=3,K16=1),1,""))),""))</f>
        <v/>
      </c>
      <c r="L17" s="886" t="str">
        <f>IF($S$3,IF(AND($J17&gt;=EndDate!$B$2,$J17&lt;=EndDate!$B$9),1,IF(AND($J16+1=$J17,L16=1),1,IF(AND(WEEKDAY($J16)=6,WEEKDAY($J17)=2,$J17-$J16=3,L16=1),1,""))),IF(OR(MONTH($J17)=1,MONTH($J17)=12),IF(AND($J17&gt;=EndDate!$B$2,$J17&lt;=EndDate!$B$9),1,IF(AND($J16+1=$J17,L16=1),1,IF(AND(WEEKDAY($J16)=6,WEEKDAY($J17)=2,$J17-$J16=3,L16=1),1,""))),""))</f>
        <v/>
      </c>
      <c r="M17" s="886" t="str">
        <f>IF($S$3,IF(AND($J17&gt;=EndDate!$B$2,$J17&lt;=EndDate!$B$10),1,IF(AND($J16+1=$J17,M16=1),1,IF(AND(WEEKDAY($J16)=6,WEEKDAY($J17)=2,$J17-$J16=3,M16=1),1,""))),IF(OR(MONTH($J17)=1,MONTH($J17)=12),IF(AND($J17&gt;=EndDate!$B$2,$J17&lt;=EndDate!$B$10),1,IF(AND($J16+1=$J17,M16=1),1,IF(AND(WEEKDAY($J16)=6,WEEKDAY($J17)=2,$J17-$J16=3,M16=1),1,""))),""))</f>
        <v/>
      </c>
      <c r="N17" s="885">
        <v>45288</v>
      </c>
      <c r="O17" s="886" t="str">
        <f>IF($S$3,IF(AND($N17&gt;=EndDate!$B$2,$N17&lt;=EndDate!$B$8),1,IF(AND($N16+1=$N17,O16=1),1,IF(AND(WEEKDAY($N16)=6,WEEKDAY($N17)=2,$N17-$N16=3,O16=1),1,""))),IF(OR(MONTH($N17)=1,MONTH($N17)=12),IF(AND($N17&gt;=EndDate!$B$2,$N17&lt;=EndDate!$B$8),1,IF(AND($N16+1=$N17,O16=1),1,IF(AND(WEEKDAY($N16)=6,WEEKDAY($N17)=2,$N17-$N16=3,O16=1),1,""))),""))</f>
        <v/>
      </c>
      <c r="P17" s="886" t="str">
        <f>IF($S$3,IF(AND($N17&gt;=EndDate!$B$2,$N17&lt;=EndDate!$B$9),1,IF(AND($N16+1=$N17,P16=1),1,IF(AND(WEEKDAY($N16)=6,WEEKDAY($N17)=2,$N17-$N16=3,P16=1),1,""))),IF(OR(MONTH($N17)=1,MONTH($N17)=12),IF(AND($N17&gt;=EndDate!$B$2,$N17&lt;=EndDate!$B$9),1,IF(AND($N16+1=$N17,P16=1),1,IF(AND(WEEKDAY($N16)=6,WEEKDAY($N17)=2,$N17-$N16=3,P16=1),1,""))),""))</f>
        <v/>
      </c>
      <c r="Q17" s="886" t="str">
        <f>IF($S$3,IF(AND($N17&gt;=EndDate!$B$2,$N17&lt;=EndDate!$B$10),1,IF(AND($N16+1=$N17,Q16=1),1,IF(AND(WEEKDAY($N16)=6,WEEKDAY($N17)=2,$N17-$N16=3,Q16=1),1,""))),IF(OR(MONTH($N17)=1,MONTH($N17)=12),IF(AND($N17&gt;=EndDate!$B$2,$N17&lt;=EndDate!$B$10),1,IF(AND($N16+1=$N17,Q16=1),1,IF(AND(WEEKDAY($N16)=6,WEEKDAY($N17)=2,$N17-$N16=3,Q16=1),1,""))),""))</f>
        <v/>
      </c>
      <c r="R17" s="258"/>
      <c r="S17" s="1"/>
    </row>
    <row r="18" spans="1:19" ht="13.8">
      <c r="A18" s="880"/>
      <c r="B18" s="885">
        <v>44190</v>
      </c>
      <c r="C18" s="886" t="str">
        <f>IF($S$3,IF(AND($B18&gt;=EndDate!$B$2,$B18&lt;=EndDate!$B$8),1,IF(AND($B17+1=$B18,C17=1),1,IF(AND(WEEKDAY($B17)=6,WEEKDAY($B18)=2,$B18-$B17=3,C17=1),1,""))),IF(OR(MONTH($B18)=1,MONTH($B18)=12),IF(AND($B18&gt;=EndDate!$B$2,$B18&lt;=EndDate!$B$8),1,IF(AND($B17+1=$B18,C17=1),1,IF(AND(WEEKDAY($B17)=6,WEEKDAY($B18)=2,$B18-$B17=3,C17=1),1,""))),""))</f>
        <v/>
      </c>
      <c r="D18" s="886" t="str">
        <f>IF($S$3,IF(AND($B18&gt;=EndDate!$B$2,$B18&lt;=EndDate!$B$8),1,IF(AND($B17+1=$B18,D17=1),1,IF(AND(WEEKDAY($B17)=6,WEEKDAY($B18)=2,$B18-$B17=3,D17=1),1,""))),IF(OR(MONTH($B18)=1,MONTH($B18)=12),IF(AND($B18&gt;=EndDate!$B$2,$B18&lt;=EndDate!$B$8),1,IF(AND($B17+1=$B18,D17=1),1,IF(AND(WEEKDAY($B17)=6,WEEKDAY($B18)=2,$B18-$B17=3,D17=1),1,""))),""))</f>
        <v/>
      </c>
      <c r="E18" s="886" t="str">
        <f>IF($S$3,IF(AND($B18&gt;=EndDate!$B$2,$B18&lt;=EndDate!$B$8),1,IF(AND($B17+1=$B18,E17=1),1,IF(AND(WEEKDAY($B17)=6,WEEKDAY($B18)=2,$B18-$B17=3,E17=1),1,""))),IF(OR(MONTH($B18)=1,MONTH($B18)=12),IF(AND($B18&gt;=EndDate!$B$2,$B18&lt;=EndDate!$B$8),1,IF(AND($B17+1=$B18,E17=1),1,IF(AND(WEEKDAY($B17)=6,WEEKDAY($B18)=2,$B18-$B17=3,E17=1),1,""))),""))</f>
        <v/>
      </c>
      <c r="F18" s="885">
        <v>44554</v>
      </c>
      <c r="G18" s="886" t="str">
        <f>IF($S$3,IF(AND($F18&gt;=EndDate!$B$2,$F18&lt;=EndDate!$B$8),1,IF(AND($F17+1=$F18,G17=1),1,IF(AND(WEEKDAY($F17)=6,WEEKDAY($F18)=2,$F18-$F17=3,G17=1),1,""))),IF(OR(MONTH($F18)=1,MONTH($F18)=12),IF(AND($F18&gt;=EndDate!$B$2,$F18&lt;=EndDate!$B$8),1,IF(AND($F17+1=$F18,G17=1),1,IF(AND(WEEKDAY($F17)=6,WEEKDAY($F18)=2,$F18-$F17=3,G17=1),1,""))),""))</f>
        <v/>
      </c>
      <c r="H18" s="886" t="str">
        <f>IF($S$3,IF(AND($F18&gt;=EndDate!$B$2,$F18&lt;=EndDate!$B$9),1,IF(AND($F17+1=$F18,H17=1),1,IF(AND(WEEKDAY($F17)=6,WEEKDAY($F18)=2,$F18-$F17=3,H17=1),1,""))),IF(OR(MONTH($F18)=1,MONTH($F18)=12),IF(AND($F18&gt;=EndDate!$B$2,$F18&lt;=EndDate!$B$9),1,IF(AND($F17+1=$F18,H17=1),1,IF(AND(WEEKDAY($F17)=6,WEEKDAY($F18)=2,$F18-$F17=3,H17=1),1,""))),""))</f>
        <v/>
      </c>
      <c r="I18" s="886" t="str">
        <f>IF($S$3,IF(AND($F18&gt;=EndDate!$B$2,$F18&lt;=EndDate!$B$10),1,IF(AND($F17+1=$F18,I17=1),1,IF(AND(WEEKDAY($F17)=6,WEEKDAY($F18)=2,$F18-$F17=3,I17=1),1,""))),IF(OR(MONTH($F18)=1,MONTH($F18)=12),IF(AND($F18&gt;=EndDate!$B$2,$F18&lt;=EndDate!$B$10),1,IF(AND($F17+1=$F18,I17=1),1,IF(AND(WEEKDAY($F17)=6,WEEKDAY($F18)=2,$F18-$F17=3,I17=1),1,""))),""))</f>
        <v/>
      </c>
      <c r="J18" s="885">
        <v>44918</v>
      </c>
      <c r="K18" s="886" t="str">
        <f>IF($S$3,IF(AND($J18&gt;=EndDate!$B$2,$J18&lt;=EndDate!$B$8),1,IF(AND($J17+1=$J18,K17=1),1,IF(AND(WEEKDAY($J17)=6,WEEKDAY($J18)=2,$J18-$J17=3,K17=1),1,""))),IF(OR(MONTH($J18)=1,MONTH($J18)=12),IF(AND($J18&gt;=EndDate!$B$2,$J18&lt;=EndDate!$B$8),1,IF(AND($J17+1=$J18,K17=1),1,IF(AND(WEEKDAY($J17)=6,WEEKDAY($J18)=2,$J18-$J17=3,K17=1),1,""))),""))</f>
        <v/>
      </c>
      <c r="L18" s="886" t="str">
        <f>IF($S$3,IF(AND($J18&gt;=EndDate!$B$2,$J18&lt;=EndDate!$B$9),1,IF(AND($J17+1=$J18,L17=1),1,IF(AND(WEEKDAY($J17)=6,WEEKDAY($J18)=2,$J18-$J17=3,L17=1),1,""))),IF(OR(MONTH($J18)=1,MONTH($J18)=12),IF(AND($J18&gt;=EndDate!$B$2,$J18&lt;=EndDate!$B$9),1,IF(AND($J17+1=$J18,L17=1),1,IF(AND(WEEKDAY($J17)=6,WEEKDAY($J18)=2,$J18-$J17=3,L17=1),1,""))),""))</f>
        <v/>
      </c>
      <c r="M18" s="886" t="str">
        <f>IF($S$3,IF(AND($J18&gt;=EndDate!$B$2,$J18&lt;=EndDate!$B$10),1,IF(AND($J17+1=$J18,M17=1),1,IF(AND(WEEKDAY($J17)=6,WEEKDAY($J18)=2,$J18-$J17=3,M17=1),1,""))),IF(OR(MONTH($J18)=1,MONTH($J18)=12),IF(AND($J18&gt;=EndDate!$B$2,$J18&lt;=EndDate!$B$10),1,IF(AND($J17+1=$J18,M17=1),1,IF(AND(WEEKDAY($J17)=6,WEEKDAY($J18)=2,$J18-$J17=3,M17=1),1,""))),""))</f>
        <v/>
      </c>
      <c r="N18" s="885">
        <v>45289</v>
      </c>
      <c r="O18" s="886" t="str">
        <f>IF($S$3,IF(AND($N18&gt;=EndDate!$B$2,$N18&lt;=EndDate!$B$8),1,IF(AND($N17+1=$N18,O17=1),1,IF(AND(WEEKDAY($N17)=6,WEEKDAY($N18)=2,$N18-$N17=3,O17=1),1,""))),IF(OR(MONTH($N18)=1,MONTH($N18)=12),IF(AND($N18&gt;=EndDate!$B$2,$N18&lt;=EndDate!$B$8),1,IF(AND($N17+1=$N18,O17=1),1,IF(AND(WEEKDAY($N17)=6,WEEKDAY($N18)=2,$N18-$N17=3,O17=1),1,""))),""))</f>
        <v/>
      </c>
      <c r="P18" s="886" t="str">
        <f>IF($S$3,IF(AND($N18&gt;=EndDate!$B$2,$N18&lt;=EndDate!$B$9),1,IF(AND($N17+1=$N18,P17=1),1,IF(AND(WEEKDAY($N17)=6,WEEKDAY($N18)=2,$N18-$N17=3,P17=1),1,""))),IF(OR(MONTH($N18)=1,MONTH($N18)=12),IF(AND($N18&gt;=EndDate!$B$2,$N18&lt;=EndDate!$B$9),1,IF(AND($N17+1=$N18,P17=1),1,IF(AND(WEEKDAY($N17)=6,WEEKDAY($N18)=2,$N18-$N17=3,P17=1),1,""))),""))</f>
        <v/>
      </c>
      <c r="Q18" s="886" t="str">
        <f>IF($S$3,IF(AND($N18&gt;=EndDate!$B$2,$N18&lt;=EndDate!$B$10),1,IF(AND($N17+1=$N18,Q17=1),1,IF(AND(WEEKDAY($N17)=6,WEEKDAY($N18)=2,$N18-$N17=3,Q17=1),1,""))),IF(OR(MONTH($N18)=1,MONTH($N18)=12),IF(AND($N18&gt;=EndDate!$B$2,$N18&lt;=EndDate!$B$10),1,IF(AND($N17+1=$N18,Q17=1),1,IF(AND(WEEKDAY($N17)=6,WEEKDAY($N18)=2,$N18-$N17=3,Q17=1),1,""))),""))</f>
        <v/>
      </c>
      <c r="R18" s="258"/>
      <c r="S18" s="1"/>
    </row>
    <row r="19" spans="1:19" ht="13.8">
      <c r="A19" s="880"/>
      <c r="B19" s="885">
        <v>44193</v>
      </c>
      <c r="C19" s="886" t="str">
        <f>IF($S$3,IF(AND($B19&gt;=EndDate!$B$2,$B19&lt;=EndDate!$B$8),1,IF(AND($B18+1=$B19,C18=1),1,IF(AND(WEEKDAY($B18)=6,WEEKDAY($B19)=2,$B19-$B18=3,C18=1),1,""))),IF(OR(MONTH($B19)=1,MONTH($B19)=12),IF(AND($B19&gt;=EndDate!$B$2,$B19&lt;=EndDate!$B$8),1,IF(AND($B18+1=$B19,C18=1),1,IF(AND(WEEKDAY($B18)=6,WEEKDAY($B19)=2,$B19-$B18=3,C18=1),1,""))),""))</f>
        <v/>
      </c>
      <c r="D19" s="886" t="str">
        <f>IF($S$3,IF(AND($B19&gt;=EndDate!$B$2,$B19&lt;=EndDate!$B$8),1,IF(AND($B18+1=$B19,D18=1),1,IF(AND(WEEKDAY($B18)=6,WEEKDAY($B19)=2,$B19-$B18=3,D18=1),1,""))),IF(OR(MONTH($B19)=1,MONTH($B19)=12),IF(AND($B19&gt;=EndDate!$B$2,$B19&lt;=EndDate!$B$8),1,IF(AND($B18+1=$B19,D18=1),1,IF(AND(WEEKDAY($B18)=6,WEEKDAY($B19)=2,$B19-$B18=3,D18=1),1,""))),""))</f>
        <v/>
      </c>
      <c r="E19" s="886" t="str">
        <f>IF($S$3,IF(AND($B19&gt;=EndDate!$B$2,$B19&lt;=EndDate!$B$8),1,IF(AND($B18+1=$B19,E18=1),1,IF(AND(WEEKDAY($B18)=6,WEEKDAY($B19)=2,$B19-$B18=3,E18=1),1,""))),IF(OR(MONTH($B19)=1,MONTH($B19)=12),IF(AND($B19&gt;=EndDate!$B$2,$B19&lt;=EndDate!$B$8),1,IF(AND($B18+1=$B19,E18=1),1,IF(AND(WEEKDAY($B18)=6,WEEKDAY($B19)=2,$B19-$B18=3,E18=1),1,""))),""))</f>
        <v/>
      </c>
      <c r="F19" s="885">
        <v>44192</v>
      </c>
      <c r="G19" s="886" t="str">
        <f>IF($S$3,IF(AND($F19&gt;=EndDate!$B$2,$F19&lt;=EndDate!$B$8),1,IF(AND($F18+1=$F19,G18=1),1,IF(AND(WEEKDAY($F18)=6,WEEKDAY($F19)=2,$F19-$F18=3,G18=1),1,""))),IF(OR(MONTH($F19)=1,MONTH($F19)=12),IF(AND($F19&gt;=EndDate!$B$2,$F19&lt;=EndDate!$B$8),1,IF(AND($F18+1=$F19,G18=1),1,IF(AND(WEEKDAY($F18)=6,WEEKDAY($F19)=2,$F19-$F18=3,G18=1),1,""))),""))</f>
        <v/>
      </c>
      <c r="H19" s="886" t="str">
        <f>IF($S$3,IF(AND($F19&gt;=EndDate!$B$2,$F19&lt;=EndDate!$B$9),1,IF(AND($F18+1=$F19,H18=1),1,IF(AND(WEEKDAY($F18)=6,WEEKDAY($F19)=2,$F19-$F18=3,H18=1),1,""))),IF(OR(MONTH($F19)=1,MONTH($F19)=12),IF(AND($F19&gt;=EndDate!$B$2,$F19&lt;=EndDate!$B$9),1,IF(AND($F18+1=$F19,H18=1),1,IF(AND(WEEKDAY($F18)=6,WEEKDAY($F19)=2,$F19-$F18=3,H18=1),1,""))),""))</f>
        <v/>
      </c>
      <c r="I19" s="886" t="str">
        <f>IF($S$3,IF(AND($F19&gt;=EndDate!$B$2,$F19&lt;=EndDate!$B$10),1,IF(AND($F18+1=$F19,I18=1),1,IF(AND(WEEKDAY($F18)=6,WEEKDAY($F19)=2,$F19-$F18=3,I18=1),1,""))),IF(OR(MONTH($F19)=1,MONTH($F19)=12),IF(AND($F19&gt;=EndDate!$B$2,$F19&lt;=EndDate!$B$10),1,IF(AND($F18+1=$F19,I18=1),1,IF(AND(WEEKDAY($F18)=6,WEEKDAY($F19)=2,$F19-$F18=3,I18=1),1,""))),""))</f>
        <v/>
      </c>
      <c r="J19" s="885">
        <v>44921</v>
      </c>
      <c r="K19" s="886" t="str">
        <f>IF($S$3,IF(AND($J19&gt;=EndDate!$B$2,$J19&lt;=EndDate!$B$8),1,IF(AND($J18+1=$J19,K18=1),1,IF(AND(WEEKDAY($J18)=6,WEEKDAY($J19)=2,$J19-$J18=3,K18=1),1,""))),IF(OR(MONTH($J19)=1,MONTH($J19)=12),IF(AND($J19&gt;=EndDate!$B$2,$J19&lt;=EndDate!$B$8),1,IF(AND($J18+1=$J19,K18=1),1,IF(AND(WEEKDAY($J18)=6,WEEKDAY($J19)=2,$J19-$J18=3,K18=1),1,""))),""))</f>
        <v/>
      </c>
      <c r="L19" s="886" t="str">
        <f>IF($S$3,IF(AND($J19&gt;=EndDate!$B$2,$J19&lt;=EndDate!$B$9),1,IF(AND($J18+1=$J19,L18=1),1,IF(AND(WEEKDAY($J18)=6,WEEKDAY($J19)=2,$J19-$J18=3,L18=1),1,""))),IF(OR(MONTH($J19)=1,MONTH($J19)=12),IF(AND($J19&gt;=EndDate!$B$2,$J19&lt;=EndDate!$B$9),1,IF(AND($J18+1=$J19,L18=1),1,IF(AND(WEEKDAY($J18)=6,WEEKDAY($J19)=2,$J19-$J18=3,L18=1),1,""))),""))</f>
        <v/>
      </c>
      <c r="M19" s="886" t="str">
        <f>IF($S$3,IF(AND($J19&gt;=EndDate!$B$2,$J19&lt;=EndDate!$B$10),1,IF(AND($J18+1=$J19,M18=1),1,IF(AND(WEEKDAY($J18)=6,WEEKDAY($J19)=2,$J19-$J18=3,M18=1),1,""))),IF(OR(MONTH($J19)=1,MONTH($J19)=12),IF(AND($J19&gt;=EndDate!$B$2,$J19&lt;=EndDate!$B$10),1,IF(AND($J18+1=$J19,M18=1),1,IF(AND(WEEKDAY($J18)=6,WEEKDAY($J19)=2,$J19-$J18=3,M18=1),1,""))),""))</f>
        <v/>
      </c>
      <c r="N19" s="885"/>
      <c r="O19" s="886" t="str">
        <f>IF($S$3,IF(AND($N19&gt;=EndDate!$B$2,$N19&lt;=EndDate!$B$8),1,IF(AND($N18+1=$N19,O18=1),1,IF(AND(WEEKDAY($N18)=6,WEEKDAY($N19)=2,$N19-$N18=3,O18=1),1,""))),IF(OR(MONTH($N19)=1,MONTH($N19)=12),IF(AND($N19&gt;=EndDate!$B$2,$N19&lt;=EndDate!$B$8),1,IF(AND($N18+1=$N19,O18=1),1,IF(AND(WEEKDAY($N18)=6,WEEKDAY($N19)=2,$N19-$N18=3,O18=1),1,""))),""))</f>
        <v/>
      </c>
      <c r="P19" s="886" t="str">
        <f>IF($S$3,IF(AND($N19&gt;=EndDate!$B$2,$N19&lt;=EndDate!$B$9),1,IF(AND($N18+1=$N19,P18=1),1,IF(AND(WEEKDAY($N18)=6,WEEKDAY($N19)=2,$N19-$N18=3,P18=1),1,""))),IF(OR(MONTH($N19)=1,MONTH($N19)=12),IF(AND($N19&gt;=EndDate!$B$2,$N19&lt;=EndDate!$B$9),1,IF(AND($N18+1=$N19,P18=1),1,IF(AND(WEEKDAY($N18)=6,WEEKDAY($N19)=2,$N19-$N18=3,P18=1),1,""))),""))</f>
        <v/>
      </c>
      <c r="Q19" s="886" t="str">
        <f>IF($S$3,IF(AND($N19&gt;=EndDate!$B$2,$N19&lt;=EndDate!$B$10),1,IF(AND($N18+1=$N19,Q18=1),1,IF(AND(WEEKDAY($N18)=6,WEEKDAY($N19)=2,$N19-$N18=3,Q18=1),1,""))),IF(OR(MONTH($N19)=1,MONTH($N19)=12),IF(AND($N19&gt;=EndDate!$B$2,$N19&lt;=EndDate!$B$10),1,IF(AND($N18+1=$N19,Q18=1),1,IF(AND(WEEKDAY($N18)=6,WEEKDAY($N19)=2,$N19-$N18=3,Q18=1),1,""))),""))</f>
        <v/>
      </c>
      <c r="R19" s="258"/>
      <c r="S19" s="1"/>
    </row>
    <row r="20" spans="1:19" ht="13.8">
      <c r="A20" s="880"/>
      <c r="B20" s="885">
        <v>44194</v>
      </c>
      <c r="C20" s="886" t="str">
        <f>IF($S$3,IF(AND($B20&gt;=EndDate!$B$2,$B20&lt;=EndDate!$B$8),1,IF(AND($B19+1=$B20,C19=1),1,IF(AND(WEEKDAY($B19)=6,WEEKDAY($B20)=2,$B20-$B19=3,C19=1),1,""))),IF(OR(MONTH($B20)=1,MONTH($B20)=12),IF(AND($B20&gt;=EndDate!$B$2,$B20&lt;=EndDate!$B$8),1,IF(AND($B19+1=$B20,C19=1),1,IF(AND(WEEKDAY($B19)=6,WEEKDAY($B20)=2,$B20-$B19=3,C19=1),1,""))),""))</f>
        <v/>
      </c>
      <c r="D20" s="886" t="str">
        <f>IF($S$3,IF(AND($B20&gt;=EndDate!$B$2,$B20&lt;=EndDate!$B$8),1,IF(AND($B19+1=$B20,D19=1),1,IF(AND(WEEKDAY($B19)=6,WEEKDAY($B20)=2,$B20-$B19=3,D19=1),1,""))),IF(OR(MONTH($B20)=1,MONTH($B20)=12),IF(AND($B20&gt;=EndDate!$B$2,$B20&lt;=EndDate!$B$8),1,IF(AND($B19+1=$B20,D19=1),1,IF(AND(WEEKDAY($B19)=6,WEEKDAY($B20)=2,$B20-$B19=3,D19=1),1,""))),""))</f>
        <v/>
      </c>
      <c r="E20" s="886" t="str">
        <f>IF($S$3,IF(AND($B20&gt;=EndDate!$B$2,$B20&lt;=EndDate!$B$8),1,IF(AND($B19+1=$B20,E19=1),1,IF(AND(WEEKDAY($B19)=6,WEEKDAY($B20)=2,$B20-$B19=3,E19=1),1,""))),IF(OR(MONTH($B20)=1,MONTH($B20)=12),IF(AND($B20&gt;=EndDate!$B$2,$B20&lt;=EndDate!$B$8),1,IF(AND($B19+1=$B20,E19=1),1,IF(AND(WEEKDAY($B19)=6,WEEKDAY($B20)=2,$B20-$B19=3,E19=1),1,""))),""))</f>
        <v/>
      </c>
      <c r="F20" s="885">
        <v>44193</v>
      </c>
      <c r="G20" s="886" t="str">
        <f>IF($S$3,IF(AND($F20&gt;=EndDate!$B$2,$F20&lt;=EndDate!$B$8),1,IF(AND($F19+1=$F20,G19=1),1,IF(AND(WEEKDAY($F19)=6,WEEKDAY($F20)=2,$F20-$F19=3,G19=1),1,""))),IF(OR(MONTH($F20)=1,MONTH($F20)=12),IF(AND($F20&gt;=EndDate!$B$2,$F20&lt;=EndDate!$B$8),1,IF(AND($F19+1=$F20,G19=1),1,IF(AND(WEEKDAY($F19)=6,WEEKDAY($F20)=2,$F20-$F19=3,G19=1),1,""))),""))</f>
        <v/>
      </c>
      <c r="H20" s="886" t="str">
        <f>IF($S$3,IF(AND($F20&gt;=EndDate!$B$2,$F20&lt;=EndDate!$B$9),1,IF(AND($F19+1=$F20,H19=1),1,IF(AND(WEEKDAY($F19)=6,WEEKDAY($F20)=2,$F20-$F19=3,H19=1),1,""))),IF(OR(MONTH($F20)=1,MONTH($F20)=12),IF(AND($F20&gt;=EndDate!$B$2,$F20&lt;=EndDate!$B$9),1,IF(AND($F19+1=$F20,H19=1),1,IF(AND(WEEKDAY($F19)=6,WEEKDAY($F20)=2,$F20-$F19=3,H19=1),1,""))),""))</f>
        <v/>
      </c>
      <c r="I20" s="886" t="str">
        <f>IF($S$3,IF(AND($F20&gt;=EndDate!$B$2,$F20&lt;=EndDate!$B$10),1,IF(AND($F19+1=$F20,I19=1),1,IF(AND(WEEKDAY($F19)=6,WEEKDAY($F20)=2,$F20-$F19=3,I19=1),1,""))),IF(OR(MONTH($F20)=1,MONTH($F20)=12),IF(AND($F20&gt;=EndDate!$B$2,$F20&lt;=EndDate!$B$10),1,IF(AND($F19+1=$F20,I19=1),1,IF(AND(WEEKDAY($F19)=6,WEEKDAY($F20)=2,$F20-$F19=3,I19=1),1,""))),""))</f>
        <v/>
      </c>
      <c r="J20" s="885">
        <v>44922</v>
      </c>
      <c r="K20" s="886" t="str">
        <f>IF($S$3,IF(AND($J20&gt;=EndDate!$B$2,$J20&lt;=EndDate!$B$8),1,IF(AND($J19+1=$J20,K19=1),1,IF(AND(WEEKDAY($J19)=6,WEEKDAY($J20)=2,$J20-$J19=3,K19=1),1,""))),IF(OR(MONTH($J20)=1,MONTH($J20)=12),IF(AND($J20&gt;=EndDate!$B$2,$J20&lt;=EndDate!$B$8),1,IF(AND($J19+1=$J20,K19=1),1,IF(AND(WEEKDAY($J19)=6,WEEKDAY($J20)=2,$J20-$J19=3,K19=1),1,""))),""))</f>
        <v/>
      </c>
      <c r="L20" s="886" t="str">
        <f>IF($S$3,IF(AND($J20&gt;=EndDate!$B$2,$J20&lt;=EndDate!$B$9),1,IF(AND($J19+1=$J20,L19=1),1,IF(AND(WEEKDAY($J19)=6,WEEKDAY($J20)=2,$J20-$J19=3,L19=1),1,""))),IF(OR(MONTH($J20)=1,MONTH($J20)=12),IF(AND($J20&gt;=EndDate!$B$2,$J20&lt;=EndDate!$B$9),1,IF(AND($J19+1=$J20,L19=1),1,IF(AND(WEEKDAY($J19)=6,WEEKDAY($J20)=2,$J20-$J19=3,L19=1),1,""))),""))</f>
        <v/>
      </c>
      <c r="M20" s="886" t="str">
        <f>IF($S$3,IF(AND($J20&gt;=EndDate!$B$2,$J20&lt;=EndDate!$B$10),1,IF(AND($J19+1=$J20,M19=1),1,IF(AND(WEEKDAY($J19)=6,WEEKDAY($J20)=2,$J20-$J19=3,M19=1),1,""))),IF(OR(MONTH($J20)=1,MONTH($J20)=12),IF(AND($J20&gt;=EndDate!$B$2,$J20&lt;=EndDate!$B$10),1,IF(AND($J19+1=$J20,M19=1),1,IF(AND(WEEKDAY($J19)=6,WEEKDAY($J20)=2,$J20-$J19=3,M19=1),1,""))),""))</f>
        <v/>
      </c>
      <c r="N20" s="885"/>
      <c r="O20" s="886" t="str">
        <f>IF($S$3,IF(AND($N20&gt;=EndDate!$B$2,$N20&lt;=EndDate!$B$8),1,IF(AND($N19+1=$N20,O19=1),1,IF(AND(WEEKDAY($N19)=6,WEEKDAY($N20)=2,$N20-$N19=3,O19=1),1,""))),IF(OR(MONTH($N20)=1,MONTH($N20)=12),IF(AND($N20&gt;=EndDate!$B$2,$N20&lt;=EndDate!$B$8),1,IF(AND($N19+1=$N20,O19=1),1,IF(AND(WEEKDAY($N19)=6,WEEKDAY($N20)=2,$N20-$N19=3,O19=1),1,""))),""))</f>
        <v/>
      </c>
      <c r="P20" s="886" t="str">
        <f>IF($S$3,IF(AND($N20&gt;=EndDate!$B$2,$N20&lt;=EndDate!$B$9),1,IF(AND($N19+1=$N20,P19=1),1,IF(AND(WEEKDAY($N19)=6,WEEKDAY($N20)=2,$N20-$N19=3,P19=1),1,""))),IF(OR(MONTH($N20)=1,MONTH($N20)=12),IF(AND($N20&gt;=EndDate!$B$2,$N20&lt;=EndDate!$B$9),1,IF(AND($N19+1=$N20,P19=1),1,IF(AND(WEEKDAY($N19)=6,WEEKDAY($N20)=2,$N20-$N19=3,P19=1),1,""))),""))</f>
        <v/>
      </c>
      <c r="Q20" s="886" t="str">
        <f>IF($S$3,IF(AND($N20&gt;=EndDate!$B$2,$N20&lt;=EndDate!$B$10),1,IF(AND($N19+1=$N20,Q19=1),1,IF(AND(WEEKDAY($N19)=6,WEEKDAY($N20)=2,$N20-$N19=3,Q19=1),1,""))),IF(OR(MONTH($N20)=1,MONTH($N20)=12),IF(AND($N20&gt;=EndDate!$B$2,$N20&lt;=EndDate!$B$10),1,IF(AND($N19+1=$N20,Q19=1),1,IF(AND(WEEKDAY($N19)=6,WEEKDAY($N20)=2,$N20-$N19=3,Q19=1),1,""))),""))</f>
        <v/>
      </c>
      <c r="R20" s="258"/>
      <c r="S20" s="1"/>
    </row>
    <row r="21" spans="1:19" ht="13.8">
      <c r="A21" s="880"/>
      <c r="B21" s="885">
        <v>44195</v>
      </c>
      <c r="C21" s="886" t="str">
        <f>IF($S$3,IF(AND($B21&gt;=EndDate!$B$2,$B21&lt;=EndDate!$B$8),1,IF(AND($B20+1=$B21,C20=1),1,IF(AND(WEEKDAY($B20)=6,WEEKDAY($B21)=2,$B21-$B20=3,C20=1),1,""))),IF(OR(MONTH($B21)=1,MONTH($B21)=12),IF(AND($B21&gt;=EndDate!$B$2,$B21&lt;=EndDate!$B$8),1,IF(AND($B20+1=$B21,C20=1),1,IF(AND(WEEKDAY($B20)=6,WEEKDAY($B21)=2,$B21-$B20=3,C20=1),1,""))),""))</f>
        <v/>
      </c>
      <c r="D21" s="886" t="str">
        <f>IF($S$3,IF(AND($B21&gt;=EndDate!$B$2,$B21&lt;=EndDate!$B$8),1,IF(AND($B20+1=$B21,D20=1),1,IF(AND(WEEKDAY($B20)=6,WEEKDAY($B21)=2,$B21-$B20=3,D20=1),1,""))),IF(OR(MONTH($B21)=1,MONTH($B21)=12),IF(AND($B21&gt;=EndDate!$B$2,$B21&lt;=EndDate!$B$8),1,IF(AND($B20+1=$B21,D20=1),1,IF(AND(WEEKDAY($B20)=6,WEEKDAY($B21)=2,$B21-$B20=3,D20=1),1,""))),""))</f>
        <v/>
      </c>
      <c r="E21" s="886" t="str">
        <f>IF($S$3,IF(AND($B21&gt;=EndDate!$B$2,$B21&lt;=EndDate!$B$8),1,IF(AND($B20+1=$B21,E20=1),1,IF(AND(WEEKDAY($B20)=6,WEEKDAY($B21)=2,$B21-$B20=3,E20=1),1,""))),IF(OR(MONTH($B21)=1,MONTH($B21)=12),IF(AND($B21&gt;=EndDate!$B$2,$B21&lt;=EndDate!$B$8),1,IF(AND($B20+1=$B21,E20=1),1,IF(AND(WEEKDAY($B20)=6,WEEKDAY($B21)=2,$B21-$B20=3,E20=1),1,""))),""))</f>
        <v/>
      </c>
      <c r="F21" s="885">
        <v>44194</v>
      </c>
      <c r="G21" s="886" t="str">
        <f>IF($S$3,IF(AND($F21&gt;=EndDate!$B$2,$F21&lt;=EndDate!$B$8),1,IF(AND($F20+1=$F21,G20=1),1,IF(AND(WEEKDAY($F20)=6,WEEKDAY($F21)=2,$F21-$F20=3,G20=1),1,""))),IF(OR(MONTH($F21)=1,MONTH($F21)=12),IF(AND($F21&gt;=EndDate!$B$2,$F21&lt;=EndDate!$B$8),1,IF(AND($F20+1=$F21,G20=1),1,IF(AND(WEEKDAY($F20)=6,WEEKDAY($F21)=2,$F21-$F20=3,G20=1),1,""))),""))</f>
        <v/>
      </c>
      <c r="H21" s="886" t="str">
        <f>IF($S$3,IF(AND($F21&gt;=EndDate!$B$2,$F21&lt;=EndDate!$B$9),1,IF(AND($F20+1=$F21,H20=1),1,IF(AND(WEEKDAY($F20)=6,WEEKDAY($F21)=2,$F21-$F20=3,H20=1),1,""))),IF(OR(MONTH($F21)=1,MONTH($F21)=12),IF(AND($F21&gt;=EndDate!$B$2,$F21&lt;=EndDate!$B$9),1,IF(AND($F20+1=$F21,H20=1),1,IF(AND(WEEKDAY($F20)=6,WEEKDAY($F21)=2,$F21-$F20=3,H20=1),1,""))),""))</f>
        <v/>
      </c>
      <c r="I21" s="886" t="str">
        <f>IF($S$3,IF(AND($F21&gt;=EndDate!$B$2,$F21&lt;=EndDate!$B$10),1,IF(AND($F20+1=$F21,I20=1),1,IF(AND(WEEKDAY($F20)=6,WEEKDAY($F21)=2,$F21-$F20=3,I20=1),1,""))),IF(OR(MONTH($F21)=1,MONTH($F21)=12),IF(AND($F21&gt;=EndDate!$B$2,$F21&lt;=EndDate!$B$10),1,IF(AND($F20+1=$F21,I20=1),1,IF(AND(WEEKDAY($F20)=6,WEEKDAY($F21)=2,$F21-$F20=3,I20=1),1,""))),""))</f>
        <v/>
      </c>
      <c r="J21" s="885">
        <v>44923</v>
      </c>
      <c r="K21" s="886" t="str">
        <f>IF($S$3,IF(AND($J21&gt;=EndDate!$B$2,$J21&lt;=EndDate!$B$8),1,IF(AND($J20+1=$J21,K20=1),1,IF(AND(WEEKDAY($J20)=6,WEEKDAY($J21)=2,$J21-$J20=3,K20=1),1,""))),IF(OR(MONTH($J21)=1,MONTH($J21)=12),IF(AND($J21&gt;=EndDate!$B$2,$J21&lt;=EndDate!$B$8),1,IF(AND($J20+1=$J21,K20=1),1,IF(AND(WEEKDAY($J20)=6,WEEKDAY($J21)=2,$J21-$J20=3,K20=1),1,""))),""))</f>
        <v/>
      </c>
      <c r="L21" s="886" t="str">
        <f>IF($S$3,IF(AND($J21&gt;=EndDate!$B$2,$J21&lt;=EndDate!$B$9),1,IF(AND($J20+1=$J21,L20=1),1,IF(AND(WEEKDAY($J20)=6,WEEKDAY($J21)=2,$J21-$J20=3,L20=1),1,""))),IF(OR(MONTH($J21)=1,MONTH($J21)=12),IF(AND($J21&gt;=EndDate!$B$2,$J21&lt;=EndDate!$B$9),1,IF(AND($J20+1=$J21,L20=1),1,IF(AND(WEEKDAY($J20)=6,WEEKDAY($J21)=2,$J21-$J20=3,L20=1),1,""))),""))</f>
        <v/>
      </c>
      <c r="M21" s="886" t="str">
        <f>IF($S$3,IF(AND($J21&gt;=EndDate!$B$2,$J21&lt;=EndDate!$B$10),1,IF(AND($J20+1=$J21,M20=1),1,IF(AND(WEEKDAY($J20)=6,WEEKDAY($J21)=2,$J21-$J20=3,M20=1),1,""))),IF(OR(MONTH($J21)=1,MONTH($J21)=12),IF(AND($J21&gt;=EndDate!$B$2,$J21&lt;=EndDate!$B$10),1,IF(AND($J20+1=$J21,M20=1),1,IF(AND(WEEKDAY($J20)=6,WEEKDAY($J21)=2,$J21-$J20=3,M20=1),1,""))),""))</f>
        <v/>
      </c>
      <c r="N21" s="885"/>
      <c r="O21" s="886" t="str">
        <f>IF($S$3,IF(AND($N21&gt;=EndDate!$B$2,$N21&lt;=EndDate!$B$8),1,IF(AND($N20+1=$N21,O20=1),1,IF(AND(WEEKDAY($N20)=6,WEEKDAY($N21)=2,$N21-$N20=3,O20=1),1,""))),IF(OR(MONTH($N21)=1,MONTH($N21)=12),IF(AND($N21&gt;=EndDate!$B$2,$N21&lt;=EndDate!$B$8),1,IF(AND($N20+1=$N21,O20=1),1,IF(AND(WEEKDAY($N20)=6,WEEKDAY($N21)=2,$N21-$N20=3,O20=1),1,""))),""))</f>
        <v/>
      </c>
      <c r="P21" s="886" t="str">
        <f>IF($S$3,IF(AND($N21&gt;=EndDate!$B$2,$N21&lt;=EndDate!$B$9),1,IF(AND($N20+1=$N21,P20=1),1,IF(AND(WEEKDAY($N20)=6,WEEKDAY($N21)=2,$N21-$N20=3,P20=1),1,""))),IF(OR(MONTH($N21)=1,MONTH($N21)=12),IF(AND($N21&gt;=EndDate!$B$2,$N21&lt;=EndDate!$B$9),1,IF(AND($N20+1=$N21,P20=1),1,IF(AND(WEEKDAY($N20)=6,WEEKDAY($N21)=2,$N21-$N20=3,P20=1),1,""))),""))</f>
        <v/>
      </c>
      <c r="Q21" s="886" t="str">
        <f>IF($S$3,IF(AND($N21&gt;=EndDate!$B$2,$N21&lt;=EndDate!$B$10),1,IF(AND($N20+1=$N21,Q20=1),1,IF(AND(WEEKDAY($N20)=6,WEEKDAY($N21)=2,$N21-$N20=3,Q20=1),1,""))),IF(OR(MONTH($N21)=1,MONTH($N21)=12),IF(AND($N21&gt;=EndDate!$B$2,$N21&lt;=EndDate!$B$10),1,IF(AND($N20+1=$N21,Q20=1),1,IF(AND(WEEKDAY($N20)=6,WEEKDAY($N21)=2,$N21-$N20=3,Q20=1),1,""))),""))</f>
        <v/>
      </c>
      <c r="R21" s="258"/>
      <c r="S21" s="959" t="s">
        <v>1722</v>
      </c>
    </row>
    <row r="22" spans="1:19" ht="13.8">
      <c r="A22" s="880"/>
      <c r="B22" s="885">
        <v>44196</v>
      </c>
      <c r="C22" s="886" t="str">
        <f>IF($S$3,IF(AND($B22&gt;=EndDate!$B$2,$B22&lt;=EndDate!$B$8),1,IF(AND($B21+1=$B22,C21=1),1,IF(AND(WEEKDAY($B21)=6,WEEKDAY($B22)=2,$B22-$B21=3,C21=1),1,""))),IF(OR(MONTH($B22)=1,MONTH($B22)=12),IF(AND($B22&gt;=EndDate!$B$2,$B22&lt;=EndDate!$B$8),1,IF(AND($B21+1=$B22,C21=1),1,IF(AND(WEEKDAY($B21)=6,WEEKDAY($B22)=2,$B22-$B21=3,C21=1),1,""))),""))</f>
        <v/>
      </c>
      <c r="D22" s="886" t="str">
        <f>IF($S$3,IF(AND($B22&gt;=EndDate!$B$2,$B22&lt;=EndDate!$B$8),1,IF(AND($B21+1=$B22,D21=1),1,IF(AND(WEEKDAY($B21)=6,WEEKDAY($B22)=2,$B22-$B21=3,D21=1),1,""))),IF(OR(MONTH($B22)=1,MONTH($B22)=12),IF(AND($B22&gt;=EndDate!$B$2,$B22&lt;=EndDate!$B$8),1,IF(AND($B21+1=$B22,D21=1),1,IF(AND(WEEKDAY($B21)=6,WEEKDAY($B22)=2,$B22-$B21=3,D21=1),1,""))),""))</f>
        <v/>
      </c>
      <c r="E22" s="886" t="str">
        <f>IF($S$3,IF(AND($B22&gt;=EndDate!$B$2,$B22&lt;=EndDate!$B$8),1,IF(AND($B21+1=$B22,E21=1),1,IF(AND(WEEKDAY($B21)=6,WEEKDAY($B22)=2,$B22-$B21=3,E21=1),1,""))),IF(OR(MONTH($B22)=1,MONTH($B22)=12),IF(AND($B22&gt;=EndDate!$B$2,$B22&lt;=EndDate!$B$8),1,IF(AND($B21+1=$B22,E21=1),1,IF(AND(WEEKDAY($B21)=6,WEEKDAY($B22)=2,$B22-$B21=3,E21=1),1,""))),""))</f>
        <v/>
      </c>
      <c r="F22" s="885">
        <v>44195</v>
      </c>
      <c r="G22" s="886" t="str">
        <f>IF($S$3,IF(AND($F22&gt;=EndDate!$B$2,$F22&lt;=EndDate!$B$8),1,IF(AND($F21+1=$F22,G21=1),1,IF(AND(WEEKDAY($F21)=6,WEEKDAY($F22)=2,$F22-$F21=3,G21=1),1,""))),IF(OR(MONTH($F22)=1,MONTH($F22)=12),IF(AND($F22&gt;=EndDate!$B$2,$F22&lt;=EndDate!$B$8),1,IF(AND($F21+1=$F22,G21=1),1,IF(AND(WEEKDAY($F21)=6,WEEKDAY($F22)=2,$F22-$F21=3,G21=1),1,""))),""))</f>
        <v/>
      </c>
      <c r="H22" s="886" t="str">
        <f>IF($S$3,IF(AND($F22&gt;=EndDate!$B$2,$F22&lt;=EndDate!$B$9),1,IF(AND($F21+1=$F22,H21=1),1,IF(AND(WEEKDAY($F21)=6,WEEKDAY($F22)=2,$F22-$F21=3,H21=1),1,""))),IF(OR(MONTH($F22)=1,MONTH($F22)=12),IF(AND($F22&gt;=EndDate!$B$2,$F22&lt;=EndDate!$B$9),1,IF(AND($F21+1=$F22,H21=1),1,IF(AND(WEEKDAY($F21)=6,WEEKDAY($F22)=2,$F22-$F21=3,H21=1),1,""))),""))</f>
        <v/>
      </c>
      <c r="I22" s="886" t="str">
        <f>IF($S$3,IF(AND($F22&gt;=EndDate!$B$2,$F22&lt;=EndDate!$B$10),1,IF(AND($F21+1=$F22,I21=1),1,IF(AND(WEEKDAY($F21)=6,WEEKDAY($F22)=2,$F22-$F21=3,I21=1),1,""))),IF(OR(MONTH($F22)=1,MONTH($F22)=12),IF(AND($F22&gt;=EndDate!$B$2,$F22&lt;=EndDate!$B$10),1,IF(AND($F21+1=$F22,I21=1),1,IF(AND(WEEKDAY($F21)=6,WEEKDAY($F22)=2,$F22-$F21=3,I21=1),1,""))),""))</f>
        <v/>
      </c>
      <c r="J22" s="885">
        <v>44924</v>
      </c>
      <c r="K22" s="886" t="str">
        <f>IF($S$3,IF(AND($J22&gt;=EndDate!$B$2,$J22&lt;=EndDate!$B$8),1,IF(AND($J21+1=$J22,K21=1),1,IF(AND(WEEKDAY($J21)=6,WEEKDAY($J22)=2,$J22-$J21=3,K21=1),1,""))),IF(OR(MONTH($J22)=1,MONTH($J22)=12),IF(AND($J22&gt;=EndDate!$B$2,$J22&lt;=EndDate!$B$8),1,IF(AND($J21+1=$J22,K21=1),1,IF(AND(WEEKDAY($J21)=6,WEEKDAY($J22)=2,$J22-$J21=3,K21=1),1,""))),""))</f>
        <v/>
      </c>
      <c r="L22" s="886" t="str">
        <f>IF($S$3,IF(AND($J22&gt;=EndDate!$B$2,$J22&lt;=EndDate!$B$9),1,IF(AND($J21+1=$J22,L21=1),1,IF(AND(WEEKDAY($J21)=6,WEEKDAY($J22)=2,$J22-$J21=3,L21=1),1,""))),IF(OR(MONTH($J22)=1,MONTH($J22)=12),IF(AND($J22&gt;=EndDate!$B$2,$J22&lt;=EndDate!$B$9),1,IF(AND($J21+1=$J22,L21=1),1,IF(AND(WEEKDAY($J21)=6,WEEKDAY($J22)=2,$J22-$J21=3,L21=1),1,""))),""))</f>
        <v/>
      </c>
      <c r="M22" s="886" t="str">
        <f>IF($S$3,IF(AND($J22&gt;=EndDate!$B$2,$J22&lt;=EndDate!$B$10),1,IF(AND($J21+1=$J22,M21=1),1,IF(AND(WEEKDAY($J21)=6,WEEKDAY($J22)=2,$J22-$J21=3,M21=1),1,""))),IF(OR(MONTH($J22)=1,MONTH($J22)=12),IF(AND($J22&gt;=EndDate!$B$2,$J22&lt;=EndDate!$B$10),1,IF(AND($J21+1=$J22,M21=1),1,IF(AND(WEEKDAY($J21)=6,WEEKDAY($J22)=2,$J22-$J21=3,M21=1),1,""))),""))</f>
        <v/>
      </c>
      <c r="N22" s="885"/>
      <c r="O22" s="886" t="str">
        <f>IF($S$3,IF(AND($N22&gt;=EndDate!$B$2,$N22&lt;=EndDate!$B$8),1,IF(AND($N21+1=$N22,O21=1),1,IF(AND(WEEKDAY($N21)=6,WEEKDAY($N22)=2,$N22-$N21=3,O21=1),1,""))),IF(OR(MONTH($N22)=1,MONTH($N22)=12),IF(AND($N22&gt;=EndDate!$B$2,$N22&lt;=EndDate!$B$8),1,IF(AND($N21+1=$N22,O21=1),1,IF(AND(WEEKDAY($N21)=6,WEEKDAY($N22)=2,$N22-$N21=3,O21=1),1,""))),""))</f>
        <v/>
      </c>
      <c r="P22" s="886" t="str">
        <f>IF($S$3,IF(AND($N22&gt;=EndDate!$B$2,$N22&lt;=EndDate!$B$9),1,IF(AND($N21+1=$N22,P21=1),1,IF(AND(WEEKDAY($N21)=6,WEEKDAY($N22)=2,$N22-$N21=3,P21=1),1,""))),IF(OR(MONTH($N22)=1,MONTH($N22)=12),IF(AND($N22&gt;=EndDate!$B$2,$N22&lt;=EndDate!$B$9),1,IF(AND($N21+1=$N22,P21=1),1,IF(AND(WEEKDAY($N21)=6,WEEKDAY($N22)=2,$N22-$N21=3,P21=1),1,""))),""))</f>
        <v/>
      </c>
      <c r="Q22" s="886" t="str">
        <f>IF($S$3,IF(AND($N22&gt;=EndDate!$B$2,$N22&lt;=EndDate!$B$10),1,IF(AND($N21+1=$N22,Q21=1),1,IF(AND(WEEKDAY($N21)=6,WEEKDAY($N22)=2,$N22-$N21=3,Q21=1),1,""))),IF(OR(MONTH($N22)=1,MONTH($N22)=12),IF(AND($N22&gt;=EndDate!$B$2,$N22&lt;=EndDate!$B$10),1,IF(AND($N21+1=$N22,Q21=1),1,IF(AND(WEEKDAY($N21)=6,WEEKDAY($N22)=2,$N22-$N21=3,Q21=1),1,""))),""))</f>
        <v/>
      </c>
      <c r="R22" s="258"/>
      <c r="S22" s="1" t="b">
        <f>IF(OR('Outline Admin'!A5=S24,'Outline Admin'!A5=S25,'Outline Admin'!A5=S26),TRUE,FALSE)</f>
        <v>0</v>
      </c>
    </row>
    <row r="23" spans="1:19" ht="13.8">
      <c r="A23" s="880"/>
      <c r="B23" s="885"/>
      <c r="C23" s="886" t="str">
        <f>IF($S$3,IF(AND($B23&gt;=EndDate!$B$2,$B23&lt;=EndDate!$B$8),1,IF(AND($B22+1=$B23,C22=1),1,IF(AND(WEEKDAY($B22)=6,WEEKDAY($B23)=2,$B23-$B22=3,C22=1),1,""))),IF(OR(MONTH($B23)=1,MONTH($B23)=12),IF(AND($B23&gt;=EndDate!$B$2,$B23&lt;=EndDate!$B$8),1,IF(AND($B22+1=$B23,C22=1),1,IF(AND(WEEKDAY($B22)=6,WEEKDAY($B23)=2,$B23-$B22=3,C22=1),1,""))),""))</f>
        <v/>
      </c>
      <c r="D23" s="886" t="str">
        <f>IF($S$3,IF(AND($B23&gt;=EndDate!$B$2,$B23&lt;=EndDate!$B$8),1,IF(AND($B22+1=$B23,D22=1),1,IF(AND(WEEKDAY($B22)=6,WEEKDAY($B23)=2,$B23-$B22=3,D22=1),1,""))),IF(OR(MONTH($B23)=1,MONTH($B23)=12),IF(AND($B23&gt;=EndDate!$B$2,$B23&lt;=EndDate!$B$8),1,IF(AND($B22+1=$B23,D22=1),1,IF(AND(WEEKDAY($B22)=6,WEEKDAY($B23)=2,$B23-$B22=3,D22=1),1,""))),""))</f>
        <v/>
      </c>
      <c r="E23" s="886" t="str">
        <f>IF($S$3,IF(AND($B23&gt;=EndDate!$B$2,$B23&lt;=EndDate!$B$8),1,IF(AND($B22+1=$B23,E22=1),1,IF(AND(WEEKDAY($B22)=6,WEEKDAY($B23)=2,$B23-$B22=3,E22=1),1,""))),IF(OR(MONTH($B23)=1,MONTH($B23)=12),IF(AND($B23&gt;=EndDate!$B$2,$B23&lt;=EndDate!$B$8),1,IF(AND($B22+1=$B23,E22=1),1,IF(AND(WEEKDAY($B22)=6,WEEKDAY($B23)=2,$B23-$B22=3,E22=1),1,""))),""))</f>
        <v/>
      </c>
      <c r="F23" s="885">
        <v>44196</v>
      </c>
      <c r="G23" s="886" t="str">
        <f>IF($S$3,IF(AND($F23&gt;=EndDate!$B$2,$F23&lt;=EndDate!$B$8),1,IF(AND($F22+1=$F23,G22=1),1,IF(AND(WEEKDAY($F22)=6,WEEKDAY($F23)=2,$F23-$F22=3,G22=1),1,""))),IF(OR(MONTH($F23)=1,MONTH($F23)=12),IF(AND($F23&gt;=EndDate!$B$2,$F23&lt;=EndDate!$B$8),1,IF(AND($F22+1=$F23,G22=1),1,IF(AND(WEEKDAY($F22)=6,WEEKDAY($F23)=2,$F23-$F22=3,G22=1),1,""))),""))</f>
        <v/>
      </c>
      <c r="H23" s="886" t="str">
        <f>IF($S$3,IF(AND($F23&gt;=EndDate!$B$2,$F23&lt;=EndDate!$B$9),1,IF(AND($F22+1=$F23,H22=1),1,IF(AND(WEEKDAY($F22)=6,WEEKDAY($F23)=2,$F23-$F22=3,H22=1),1,""))),IF(OR(MONTH($F23)=1,MONTH($F23)=12),IF(AND($F23&gt;=EndDate!$B$2,$F23&lt;=EndDate!$B$9),1,IF(AND($F22+1=$F23,H22=1),1,IF(AND(WEEKDAY($F22)=6,WEEKDAY($F23)=2,$F23-$F22=3,H22=1),1,""))),""))</f>
        <v/>
      </c>
      <c r="I23" s="886" t="str">
        <f>IF($S$3,IF(AND($F23&gt;=EndDate!$B$2,$F23&lt;=EndDate!$B$10),1,IF(AND($F22+1=$F23,I22=1),1,IF(AND(WEEKDAY($F22)=6,WEEKDAY($F23)=2,$F23-$F22=3,I22=1),1,""))),IF(OR(MONTH($F23)=1,MONTH($F23)=12),IF(AND($F23&gt;=EndDate!$B$2,$F23&lt;=EndDate!$B$10),1,IF(AND($F22+1=$F23,I22=1),1,IF(AND(WEEKDAY($F22)=6,WEEKDAY($F23)=2,$F23-$F22=3,I22=1),1,""))),""))</f>
        <v/>
      </c>
      <c r="J23" s="885">
        <v>44925</v>
      </c>
      <c r="K23" s="886" t="str">
        <f>IF($S$3,IF(AND($J23&gt;=EndDate!$B$2,$J23&lt;=EndDate!$B$8),1,IF(AND($J22+1=$J23,K22=1),1,IF(AND(WEEKDAY($J22)=6,WEEKDAY($J23)=2,$J23-$J22=3,K22=1),1,""))),IF(OR(MONTH($J23)=1,MONTH($J23)=12),IF(AND($J23&gt;=EndDate!$B$2,$J23&lt;=EndDate!$B$8),1,IF(AND($J22+1=$J23,K22=1),1,IF(AND(WEEKDAY($J22)=6,WEEKDAY($J23)=2,$J23-$J22=3,K22=1),1,""))),""))</f>
        <v/>
      </c>
      <c r="L23" s="886" t="str">
        <f>IF($S$3,IF(AND($J23&gt;=EndDate!$B$2,$J23&lt;=EndDate!$B$9),1,IF(AND($J22+1=$J23,L22=1),1,IF(AND(WEEKDAY($J22)=6,WEEKDAY($J23)=2,$J23-$J22=3,L22=1),1,""))),IF(OR(MONTH($J23)=1,MONTH($J23)=12),IF(AND($J23&gt;=EndDate!$B$2,$J23&lt;=EndDate!$B$9),1,IF(AND($J22+1=$J23,L22=1),1,IF(AND(WEEKDAY($J22)=6,WEEKDAY($J23)=2,$J23-$J22=3,L22=1),1,""))),""))</f>
        <v/>
      </c>
      <c r="M23" s="886" t="str">
        <f>IF($S$3,IF(AND($J23&gt;=EndDate!$B$2,$J23&lt;=EndDate!$B$10),1,IF(AND($J22+1=$J23,M22=1),1,IF(AND(WEEKDAY($J22)=6,WEEKDAY($J23)=2,$J23-$J22=3,M22=1),1,""))),IF(OR(MONTH($J23)=1,MONTH($J23)=12),IF(AND($J23&gt;=EndDate!$B$2,$J23&lt;=EndDate!$B$10),1,IF(AND($J22+1=$J23,M22=1),1,IF(AND(WEEKDAY($J22)=6,WEEKDAY($J23)=2,$J23-$J22=3,M22=1),1,""))),""))</f>
        <v/>
      </c>
      <c r="N23" s="885"/>
      <c r="O23" s="886" t="str">
        <f>IF($S$3,IF(AND($N23&gt;=EndDate!$B$2,$N23&lt;=EndDate!$B$8),1,IF(AND($N22+1=$N23,O22=1),1,IF(AND(WEEKDAY($N22)=6,WEEKDAY($N23)=2,$N23-$N22=3,O22=1),1,""))),IF(OR(MONTH($N23)=1,MONTH($N23)=12),IF(AND($N23&gt;=EndDate!$B$2,$N23&lt;=EndDate!$B$8),1,IF(AND($N22+1=$N23,O22=1),1,IF(AND(WEEKDAY($N22)=6,WEEKDAY($N23)=2,$N23-$N22=3,O22=1),1,""))),""))</f>
        <v/>
      </c>
      <c r="P23" s="886" t="str">
        <f>IF($S$3,IF(AND($N23&gt;=EndDate!$B$2,$N23&lt;=EndDate!$B$9),1,IF(AND($N22+1=$N23,P22=1),1,IF(AND(WEEKDAY($N22)=6,WEEKDAY($N23)=2,$N23-$N22=3,P22=1),1,""))),IF(OR(MONTH($N23)=1,MONTH($N23)=12),IF(AND($N23&gt;=EndDate!$B$2,$N23&lt;=EndDate!$B$9),1,IF(AND($N22+1=$N23,P22=1),1,IF(AND(WEEKDAY($N22)=6,WEEKDAY($N23)=2,$N23-$N22=3,P22=1),1,""))),""))</f>
        <v/>
      </c>
      <c r="Q23" s="886" t="str">
        <f>IF($S$3,IF(AND($N23&gt;=EndDate!$B$2,$N23&lt;=EndDate!$B$10),1,IF(AND($N22+1=$N23,Q22=1),1,IF(AND(WEEKDAY($N22)=6,WEEKDAY($N23)=2,$N23-$N22=3,Q22=1),1,""))),IF(OR(MONTH($N23)=1,MONTH($N23)=12),IF(AND($N23&gt;=EndDate!$B$2,$N23&lt;=EndDate!$B$10),1,IF(AND($N22+1=$N23,Q22=1),1,IF(AND(WEEKDAY($N22)=6,WEEKDAY($N23)=2,$N23-$N22=3,Q22=1),1,""))),""))</f>
        <v/>
      </c>
      <c r="R23" s="258"/>
      <c r="S23" s="959" t="s">
        <v>1723</v>
      </c>
    </row>
    <row r="24" spans="1:19" ht="13.8">
      <c r="A24" s="880"/>
      <c r="B24" s="885"/>
      <c r="C24" s="886" t="str">
        <f>IF($S$3,IF(AND($B24&gt;=EndDate!$B$2,$B24&lt;=EndDate!$B$8),1,IF(AND($B23+1=$B24,C23=1),1,IF(AND(WEEKDAY($B23)=6,WEEKDAY($B24)=2,$B24-$B23=3,C23=1),1,""))),IF(OR(MONTH($B24)=1,MONTH($B24)=12),IF(AND($B24&gt;=EndDate!$B$2,$B24&lt;=EndDate!$B$8),1,IF(AND($B23+1=$B24,C23=1),1,IF(AND(WEEKDAY($B23)=6,WEEKDAY($B24)=2,$B24-$B23=3,C23=1),1,""))),""))</f>
        <v/>
      </c>
      <c r="D24" s="886" t="str">
        <f>IF($S$3,IF(AND($B24&gt;=EndDate!$B$2,$B24&lt;=EndDate!$B$8),1,IF(AND($B23+1=$B24,D23=1),1,IF(AND(WEEKDAY($B23)=6,WEEKDAY($B24)=2,$B24-$B23=3,D23=1),1,""))),IF(OR(MONTH($B24)=1,MONTH($B24)=12),IF(AND($B24&gt;=EndDate!$B$2,$B24&lt;=EndDate!$B$8),1,IF(AND($B23+1=$B24,D23=1),1,IF(AND(WEEKDAY($B23)=6,WEEKDAY($B24)=2,$B24-$B23=3,D23=1),1,""))),""))</f>
        <v/>
      </c>
      <c r="E24" s="886" t="str">
        <f>IF($S$3,IF(AND($B24&gt;=EndDate!$B$2,$B24&lt;=EndDate!$B$8),1,IF(AND($B23+1=$B24,E23=1),1,IF(AND(WEEKDAY($B23)=6,WEEKDAY($B24)=2,$B24-$B23=3,E23=1),1,""))),IF(OR(MONTH($B24)=1,MONTH($B24)=12),IF(AND($B24&gt;=EndDate!$B$2,$B24&lt;=EndDate!$B$8),1,IF(AND($B23+1=$B24,E23=1),1,IF(AND(WEEKDAY($B23)=6,WEEKDAY($B24)=2,$B24-$B23=3,E23=1),1,""))),""))</f>
        <v/>
      </c>
      <c r="F24" s="885"/>
      <c r="G24" s="886" t="str">
        <f>IF($S$3,IF(AND($F24&gt;=EndDate!$B$2,$F24&lt;=EndDate!$B$8),1,IF(AND($F23+1=$F24,G23=1),1,IF(AND(WEEKDAY($F23)=6,WEEKDAY($F24)=2,$F24-$F23=3,G23=1),1,""))),IF(OR(MONTH($F24)=1,MONTH($F24)=12),IF(AND($F24&gt;=EndDate!$B$2,$F24&lt;=EndDate!$B$8),1,IF(AND($F23+1=$F24,G23=1),1,IF(AND(WEEKDAY($F23)=6,WEEKDAY($F24)=2,$F24-$F23=3,G23=1),1,""))),""))</f>
        <v/>
      </c>
      <c r="H24" s="886" t="str">
        <f>IF($S$3,IF(AND($F24&gt;=EndDate!$B$2,$F24&lt;=EndDate!$B$9),1,IF(AND($F23+1=$F24,H23=1),1,IF(AND(WEEKDAY($F23)=6,WEEKDAY($F24)=2,$F24-$F23=3,H23=1),1,""))),IF(OR(MONTH($F24)=1,MONTH($F24)=12),IF(AND($F24&gt;=EndDate!$B$2,$F24&lt;=EndDate!$B$9),1,IF(AND($F23+1=$F24,H23=1),1,IF(AND(WEEKDAY($F23)=6,WEEKDAY($F24)=2,$F24-$F23=3,H23=1),1,""))),""))</f>
        <v/>
      </c>
      <c r="I24" s="886" t="str">
        <f>IF($S$3,IF(AND($F24&gt;=EndDate!$B$2,$F24&lt;=EndDate!$B$10),1,IF(AND($F23+1=$F24,I23=1),1,IF(AND(WEEKDAY($F23)=6,WEEKDAY($F24)=2,$F24-$F23=3,I23=1),1,""))),IF(OR(MONTH($F24)=1,MONTH($F24)=12),IF(AND($F24&gt;=EndDate!$B$2,$F24&lt;=EndDate!$B$10),1,IF(AND($F23+1=$F24,I23=1),1,IF(AND(WEEKDAY($F23)=6,WEEKDAY($F24)=2,$F24-$F23=3,I23=1),1,""))),""))</f>
        <v/>
      </c>
      <c r="J24" s="885"/>
      <c r="K24" s="886" t="str">
        <f>IF($S$3,IF(AND($J24&gt;=EndDate!$B$2,$J24&lt;=EndDate!$B$8),1,IF(AND($J23+1=$J24,K23=1),1,IF(AND(WEEKDAY($J23)=6,WEEKDAY($J24)=2,$J24-$J23=3,K23=1),1,""))),IF(OR(MONTH($J24)=1,MONTH($J24)=12),IF(AND($J24&gt;=EndDate!$B$2,$J24&lt;=EndDate!$B$8),1,IF(AND($J23+1=$J24,K23=1),1,IF(AND(WEEKDAY($J23)=6,WEEKDAY($J24)=2,$J24-$J23=3,K23=1),1,""))),""))</f>
        <v/>
      </c>
      <c r="L24" s="886" t="str">
        <f>IF($S$3,IF(AND($J24&gt;=EndDate!$B$2,$J24&lt;=EndDate!$B$9),1,IF(AND($J23+1=$J24,L23=1),1,IF(AND(WEEKDAY($J23)=6,WEEKDAY($J24)=2,$J24-$J23=3,L23=1),1,""))),IF(OR(MONTH($J24)=1,MONTH($J24)=12),IF(AND($J24&gt;=EndDate!$B$2,$J24&lt;=EndDate!$B$9),1,IF(AND($J23+1=$J24,L23=1),1,IF(AND(WEEKDAY($J23)=6,WEEKDAY($J24)=2,$J24-$J23=3,L23=1),1,""))),""))</f>
        <v/>
      </c>
      <c r="M24" s="886" t="str">
        <f>IF($S$3,IF(AND($J24&gt;=EndDate!$B$2,$J24&lt;=EndDate!$B$10),1,IF(AND($J23+1=$J24,M23=1),1,IF(AND(WEEKDAY($J23)=6,WEEKDAY($J24)=2,$J24-$J23=3,M23=1),1,""))),IF(OR(MONTH($J24)=1,MONTH($J24)=12),IF(AND($J24&gt;=EndDate!$B$2,$J24&lt;=EndDate!$B$10),1,IF(AND($J23+1=$J24,M23=1),1,IF(AND(WEEKDAY($J23)=6,WEEKDAY($J24)=2,$J24-$J23=3,M23=1),1,""))),""))</f>
        <v/>
      </c>
      <c r="N24" s="885"/>
      <c r="O24" s="886" t="str">
        <f>IF($S$3,IF(AND($N24&gt;=EndDate!$B$2,$N24&lt;=EndDate!$B$8),1,IF(AND($N23+1=$N24,O23=1),1,IF(AND(WEEKDAY($N23)=6,WEEKDAY($N24)=2,$N24-$N23=3,O23=1),1,""))),IF(OR(MONTH($N24)=1,MONTH($N24)=12),IF(AND($N24&gt;=EndDate!$B$2,$N24&lt;=EndDate!$B$8),1,IF(AND($N23+1=$N24,O23=1),1,IF(AND(WEEKDAY($N23)=6,WEEKDAY($N24)=2,$N24-$N23=3,O23=1),1,""))),""))</f>
        <v/>
      </c>
      <c r="P24" s="886" t="str">
        <f>IF($S$3,IF(AND($N24&gt;=EndDate!$B$2,$N24&lt;=EndDate!$B$9),1,IF(AND($N23+1=$N24,P23=1),1,IF(AND(WEEKDAY($N23)=6,WEEKDAY($N24)=2,$N24-$N23=3,P23=1),1,""))),IF(OR(MONTH($N24)=1,MONTH($N24)=12),IF(AND($N24&gt;=EndDate!$B$2,$N24&lt;=EndDate!$B$9),1,IF(AND($N23+1=$N24,P23=1),1,IF(AND(WEEKDAY($N23)=6,WEEKDAY($N24)=2,$N24-$N23=3,P23=1),1,""))),""))</f>
        <v/>
      </c>
      <c r="Q24" s="886" t="str">
        <f>IF($S$3,IF(AND($N24&gt;=EndDate!$B$2,$N24&lt;=EndDate!$B$10),1,IF(AND($N23+1=$N24,Q23=1),1,IF(AND(WEEKDAY($N23)=6,WEEKDAY($N24)=2,$N24-$N23=3,Q23=1),1,""))),IF(OR(MONTH($N24)=1,MONTH($N24)=12),IF(AND($N24&gt;=EndDate!$B$2,$N24&lt;=EndDate!$B$10),1,IF(AND($N23+1=$N24,Q23=1),1,IF(AND(WEEKDAY($N23)=6,WEEKDAY($N24)=2,$N24-$N23=3,Q23=1),1,""))),""))</f>
        <v/>
      </c>
      <c r="R24" s="258"/>
      <c r="S24" s="258" t="str">
        <f>[1]GrphDesDip!$D$4</f>
        <v>GRAPHIC DESIGNER DIPLOMA</v>
      </c>
    </row>
    <row r="25" spans="1:19" ht="13.8">
      <c r="A25" s="880"/>
      <c r="B25" s="885"/>
      <c r="C25" s="886" t="str">
        <f>IF($S$3,IF(AND($B25&gt;=EndDate!$B$2,$B25&lt;=EndDate!$B$8),1,IF(AND($B24+1=$B25,C24=1),1,IF(AND(WEEKDAY($B24)=6,WEEKDAY($B25)=2,$B25-$B24=3,C24=1),1,""))),IF(OR(MONTH($B25)=1,MONTH($B25)=12),IF(AND($B25&gt;=EndDate!$B$2,$B25&lt;=EndDate!$B$8),1,IF(AND($B24+1=$B25,C24=1),1,IF(AND(WEEKDAY($B24)=6,WEEKDAY($B25)=2,$B25-$B24=3,C24=1),1,""))),""))</f>
        <v/>
      </c>
      <c r="D25" s="886" t="str">
        <f>IF($S$3,IF(AND($B25&gt;=EndDate!$B$2,$B25&lt;=EndDate!$B$8),1,IF(AND($B24+1=$B25,D24=1),1,IF(AND(WEEKDAY($B24)=6,WEEKDAY($B25)=2,$B25-$B24=3,D24=1),1,""))),IF(OR(MONTH($B25)=1,MONTH($B25)=12),IF(AND($B25&gt;=EndDate!$B$2,$B25&lt;=EndDate!$B$8),1,IF(AND($B24+1=$B25,D24=1),1,IF(AND(WEEKDAY($B24)=6,WEEKDAY($B25)=2,$B25-$B24=3,D24=1),1,""))),""))</f>
        <v/>
      </c>
      <c r="E25" s="886" t="str">
        <f>IF($S$3,IF(AND($B25&gt;=EndDate!$B$2,$B25&lt;=EndDate!$B$8),1,IF(AND($B24+1=$B25,E24=1),1,IF(AND(WEEKDAY($B24)=6,WEEKDAY($B25)=2,$B25-$B24=3,E24=1),1,""))),IF(OR(MONTH($B25)=1,MONTH($B25)=12),IF(AND($B25&gt;=EndDate!$B$2,$B25&lt;=EndDate!$B$8),1,IF(AND($B24+1=$B25,E24=1),1,IF(AND(WEEKDAY($B24)=6,WEEKDAY($B25)=2,$B25-$B24=3,E24=1),1,""))),""))</f>
        <v/>
      </c>
      <c r="F25" s="885"/>
      <c r="G25" s="886" t="str">
        <f>IF($S$3,IF(AND($F25&gt;=EndDate!$B$2,$F25&lt;=EndDate!$B$8),1,IF(AND($F24+1=$F25,G24=1),1,IF(AND(WEEKDAY($F24)=6,WEEKDAY($F25)=2,$F25-$F24=3,G24=1),1,""))),IF(OR(MONTH($F25)=1,MONTH($F25)=12),IF(AND($F25&gt;=EndDate!$B$2,$F25&lt;=EndDate!$B$8),1,IF(AND($F24+1=$F25,G24=1),1,IF(AND(WEEKDAY($F24)=6,WEEKDAY($F25)=2,$F25-$F24=3,G24=1),1,""))),""))</f>
        <v/>
      </c>
      <c r="H25" s="886" t="str">
        <f>IF($S$3,IF(AND($F25&gt;=EndDate!$B$2,$F25&lt;=EndDate!$B$9),1,IF(AND($F24+1=$F25,H24=1),1,IF(AND(WEEKDAY($F24)=6,WEEKDAY($F25)=2,$F25-$F24=3,H24=1),1,""))),IF(OR(MONTH($F25)=1,MONTH($F25)=12),IF(AND($F25&gt;=EndDate!$B$2,$F25&lt;=EndDate!$B$9),1,IF(AND($F24+1=$F25,H24=1),1,IF(AND(WEEKDAY($F24)=6,WEEKDAY($F25)=2,$F25-$F24=3,H24=1),1,""))),""))</f>
        <v/>
      </c>
      <c r="I25" s="886" t="str">
        <f>IF($S$3,IF(AND($F25&gt;=EndDate!$B$2,$F25&lt;=EndDate!$B$10),1,IF(AND($F24+1=$F25,I24=1),1,IF(AND(WEEKDAY($F24)=6,WEEKDAY($F25)=2,$F25-$F24=3,I24=1),1,""))),IF(OR(MONTH($F25)=1,MONTH($F25)=12),IF(AND($F25&gt;=EndDate!$B$2,$F25&lt;=EndDate!$B$10),1,IF(AND($F24+1=$F25,I24=1),1,IF(AND(WEEKDAY($F24)=6,WEEKDAY($F25)=2,$F25-$F24=3,I24=1),1,""))),""))</f>
        <v/>
      </c>
      <c r="J25" s="885"/>
      <c r="K25" s="886" t="str">
        <f>IF($S$3,IF(AND($J25&gt;=EndDate!$B$2,$J25&lt;=EndDate!$B$8),1,IF(AND($J24+1=$J25,K24=1),1,IF(AND(WEEKDAY($J24)=6,WEEKDAY($J25)=2,$J25-$J24=3,K24=1),1,""))),IF(OR(MONTH($J25)=1,MONTH($J25)=12),IF(AND($J25&gt;=EndDate!$B$2,$J25&lt;=EndDate!$B$8),1,IF(AND($J24+1=$J25,K24=1),1,IF(AND(WEEKDAY($J24)=6,WEEKDAY($J25)=2,$J25-$J24=3,K24=1),1,""))),""))</f>
        <v/>
      </c>
      <c r="L25" s="886" t="str">
        <f>IF($S$3,IF(AND($J25&gt;=EndDate!$B$2,$J25&lt;=EndDate!$B$9),1,IF(AND($J24+1=$J25,L24=1),1,IF(AND(WEEKDAY($J24)=6,WEEKDAY($J25)=2,$J25-$J24=3,L24=1),1,""))),IF(OR(MONTH($J25)=1,MONTH($J25)=12),IF(AND($J25&gt;=EndDate!$B$2,$J25&lt;=EndDate!$B$9),1,IF(AND($J24+1=$J25,L24=1),1,IF(AND(WEEKDAY($J24)=6,WEEKDAY($J25)=2,$J25-$J24=3,L24=1),1,""))),""))</f>
        <v/>
      </c>
      <c r="M25" s="886" t="str">
        <f>IF($S$3,IF(AND($J25&gt;=EndDate!$B$2,$J25&lt;=EndDate!$B$10),1,IF(AND($J24+1=$J25,M24=1),1,IF(AND(WEEKDAY($J24)=6,WEEKDAY($J25)=2,$J25-$J24=3,M24=1),1,""))),IF(OR(MONTH($J25)=1,MONTH($J25)=12),IF(AND($J25&gt;=EndDate!$B$2,$J25&lt;=EndDate!$B$10),1,IF(AND($J24+1=$J25,M24=1),1,IF(AND(WEEKDAY($J24)=6,WEEKDAY($J25)=2,$J25-$J24=3,M24=1),1,""))),""))</f>
        <v/>
      </c>
      <c r="N25" s="885"/>
      <c r="O25" s="886" t="str">
        <f>IF($S$3,IF(AND($N25&gt;=EndDate!$B$2,$N25&lt;=EndDate!$B$8),1,IF(AND($N24+1=$N25,O24=1),1,IF(AND(WEEKDAY($N24)=6,WEEKDAY($N25)=2,$N25-$N24=3,O24=1),1,""))),IF(OR(MONTH($N25)=1,MONTH($N25)=12),IF(AND($N25&gt;=EndDate!$B$2,$N25&lt;=EndDate!$B$8),1,IF(AND($N24+1=$N25,O24=1),1,IF(AND(WEEKDAY($N24)=6,WEEKDAY($N25)=2,$N25-$N24=3,O24=1),1,""))),""))</f>
        <v/>
      </c>
      <c r="P25" s="886" t="str">
        <f>IF($S$3,IF(AND($N25&gt;=EndDate!$B$2,$N25&lt;=EndDate!$B$9),1,IF(AND($N24+1=$N25,P24=1),1,IF(AND(WEEKDAY($N24)=6,WEEKDAY($N25)=2,$N25-$N24=3,P24=1),1,""))),IF(OR(MONTH($N25)=1,MONTH($N25)=12),IF(AND($N25&gt;=EndDate!$B$2,$N25&lt;=EndDate!$B$9),1,IF(AND($N24+1=$N25,P24=1),1,IF(AND(WEEKDAY($N24)=6,WEEKDAY($N25)=2,$N25-$N24=3,P24=1),1,""))),""))</f>
        <v/>
      </c>
      <c r="Q25" s="886" t="str">
        <f>IF($S$3,IF(AND($N25&gt;=EndDate!$B$2,$N25&lt;=EndDate!$B$10),1,IF(AND($N24+1=$N25,Q24=1),1,IF(AND(WEEKDAY($N24)=6,WEEKDAY($N25)=2,$N25-$N24=3,Q24=1),1,""))),IF(OR(MONTH($N25)=1,MONTH($N25)=12),IF(AND($N25&gt;=EndDate!$B$2,$N25&lt;=EndDate!$B$10),1,IF(AND($N24+1=$N25,Q24=1),1,IF(AND(WEEKDAY($N24)=6,WEEKDAY($N25)=2,$N25-$N24=3,Q24=1),1,""))),""))</f>
        <v/>
      </c>
      <c r="R25" s="258"/>
      <c r="S25" s="258" t="str">
        <f>[1]MOADipHUC!$D$4</f>
        <v>MEDICAL OFFICE ASSISTANT DIPLOMA W/ UNIT CLERK</v>
      </c>
    </row>
    <row r="26" spans="1:19" ht="13.8">
      <c r="A26" s="880"/>
      <c r="B26" s="885"/>
      <c r="C26" s="886" t="str">
        <f>IF($S$3,IF(AND($B26&gt;=EndDate!$B$2,$B26&lt;=EndDate!$B$8),1,IF(AND($B25+1=$B26,C25=1),1,IF(AND(WEEKDAY($B25)=6,WEEKDAY($B26)=2,$B26-$B25=3,C25=1),1,""))),IF(OR(MONTH($B26)=1,MONTH($B26)=12),IF(AND($B26&gt;=EndDate!$B$2,$B26&lt;=EndDate!$B$8),1,IF(AND($B25+1=$B26,C25=1),1,IF(AND(WEEKDAY($B25)=6,WEEKDAY($B26)=2,$B26-$B25=3,C25=1),1,""))),""))</f>
        <v/>
      </c>
      <c r="D26" s="886" t="str">
        <f>IF($S$3,IF(AND($B26&gt;=EndDate!$B$2,$B26&lt;=EndDate!$B$8),1,IF(AND($B25+1=$B26,D25=1),1,IF(AND(WEEKDAY($B25)=6,WEEKDAY($B26)=2,$B26-$B25=3,D25=1),1,""))),IF(OR(MONTH($B26)=1,MONTH($B26)=12),IF(AND($B26&gt;=EndDate!$B$2,$B26&lt;=EndDate!$B$8),1,IF(AND($B25+1=$B26,D25=1),1,IF(AND(WEEKDAY($B25)=6,WEEKDAY($B26)=2,$B26-$B25=3,D25=1),1,""))),""))</f>
        <v/>
      </c>
      <c r="E26" s="886" t="str">
        <f>IF($S$3,IF(AND($B26&gt;=EndDate!$B$2,$B26&lt;=EndDate!$B$8),1,IF(AND($B25+1=$B26,E25=1),1,IF(AND(WEEKDAY($B25)=6,WEEKDAY($B26)=2,$B26-$B25=3,E25=1),1,""))),IF(OR(MONTH($B26)=1,MONTH($B26)=12),IF(AND($B26&gt;=EndDate!$B$2,$B26&lt;=EndDate!$B$8),1,IF(AND($B25+1=$B26,E25=1),1,IF(AND(WEEKDAY($B25)=6,WEEKDAY($B26)=2,$B26-$B25=3,E25=1),1,""))),""))</f>
        <v/>
      </c>
      <c r="F26" s="885"/>
      <c r="G26" s="886" t="str">
        <f>IF($S$3,IF(AND($F26&gt;=EndDate!$B$2,$F26&lt;=EndDate!$B$8),1,IF(AND($F25+1=$F26,G25=1),1,IF(AND(WEEKDAY($F25)=6,WEEKDAY($F26)=2,$F26-$F25=3,G25=1),1,""))),IF(OR(MONTH($F26)=1,MONTH($F26)=12),IF(AND($F26&gt;=EndDate!$B$2,$F26&lt;=EndDate!$B$8),1,IF(AND($F25+1=$F26,G25=1),1,IF(AND(WEEKDAY($F25)=6,WEEKDAY($F26)=2,$F26-$F25=3,G25=1),1,""))),""))</f>
        <v/>
      </c>
      <c r="H26" s="886" t="str">
        <f>IF($S$3,IF(AND($F26&gt;=EndDate!$B$2,$F26&lt;=EndDate!$B$9),1,IF(AND($F25+1=$F26,H25=1),1,IF(AND(WEEKDAY($F25)=6,WEEKDAY($F26)=2,$F26-$F25=3,H25=1),1,""))),IF(OR(MONTH($F26)=1,MONTH($F26)=12),IF(AND($F26&gt;=EndDate!$B$2,$F26&lt;=EndDate!$B$9),1,IF(AND($F25+1=$F26,H25=1),1,IF(AND(WEEKDAY($F25)=6,WEEKDAY($F26)=2,$F26-$F25=3,H25=1),1,""))),""))</f>
        <v/>
      </c>
      <c r="I26" s="886" t="str">
        <f>IF($S$3,IF(AND($F26&gt;=EndDate!$B$2,$F26&lt;=EndDate!$B$10),1,IF(AND($F25+1=$F26,I25=1),1,IF(AND(WEEKDAY($F25)=6,WEEKDAY($F26)=2,$F26-$F25=3,I25=1),1,""))),IF(OR(MONTH($F26)=1,MONTH($F26)=12),IF(AND($F26&gt;=EndDate!$B$2,$F26&lt;=EndDate!$B$10),1,IF(AND($F25+1=$F26,I25=1),1,IF(AND(WEEKDAY($F25)=6,WEEKDAY($F26)=2,$F26-$F25=3,I25=1),1,""))),""))</f>
        <v/>
      </c>
      <c r="J26" s="885"/>
      <c r="K26" s="886" t="str">
        <f>IF($S$3,IF(AND($J26&gt;=EndDate!$B$2,$J26&lt;=EndDate!$B$8),1,IF(AND($J25+1=$J26,K25=1),1,IF(AND(WEEKDAY($J25)=6,WEEKDAY($J26)=2,$J26-$J25=3,K25=1),1,""))),IF(OR(MONTH($J26)=1,MONTH($J26)=12),IF(AND($J26&gt;=EndDate!$B$2,$J26&lt;=EndDate!$B$8),1,IF(AND($J25+1=$J26,K25=1),1,IF(AND(WEEKDAY($J25)=6,WEEKDAY($J26)=2,$J26-$J25=3,K25=1),1,""))),""))</f>
        <v/>
      </c>
      <c r="L26" s="886" t="str">
        <f>IF($S$3,IF(AND($J26&gt;=EndDate!$B$2,$J26&lt;=EndDate!$B$9),1,IF(AND($J25+1=$J26,L25=1),1,IF(AND(WEEKDAY($J25)=6,WEEKDAY($J26)=2,$J26-$J25=3,L25=1),1,""))),IF(OR(MONTH($J26)=1,MONTH($J26)=12),IF(AND($J26&gt;=EndDate!$B$2,$J26&lt;=EndDate!$B$9),1,IF(AND($J25+1=$J26,L25=1),1,IF(AND(WEEKDAY($J25)=6,WEEKDAY($J26)=2,$J26-$J25=3,L25=1),1,""))),""))</f>
        <v/>
      </c>
      <c r="M26" s="886" t="str">
        <f>IF($S$3,IF(AND($J26&gt;=EndDate!$B$2,$J26&lt;=EndDate!$B$10),1,IF(AND($J25+1=$J26,M25=1),1,IF(AND(WEEKDAY($J25)=6,WEEKDAY($J26)=2,$J26-$J25=3,M25=1),1,""))),IF(OR(MONTH($J26)=1,MONTH($J26)=12),IF(AND($J26&gt;=EndDate!$B$2,$J26&lt;=EndDate!$B$10),1,IF(AND($J25+1=$J26,M25=1),1,IF(AND(WEEKDAY($J25)=6,WEEKDAY($J26)=2,$J26-$J25=3,M25=1),1,""))),""))</f>
        <v/>
      </c>
      <c r="N26" s="885"/>
      <c r="O26" s="886" t="str">
        <f>IF($S$3,IF(AND($N26&gt;=EndDate!$B$2,$N26&lt;=EndDate!$B$8),1,IF(AND($N25+1=$N26,O25=1),1,IF(AND(WEEKDAY($N25)=6,WEEKDAY($N26)=2,$N26-$N25=3,O25=1),1,""))),IF(OR(MONTH($N26)=1,MONTH($N26)=12),IF(AND($N26&gt;=EndDate!$B$2,$N26&lt;=EndDate!$B$8),1,IF(AND($N25+1=$N26,O25=1),1,IF(AND(WEEKDAY($N25)=6,WEEKDAY($N26)=2,$N26-$N25=3,O25=1),1,""))),""))</f>
        <v/>
      </c>
      <c r="P26" s="886" t="str">
        <f>IF($S$3,IF(AND($N26&gt;=EndDate!$B$2,$N26&lt;=EndDate!$B$9),1,IF(AND($N25+1=$N26,P25=1),1,IF(AND(WEEKDAY($N25)=6,WEEKDAY($N26)=2,$N26-$N25=3,P25=1),1,""))),IF(OR(MONTH($N26)=1,MONTH($N26)=12),IF(AND($N26&gt;=EndDate!$B$2,$N26&lt;=EndDate!$B$9),1,IF(AND($N25+1=$N26,P25=1),1,IF(AND(WEEKDAY($N25)=6,WEEKDAY($N26)=2,$N26-$N25=3,P25=1),1,""))),""))</f>
        <v/>
      </c>
      <c r="Q26" s="886" t="str">
        <f>IF($S$3,IF(AND($N26&gt;=EndDate!$B$2,$N26&lt;=EndDate!$B$10),1,IF(AND($N25+1=$N26,Q25=1),1,IF(AND(WEEKDAY($N25)=6,WEEKDAY($N26)=2,$N26-$N25=3,Q25=1),1,""))),IF(OR(MONTH($N26)=1,MONTH($N26)=12),IF(AND($N26&gt;=EndDate!$B$2,$N26&lt;=EndDate!$B$10),1,IF(AND($N25+1=$N26,Q25=1),1,IF(AND(WEEKDAY($N25)=6,WEEKDAY($N26)=2,$N26-$N25=3,Q25=1),1,""))),""))</f>
        <v/>
      </c>
      <c r="R26" s="258"/>
      <c r="S26" s="258" t="str">
        <f>[1]WebDesDip!$D$4</f>
        <v>WEB DESIGNER DIPLOMA</v>
      </c>
    </row>
    <row r="27" spans="1:19" ht="13.8">
      <c r="A27" s="880"/>
      <c r="B27" s="885"/>
      <c r="C27" s="886" t="str">
        <f>IF($S$3,IF(AND($B27&gt;=EndDate!$B$2,$B27&lt;=EndDate!$B$8),1,IF(AND($B26+1=$B27,C26=1),1,IF(AND(WEEKDAY($B26)=6,WEEKDAY($B27)=2,$B27-$B26=3,C26=1),1,""))),IF(OR(MONTH($B27)=1,MONTH($B27)=12),IF(AND($B27&gt;=EndDate!$B$2,$B27&lt;=EndDate!$B$8),1,IF(AND($B26+1=$B27,C26=1),1,IF(AND(WEEKDAY($B26)=6,WEEKDAY($B27)=2,$B27-$B26=3,C26=1),1,""))),""))</f>
        <v/>
      </c>
      <c r="D27" s="886" t="str">
        <f>IF($S$3,IF(AND($B27&gt;=EndDate!$B$2,$B27&lt;=EndDate!$B$8),1,IF(AND($B26+1=$B27,D26=1),1,IF(AND(WEEKDAY($B26)=6,WEEKDAY($B27)=2,$B27-$B26=3,D26=1),1,""))),IF(OR(MONTH($B27)=1,MONTH($B27)=12),IF(AND($B27&gt;=EndDate!$B$2,$B27&lt;=EndDate!$B$8),1,IF(AND($B26+1=$B27,D26=1),1,IF(AND(WEEKDAY($B26)=6,WEEKDAY($B27)=2,$B27-$B26=3,D26=1),1,""))),""))</f>
        <v/>
      </c>
      <c r="E27" s="886" t="str">
        <f>IF($S$3,IF(AND($B27&gt;=EndDate!$B$2,$B27&lt;=EndDate!$B$8),1,IF(AND($B26+1=$B27,E26=1),1,IF(AND(WEEKDAY($B26)=6,WEEKDAY($B27)=2,$B27-$B26=3,E26=1),1,""))),IF(OR(MONTH($B27)=1,MONTH($B27)=12),IF(AND($B27&gt;=EndDate!$B$2,$B27&lt;=EndDate!$B$8),1,IF(AND($B26+1=$B27,E26=1),1,IF(AND(WEEKDAY($B26)=6,WEEKDAY($B27)=2,$B27-$B26=3,E26=1),1,""))),""))</f>
        <v/>
      </c>
      <c r="F27" s="885"/>
      <c r="G27" s="886" t="str">
        <f>IF($S$3,IF(AND($F27&gt;=EndDate!$B$2,$F27&lt;=EndDate!$B$8),1,IF(AND($F26+1=$F27,G26=1),1,IF(AND(WEEKDAY($F26)=6,WEEKDAY($F27)=2,$F27-$F26=3,G26=1),1,""))),IF(OR(MONTH($F27)=1,MONTH($F27)=12),IF(AND($F27&gt;=EndDate!$B$2,$F27&lt;=EndDate!$B$8),1,IF(AND($F26+1=$F27,G26=1),1,IF(AND(WEEKDAY($F26)=6,WEEKDAY($F27)=2,$F27-$F26=3,G26=1),1,""))),""))</f>
        <v/>
      </c>
      <c r="H27" s="886" t="str">
        <f>IF($S$3,IF(AND($F27&gt;=EndDate!$B$2,$F27&lt;=EndDate!$B$9),1,IF(AND($F26+1=$F27,H26=1),1,IF(AND(WEEKDAY($F26)=6,WEEKDAY($F27)=2,$F27-$F26=3,H26=1),1,""))),IF(OR(MONTH($F27)=1,MONTH($F27)=12),IF(AND($F27&gt;=EndDate!$B$2,$F27&lt;=EndDate!$B$9),1,IF(AND($F26+1=$F27,H26=1),1,IF(AND(WEEKDAY($F26)=6,WEEKDAY($F27)=2,$F27-$F26=3,H26=1),1,""))),""))</f>
        <v/>
      </c>
      <c r="I27" s="886" t="str">
        <f>IF($S$3,IF(AND($F27&gt;=EndDate!$B$2,$F27&lt;=EndDate!$B$10),1,IF(AND($F26+1=$F27,I26=1),1,IF(AND(WEEKDAY($F26)=6,WEEKDAY($F27)=2,$F27-$F26=3,I26=1),1,""))),IF(OR(MONTH($F27)=1,MONTH($F27)=12),IF(AND($F27&gt;=EndDate!$B$2,$F27&lt;=EndDate!$B$10),1,IF(AND($F26+1=$F27,I26=1),1,IF(AND(WEEKDAY($F26)=6,WEEKDAY($F27)=2,$F27-$F26=3,I26=1),1,""))),""))</f>
        <v/>
      </c>
      <c r="J27" s="885"/>
      <c r="K27" s="886" t="str">
        <f>IF($S$3,IF(AND($J27&gt;=EndDate!$B$2,$J27&lt;=EndDate!$B$8),1,IF(AND($J26+1=$J27,K26=1),1,IF(AND(WEEKDAY($J26)=6,WEEKDAY($J27)=2,$J27-$J26=3,K26=1),1,""))),IF(OR(MONTH($J27)=1,MONTH($J27)=12),IF(AND($J27&gt;=EndDate!$B$2,$J27&lt;=EndDate!$B$8),1,IF(AND($J26+1=$J27,K26=1),1,IF(AND(WEEKDAY($J26)=6,WEEKDAY($J27)=2,$J27-$J26=3,K26=1),1,""))),""))</f>
        <v/>
      </c>
      <c r="L27" s="886" t="str">
        <f>IF($S$3,IF(AND($J27&gt;=EndDate!$B$2,$J27&lt;=EndDate!$B$9),1,IF(AND($J26+1=$J27,L26=1),1,IF(AND(WEEKDAY($J26)=6,WEEKDAY($J27)=2,$J27-$J26=3,L26=1),1,""))),IF(OR(MONTH($J27)=1,MONTH($J27)=12),IF(AND($J27&gt;=EndDate!$B$2,$J27&lt;=EndDate!$B$9),1,IF(AND($J26+1=$J27,L26=1),1,IF(AND(WEEKDAY($J26)=6,WEEKDAY($J27)=2,$J27-$J26=3,L26=1),1,""))),""))</f>
        <v/>
      </c>
      <c r="M27" s="886" t="str">
        <f>IF($S$3,IF(AND($J27&gt;=EndDate!$B$2,$J27&lt;=EndDate!$B$10),1,IF(AND($J26+1=$J27,M26=1),1,IF(AND(WEEKDAY($J26)=6,WEEKDAY($J27)=2,$J27-$J26=3,M26=1),1,""))),IF(OR(MONTH($J27)=1,MONTH($J27)=12),IF(AND($J27&gt;=EndDate!$B$2,$J27&lt;=EndDate!$B$10),1,IF(AND($J26+1=$J27,M26=1),1,IF(AND(WEEKDAY($J26)=6,WEEKDAY($J27)=2,$J27-$J26=3,M26=1),1,""))),""))</f>
        <v/>
      </c>
      <c r="N27" s="885"/>
      <c r="O27" s="886" t="str">
        <f>IF($S$3,IF(AND($N27&gt;=EndDate!$B$2,$N27&lt;=EndDate!$B$8),1,IF(AND($N26+1=$N27,O26=1),1,IF(AND(WEEKDAY($N26)=6,WEEKDAY($N27)=2,$N27-$N26=3,O26=1),1,""))),IF(OR(MONTH($N27)=1,MONTH($N27)=12),IF(AND($N27&gt;=EndDate!$B$2,$N27&lt;=EndDate!$B$8),1,IF(AND($N26+1=$N27,O26=1),1,IF(AND(WEEKDAY($N26)=6,WEEKDAY($N27)=2,$N27-$N26=3,O26=1),1,""))),""))</f>
        <v/>
      </c>
      <c r="P27" s="886" t="str">
        <f>IF($S$3,IF(AND($N27&gt;=EndDate!$B$2,$N27&lt;=EndDate!$B$9),1,IF(AND($N26+1=$N27,P26=1),1,IF(AND(WEEKDAY($N26)=6,WEEKDAY($N27)=2,$N27-$N26=3,P26=1),1,""))),IF(OR(MONTH($N27)=1,MONTH($N27)=12),IF(AND($N27&gt;=EndDate!$B$2,$N27&lt;=EndDate!$B$9),1,IF(AND($N26+1=$N27,P26=1),1,IF(AND(WEEKDAY($N26)=6,WEEKDAY($N27)=2,$N27-$N26=3,P26=1),1,""))),""))</f>
        <v/>
      </c>
      <c r="Q27" s="886" t="str">
        <f>IF($S$3,IF(AND($N27&gt;=EndDate!$B$2,$N27&lt;=EndDate!$B$10),1,IF(AND($N26+1=$N27,Q26=1),1,IF(AND(WEEKDAY($N26)=6,WEEKDAY($N27)=2,$N27-$N26=3,Q26=1),1,""))),IF(OR(MONTH($N27)=1,MONTH($N27)=12),IF(AND($N27&gt;=EndDate!$B$2,$N27&lt;=EndDate!$B$10),1,IF(AND($N26+1=$N27,Q26=1),1,IF(AND(WEEKDAY($N26)=6,WEEKDAY($N27)=2,$N27-$N26=3,Q26=1),1,""))),""))</f>
        <v/>
      </c>
      <c r="R27" s="258"/>
      <c r="S27" s="1"/>
    </row>
    <row r="28" spans="1:19" ht="13.8">
      <c r="A28" s="880"/>
      <c r="B28" s="885"/>
      <c r="C28" s="886" t="str">
        <f>IF($S$3,IF(AND($B28&gt;=EndDate!$B$2,$B28&lt;=EndDate!$B$8),1,IF(AND($B27+1=$B28,C27=1),1,IF(AND(WEEKDAY($B27)=6,WEEKDAY($B28)=2,$B28-$B27=3,C27=1),1,""))),IF(OR(MONTH($B28)=1,MONTH($B28)=12),IF(AND($B28&gt;=EndDate!$B$2,$B28&lt;=EndDate!$B$8),1,IF(AND($B27+1=$B28,C27=1),1,IF(AND(WEEKDAY($B27)=6,WEEKDAY($B28)=2,$B28-$B27=3,C27=1),1,""))),""))</f>
        <v/>
      </c>
      <c r="D28" s="886" t="str">
        <f>IF($S$3,IF(AND($B28&gt;=EndDate!$B$2,$B28&lt;=EndDate!$B$8),1,IF(AND($B27+1=$B28,D27=1),1,IF(AND(WEEKDAY($B27)=6,WEEKDAY($B28)=2,$B28-$B27=3,D27=1),1,""))),IF(OR(MONTH($B28)=1,MONTH($B28)=12),IF(AND($B28&gt;=EndDate!$B$2,$B28&lt;=EndDate!$B$8),1,IF(AND($B27+1=$B28,D27=1),1,IF(AND(WEEKDAY($B27)=6,WEEKDAY($B28)=2,$B28-$B27=3,D27=1),1,""))),""))</f>
        <v/>
      </c>
      <c r="E28" s="886" t="str">
        <f>IF($S$3,IF(AND($B28&gt;=EndDate!$B$2,$B28&lt;=EndDate!$B$8),1,IF(AND($B27+1=$B28,E27=1),1,IF(AND(WEEKDAY($B27)=6,WEEKDAY($B28)=2,$B28-$B27=3,E27=1),1,""))),IF(OR(MONTH($B28)=1,MONTH($B28)=12),IF(AND($B28&gt;=EndDate!$B$2,$B28&lt;=EndDate!$B$8),1,IF(AND($B27+1=$B28,E27=1),1,IF(AND(WEEKDAY($B27)=6,WEEKDAY($B28)=2,$B28-$B27=3,E27=1),1,""))),""))</f>
        <v/>
      </c>
      <c r="F28" s="885"/>
      <c r="G28" s="886" t="str">
        <f>IF($S$3,IF(AND($F28&gt;=EndDate!$B$2,$F28&lt;=EndDate!$B$8),1,IF(AND($F27+1=$F28,G27=1),1,IF(AND(WEEKDAY($F27)=6,WEEKDAY($F28)=2,$F28-$F27=3,G27=1),1,""))),IF(OR(MONTH($F28)=1,MONTH($F28)=12),IF(AND($F28&gt;=EndDate!$B$2,$F28&lt;=EndDate!$B$8),1,IF(AND($F27+1=$F28,G27=1),1,IF(AND(WEEKDAY($F27)=6,WEEKDAY($F28)=2,$F28-$F27=3,G27=1),1,""))),""))</f>
        <v/>
      </c>
      <c r="H28" s="886" t="str">
        <f>IF($S$3,IF(AND($F28&gt;=EndDate!$B$2,$F28&lt;=EndDate!$B$9),1,IF(AND($F27+1=$F28,H27=1),1,IF(AND(WEEKDAY($F27)=6,WEEKDAY($F28)=2,$F28-$F27=3,H27=1),1,""))),IF(OR(MONTH($F28)=1,MONTH($F28)=12),IF(AND($F28&gt;=EndDate!$B$2,$F28&lt;=EndDate!$B$9),1,IF(AND($F27+1=$F28,H27=1),1,IF(AND(WEEKDAY($F27)=6,WEEKDAY($F28)=2,$F28-$F27=3,H27=1),1,""))),""))</f>
        <v/>
      </c>
      <c r="I28" s="886" t="str">
        <f>IF($S$3,IF(AND($F28&gt;=EndDate!$B$2,$F28&lt;=EndDate!$B$10),1,IF(AND($F27+1=$F28,I27=1),1,IF(AND(WEEKDAY($F27)=6,WEEKDAY($F28)=2,$F28-$F27=3,I27=1),1,""))),IF(OR(MONTH($F28)=1,MONTH($F28)=12),IF(AND($F28&gt;=EndDate!$B$2,$F28&lt;=EndDate!$B$10),1,IF(AND($F27+1=$F28,I27=1),1,IF(AND(WEEKDAY($F27)=6,WEEKDAY($F28)=2,$F28-$F27=3,I27=1),1,""))),""))</f>
        <v/>
      </c>
      <c r="J28" s="885"/>
      <c r="K28" s="886" t="str">
        <f>IF($S$3,IF(AND($J28&gt;=EndDate!$B$2,$J28&lt;=EndDate!$B$8),1,IF(AND($J27+1=$J28,K27=1),1,IF(AND(WEEKDAY($J27)=6,WEEKDAY($J28)=2,$J28-$J27=3,K27=1),1,""))),IF(OR(MONTH($J28)=1,MONTH($J28)=12),IF(AND($J28&gt;=EndDate!$B$2,$J28&lt;=EndDate!$B$8),1,IF(AND($J27+1=$J28,K27=1),1,IF(AND(WEEKDAY($J27)=6,WEEKDAY($J28)=2,$J28-$J27=3,K27=1),1,""))),""))</f>
        <v/>
      </c>
      <c r="L28" s="886" t="str">
        <f>IF($S$3,IF(AND($J28&gt;=EndDate!$B$2,$J28&lt;=EndDate!$B$9),1,IF(AND($J27+1=$J28,L27=1),1,IF(AND(WEEKDAY($J27)=6,WEEKDAY($J28)=2,$J28-$J27=3,L27=1),1,""))),IF(OR(MONTH($J28)=1,MONTH($J28)=12),IF(AND($J28&gt;=EndDate!$B$2,$J28&lt;=EndDate!$B$9),1,IF(AND($J27+1=$J28,L27=1),1,IF(AND(WEEKDAY($J27)=6,WEEKDAY($J28)=2,$J28-$J27=3,L27=1),1,""))),""))</f>
        <v/>
      </c>
      <c r="M28" s="886" t="str">
        <f>IF($S$3,IF(AND($J28&gt;=EndDate!$B$2,$J28&lt;=EndDate!$B$10),1,IF(AND($J27+1=$J28,M27=1),1,IF(AND(WEEKDAY($J27)=6,WEEKDAY($J28)=2,$J28-$J27=3,M27=1),1,""))),IF(OR(MONTH($J28)=1,MONTH($J28)=12),IF(AND($J28&gt;=EndDate!$B$2,$J28&lt;=EndDate!$B$10),1,IF(AND($J27+1=$J28,M27=1),1,IF(AND(WEEKDAY($J27)=6,WEEKDAY($J28)=2,$J28-$J27=3,M27=1),1,""))),""))</f>
        <v/>
      </c>
      <c r="N28" s="885"/>
      <c r="O28" s="886" t="str">
        <f>IF($S$3,IF(AND($N28&gt;=EndDate!$B$2,$N28&lt;=EndDate!$B$8),1,IF(AND($N27+1=$N28,O27=1),1,IF(AND(WEEKDAY($N27)=6,WEEKDAY($N28)=2,$N28-$N27=3,O27=1),1,""))),IF(OR(MONTH($N28)=1,MONTH($N28)=12),IF(AND($N28&gt;=EndDate!$B$2,$N28&lt;=EndDate!$B$8),1,IF(AND($N27+1=$N28,O27=1),1,IF(AND(WEEKDAY($N27)=6,WEEKDAY($N28)=2,$N28-$N27=3,O27=1),1,""))),""))</f>
        <v/>
      </c>
      <c r="P28" s="886" t="str">
        <f>IF($S$3,IF(AND($N28&gt;=EndDate!$B$2,$N28&lt;=EndDate!$B$9),1,IF(AND($N27+1=$N28,P27=1),1,IF(AND(WEEKDAY($N27)=6,WEEKDAY($N28)=2,$N28-$N27=3,P27=1),1,""))),IF(OR(MONTH($N28)=1,MONTH($N28)=12),IF(AND($N28&gt;=EndDate!$B$2,$N28&lt;=EndDate!$B$9),1,IF(AND($N27+1=$N28,P27=1),1,IF(AND(WEEKDAY($N27)=6,WEEKDAY($N28)=2,$N28-$N27=3,P27=1),1,""))),""))</f>
        <v/>
      </c>
      <c r="Q28" s="886" t="str">
        <f>IF($S$3,IF(AND($N28&gt;=EndDate!$B$2,$N28&lt;=EndDate!$B$10),1,IF(AND($N27+1=$N28,Q27=1),1,IF(AND(WEEKDAY($N27)=6,WEEKDAY($N28)=2,$N28-$N27=3,Q27=1),1,""))),IF(OR(MONTH($N28)=1,MONTH($N28)=12),IF(AND($N28&gt;=EndDate!$B$2,$N28&lt;=EndDate!$B$10),1,IF(AND($N27+1=$N28,Q27=1),1,IF(AND(WEEKDAY($N27)=6,WEEKDAY($N28)=2,$N28-$N27=3,Q27=1),1,""))),""))</f>
        <v/>
      </c>
      <c r="R28" s="258"/>
      <c r="S28" s="1"/>
    </row>
    <row r="29" spans="1:19" ht="13.8">
      <c r="A29" s="880"/>
      <c r="B29" s="885"/>
      <c r="C29" s="886" t="str">
        <f>IF($S$3,IF(AND($B29&gt;=EndDate!$B$2,$B29&lt;=EndDate!$B$8),1,IF(AND($B28+1=$B29,C28=1),1,IF(AND(WEEKDAY($B28)=6,WEEKDAY($B29)=2,$B29-$B28=3,C28=1),1,""))),IF(OR(MONTH($B29)=1,MONTH($B29)=12),IF(AND($B29&gt;=EndDate!$B$2,$B29&lt;=EndDate!$B$8),1,IF(AND($B28+1=$B29,C28=1),1,IF(AND(WEEKDAY($B28)=6,WEEKDAY($B29)=2,$B29-$B28=3,C28=1),1,""))),""))</f>
        <v/>
      </c>
      <c r="D29" s="886" t="str">
        <f>IF($S$3,IF(AND($B29&gt;=EndDate!$B$2,$B29&lt;=EndDate!$B$8),1,IF(AND($B28+1=$B29,D28=1),1,IF(AND(WEEKDAY($B28)=6,WEEKDAY($B29)=2,$B29-$B28=3,D28=1),1,""))),IF(OR(MONTH($B29)=1,MONTH($B29)=12),IF(AND($B29&gt;=EndDate!$B$2,$B29&lt;=EndDate!$B$8),1,IF(AND($B28+1=$B29,D28=1),1,IF(AND(WEEKDAY($B28)=6,WEEKDAY($B29)=2,$B29-$B28=3,D28=1),1,""))),""))</f>
        <v/>
      </c>
      <c r="E29" s="886" t="str">
        <f>IF($S$3,IF(AND($B29&gt;=EndDate!$B$2,$B29&lt;=EndDate!$B$8),1,IF(AND($B28+1=$B29,E28=1),1,IF(AND(WEEKDAY($B28)=6,WEEKDAY($B29)=2,$B29-$B28=3,E28=1),1,""))),IF(OR(MONTH($B29)=1,MONTH($B29)=12),IF(AND($B29&gt;=EndDate!$B$2,$B29&lt;=EndDate!$B$8),1,IF(AND($B28+1=$B29,E28=1),1,IF(AND(WEEKDAY($B28)=6,WEEKDAY($B29)=2,$B29-$B28=3,E28=1),1,""))),""))</f>
        <v/>
      </c>
      <c r="F29" s="885"/>
      <c r="G29" s="886" t="str">
        <f>IF($S$3,IF(AND($F29&gt;=EndDate!$B$2,$F29&lt;=EndDate!$B$8),1,IF(AND($F28+1=$F29,G28=1),1,IF(AND(WEEKDAY($F28)=6,WEEKDAY($F29)=2,$F29-$F28=3,G28=1),1,""))),IF(OR(MONTH($F29)=1,MONTH($F29)=12),IF(AND($F29&gt;=EndDate!$B$2,$F29&lt;=EndDate!$B$8),1,IF(AND($F28+1=$F29,G28=1),1,IF(AND(WEEKDAY($F28)=6,WEEKDAY($F29)=2,$F29-$F28=3,G28=1),1,""))),""))</f>
        <v/>
      </c>
      <c r="H29" s="886" t="str">
        <f>IF($S$3,IF(AND($F29&gt;=EndDate!$B$2,$F29&lt;=EndDate!$B$9),1,IF(AND($F28+1=$F29,H28=1),1,IF(AND(WEEKDAY($F28)=6,WEEKDAY($F29)=2,$F29-$F28=3,H28=1),1,""))),IF(OR(MONTH($F29)=1,MONTH($F29)=12),IF(AND($F29&gt;=EndDate!$B$2,$F29&lt;=EndDate!$B$9),1,IF(AND($F28+1=$F29,H28=1),1,IF(AND(WEEKDAY($F28)=6,WEEKDAY($F29)=2,$F29-$F28=3,H28=1),1,""))),""))</f>
        <v/>
      </c>
      <c r="I29" s="886" t="str">
        <f>IF($S$3,IF(AND($F29&gt;=EndDate!$B$2,$F29&lt;=EndDate!$B$10),1,IF(AND($F28+1=$F29,I28=1),1,IF(AND(WEEKDAY($F28)=6,WEEKDAY($F29)=2,$F29-$F28=3,I28=1),1,""))),IF(OR(MONTH($F29)=1,MONTH($F29)=12),IF(AND($F29&gt;=EndDate!$B$2,$F29&lt;=EndDate!$B$10),1,IF(AND($F28+1=$F29,I28=1),1,IF(AND(WEEKDAY($F28)=6,WEEKDAY($F29)=2,$F29-$F28=3,I28=1),1,""))),""))</f>
        <v/>
      </c>
      <c r="J29" s="885"/>
      <c r="K29" s="886" t="str">
        <f>IF($S$3,IF(AND($J29&gt;=EndDate!$B$2,$J29&lt;=EndDate!$B$8),1,IF(AND($J28+1=$J29,K28=1),1,IF(AND(WEEKDAY($J28)=6,WEEKDAY($J29)=2,$J29-$J28=3,K28=1),1,""))),IF(OR(MONTH($J29)=1,MONTH($J29)=12),IF(AND($J29&gt;=EndDate!$B$2,$J29&lt;=EndDate!$B$8),1,IF(AND($J28+1=$J29,K28=1),1,IF(AND(WEEKDAY($J28)=6,WEEKDAY($J29)=2,$J29-$J28=3,K28=1),1,""))),""))</f>
        <v/>
      </c>
      <c r="L29" s="886" t="str">
        <f>IF($S$3,IF(AND($J29&gt;=EndDate!$B$2,$J29&lt;=EndDate!$B$9),1,IF(AND($J28+1=$J29,L28=1),1,IF(AND(WEEKDAY($J28)=6,WEEKDAY($J29)=2,$J29-$J28=3,L28=1),1,""))),IF(OR(MONTH($J29)=1,MONTH($J29)=12),IF(AND($J29&gt;=EndDate!$B$2,$J29&lt;=EndDate!$B$9),1,IF(AND($J28+1=$J29,L28=1),1,IF(AND(WEEKDAY($J28)=6,WEEKDAY($J29)=2,$J29-$J28=3,L28=1),1,""))),""))</f>
        <v/>
      </c>
      <c r="M29" s="886" t="str">
        <f>IF($S$3,IF(AND($J29&gt;=EndDate!$B$2,$J29&lt;=EndDate!$B$10),1,IF(AND($J28+1=$J29,M28=1),1,IF(AND(WEEKDAY($J28)=6,WEEKDAY($J29)=2,$J29-$J28=3,M28=1),1,""))),IF(OR(MONTH($J29)=1,MONTH($J29)=12),IF(AND($J29&gt;=EndDate!$B$2,$J29&lt;=EndDate!$B$10),1,IF(AND($J28+1=$J29,M28=1),1,IF(AND(WEEKDAY($J28)=6,WEEKDAY($J29)=2,$J29-$J28=3,M28=1),1,""))),""))</f>
        <v/>
      </c>
      <c r="N29" s="885"/>
      <c r="O29" s="886" t="str">
        <f>IF($S$3,IF(AND($N29&gt;=EndDate!$B$2,$N29&lt;=EndDate!$B$8),1,IF(AND($N28+1=$N29,O28=1),1,IF(AND(WEEKDAY($N28)=6,WEEKDAY($N29)=2,$N29-$N28=3,O28=1),1,""))),IF(OR(MONTH($N29)=1,MONTH($N29)=12),IF(AND($N29&gt;=EndDate!$B$2,$N29&lt;=EndDate!$B$8),1,IF(AND($N28+1=$N29,O28=1),1,IF(AND(WEEKDAY($N28)=6,WEEKDAY($N29)=2,$N29-$N28=3,O28=1),1,""))),""))</f>
        <v/>
      </c>
      <c r="P29" s="886" t="str">
        <f>IF($S$3,IF(AND($N29&gt;=EndDate!$B$2,$N29&lt;=EndDate!$B$9),1,IF(AND($N28+1=$N29,P28=1),1,IF(AND(WEEKDAY($N28)=6,WEEKDAY($N29)=2,$N29-$N28=3,P28=1),1,""))),IF(OR(MONTH($N29)=1,MONTH($N29)=12),IF(AND($N29&gt;=EndDate!$B$2,$N29&lt;=EndDate!$B$9),1,IF(AND($N28+1=$N29,P28=1),1,IF(AND(WEEKDAY($N28)=6,WEEKDAY($N29)=2,$N29-$N28=3,P28=1),1,""))),""))</f>
        <v/>
      </c>
      <c r="Q29" s="886" t="str">
        <f>IF($S$3,IF(AND($N29&gt;=EndDate!$B$2,$N29&lt;=EndDate!$B$10),1,IF(AND($N28+1=$N29,Q28=1),1,IF(AND(WEEKDAY($N28)=6,WEEKDAY($N29)=2,$N29-$N28=3,Q28=1),1,""))),IF(OR(MONTH($N29)=1,MONTH($N29)=12),IF(AND($N29&gt;=EndDate!$B$2,$N29&lt;=EndDate!$B$10),1,IF(AND($N28+1=$N29,Q28=1),1,IF(AND(WEEKDAY($N28)=6,WEEKDAY($N29)=2,$N29-$N28=3,Q28=1),1,""))),""))</f>
        <v/>
      </c>
      <c r="R29" s="258"/>
      <c r="S29" s="1"/>
    </row>
    <row r="30" spans="1:19" ht="13.8">
      <c r="A30" s="880"/>
      <c r="B30" s="885"/>
      <c r="C30" s="886" t="str">
        <f>IF($S$3,IF(AND($B30&gt;=EndDate!$B$2,$B30&lt;=EndDate!$B$8),1,IF(AND($B29+1=$B30,C29=1),1,IF(AND(WEEKDAY($B29)=6,WEEKDAY($B30)=2,$B30-$B29=3,C29=1),1,""))),IF(OR(MONTH($B30)=1,MONTH($B30)=12),IF(AND($B30&gt;=EndDate!$B$2,$B30&lt;=EndDate!$B$8),1,IF(AND($B29+1=$B30,C29=1),1,IF(AND(WEEKDAY($B29)=6,WEEKDAY($B30)=2,$B30-$B29=3,C29=1),1,""))),""))</f>
        <v/>
      </c>
      <c r="D30" s="886" t="str">
        <f>IF($S$3,IF(AND($B30&gt;=EndDate!$B$2,$B30&lt;=EndDate!$B$8),1,IF(AND($B29+1=$B30,D29=1),1,IF(AND(WEEKDAY($B29)=6,WEEKDAY($B30)=2,$B30-$B29=3,D29=1),1,""))),IF(OR(MONTH($B30)=1,MONTH($B30)=12),IF(AND($B30&gt;=EndDate!$B$2,$B30&lt;=EndDate!$B$8),1,IF(AND($B29+1=$B30,D29=1),1,IF(AND(WEEKDAY($B29)=6,WEEKDAY($B30)=2,$B30-$B29=3,D29=1),1,""))),""))</f>
        <v/>
      </c>
      <c r="E30" s="886" t="str">
        <f>IF($S$3,IF(AND($B30&gt;=EndDate!$B$2,$B30&lt;=EndDate!$B$8),1,IF(AND($B29+1=$B30,E29=1),1,IF(AND(WEEKDAY($B29)=6,WEEKDAY($B30)=2,$B30-$B29=3,E29=1),1,""))),IF(OR(MONTH($B30)=1,MONTH($B30)=12),IF(AND($B30&gt;=EndDate!$B$2,$B30&lt;=EndDate!$B$8),1,IF(AND($B29+1=$B30,E29=1),1,IF(AND(WEEKDAY($B29)=6,WEEKDAY($B30)=2,$B30-$B29=3,E29=1),1,""))),""))</f>
        <v/>
      </c>
      <c r="F30" s="885"/>
      <c r="G30" s="886" t="str">
        <f>IF($S$3,IF(AND($F30&gt;=EndDate!$B$2,$F30&lt;=EndDate!$B$8),1,IF(AND($F29+1=$F30,G29=1),1,IF(AND(WEEKDAY($F29)=6,WEEKDAY($F30)=2,$F30-$F29=3,G29=1),1,""))),IF(OR(MONTH($F30)=1,MONTH($F30)=12),IF(AND($F30&gt;=EndDate!$B$2,$F30&lt;=EndDate!$B$8),1,IF(AND($F29+1=$F30,G29=1),1,IF(AND(WEEKDAY($F29)=6,WEEKDAY($F30)=2,$F30-$F29=3,G29=1),1,""))),""))</f>
        <v/>
      </c>
      <c r="H30" s="886" t="str">
        <f>IF($S$3,IF(AND($F30&gt;=EndDate!$B$2,$F30&lt;=EndDate!$B$9),1,IF(AND($F29+1=$F30,H29=1),1,IF(AND(WEEKDAY($F29)=6,WEEKDAY($F30)=2,$F30-$F29=3,H29=1),1,""))),IF(OR(MONTH($F30)=1,MONTH($F30)=12),IF(AND($F30&gt;=EndDate!$B$2,$F30&lt;=EndDate!$B$9),1,IF(AND($F29+1=$F30,H29=1),1,IF(AND(WEEKDAY($F29)=6,WEEKDAY($F30)=2,$F30-$F29=3,H29=1),1,""))),""))</f>
        <v/>
      </c>
      <c r="I30" s="886" t="str">
        <f>IF($S$3,IF(AND($F30&gt;=EndDate!$B$2,$F30&lt;=EndDate!$B$10),1,IF(AND($F29+1=$F30,I29=1),1,IF(AND(WEEKDAY($F29)=6,WEEKDAY($F30)=2,$F30-$F29=3,I29=1),1,""))),IF(OR(MONTH($F30)=1,MONTH($F30)=12),IF(AND($F30&gt;=EndDate!$B$2,$F30&lt;=EndDate!$B$10),1,IF(AND($F29+1=$F30,I29=1),1,IF(AND(WEEKDAY($F29)=6,WEEKDAY($F30)=2,$F30-$F29=3,I29=1),1,""))),""))</f>
        <v/>
      </c>
      <c r="J30" s="885"/>
      <c r="K30" s="886" t="str">
        <f>IF($S$3,IF(AND($J30&gt;=EndDate!$B$2,$J30&lt;=EndDate!$B$8),1,IF(AND($J29+1=$J30,K29=1),1,IF(AND(WEEKDAY($J29)=6,WEEKDAY($J30)=2,$J30-$J29=3,K29=1),1,""))),IF(OR(MONTH($J30)=1,MONTH($J30)=12),IF(AND($J30&gt;=EndDate!$B$2,$J30&lt;=EndDate!$B$8),1,IF(AND($J29+1=$J30,K29=1),1,IF(AND(WEEKDAY($J29)=6,WEEKDAY($J30)=2,$J30-$J29=3,K29=1),1,""))),""))</f>
        <v/>
      </c>
      <c r="L30" s="886" t="str">
        <f>IF($S$3,IF(AND($J30&gt;=EndDate!$B$2,$J30&lt;=EndDate!$B$9),1,IF(AND($J29+1=$J30,L29=1),1,IF(AND(WEEKDAY($J29)=6,WEEKDAY($J30)=2,$J30-$J29=3,L29=1),1,""))),IF(OR(MONTH($J30)=1,MONTH($J30)=12),IF(AND($J30&gt;=EndDate!$B$2,$J30&lt;=EndDate!$B$9),1,IF(AND($J29+1=$J30,L29=1),1,IF(AND(WEEKDAY($J29)=6,WEEKDAY($J30)=2,$J30-$J29=3,L29=1),1,""))),""))</f>
        <v/>
      </c>
      <c r="M30" s="886" t="str">
        <f>IF($S$3,IF(AND($J30&gt;=EndDate!$B$2,$J30&lt;=EndDate!$B$10),1,IF(AND($J29+1=$J30,M29=1),1,IF(AND(WEEKDAY($J29)=6,WEEKDAY($J30)=2,$J30-$J29=3,M29=1),1,""))),IF(OR(MONTH($J30)=1,MONTH($J30)=12),IF(AND($J30&gt;=EndDate!$B$2,$J30&lt;=EndDate!$B$10),1,IF(AND($J29+1=$J30,M29=1),1,IF(AND(WEEKDAY($J29)=6,WEEKDAY($J30)=2,$J30-$J29=3,M29=1),1,""))),""))</f>
        <v/>
      </c>
      <c r="N30" s="885"/>
      <c r="O30" s="886" t="str">
        <f>IF($S$3,IF(AND($N30&gt;=EndDate!$B$2,$N30&lt;=EndDate!$B$8),1,IF(AND($N29+1=$N30,O29=1),1,IF(AND(WEEKDAY($N29)=6,WEEKDAY($N30)=2,$N30-$N29=3,O29=1),1,""))),IF(OR(MONTH($N30)=1,MONTH($N30)=12),IF(AND($N30&gt;=EndDate!$B$2,$N30&lt;=EndDate!$B$8),1,IF(AND($N29+1=$N30,O29=1),1,IF(AND(WEEKDAY($N29)=6,WEEKDAY($N30)=2,$N30-$N29=3,O29=1),1,""))),""))</f>
        <v/>
      </c>
      <c r="P30" s="886" t="str">
        <f>IF($S$3,IF(AND($N30&gt;=EndDate!$B$2,$N30&lt;=EndDate!$B$9),1,IF(AND($N29+1=$N30,P29=1),1,IF(AND(WEEKDAY($N29)=6,WEEKDAY($N30)=2,$N30-$N29=3,P29=1),1,""))),IF(OR(MONTH($N30)=1,MONTH($N30)=12),IF(AND($N30&gt;=EndDate!$B$2,$N30&lt;=EndDate!$B$9),1,IF(AND($N29+1=$N30,P29=1),1,IF(AND(WEEKDAY($N29)=6,WEEKDAY($N30)=2,$N30-$N29=3,P29=1),1,""))),""))</f>
        <v/>
      </c>
      <c r="Q30" s="886" t="str">
        <f>IF($S$3,IF(AND($N30&gt;=EndDate!$B$2,$N30&lt;=EndDate!$B$10),1,IF(AND($N29+1=$N30,Q29=1),1,IF(AND(WEEKDAY($N29)=6,WEEKDAY($N30)=2,$N30-$N29=3,Q29=1),1,""))),IF(OR(MONTH($N30)=1,MONTH($N30)=12),IF(AND($N30&gt;=EndDate!$B$2,$N30&lt;=EndDate!$B$10),1,IF(AND($N29+1=$N30,Q29=1),1,IF(AND(WEEKDAY($N29)=6,WEEKDAY($N30)=2,$N30-$N29=3,Q29=1),1,""))),""))</f>
        <v/>
      </c>
      <c r="R30" s="258"/>
      <c r="S30" s="1"/>
    </row>
    <row r="31" spans="1:19" ht="13.8">
      <c r="A31" s="880"/>
      <c r="B31" s="885"/>
      <c r="C31" s="886" t="str">
        <f>IF($S$3,IF(AND($B31&gt;=EndDate!$B$2,$B31&lt;=EndDate!$B$8),1,IF(AND($B30+1=$B31,C30=1),1,IF(AND(WEEKDAY($B30)=6,WEEKDAY($B31)=2,$B31-$B30=3,C30=1),1,""))),IF(OR(MONTH($B31)=1,MONTH($B31)=12),IF(AND($B31&gt;=EndDate!$B$2,$B31&lt;=EndDate!$B$8),1,IF(AND($B30+1=$B31,C30=1),1,IF(AND(WEEKDAY($B30)=6,WEEKDAY($B31)=2,$B31-$B30=3,C30=1),1,""))),""))</f>
        <v/>
      </c>
      <c r="D31" s="886" t="str">
        <f>IF($S$3,IF(AND($B31&gt;=EndDate!$B$2,$B31&lt;=EndDate!$B$8),1,IF(AND($B30+1=$B31,D30=1),1,IF(AND(WEEKDAY($B30)=6,WEEKDAY($B31)=2,$B31-$B30=3,D30=1),1,""))),IF(OR(MONTH($B31)=1,MONTH($B31)=12),IF(AND($B31&gt;=EndDate!$B$2,$B31&lt;=EndDate!$B$8),1,IF(AND($B30+1=$B31,D30=1),1,IF(AND(WEEKDAY($B30)=6,WEEKDAY($B31)=2,$B31-$B30=3,D30=1),1,""))),""))</f>
        <v/>
      </c>
      <c r="E31" s="886" t="str">
        <f>IF($S$3,IF(AND($B31&gt;=EndDate!$B$2,$B31&lt;=EndDate!$B$8),1,IF(AND($B30+1=$B31,E30=1),1,IF(AND(WEEKDAY($B30)=6,WEEKDAY($B31)=2,$B31-$B30=3,E30=1),1,""))),IF(OR(MONTH($B31)=1,MONTH($B31)=12),IF(AND($B31&gt;=EndDate!$B$2,$B31&lt;=EndDate!$B$8),1,IF(AND($B30+1=$B31,E30=1),1,IF(AND(WEEKDAY($B30)=6,WEEKDAY($B31)=2,$B31-$B30=3,E30=1),1,""))),""))</f>
        <v/>
      </c>
      <c r="F31" s="885"/>
      <c r="G31" s="886" t="str">
        <f>IF($S$3,IF(AND($F31&gt;=EndDate!$B$2,$F31&lt;=EndDate!$B$8),1,IF(AND($F30+1=$F31,G30=1),1,IF(AND(WEEKDAY($F30)=6,WEEKDAY($F31)=2,$F31-$F30=3,G30=1),1,""))),IF(OR(MONTH($F31)=1,MONTH($F31)=12),IF(AND($F31&gt;=EndDate!$B$2,$F31&lt;=EndDate!$B$8),1,IF(AND($F30+1=$F31,G30=1),1,IF(AND(WEEKDAY($F30)=6,WEEKDAY($F31)=2,$F31-$F30=3,G30=1),1,""))),""))</f>
        <v/>
      </c>
      <c r="H31" s="886" t="str">
        <f>IF($S$3,IF(AND($F31&gt;=EndDate!$B$2,$F31&lt;=EndDate!$B$9),1,IF(AND($F30+1=$F31,H30=1),1,IF(AND(WEEKDAY($F30)=6,WEEKDAY($F31)=2,$F31-$F30=3,H30=1),1,""))),IF(OR(MONTH($F31)=1,MONTH($F31)=12),IF(AND($F31&gt;=EndDate!$B$2,$F31&lt;=EndDate!$B$9),1,IF(AND($F30+1=$F31,H30=1),1,IF(AND(WEEKDAY($F30)=6,WEEKDAY($F31)=2,$F31-$F30=3,H30=1),1,""))),""))</f>
        <v/>
      </c>
      <c r="I31" s="886" t="str">
        <f>IF($S$3,IF(AND($F31&gt;=EndDate!$B$2,$F31&lt;=EndDate!$B$10),1,IF(AND($F30+1=$F31,I30=1),1,IF(AND(WEEKDAY($F30)=6,WEEKDAY($F31)=2,$F31-$F30=3,I30=1),1,""))),IF(OR(MONTH($F31)=1,MONTH($F31)=12),IF(AND($F31&gt;=EndDate!$B$2,$F31&lt;=EndDate!$B$10),1,IF(AND($F30+1=$F31,I30=1),1,IF(AND(WEEKDAY($F30)=6,WEEKDAY($F31)=2,$F31-$F30=3,I30=1),1,""))),""))</f>
        <v/>
      </c>
      <c r="J31" s="885"/>
      <c r="K31" s="886" t="str">
        <f>IF($S$3,IF(AND($J31&gt;=EndDate!$B$2,$J31&lt;=EndDate!$B$8),1,IF(AND($J30+1=$J31,K30=1),1,IF(AND(WEEKDAY($J30)=6,WEEKDAY($J31)=2,$J31-$J30=3,K30=1),1,""))),IF(OR(MONTH($J31)=1,MONTH($J31)=12),IF(AND($J31&gt;=EndDate!$B$2,$J31&lt;=EndDate!$B$8),1,IF(AND($J30+1=$J31,K30=1),1,IF(AND(WEEKDAY($J30)=6,WEEKDAY($J31)=2,$J31-$J30=3,K30=1),1,""))),""))</f>
        <v/>
      </c>
      <c r="L31" s="886" t="str">
        <f>IF($S$3,IF(AND($J31&gt;=EndDate!$B$2,$J31&lt;=EndDate!$B$9),1,IF(AND($J30+1=$J31,L30=1),1,IF(AND(WEEKDAY($J30)=6,WEEKDAY($J31)=2,$J31-$J30=3,L30=1),1,""))),IF(OR(MONTH($J31)=1,MONTH($J31)=12),IF(AND($J31&gt;=EndDate!$B$2,$J31&lt;=EndDate!$B$9),1,IF(AND($J30+1=$J31,L30=1),1,IF(AND(WEEKDAY($J30)=6,WEEKDAY($J31)=2,$J31-$J30=3,L30=1),1,""))),""))</f>
        <v/>
      </c>
      <c r="M31" s="886" t="str">
        <f>IF($S$3,IF(AND($J31&gt;=EndDate!$B$2,$J31&lt;=EndDate!$B$10),1,IF(AND($J30+1=$J31,M30=1),1,IF(AND(WEEKDAY($J30)=6,WEEKDAY($J31)=2,$J31-$J30=3,M30=1),1,""))),IF(OR(MONTH($J31)=1,MONTH($J31)=12),IF(AND($J31&gt;=EndDate!$B$2,$J31&lt;=EndDate!$B$10),1,IF(AND($J30+1=$J31,M30=1),1,IF(AND(WEEKDAY($J30)=6,WEEKDAY($J31)=2,$J31-$J30=3,M30=1),1,""))),""))</f>
        <v/>
      </c>
      <c r="N31" s="885"/>
      <c r="O31" s="886" t="str">
        <f>IF($S$3,IF(AND($N31&gt;=EndDate!$B$2,$N31&lt;=EndDate!$B$8),1,IF(AND($N30+1=$N31,O30=1),1,IF(AND(WEEKDAY($N30)=6,WEEKDAY($N31)=2,$N31-$N30=3,O30=1),1,""))),IF(OR(MONTH($N31)=1,MONTH($N31)=12),IF(AND($N31&gt;=EndDate!$B$2,$N31&lt;=EndDate!$B$8),1,IF(AND($N30+1=$N31,O30=1),1,IF(AND(WEEKDAY($N30)=6,WEEKDAY($N31)=2,$N31-$N30=3,O30=1),1,""))),""))</f>
        <v/>
      </c>
      <c r="P31" s="886" t="str">
        <f>IF($S$3,IF(AND($N31&gt;=EndDate!$B$2,$N31&lt;=EndDate!$B$9),1,IF(AND($N30+1=$N31,P30=1),1,IF(AND(WEEKDAY($N30)=6,WEEKDAY($N31)=2,$N31-$N30=3,P30=1),1,""))),IF(OR(MONTH($N31)=1,MONTH($N31)=12),IF(AND($N31&gt;=EndDate!$B$2,$N31&lt;=EndDate!$B$9),1,IF(AND($N30+1=$N31,P30=1),1,IF(AND(WEEKDAY($N30)=6,WEEKDAY($N31)=2,$N31-$N30=3,P30=1),1,""))),""))</f>
        <v/>
      </c>
      <c r="Q31" s="886" t="str">
        <f>IF($S$3,IF(AND($N31&gt;=EndDate!$B$2,$N31&lt;=EndDate!$B$10),1,IF(AND($N30+1=$N31,Q30=1),1,IF(AND(WEEKDAY($N30)=6,WEEKDAY($N31)=2,$N31-$N30=3,Q30=1),1,""))),IF(OR(MONTH($N31)=1,MONTH($N31)=12),IF(AND($N31&gt;=EndDate!$B$2,$N31&lt;=EndDate!$B$10),1,IF(AND($N30+1=$N31,Q30=1),1,IF(AND(WEEKDAY($N30)=6,WEEKDAY($N31)=2,$N31-$N30=3,Q30=1),1,""))),""))</f>
        <v/>
      </c>
      <c r="R31" s="258"/>
      <c r="S31" s="1"/>
    </row>
    <row r="32" spans="1:19" ht="14.4" thickBot="1">
      <c r="A32" s="880"/>
      <c r="B32" s="887"/>
      <c r="C32" s="886" t="str">
        <f>IF($S$3,IF(AND($B32&gt;=EndDate!$B$2,$B32&lt;=EndDate!$B$8),1,IF(AND($B31+1=$B32,C31=1),1,IF(AND(WEEKDAY($B31)=6,WEEKDAY($B32)=2,$B32-$B31=3,C31=1),1,""))),IF(OR(MONTH($B32)=1,MONTH($B32)=12),IF(AND($B32&gt;=EndDate!$B$2,$B32&lt;=EndDate!$B$8),1,IF(AND($B31+1=$B32,C31=1),1,IF(AND(WEEKDAY($B31)=6,WEEKDAY($B32)=2,$B32-$B31=3,C31=1),1,""))),""))</f>
        <v/>
      </c>
      <c r="D32" s="886" t="str">
        <f>IF($S$3,IF(AND($B32&gt;=EndDate!$B$2,$B32&lt;=EndDate!$B$8),1,IF(AND($B31+1=$B32,D31=1),1,IF(AND(WEEKDAY($B31)=6,WEEKDAY($B32)=2,$B32-$B31=3,D31=1),1,""))),IF(OR(MONTH($B32)=1,MONTH($B32)=12),IF(AND($B32&gt;=EndDate!$B$2,$B32&lt;=EndDate!$B$8),1,IF(AND($B31+1=$B32,D31=1),1,IF(AND(WEEKDAY($B31)=6,WEEKDAY($B32)=2,$B32-$B31=3,D31=1),1,""))),""))</f>
        <v/>
      </c>
      <c r="E32" s="886" t="str">
        <f>IF($S$3,IF(AND($B32&gt;=EndDate!$B$2,$B32&lt;=EndDate!$B$8),1,IF(AND($B31+1=$B32,E31=1),1,IF(AND(WEEKDAY($B31)=6,WEEKDAY($B32)=2,$B32-$B31=3,E31=1),1,""))),IF(OR(MONTH($B32)=1,MONTH($B32)=12),IF(AND($B32&gt;=EndDate!$B$2,$B32&lt;=EndDate!$B$8),1,IF(AND($B31+1=$B32,E31=1),1,IF(AND(WEEKDAY($B31)=6,WEEKDAY($B32)=2,$B32-$B31=3,E31=1),1,""))),""))</f>
        <v/>
      </c>
      <c r="F32" s="887"/>
      <c r="G32" s="886" t="str">
        <f>IF($S$3,IF(AND($F32&gt;=EndDate!$B$2,$F32&lt;=EndDate!$B$8),1,IF(AND($F31+1=$F32,G31=1),1,IF(AND(WEEKDAY($F31)=6,WEEKDAY($F32)=2,$F32-$F31=3,G31=1),1,""))),IF(OR(MONTH($F32)=1,MONTH($F32)=12),IF(AND($F32&gt;=EndDate!$B$2,$F32&lt;=EndDate!$B$8),1,IF(AND($F31+1=$F32,G31=1),1,IF(AND(WEEKDAY($F31)=6,WEEKDAY($F32)=2,$F32-$F31=3,G31=1),1,""))),""))</f>
        <v/>
      </c>
      <c r="H32" s="886" t="str">
        <f>IF($S$3,IF(AND($F32&gt;=EndDate!$B$2,$F32&lt;=EndDate!$B$9),1,IF(AND($F31+1=$F32,H31=1),1,IF(AND(WEEKDAY($F31)=6,WEEKDAY($F32)=2,$F32-$F31=3,H31=1),1,""))),IF(OR(MONTH($F32)=1,MONTH($F32)=12),IF(AND($F32&gt;=EndDate!$B$2,$F32&lt;=EndDate!$B$9),1,IF(AND($F31+1=$F32,H31=1),1,IF(AND(WEEKDAY($F31)=6,WEEKDAY($F32)=2,$F32-$F31=3,H31=1),1,""))),""))</f>
        <v/>
      </c>
      <c r="I32" s="886" t="str">
        <f>IF($S$3,IF(AND($F32&gt;=EndDate!$B$2,$F32&lt;=EndDate!$B$10),1,IF(AND($F31+1=$F32,I31=1),1,IF(AND(WEEKDAY($F31)=6,WEEKDAY($F32)=2,$F32-$F31=3,I31=1),1,""))),IF(OR(MONTH($F32)=1,MONTH($F32)=12),IF(AND($F32&gt;=EndDate!$B$2,$F32&lt;=EndDate!$B$10),1,IF(AND($F31+1=$F32,I31=1),1,IF(AND(WEEKDAY($F31)=6,WEEKDAY($F32)=2,$F32-$F31=3,I31=1),1,""))),""))</f>
        <v/>
      </c>
      <c r="J32" s="887"/>
      <c r="K32" s="886" t="str">
        <f>IF($S$3,IF(AND($J32&gt;=EndDate!$B$2,$J32&lt;=EndDate!$B$8),1,IF(AND($J31+1=$J32,K31=1),1,IF(AND(WEEKDAY($J31)=6,WEEKDAY($J32)=2,$J32-$J31=3,K31=1),1,""))),IF(OR(MONTH($J32)=1,MONTH($J32)=12),IF(AND($J32&gt;=EndDate!$B$2,$J32&lt;=EndDate!$B$8),1,IF(AND($J31+1=$J32,K31=1),1,IF(AND(WEEKDAY($J31)=6,WEEKDAY($J32)=2,$J32-$J31=3,K31=1),1,""))),""))</f>
        <v/>
      </c>
      <c r="L32" s="886" t="str">
        <f>IF($S$3,IF(AND($J32&gt;=EndDate!$B$2,$J32&lt;=EndDate!$B$9),1,IF(AND($J31+1=$J32,L31=1),1,IF(AND(WEEKDAY($J31)=6,WEEKDAY($J32)=2,$J32-$J31=3,L31=1),1,""))),IF(OR(MONTH($J32)=1,MONTH($J32)=12),IF(AND($J32&gt;=EndDate!$B$2,$J32&lt;=EndDate!$B$9),1,IF(AND($J31+1=$J32,L31=1),1,IF(AND(WEEKDAY($J31)=6,WEEKDAY($J32)=2,$J32-$J31=3,L31=1),1,""))),""))</f>
        <v/>
      </c>
      <c r="M32" s="886" t="str">
        <f>IF($S$3,IF(AND($J32&gt;=EndDate!$B$2,$J32&lt;=EndDate!$B$10),1,IF(AND($J31+1=$J32,M31=1),1,IF(AND(WEEKDAY($J31)=6,WEEKDAY($J32)=2,$J32-$J31=3,M31=1),1,""))),IF(OR(MONTH($J32)=1,MONTH($J32)=12),IF(AND($J32&gt;=EndDate!$B$2,$J32&lt;=EndDate!$B$10),1,IF(AND($J31+1=$J32,M31=1),1,IF(AND(WEEKDAY($J31)=6,WEEKDAY($J32)=2,$J32-$J31=3,M31=1),1,""))),""))</f>
        <v/>
      </c>
      <c r="N32" s="887"/>
      <c r="O32" s="886" t="str">
        <f>IF($S$3,IF(AND($N32&gt;=EndDate!$B$2,$N32&lt;=EndDate!$B$8),1,IF(AND($N31+1=$N32,O31=1),1,IF(AND(WEEKDAY($N31)=6,WEEKDAY($N32)=2,$N32-$N31=3,O31=1),1,""))),IF(OR(MONTH($N32)=1,MONTH($N32)=12),IF(AND($N32&gt;=EndDate!$B$2,$N32&lt;=EndDate!$B$8),1,IF(AND($N31+1=$N32,O31=1),1,IF(AND(WEEKDAY($N31)=6,WEEKDAY($N32)=2,$N32-$N31=3,O31=1),1,""))),""))</f>
        <v/>
      </c>
      <c r="P32" s="886" t="str">
        <f>IF($S$3,IF(AND($N32&gt;=EndDate!$B$2,$N32&lt;=EndDate!$B$9),1,IF(AND($N31+1=$N32,P31=1),1,IF(AND(WEEKDAY($N31)=6,WEEKDAY($N32)=2,$N32-$N31=3,P31=1),1,""))),IF(OR(MONTH($N32)=1,MONTH($N32)=12),IF(AND($N32&gt;=EndDate!$B$2,$N32&lt;=EndDate!$B$9),1,IF(AND($N31+1=$N32,P31=1),1,IF(AND(WEEKDAY($N31)=6,WEEKDAY($N32)=2,$N32-$N31=3,P31=1),1,""))),""))</f>
        <v/>
      </c>
      <c r="Q32" s="886" t="str">
        <f>IF($S$3,IF(AND($N32&gt;=EndDate!$B$2,$N32&lt;=EndDate!$B$10),1,IF(AND($N31+1=$N32,Q31=1),1,IF(AND(WEEKDAY($N31)=6,WEEKDAY($N32)=2,$N32-$N31=3,Q31=1),1,""))),IF(OR(MONTH($N32)=1,MONTH($N32)=12),IF(AND($N32&gt;=EndDate!$B$2,$N32&lt;=EndDate!$B$10),1,IF(AND($N31+1=$N32,Q31=1),1,IF(AND(WEEKDAY($N31)=6,WEEKDAY($N32)=2,$N32-$N31=3,Q31=1),1,""))),""))</f>
        <v/>
      </c>
      <c r="R32" s="258"/>
      <c r="S32" s="1"/>
    </row>
    <row r="33" spans="1:19" ht="14.4" thickBot="1">
      <c r="A33" s="888" t="s">
        <v>91</v>
      </c>
      <c r="B33" s="889"/>
      <c r="C33" s="890">
        <f>IF($S$3,0,IF($S$22,IF(SUM(C4:C32)&gt;5,5,SUM(C4:C32)),SUM(C4:C32)))</f>
        <v>0</v>
      </c>
      <c r="D33" s="890">
        <f t="shared" ref="D33:E33" si="0">IF($S$3,0,IF($S$22,IF(SUM(D4:D32)&gt;5,5,SUM(D4:D32)),SUM(D4:D32)))</f>
        <v>0</v>
      </c>
      <c r="E33" s="890">
        <f t="shared" si="0"/>
        <v>0</v>
      </c>
      <c r="F33" s="889"/>
      <c r="G33" s="890">
        <f>IF($S$3,0,IF($S$22,IF(SUM(G4:G32)&gt;5,5,SUM(G4:G32)),SUM(G4:G32)))</f>
        <v>0</v>
      </c>
      <c r="H33" s="890">
        <f t="shared" ref="H33" si="1">IF($S$3,0,IF($S$22,IF(SUM(H4:H32)&gt;5,5,SUM(H4:H32)),SUM(H4:H32)))</f>
        <v>0</v>
      </c>
      <c r="I33" s="890">
        <f t="shared" ref="I33" si="2">IF($S$3,0,IF($S$22,IF(SUM(I4:I32)&gt;5,5,SUM(I4:I32)),SUM(I4:I32)))</f>
        <v>0</v>
      </c>
      <c r="J33" s="889"/>
      <c r="K33" s="890">
        <f>IF($S$3,0,IF($S$22,IF(SUM(K4:K32)&gt;5,5,SUM(K4:K32)),SUM(K4:K32)))</f>
        <v>0</v>
      </c>
      <c r="L33" s="890">
        <f t="shared" ref="L33" si="3">IF($S$3,0,IF($S$22,IF(SUM(L4:L32)&gt;5,5,SUM(L4:L32)),SUM(L4:L32)))</f>
        <v>0</v>
      </c>
      <c r="M33" s="890">
        <f t="shared" ref="M33" si="4">IF($S$3,0,IF($S$22,IF(SUM(M4:M32)&gt;5,5,SUM(M4:M32)),SUM(M4:M32)))</f>
        <v>0</v>
      </c>
      <c r="N33" s="889"/>
      <c r="O33" s="890">
        <f>IF($S$3,0,IF($S$22,IF(SUM(O4:O32)&gt;5,5,SUM(O4:O32)),SUM(O4:O32)))</f>
        <v>0</v>
      </c>
      <c r="P33" s="890">
        <f t="shared" ref="P33" si="5">IF($S$3,0,IF($S$22,IF(SUM(P4:P32)&gt;5,5,SUM(P4:P32)),SUM(P4:P32)))</f>
        <v>0</v>
      </c>
      <c r="Q33" s="890">
        <f t="shared" ref="Q33" si="6">IF($S$3,0,IF($S$22,IF(SUM(Q4:Q32)&gt;5,5,SUM(Q4:Q32)),SUM(Q4:Q32)))</f>
        <v>0</v>
      </c>
      <c r="R33" s="258"/>
      <c r="S33" s="1"/>
    </row>
    <row r="34" spans="1:19" ht="13.8">
      <c r="A34" s="881" t="s">
        <v>1724</v>
      </c>
      <c r="B34" s="881"/>
      <c r="C34" s="881">
        <f>IF(S3,0,IF($S$22,IF(SUM(C33,G33,K33,O33)&gt;5,5,SUM(C33,G33,K33,O33)),IF(SUM(C33,G33,K33,O33)&gt;10,10,SUM(C33,G33,K33,O33))))</f>
        <v>0</v>
      </c>
      <c r="D34" s="881"/>
      <c r="E34" s="881"/>
      <c r="F34" s="258"/>
      <c r="G34" s="258"/>
      <c r="H34" s="258"/>
      <c r="I34" s="258"/>
      <c r="J34" s="258"/>
      <c r="K34" s="258"/>
      <c r="L34" s="258"/>
      <c r="M34" s="258"/>
      <c r="N34" s="258"/>
      <c r="O34" s="258"/>
      <c r="P34" s="258"/>
      <c r="Q34" s="258"/>
      <c r="R34" s="1"/>
      <c r="S34" s="1"/>
    </row>
    <row r="35" spans="1:19" ht="13.8">
      <c r="A35" s="881" t="s">
        <v>1725</v>
      </c>
      <c r="B35" s="881"/>
      <c r="C35" s="881">
        <f>IF(S3,0,IF(S22,IF(SUM(D33,H33,L33,P33)&gt;5,5,SUM(D33,H33,L33,P33)),IF(SUM(D33,H33,L33,P33)&gt;10,10,SUM(D33,H33,L33,P33))))</f>
        <v>0</v>
      </c>
      <c r="D35" s="881"/>
      <c r="E35" s="881"/>
      <c r="F35" s="258"/>
      <c r="G35" s="258"/>
      <c r="H35" s="258"/>
      <c r="I35" s="258"/>
      <c r="J35" s="258"/>
      <c r="K35" s="258"/>
      <c r="L35" s="258"/>
      <c r="M35" s="258"/>
      <c r="N35" s="258"/>
      <c r="O35" s="258"/>
      <c r="P35" s="258"/>
      <c r="Q35" s="258"/>
      <c r="R35" s="1"/>
      <c r="S35" s="1"/>
    </row>
    <row r="36" spans="1:19" ht="13.8">
      <c r="A36" s="881" t="s">
        <v>1726</v>
      </c>
      <c r="B36" s="881"/>
      <c r="C36" s="881">
        <f>IF(S3,0,IF(S22,IF(SUM(E33,I33,M33,Q33)&gt;5,5,SUM(E33,I33,M33,Q33)),IF(SUM(E33,I33,M33,Q33)&gt;10,10,SUM(E33,I33,M33,Q33))))</f>
        <v>0</v>
      </c>
      <c r="D36" s="881"/>
      <c r="E36" s="881"/>
      <c r="F36" s="958"/>
      <c r="G36" s="958"/>
      <c r="H36" s="958"/>
      <c r="I36" s="958"/>
      <c r="J36" s="958"/>
      <c r="K36" s="958"/>
      <c r="L36" s="958"/>
      <c r="M36" s="958"/>
      <c r="N36" s="958"/>
      <c r="O36" s="958"/>
      <c r="P36" s="958"/>
      <c r="Q36" s="958"/>
    </row>
    <row r="37" spans="1:19">
      <c r="A37" s="961"/>
    </row>
  </sheetData>
  <sheetProtection selectLockedCells="1" selectUnlockedCells="1"/>
  <mergeCells count="1">
    <mergeCell ref="A1:Q1"/>
  </mergeCells>
  <phoneticPr fontId="0"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G59"/>
  <sheetViews>
    <sheetView showZeros="0" zoomScaleNormal="100" workbookViewId="0">
      <selection activeCell="C19" sqref="C19"/>
    </sheetView>
  </sheetViews>
  <sheetFormatPr defaultColWidth="9.33203125" defaultRowHeight="16.2"/>
  <cols>
    <col min="1" max="1" width="17.77734375" style="341" customWidth="1"/>
    <col min="2" max="2" width="3.33203125" style="341" customWidth="1"/>
    <col min="3" max="3" width="57.44140625" style="341" customWidth="1"/>
    <col min="4" max="4" width="13.6640625" style="341" customWidth="1"/>
    <col min="5" max="5" width="8.77734375" style="341" customWidth="1"/>
    <col min="6" max="6" width="12.6640625" style="378" customWidth="1"/>
    <col min="7" max="16384" width="9.33203125" style="341"/>
  </cols>
  <sheetData>
    <row r="1" spans="1:7" ht="42" customHeight="1">
      <c r="A1" s="303"/>
      <c r="B1" s="303"/>
      <c r="C1" s="338"/>
      <c r="D1" s="1074" t="str">
        <f>'Franchise Info'!B8</f>
        <v>Langley</v>
      </c>
      <c r="E1" s="1074"/>
      <c r="F1" s="339"/>
      <c r="G1" s="340"/>
    </row>
    <row r="2" spans="1:7" ht="15.75" customHeight="1" thickBot="1">
      <c r="A2" s="379" t="str">
        <f>'Franchise Info'!B6</f>
        <v>(o/b 0833888 B.C. Ltd.)</v>
      </c>
      <c r="B2" s="343"/>
      <c r="C2" s="344" t="str">
        <f>'Franchise Info'!B4</f>
        <v>201 - 20621 Logan Ave, Langley, BC, V3A 7R3</v>
      </c>
      <c r="D2" s="380"/>
      <c r="E2" s="380"/>
      <c r="F2" s="381"/>
      <c r="G2" s="340"/>
    </row>
    <row r="3" spans="1:7" ht="15.75" customHeight="1" thickBot="1">
      <c r="A3" s="1075" t="s">
        <v>22</v>
      </c>
      <c r="B3" s="1076"/>
      <c r="C3" s="345" t="str">
        <f>CONCATENATE('Outline Info'!B2,"  ",'Outline Info'!B3)</f>
        <v xml:space="preserve">  </v>
      </c>
      <c r="D3" s="346" t="s">
        <v>11</v>
      </c>
      <c r="E3" s="1077">
        <f>'Outline Admin'!E3:F3</f>
        <v>44473</v>
      </c>
      <c r="F3" s="1078"/>
      <c r="G3" s="340"/>
    </row>
    <row r="4" spans="1:7" ht="14.25" customHeight="1" thickBot="1">
      <c r="A4" s="1079" t="str">
        <f>'Outline Admin'!A4:B4</f>
        <v xml:space="preserve">Tel : </v>
      </c>
      <c r="B4" s="1080"/>
      <c r="C4" s="348">
        <f>'Outline Info'!B4</f>
        <v>0</v>
      </c>
      <c r="D4" s="349" t="s">
        <v>12</v>
      </c>
      <c r="E4" s="1081">
        <f>'Outline Admin'!E4:F4</f>
        <v>44470</v>
      </c>
      <c r="F4" s="1082"/>
      <c r="G4" s="340"/>
    </row>
    <row r="5" spans="1:7" ht="18.600000000000001">
      <c r="A5" s="1092">
        <f>'Outline Admin'!A5:F5</f>
        <v>0</v>
      </c>
      <c r="B5" s="1092"/>
      <c r="C5" s="1092"/>
      <c r="D5" s="1092"/>
      <c r="E5" s="1092"/>
      <c r="F5" s="1092"/>
      <c r="G5" s="340"/>
    </row>
    <row r="6" spans="1:7">
      <c r="A6" s="352" t="s">
        <v>19</v>
      </c>
      <c r="B6" s="352" t="s">
        <v>20</v>
      </c>
      <c r="C6" s="352" t="s">
        <v>26</v>
      </c>
      <c r="D6" s="352" t="s">
        <v>170</v>
      </c>
      <c r="E6" s="353" t="s">
        <v>0</v>
      </c>
      <c r="F6" s="353"/>
      <c r="G6" s="340"/>
    </row>
    <row r="7" spans="1:7" ht="15" customHeight="1">
      <c r="A7" s="236">
        <f>'Outline Admin'!A7</f>
        <v>0</v>
      </c>
      <c r="B7" s="382">
        <f>'Outline Admin'!B7</f>
        <v>0</v>
      </c>
      <c r="C7" s="242" t="str">
        <f>'Outline Admin'!C7</f>
        <v/>
      </c>
      <c r="D7" s="355" t="str">
        <f>'Outline Admin'!D7</f>
        <v/>
      </c>
      <c r="E7" s="236" t="str">
        <f>'Outline Admin'!E7</f>
        <v/>
      </c>
      <c r="F7" s="356"/>
      <c r="G7" s="340"/>
    </row>
    <row r="8" spans="1:7" ht="15" customHeight="1">
      <c r="A8" s="236">
        <f>'Outline Admin'!A8</f>
        <v>0</v>
      </c>
      <c r="B8" s="382">
        <f>'Outline Admin'!B8</f>
        <v>0</v>
      </c>
      <c r="C8" s="242" t="str">
        <f>'Outline Admin'!C8</f>
        <v/>
      </c>
      <c r="D8" s="355" t="str">
        <f>'Outline Admin'!D8</f>
        <v/>
      </c>
      <c r="E8" s="236" t="str">
        <f>'Outline Admin'!E8</f>
        <v/>
      </c>
      <c r="F8" s="356"/>
      <c r="G8" s="340"/>
    </row>
    <row r="9" spans="1:7" ht="15" customHeight="1">
      <c r="A9" s="236">
        <f>'Outline Admin'!A9</f>
        <v>0</v>
      </c>
      <c r="B9" s="382">
        <f>'Outline Admin'!B9</f>
        <v>0</v>
      </c>
      <c r="C9" s="242" t="str">
        <f>'Outline Admin'!C9</f>
        <v/>
      </c>
      <c r="D9" s="355" t="str">
        <f>'Outline Admin'!D9</f>
        <v/>
      </c>
      <c r="E9" s="236" t="str">
        <f>'Outline Admin'!E9</f>
        <v/>
      </c>
      <c r="F9" s="356"/>
      <c r="G9" s="340"/>
    </row>
    <row r="10" spans="1:7" ht="15" customHeight="1">
      <c r="A10" s="236">
        <f>'Outline Admin'!A10</f>
        <v>0</v>
      </c>
      <c r="B10" s="382">
        <f>'Outline Admin'!B10</f>
        <v>0</v>
      </c>
      <c r="C10" s="242" t="str">
        <f>'Outline Admin'!C10</f>
        <v/>
      </c>
      <c r="D10" s="355" t="str">
        <f>'Outline Admin'!D10</f>
        <v/>
      </c>
      <c r="E10" s="236" t="str">
        <f>'Outline Admin'!E10</f>
        <v/>
      </c>
      <c r="F10" s="356"/>
      <c r="G10" s="340"/>
    </row>
    <row r="11" spans="1:7" ht="15" customHeight="1">
      <c r="A11" s="236">
        <f>'Outline Admin'!A11</f>
        <v>0</v>
      </c>
      <c r="B11" s="382">
        <f>'Outline Admin'!B11</f>
        <v>0</v>
      </c>
      <c r="C11" s="242" t="str">
        <f>'Outline Admin'!C11</f>
        <v/>
      </c>
      <c r="D11" s="355" t="str">
        <f>'Outline Admin'!D11</f>
        <v/>
      </c>
      <c r="E11" s="236" t="str">
        <f>'Outline Admin'!E11</f>
        <v/>
      </c>
      <c r="F11" s="356"/>
      <c r="G11" s="340"/>
    </row>
    <row r="12" spans="1:7" ht="15" customHeight="1">
      <c r="A12" s="236">
        <f>'Outline Admin'!A12</f>
        <v>0</v>
      </c>
      <c r="B12" s="382">
        <f>'Outline Admin'!B12</f>
        <v>0</v>
      </c>
      <c r="C12" s="242" t="str">
        <f>'Outline Admin'!C12</f>
        <v/>
      </c>
      <c r="D12" s="355" t="str">
        <f>'Outline Admin'!D12</f>
        <v/>
      </c>
      <c r="E12" s="236" t="str">
        <f>'Outline Admin'!E12</f>
        <v/>
      </c>
      <c r="F12" s="356"/>
      <c r="G12" s="340"/>
    </row>
    <row r="13" spans="1:7" ht="15" customHeight="1">
      <c r="A13" s="236">
        <f>'Outline Admin'!A13</f>
        <v>0</v>
      </c>
      <c r="B13" s="382">
        <f>'Outline Admin'!B13</f>
        <v>0</v>
      </c>
      <c r="C13" s="242" t="str">
        <f>'Outline Admin'!C13</f>
        <v/>
      </c>
      <c r="D13" s="355" t="str">
        <f>'Outline Admin'!D13</f>
        <v/>
      </c>
      <c r="E13" s="236" t="str">
        <f>'Outline Admin'!E13</f>
        <v/>
      </c>
      <c r="F13" s="356"/>
      <c r="G13" s="340"/>
    </row>
    <row r="14" spans="1:7" ht="15" customHeight="1">
      <c r="A14" s="236">
        <f>'Outline Admin'!A14</f>
        <v>0</v>
      </c>
      <c r="B14" s="382">
        <f>'Outline Admin'!B14</f>
        <v>0</v>
      </c>
      <c r="C14" s="242" t="str">
        <f>'Outline Admin'!C14</f>
        <v/>
      </c>
      <c r="D14" s="355" t="str">
        <f>'Outline Admin'!D14</f>
        <v/>
      </c>
      <c r="E14" s="236" t="str">
        <f>'Outline Admin'!E14</f>
        <v/>
      </c>
      <c r="F14" s="356"/>
      <c r="G14" s="340"/>
    </row>
    <row r="15" spans="1:7" ht="15" customHeight="1">
      <c r="A15" s="236">
        <f>'Outline Admin'!A15</f>
        <v>0</v>
      </c>
      <c r="B15" s="382">
        <f>'Outline Admin'!B15</f>
        <v>0</v>
      </c>
      <c r="C15" s="242" t="str">
        <f>'Outline Admin'!C15</f>
        <v/>
      </c>
      <c r="D15" s="355" t="str">
        <f>'Outline Admin'!D15</f>
        <v/>
      </c>
      <c r="E15" s="236" t="str">
        <f>'Outline Admin'!E15</f>
        <v/>
      </c>
      <c r="F15" s="356"/>
      <c r="G15" s="340"/>
    </row>
    <row r="16" spans="1:7" ht="15" customHeight="1">
      <c r="A16" s="236">
        <f>'Outline Admin'!A16</f>
        <v>0</v>
      </c>
      <c r="B16" s="382">
        <f>'Outline Admin'!B16</f>
        <v>0</v>
      </c>
      <c r="C16" s="242" t="str">
        <f>'Outline Admin'!C16</f>
        <v/>
      </c>
      <c r="D16" s="355" t="str">
        <f>'Outline Admin'!D16</f>
        <v/>
      </c>
      <c r="E16" s="236" t="str">
        <f>'Outline Admin'!E16</f>
        <v/>
      </c>
      <c r="F16" s="356"/>
      <c r="G16" s="340"/>
    </row>
    <row r="17" spans="1:7" ht="15" customHeight="1">
      <c r="A17" s="236">
        <f>'Outline Admin'!A17</f>
        <v>0</v>
      </c>
      <c r="B17" s="382">
        <f>'Outline Admin'!B17</f>
        <v>0</v>
      </c>
      <c r="C17" s="242" t="str">
        <f>'Outline Admin'!C17</f>
        <v/>
      </c>
      <c r="D17" s="355" t="str">
        <f>'Outline Admin'!D17</f>
        <v/>
      </c>
      <c r="E17" s="236" t="str">
        <f>'Outline Admin'!E17</f>
        <v/>
      </c>
      <c r="F17" s="356"/>
      <c r="G17" s="340"/>
    </row>
    <row r="18" spans="1:7" ht="15" customHeight="1">
      <c r="A18" s="236">
        <f>'Outline Admin'!A18</f>
        <v>0</v>
      </c>
      <c r="B18" s="382">
        <f>'Outline Admin'!B18</f>
        <v>0</v>
      </c>
      <c r="C18" s="242" t="str">
        <f>'Outline Admin'!C18</f>
        <v/>
      </c>
      <c r="D18" s="355" t="str">
        <f>'Outline Admin'!D18</f>
        <v/>
      </c>
      <c r="E18" s="236" t="str">
        <f>'Outline Admin'!E18</f>
        <v/>
      </c>
      <c r="F18" s="356"/>
      <c r="G18" s="340"/>
    </row>
    <row r="19" spans="1:7" ht="15" customHeight="1">
      <c r="A19" s="236">
        <f>'Outline Admin'!A19</f>
        <v>0</v>
      </c>
      <c r="B19" s="382">
        <f>'Outline Admin'!B19</f>
        <v>0</v>
      </c>
      <c r="C19" s="242" t="str">
        <f>'Outline Admin'!C19</f>
        <v/>
      </c>
      <c r="D19" s="355" t="str">
        <f>'Outline Admin'!D19</f>
        <v/>
      </c>
      <c r="E19" s="236" t="str">
        <f>'Outline Admin'!E19</f>
        <v/>
      </c>
      <c r="F19" s="356"/>
      <c r="G19" s="340"/>
    </row>
    <row r="20" spans="1:7" ht="15" customHeight="1">
      <c r="A20" s="236">
        <f>'Outline Admin'!A20</f>
        <v>0</v>
      </c>
      <c r="B20" s="382">
        <f>'Outline Admin'!B20</f>
        <v>0</v>
      </c>
      <c r="C20" s="242" t="str">
        <f>'Outline Admin'!C20</f>
        <v/>
      </c>
      <c r="D20" s="355" t="str">
        <f>'Outline Admin'!D20</f>
        <v/>
      </c>
      <c r="E20" s="236" t="str">
        <f>'Outline Admin'!E20</f>
        <v/>
      </c>
      <c r="F20" s="356"/>
      <c r="G20" s="340"/>
    </row>
    <row r="21" spans="1:7" ht="15" customHeight="1">
      <c r="A21" s="236">
        <f>'Outline Admin'!A21</f>
        <v>0</v>
      </c>
      <c r="B21" s="382">
        <f>'Outline Admin'!B21</f>
        <v>0</v>
      </c>
      <c r="C21" s="242" t="str">
        <f>'Outline Admin'!C21</f>
        <v/>
      </c>
      <c r="D21" s="355" t="str">
        <f>'Outline Admin'!D21</f>
        <v/>
      </c>
      <c r="E21" s="236" t="str">
        <f>'Outline Admin'!E21</f>
        <v/>
      </c>
      <c r="F21" s="356"/>
      <c r="G21" s="340"/>
    </row>
    <row r="22" spans="1:7" ht="15" customHeight="1">
      <c r="A22" s="236">
        <f>'Outline Admin'!A22</f>
        <v>0</v>
      </c>
      <c r="B22" s="382">
        <f>'Outline Admin'!B22</f>
        <v>0</v>
      </c>
      <c r="C22" s="242" t="str">
        <f>'Outline Admin'!C22</f>
        <v/>
      </c>
      <c r="D22" s="355" t="str">
        <f>'Outline Admin'!D22</f>
        <v/>
      </c>
      <c r="E22" s="236" t="str">
        <f>'Outline Admin'!E22</f>
        <v/>
      </c>
      <c r="F22" s="356"/>
      <c r="G22" s="340"/>
    </row>
    <row r="23" spans="1:7" ht="15" customHeight="1">
      <c r="A23" s="236">
        <f>'Outline Admin'!A23</f>
        <v>0</v>
      </c>
      <c r="B23" s="382">
        <f>'Outline Admin'!B23</f>
        <v>0</v>
      </c>
      <c r="C23" s="242" t="str">
        <f>'Outline Admin'!C23</f>
        <v/>
      </c>
      <c r="D23" s="355" t="str">
        <f>'Outline Admin'!D23</f>
        <v/>
      </c>
      <c r="E23" s="236" t="str">
        <f>'Outline Admin'!E23</f>
        <v/>
      </c>
      <c r="F23" s="356"/>
      <c r="G23" s="340"/>
    </row>
    <row r="24" spans="1:7" ht="15" customHeight="1">
      <c r="A24" s="236">
        <f>'Outline Admin'!A24</f>
        <v>0</v>
      </c>
      <c r="B24" s="382">
        <f>'Outline Admin'!B24</f>
        <v>0</v>
      </c>
      <c r="C24" s="242" t="str">
        <f>'Outline Admin'!C24</f>
        <v/>
      </c>
      <c r="D24" s="355" t="str">
        <f>'Outline Admin'!D24</f>
        <v/>
      </c>
      <c r="E24" s="236" t="str">
        <f>'Outline Admin'!E24</f>
        <v/>
      </c>
      <c r="F24" s="356"/>
      <c r="G24" s="340"/>
    </row>
    <row r="25" spans="1:7" ht="15" customHeight="1">
      <c r="A25" s="236">
        <f>'Outline Admin'!A25</f>
        <v>0</v>
      </c>
      <c r="B25" s="382">
        <f>'Outline Admin'!B25</f>
        <v>0</v>
      </c>
      <c r="C25" s="242" t="str">
        <f>'Outline Admin'!C25</f>
        <v/>
      </c>
      <c r="D25" s="355" t="str">
        <f>'Outline Admin'!D25</f>
        <v/>
      </c>
      <c r="E25" s="236" t="str">
        <f>'Outline Admin'!E25</f>
        <v/>
      </c>
      <c r="F25" s="356"/>
      <c r="G25" s="340"/>
    </row>
    <row r="26" spans="1:7" ht="15" customHeight="1">
      <c r="A26" s="236">
        <f>'Outline Admin'!A26</f>
        <v>0</v>
      </c>
      <c r="B26" s="382">
        <f>'Outline Admin'!B26</f>
        <v>0</v>
      </c>
      <c r="C26" s="242" t="str">
        <f>'Outline Admin'!C26</f>
        <v/>
      </c>
      <c r="D26" s="355" t="str">
        <f>'Outline Admin'!D26</f>
        <v/>
      </c>
      <c r="E26" s="236" t="str">
        <f>'Outline Admin'!E26</f>
        <v/>
      </c>
      <c r="F26" s="356"/>
      <c r="G26" s="340"/>
    </row>
    <row r="27" spans="1:7" ht="15" customHeight="1">
      <c r="A27" s="236">
        <f>'Outline Admin'!A27</f>
        <v>0</v>
      </c>
      <c r="B27" s="382">
        <f>'Outline Admin'!B27</f>
        <v>0</v>
      </c>
      <c r="C27" s="242" t="str">
        <f>'Outline Admin'!C27</f>
        <v/>
      </c>
      <c r="D27" s="355" t="str">
        <f>'Outline Admin'!D27</f>
        <v/>
      </c>
      <c r="E27" s="236" t="str">
        <f>'Outline Admin'!E27</f>
        <v/>
      </c>
      <c r="F27" s="356"/>
      <c r="G27" s="340"/>
    </row>
    <row r="28" spans="1:7" ht="15" customHeight="1">
      <c r="A28" s="236">
        <f>'Outline Admin'!A28</f>
        <v>0</v>
      </c>
      <c r="B28" s="382">
        <f>'Outline Admin'!B28</f>
        <v>0</v>
      </c>
      <c r="C28" s="242" t="str">
        <f>'Outline Admin'!C28</f>
        <v/>
      </c>
      <c r="D28" s="355" t="str">
        <f>'Outline Admin'!D28</f>
        <v/>
      </c>
      <c r="E28" s="236" t="str">
        <f>'Outline Admin'!E28</f>
        <v/>
      </c>
      <c r="F28" s="356"/>
      <c r="G28" s="340"/>
    </row>
    <row r="29" spans="1:7" ht="15" customHeight="1">
      <c r="A29" s="236">
        <f>'Outline Admin'!A29</f>
        <v>0</v>
      </c>
      <c r="B29" s="382">
        <f>'Outline Admin'!B29</f>
        <v>0</v>
      </c>
      <c r="C29" s="242" t="str">
        <f>'Outline Admin'!C29</f>
        <v/>
      </c>
      <c r="D29" s="355" t="str">
        <f>'Outline Admin'!D29</f>
        <v/>
      </c>
      <c r="E29" s="236" t="str">
        <f>'Outline Admin'!E29</f>
        <v/>
      </c>
      <c r="F29" s="356"/>
      <c r="G29" s="340"/>
    </row>
    <row r="30" spans="1:7" ht="15" customHeight="1">
      <c r="A30" s="236">
        <f>'Outline Admin'!A30</f>
        <v>0</v>
      </c>
      <c r="B30" s="382">
        <f>'Outline Admin'!B30</f>
        <v>0</v>
      </c>
      <c r="C30" s="242" t="str">
        <f>'Outline Admin'!C30</f>
        <v/>
      </c>
      <c r="D30" s="355" t="str">
        <f>'Outline Admin'!D30</f>
        <v/>
      </c>
      <c r="E30" s="236" t="str">
        <f>'Outline Admin'!E30</f>
        <v/>
      </c>
      <c r="F30" s="356"/>
      <c r="G30" s="340"/>
    </row>
    <row r="31" spans="1:7" ht="15" customHeight="1">
      <c r="A31" s="236">
        <f>'Outline Admin'!A31</f>
        <v>0</v>
      </c>
      <c r="B31" s="382">
        <f>'Outline Admin'!B31</f>
        <v>0</v>
      </c>
      <c r="C31" s="242" t="str">
        <f>'Outline Admin'!C31</f>
        <v/>
      </c>
      <c r="D31" s="355" t="str">
        <f>'Outline Admin'!D31</f>
        <v/>
      </c>
      <c r="E31" s="236" t="str">
        <f>'Outline Admin'!E31</f>
        <v/>
      </c>
      <c r="F31" s="356"/>
      <c r="G31" s="340"/>
    </row>
    <row r="32" spans="1:7" ht="15" customHeight="1">
      <c r="A32" s="236">
        <f>'Outline Admin'!A32</f>
        <v>0</v>
      </c>
      <c r="B32" s="382">
        <f>'Outline Admin'!B32</f>
        <v>0</v>
      </c>
      <c r="C32" s="242" t="str">
        <f>'Outline Admin'!C32</f>
        <v/>
      </c>
      <c r="D32" s="355" t="str">
        <f>'Outline Admin'!D32</f>
        <v/>
      </c>
      <c r="E32" s="236" t="str">
        <f>'Outline Admin'!E32</f>
        <v/>
      </c>
      <c r="F32" s="356"/>
      <c r="G32" s="340"/>
    </row>
    <row r="33" spans="1:7" ht="15" customHeight="1">
      <c r="A33" s="236">
        <f>'Outline Admin'!A33</f>
        <v>0</v>
      </c>
      <c r="B33" s="382">
        <f>'Outline Admin'!B33</f>
        <v>0</v>
      </c>
      <c r="C33" s="242" t="str">
        <f>'Outline Admin'!C33</f>
        <v/>
      </c>
      <c r="D33" s="355" t="str">
        <f>'Outline Admin'!D33</f>
        <v/>
      </c>
      <c r="E33" s="236" t="str">
        <f>'Outline Admin'!E33</f>
        <v/>
      </c>
      <c r="F33" s="356"/>
      <c r="G33" s="340"/>
    </row>
    <row r="34" spans="1:7" ht="15" customHeight="1">
      <c r="A34" s="236">
        <f>'Outline Admin'!A34</f>
        <v>0</v>
      </c>
      <c r="B34" s="382">
        <f>'Outline Admin'!B34</f>
        <v>0</v>
      </c>
      <c r="C34" s="242" t="str">
        <f>'Outline Admin'!C34</f>
        <v/>
      </c>
      <c r="D34" s="355" t="str">
        <f>'Outline Admin'!D34</f>
        <v/>
      </c>
      <c r="E34" s="236" t="str">
        <f>'Outline Admin'!E34</f>
        <v/>
      </c>
      <c r="F34" s="356"/>
      <c r="G34" s="340"/>
    </row>
    <row r="35" spans="1:7" ht="15" customHeight="1">
      <c r="A35" s="236">
        <f>'Outline Admin'!A35</f>
        <v>0</v>
      </c>
      <c r="B35" s="382">
        <f>'Outline Admin'!B35</f>
        <v>0</v>
      </c>
      <c r="C35" s="242" t="str">
        <f>'Outline Admin'!C35</f>
        <v/>
      </c>
      <c r="D35" s="355" t="str">
        <f>'Outline Admin'!D35</f>
        <v/>
      </c>
      <c r="E35" s="236" t="str">
        <f>'Outline Admin'!E35</f>
        <v/>
      </c>
      <c r="F35" s="356"/>
      <c r="G35" s="340"/>
    </row>
    <row r="36" spans="1:7" ht="15" customHeight="1">
      <c r="A36" s="236">
        <f>'Outline Admin'!A36</f>
        <v>0</v>
      </c>
      <c r="B36" s="382">
        <f>'Outline Admin'!B36</f>
        <v>0</v>
      </c>
      <c r="C36" s="242" t="str">
        <f>'Outline Admin'!C36</f>
        <v/>
      </c>
      <c r="D36" s="355" t="str">
        <f>'Outline Admin'!D36</f>
        <v/>
      </c>
      <c r="E36" s="236" t="str">
        <f>'Outline Admin'!E36</f>
        <v/>
      </c>
      <c r="F36" s="356"/>
      <c r="G36" s="340"/>
    </row>
    <row r="37" spans="1:7" ht="15" customHeight="1">
      <c r="A37" s="236">
        <f>'Outline Admin'!A37</f>
        <v>0</v>
      </c>
      <c r="B37" s="382">
        <f>'Outline Admin'!B37</f>
        <v>0</v>
      </c>
      <c r="C37" s="242" t="str">
        <f>'Outline Admin'!C37</f>
        <v/>
      </c>
      <c r="D37" s="355" t="str">
        <f>'Outline Admin'!D37</f>
        <v/>
      </c>
      <c r="E37" s="236" t="str">
        <f>'Outline Admin'!E37</f>
        <v/>
      </c>
      <c r="F37" s="356"/>
      <c r="G37" s="340"/>
    </row>
    <row r="38" spans="1:7" ht="15" customHeight="1">
      <c r="A38" s="236">
        <f>'Outline Admin'!A38</f>
        <v>0</v>
      </c>
      <c r="B38" s="382">
        <f>'Outline Admin'!B38</f>
        <v>0</v>
      </c>
      <c r="C38" s="242" t="str">
        <f>'Outline Admin'!C38</f>
        <v/>
      </c>
      <c r="D38" s="355" t="str">
        <f>'Outline Admin'!D38</f>
        <v/>
      </c>
      <c r="E38" s="236" t="str">
        <f>'Outline Admin'!E38</f>
        <v/>
      </c>
      <c r="F38" s="356"/>
      <c r="G38" s="340"/>
    </row>
    <row r="39" spans="1:7" ht="15" customHeight="1">
      <c r="A39" s="236">
        <f>'Outline Admin'!A39</f>
        <v>0</v>
      </c>
      <c r="B39" s="382">
        <f>'Outline Admin'!B39</f>
        <v>0</v>
      </c>
      <c r="C39" s="242" t="str">
        <f>'Outline Admin'!C39</f>
        <v/>
      </c>
      <c r="D39" s="355" t="str">
        <f>'Outline Admin'!D39</f>
        <v/>
      </c>
      <c r="E39" s="236" t="str">
        <f>'Outline Admin'!E39</f>
        <v/>
      </c>
      <c r="F39" s="356"/>
      <c r="G39" s="340"/>
    </row>
    <row r="40" spans="1:7" ht="15" customHeight="1">
      <c r="A40" s="236">
        <f>'Outline Admin'!A40</f>
        <v>0</v>
      </c>
      <c r="B40" s="382">
        <f>'Outline Admin'!B40</f>
        <v>0</v>
      </c>
      <c r="C40" s="242" t="str">
        <f>'Outline Admin'!C40</f>
        <v/>
      </c>
      <c r="D40" s="355" t="str">
        <f>'Outline Admin'!D40</f>
        <v/>
      </c>
      <c r="E40" s="236" t="str">
        <f>'Outline Admin'!E40</f>
        <v/>
      </c>
      <c r="F40" s="356"/>
      <c r="G40" s="340"/>
    </row>
    <row r="41" spans="1:7" ht="15" customHeight="1">
      <c r="A41" s="236">
        <f>'Outline Admin'!A41</f>
        <v>0</v>
      </c>
      <c r="B41" s="382">
        <f>'Outline Admin'!B41</f>
        <v>0</v>
      </c>
      <c r="C41" s="242" t="str">
        <f>'Outline Admin'!C41</f>
        <v/>
      </c>
      <c r="D41" s="355" t="str">
        <f>'Outline Admin'!D41</f>
        <v/>
      </c>
      <c r="E41" s="236" t="str">
        <f>'Outline Admin'!E41</f>
        <v/>
      </c>
      <c r="F41" s="356"/>
      <c r="G41" s="340"/>
    </row>
    <row r="42" spans="1:7" ht="15" customHeight="1">
      <c r="A42" s="236">
        <f>'Outline Admin'!A42</f>
        <v>0</v>
      </c>
      <c r="B42" s="382">
        <f>'Outline Admin'!B42</f>
        <v>0</v>
      </c>
      <c r="C42" s="242" t="str">
        <f>'Outline Admin'!C42</f>
        <v/>
      </c>
      <c r="D42" s="355" t="str">
        <f>'Outline Admin'!D42</f>
        <v/>
      </c>
      <c r="E42" s="236" t="str">
        <f>'Outline Admin'!E42</f>
        <v/>
      </c>
      <c r="F42" s="356"/>
      <c r="G42" s="340"/>
    </row>
    <row r="43" spans="1:7" ht="15" customHeight="1">
      <c r="A43" s="236">
        <f>'Outline Admin'!A43</f>
        <v>0</v>
      </c>
      <c r="B43" s="382">
        <f>'Outline Admin'!B43</f>
        <v>0</v>
      </c>
      <c r="C43" s="242" t="str">
        <f>'Outline Admin'!C43</f>
        <v/>
      </c>
      <c r="D43" s="355" t="str">
        <f>'Outline Admin'!D43</f>
        <v/>
      </c>
      <c r="E43" s="236" t="str">
        <f>'Outline Admin'!E43</f>
        <v/>
      </c>
      <c r="F43" s="356"/>
      <c r="G43" s="340"/>
    </row>
    <row r="44" spans="1:7" ht="15" customHeight="1">
      <c r="A44" s="236">
        <f>'Outline Admin'!A44</f>
        <v>0</v>
      </c>
      <c r="B44" s="382">
        <f>'Outline Admin'!B44</f>
        <v>0</v>
      </c>
      <c r="C44" s="242" t="str">
        <f>'Outline Admin'!C44</f>
        <v/>
      </c>
      <c r="D44" s="355" t="str">
        <f>'Outline Admin'!D44</f>
        <v/>
      </c>
      <c r="E44" s="236" t="str">
        <f>'Outline Admin'!E44</f>
        <v/>
      </c>
      <c r="F44" s="356"/>
      <c r="G44" s="340"/>
    </row>
    <row r="45" spans="1:7" ht="15" customHeight="1">
      <c r="A45" s="236">
        <f>'Outline Admin'!A45</f>
        <v>0</v>
      </c>
      <c r="B45" s="382">
        <f>'Outline Admin'!B45</f>
        <v>0</v>
      </c>
      <c r="C45" s="242" t="str">
        <f>'Outline Admin'!C45</f>
        <v/>
      </c>
      <c r="D45" s="355" t="str">
        <f>'Outline Admin'!D45</f>
        <v/>
      </c>
      <c r="E45" s="236" t="str">
        <f>'Outline Admin'!E45</f>
        <v/>
      </c>
      <c r="F45" s="356"/>
      <c r="G45" s="340"/>
    </row>
    <row r="46" spans="1:7" ht="15" customHeight="1">
      <c r="A46" s="236">
        <f>'Outline Admin'!A46</f>
        <v>0</v>
      </c>
      <c r="B46" s="382">
        <f>'Outline Admin'!B46</f>
        <v>0</v>
      </c>
      <c r="C46" s="242" t="str">
        <f>'Outline Admin'!C46</f>
        <v/>
      </c>
      <c r="D46" s="355" t="str">
        <f>'Outline Admin'!D46</f>
        <v/>
      </c>
      <c r="E46" s="236" t="str">
        <f>'Outline Admin'!E46</f>
        <v/>
      </c>
      <c r="F46" s="356"/>
      <c r="G46" s="340"/>
    </row>
    <row r="47" spans="1:7" ht="15" customHeight="1">
      <c r="A47" s="236">
        <f>'Outline Admin'!A47</f>
        <v>0</v>
      </c>
      <c r="B47" s="382">
        <f>'Outline Admin'!B47</f>
        <v>0</v>
      </c>
      <c r="C47" s="242" t="str">
        <f>'Outline Admin'!C47</f>
        <v/>
      </c>
      <c r="D47" s="355" t="str">
        <f>'Outline Admin'!D47</f>
        <v/>
      </c>
      <c r="E47" s="236" t="str">
        <f>'Outline Admin'!E47</f>
        <v/>
      </c>
      <c r="F47" s="356"/>
      <c r="G47" s="340"/>
    </row>
    <row r="48" spans="1:7" ht="15" customHeight="1">
      <c r="A48" s="236">
        <f>'Outline Admin'!A48</f>
        <v>0</v>
      </c>
      <c r="B48" s="382">
        <f>'Outline Admin'!B48</f>
        <v>0</v>
      </c>
      <c r="C48" s="242" t="str">
        <f>'Outline Admin'!C48</f>
        <v/>
      </c>
      <c r="D48" s="355" t="str">
        <f>'Outline Admin'!D48</f>
        <v/>
      </c>
      <c r="E48" s="236" t="str">
        <f>'Outline Admin'!E48</f>
        <v/>
      </c>
      <c r="F48" s="356"/>
      <c r="G48" s="340"/>
    </row>
    <row r="49" spans="1:7" ht="15" customHeight="1">
      <c r="A49" s="236">
        <f>'Outline Admin'!A49</f>
        <v>0</v>
      </c>
      <c r="B49" s="382">
        <f>'Outline Admin'!B49</f>
        <v>0</v>
      </c>
      <c r="C49" s="242" t="str">
        <f>'Outline Admin'!C49</f>
        <v/>
      </c>
      <c r="D49" s="355" t="str">
        <f>'Outline Admin'!D49</f>
        <v/>
      </c>
      <c r="E49" s="236" t="str">
        <f>'Outline Admin'!E49</f>
        <v/>
      </c>
      <c r="F49" s="356"/>
      <c r="G49" s="340"/>
    </row>
    <row r="50" spans="1:7" ht="15" customHeight="1">
      <c r="A50" s="236">
        <f>'Outline Admin'!A50</f>
        <v>0</v>
      </c>
      <c r="B50" s="382">
        <f>'Outline Admin'!B50</f>
        <v>0</v>
      </c>
      <c r="C50" s="242" t="str">
        <f>'Outline Admin'!C50</f>
        <v/>
      </c>
      <c r="D50" s="355" t="str">
        <f>'Outline Admin'!D50</f>
        <v/>
      </c>
      <c r="E50" s="236" t="str">
        <f>'Outline Admin'!E50</f>
        <v/>
      </c>
      <c r="F50" s="356"/>
      <c r="G50" s="340"/>
    </row>
    <row r="51" spans="1:7" ht="15" customHeight="1">
      <c r="A51" s="236">
        <f>'Outline Admin'!A51</f>
        <v>0</v>
      </c>
      <c r="B51" s="382">
        <f>'Outline Admin'!B51</f>
        <v>0</v>
      </c>
      <c r="C51" s="242" t="str">
        <f>'Outline Admin'!C51</f>
        <v/>
      </c>
      <c r="D51" s="355" t="str">
        <f>'Outline Admin'!D51</f>
        <v/>
      </c>
      <c r="E51" s="236" t="str">
        <f>'Outline Admin'!E51</f>
        <v/>
      </c>
      <c r="F51" s="356"/>
      <c r="G51" s="340"/>
    </row>
    <row r="52" spans="1:7" ht="15" customHeight="1">
      <c r="A52" s="236">
        <f>'Outline Admin'!A52</f>
        <v>0</v>
      </c>
      <c r="B52" s="382">
        <f>'Outline Admin'!B52</f>
        <v>0</v>
      </c>
      <c r="C52" s="242" t="str">
        <f>'Outline Admin'!C52</f>
        <v/>
      </c>
      <c r="D52" s="355" t="str">
        <f>'Outline Admin'!D52</f>
        <v/>
      </c>
      <c r="E52" s="236" t="str">
        <f>'Outline Admin'!E52</f>
        <v/>
      </c>
      <c r="F52" s="356"/>
      <c r="G52" s="340"/>
    </row>
    <row r="53" spans="1:7" s="362" customFormat="1" ht="15" customHeight="1" thickBot="1">
      <c r="A53" s="236">
        <f>'Outline Admin'!A53</f>
        <v>0</v>
      </c>
      <c r="B53" s="382">
        <f>'Outline Admin'!B53</f>
        <v>0</v>
      </c>
      <c r="C53" s="242" t="str">
        <f>'Outline Admin'!C53</f>
        <v/>
      </c>
      <c r="D53" s="355" t="str">
        <f>'Outline Admin'!D53</f>
        <v/>
      </c>
      <c r="E53" s="236" t="str">
        <f>'Outline Admin'!E53</f>
        <v/>
      </c>
      <c r="F53" s="356"/>
      <c r="G53" s="350"/>
    </row>
    <row r="54" spans="1:7" s="362" customFormat="1" ht="15" customHeight="1" thickBot="1">
      <c r="A54" s="1067" t="str">
        <f>'Outline Admin'!A54:F54</f>
        <v>Individual course outlines are available on request</v>
      </c>
      <c r="B54" s="1068"/>
      <c r="C54" s="1068"/>
      <c r="D54" s="1068"/>
      <c r="E54" s="1068"/>
      <c r="F54" s="1069"/>
      <c r="G54" s="350"/>
    </row>
    <row r="55" spans="1:7" s="362" customFormat="1" ht="13.8">
      <c r="A55" s="363" t="str">
        <f>'Outline Admin'!A55</f>
        <v>Hours of Operation</v>
      </c>
      <c r="B55" s="364"/>
      <c r="C55" s="1084" t="str">
        <f>'Outline Admin'!C55</f>
        <v>Course Hours - 0    Exam &amp;Review Hours - 0    Total Hours - 0</v>
      </c>
      <c r="D55" s="1085"/>
      <c r="E55" s="1085"/>
      <c r="F55" s="1086"/>
      <c r="G55" s="350"/>
    </row>
    <row r="56" spans="1:7" s="362" customFormat="1" ht="13.8">
      <c r="A56" s="366" t="str">
        <f>'Outline Admin'!A56</f>
        <v>Mon-Fri 9am-5pm</v>
      </c>
      <c r="B56" s="367"/>
      <c r="C56" s="368" t="str">
        <f>'Outline Admin'!C56</f>
        <v>Duration at 20 Hrs/Week : 0 Months  (0 Weeks)</v>
      </c>
      <c r="D56" s="368" t="s">
        <v>16</v>
      </c>
      <c r="E56" s="368"/>
      <c r="F56" s="369">
        <f>'Outline Admin'!F56</f>
        <v>0</v>
      </c>
      <c r="G56" s="350"/>
    </row>
    <row r="57" spans="1:7" s="226" customFormat="1" ht="14.4" thickBot="1">
      <c r="A57" s="366">
        <f>'Outline Admin'!A57</f>
        <v>0</v>
      </c>
      <c r="B57" s="367"/>
      <c r="C57" s="371" t="s">
        <v>141</v>
      </c>
      <c r="D57" s="372"/>
      <c r="E57" s="372"/>
      <c r="F57" s="373">
        <f>'Outline Admin'!F57</f>
        <v>354</v>
      </c>
      <c r="G57" s="303"/>
    </row>
    <row r="58" spans="1:7" s="226" customFormat="1" ht="14.4" thickBot="1">
      <c r="A58" s="375">
        <f>'Outline Admin'!A58</f>
        <v>0</v>
      </c>
      <c r="B58" s="376"/>
      <c r="C58" s="377" t="s">
        <v>18</v>
      </c>
      <c r="D58" s="1070">
        <f ca="1">NOW()+30</f>
        <v>44472.482572800924</v>
      </c>
      <c r="E58" s="1070"/>
      <c r="F58" s="1071"/>
      <c r="G58" s="303"/>
    </row>
    <row r="59" spans="1:7" s="226" customFormat="1" ht="13.8">
      <c r="A59" s="1072" t="str">
        <f>'Franchise Info'!B7</f>
        <v>Phone : (604) 532-4040                                             E-Mail : admin.langley@aolccbc.com                                             Fax : (604) 532-4001</v>
      </c>
      <c r="B59" s="1072"/>
      <c r="C59" s="1073"/>
      <c r="D59" s="1073"/>
      <c r="E59" s="1073"/>
      <c r="F59" s="1073"/>
      <c r="G59" s="303"/>
    </row>
  </sheetData>
  <sheetProtection selectLockedCells="1" selectUnlockedCells="1"/>
  <mergeCells count="10">
    <mergeCell ref="A59:F59"/>
    <mergeCell ref="D1:E1"/>
    <mergeCell ref="E4:F4"/>
    <mergeCell ref="D58:F58"/>
    <mergeCell ref="E3:F3"/>
    <mergeCell ref="A5:F5"/>
    <mergeCell ref="A3:B3"/>
    <mergeCell ref="A4:B4"/>
    <mergeCell ref="A54:F54"/>
    <mergeCell ref="C55:F55"/>
  </mergeCells>
  <phoneticPr fontId="0" type="noConversion"/>
  <pageMargins left="0.7" right="0.55118110236220474" top="0.5" bottom="0.3" header="0.11811023622047245" footer="0"/>
  <pageSetup scale="83"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E31DB9"/>
  </sheetPr>
  <dimension ref="A1:FV59"/>
  <sheetViews>
    <sheetView view="pageLayout" topLeftCell="A13" zoomScale="85" zoomScaleNormal="70" zoomScaleSheetLayoutView="70" zoomScalePageLayoutView="85" workbookViewId="0">
      <selection activeCell="AC1" sqref="AC1:AZ1048576"/>
    </sheetView>
  </sheetViews>
  <sheetFormatPr defaultColWidth="0" defaultRowHeight="14.4"/>
  <cols>
    <col min="1" max="1" width="11.109375" style="10" customWidth="1"/>
    <col min="2" max="3" width="11.44140625" style="10" customWidth="1"/>
    <col min="4" max="4" width="2" style="10" customWidth="1"/>
    <col min="5" max="5" width="7.6640625" style="10" customWidth="1"/>
    <col min="6" max="6" width="2.44140625" style="30" customWidth="1"/>
    <col min="7" max="7" width="9.33203125" style="10" customWidth="1"/>
    <col min="8" max="8" width="12.6640625" style="10" customWidth="1"/>
    <col min="9" max="9" width="2.44140625" style="10" customWidth="1"/>
    <col min="10" max="10" width="4.21875" style="10" customWidth="1"/>
    <col min="11" max="11" width="6.21875" style="10" customWidth="1"/>
    <col min="12" max="12" width="9.44140625" style="10" customWidth="1"/>
    <col min="13" max="13" width="10.6640625" style="10" customWidth="1"/>
    <col min="14" max="14" width="3" style="10" customWidth="1"/>
    <col min="15" max="15" width="7.21875" style="10" customWidth="1"/>
    <col min="16" max="16" width="12.6640625" style="10" customWidth="1"/>
    <col min="17" max="17" width="0.44140625" style="629" customWidth="1"/>
    <col min="18" max="19" width="12.109375" style="10" customWidth="1"/>
    <col min="20" max="20" width="12.6640625" style="10" customWidth="1"/>
    <col min="21" max="21" width="12.109375" style="10" customWidth="1"/>
    <col min="22" max="22" width="14.33203125" style="10" customWidth="1"/>
    <col min="23" max="27" width="12.109375" style="10" customWidth="1"/>
    <col min="28" max="28" width="0.44140625" style="632" customWidth="1"/>
    <col min="29" max="38" width="12.77734375" style="10" hidden="1" customWidth="1"/>
    <col min="39" max="39" width="0.44140625" style="10" hidden="1" customWidth="1"/>
    <col min="40" max="49" width="12.77734375" style="10" hidden="1" customWidth="1"/>
    <col min="50" max="50" width="0.77734375" style="10" hidden="1" customWidth="1"/>
    <col min="51" max="52" width="12.77734375" style="10" hidden="1" customWidth="1"/>
    <col min="53" max="60" width="12.77734375" style="10" customWidth="1"/>
    <col min="61" max="61" width="2" style="10" customWidth="1"/>
    <col min="62" max="70" width="12.77734375" style="10" customWidth="1"/>
    <col min="71" max="71" width="1" style="10" customWidth="1"/>
    <col min="72" max="72" width="2.77734375" style="10" customWidth="1"/>
    <col min="73" max="82" width="0" style="10" hidden="1" customWidth="1"/>
    <col min="83" max="178" width="11.33203125" style="10" hidden="1" customWidth="1"/>
    <col min="179" max="16384" width="0.6640625" style="10" hidden="1"/>
  </cols>
  <sheetData>
    <row r="1" spans="1:72" ht="16.2" thickBot="1">
      <c r="O1" s="11" t="s">
        <v>444</v>
      </c>
      <c r="P1" s="27">
        <f>'Outline Info'!$B$7</f>
        <v>0</v>
      </c>
      <c r="Z1" s="11" t="s">
        <v>444</v>
      </c>
      <c r="AA1" s="27">
        <f>'Outline Info'!$B$7</f>
        <v>0</v>
      </c>
      <c r="AB1" s="631"/>
      <c r="AK1" s="11" t="s">
        <v>444</v>
      </c>
      <c r="AL1" s="155">
        <f>'Outline Info'!$B$7</f>
        <v>0</v>
      </c>
      <c r="AM1" s="155"/>
      <c r="AN1" s="20"/>
      <c r="AO1" s="20"/>
      <c r="AP1" s="20"/>
      <c r="AQ1" s="20"/>
      <c r="AR1" s="20"/>
      <c r="AS1" s="20"/>
      <c r="AT1" s="20"/>
      <c r="AU1" s="20"/>
      <c r="AV1" s="96" t="s">
        <v>444</v>
      </c>
      <c r="AW1" s="154">
        <f>'Outline Info'!$B$7</f>
        <v>0</v>
      </c>
      <c r="AX1" s="20"/>
      <c r="AY1" s="20"/>
      <c r="AZ1" s="20"/>
      <c r="BA1" s="20"/>
      <c r="BB1" s="20"/>
      <c r="BC1" s="20"/>
      <c r="BD1" s="20"/>
      <c r="BE1" s="20"/>
      <c r="BF1" s="20"/>
      <c r="BG1" s="96" t="s">
        <v>444</v>
      </c>
      <c r="BH1" s="95">
        <f>'Outline Info'!$B$7</f>
        <v>0</v>
      </c>
      <c r="BI1" s="155"/>
      <c r="BJ1" s="20"/>
      <c r="BK1" s="20"/>
      <c r="BL1" s="20"/>
      <c r="BM1" s="20"/>
      <c r="BN1" s="20"/>
      <c r="BO1" s="20"/>
      <c r="BP1" s="20"/>
      <c r="BQ1" s="96" t="s">
        <v>444</v>
      </c>
      <c r="BR1" s="155">
        <f>'Outline Info'!$B$7</f>
        <v>0</v>
      </c>
      <c r="BS1" s="38"/>
    </row>
    <row r="2" spans="1:72" ht="16.2" thickBot="1">
      <c r="A2" s="44"/>
      <c r="B2" s="45"/>
      <c r="C2" s="45"/>
      <c r="D2" s="45"/>
      <c r="E2" s="45"/>
      <c r="F2" s="46"/>
      <c r="G2" s="47"/>
      <c r="H2" s="1212" t="s">
        <v>1039</v>
      </c>
      <c r="I2" s="1213"/>
      <c r="J2" s="1213"/>
      <c r="K2" s="1213"/>
      <c r="L2" s="1213"/>
      <c r="M2" s="1213"/>
      <c r="N2" s="1213"/>
      <c r="O2" s="1214"/>
      <c r="P2" s="48" t="str">
        <f>'Franchise Info'!$B$10</f>
        <v>3501</v>
      </c>
      <c r="R2" s="1149" t="s">
        <v>445</v>
      </c>
      <c r="S2" s="1150"/>
      <c r="T2" s="1150"/>
      <c r="U2" s="1150"/>
      <c r="V2" s="1150"/>
      <c r="W2" s="1150"/>
      <c r="X2" s="1150"/>
      <c r="Y2" s="1150"/>
      <c r="Z2" s="1150"/>
      <c r="AA2" s="1151"/>
      <c r="AB2" s="638"/>
      <c r="AC2" s="1149" t="s">
        <v>1056</v>
      </c>
      <c r="AD2" s="1150"/>
      <c r="AE2" s="1150"/>
      <c r="AF2" s="1150"/>
      <c r="AG2" s="1150"/>
      <c r="AH2" s="1150"/>
      <c r="AI2" s="1150"/>
      <c r="AJ2" s="1150"/>
      <c r="AK2" s="1150"/>
      <c r="AL2" s="1151"/>
      <c r="AM2" s="160"/>
      <c r="AN2" s="1149" t="s">
        <v>768</v>
      </c>
      <c r="AO2" s="1150"/>
      <c r="AP2" s="1150"/>
      <c r="AQ2" s="1150"/>
      <c r="AR2" s="1150"/>
      <c r="AS2" s="1150"/>
      <c r="AT2" s="1150"/>
      <c r="AU2" s="1150"/>
      <c r="AV2" s="1150"/>
      <c r="AW2" s="1151"/>
      <c r="AX2" s="26"/>
      <c r="AY2" s="1221" t="s">
        <v>446</v>
      </c>
      <c r="AZ2" s="1221"/>
      <c r="BA2" s="1221"/>
      <c r="BB2" s="1221"/>
      <c r="BC2" s="1221"/>
      <c r="BD2" s="1221"/>
      <c r="BE2" s="1221"/>
      <c r="BF2" s="1221"/>
      <c r="BG2" s="1221"/>
      <c r="BH2" s="1221"/>
      <c r="BI2" s="26"/>
      <c r="BJ2" s="218"/>
      <c r="BK2" s="218"/>
      <c r="BL2" s="218"/>
      <c r="BM2" s="218"/>
      <c r="BN2" s="218"/>
      <c r="BO2" s="218"/>
      <c r="BP2" s="218"/>
      <c r="BQ2" s="218"/>
      <c r="BR2" s="218"/>
      <c r="BS2" s="202"/>
      <c r="BT2" s="26"/>
    </row>
    <row r="3" spans="1:72" ht="15.75" customHeight="1" thickTop="1" thickBot="1">
      <c r="A3" s="49"/>
      <c r="F3" s="31"/>
      <c r="G3" s="14"/>
      <c r="H3" s="1192" t="s">
        <v>1040</v>
      </c>
      <c r="I3" s="1193"/>
      <c r="J3" s="1193"/>
      <c r="K3" s="1193"/>
      <c r="L3" s="1193"/>
      <c r="M3" s="1193"/>
      <c r="N3" s="1193"/>
      <c r="O3" s="1193"/>
      <c r="P3" s="1194"/>
      <c r="R3" s="125"/>
      <c r="S3" s="126"/>
      <c r="T3" s="126"/>
      <c r="U3" s="126"/>
      <c r="V3" s="126"/>
      <c r="W3" s="126"/>
      <c r="X3" s="126"/>
      <c r="Y3" s="126"/>
      <c r="Z3" s="126"/>
      <c r="AA3" s="127"/>
      <c r="AB3" s="639"/>
      <c r="AC3" s="652" t="s">
        <v>1089</v>
      </c>
      <c r="AD3" s="624"/>
      <c r="AE3" s="624"/>
      <c r="AF3" s="624"/>
      <c r="AG3" s="624"/>
      <c r="AH3" s="624"/>
      <c r="AI3" s="624"/>
      <c r="AJ3" s="624"/>
      <c r="AK3" s="624"/>
      <c r="AL3" s="658"/>
      <c r="AM3" s="161"/>
      <c r="AN3" s="1144" t="s">
        <v>1452</v>
      </c>
      <c r="AO3" s="1145"/>
      <c r="AP3" s="1145"/>
      <c r="AQ3" s="1145"/>
      <c r="AR3" s="1145"/>
      <c r="AS3" s="1145"/>
      <c r="AT3" s="1145"/>
      <c r="AU3" s="1145"/>
      <c r="AV3" s="1145"/>
      <c r="AW3" s="1146"/>
      <c r="AX3" s="20"/>
      <c r="AY3" s="20"/>
      <c r="AZ3" s="20"/>
      <c r="BA3" s="20"/>
      <c r="BB3" s="20"/>
      <c r="BE3" s="20"/>
      <c r="BF3" s="20"/>
      <c r="BG3" s="20"/>
      <c r="BH3" s="20"/>
      <c r="BI3" s="20"/>
      <c r="BJ3" s="1117" t="s">
        <v>1107</v>
      </c>
      <c r="BK3" s="1118"/>
      <c r="BL3" s="1118"/>
      <c r="BM3" s="1118"/>
      <c r="BN3" s="1118"/>
      <c r="BO3" s="1118"/>
      <c r="BP3" s="1118"/>
      <c r="BQ3" s="1118"/>
      <c r="BR3" s="1118"/>
      <c r="BS3" s="1119"/>
    </row>
    <row r="4" spans="1:72" ht="15.75" customHeight="1" thickTop="1">
      <c r="A4" s="49"/>
      <c r="F4" s="31"/>
      <c r="G4" s="14"/>
      <c r="H4" s="1195"/>
      <c r="I4" s="1196"/>
      <c r="J4" s="1196"/>
      <c r="K4" s="1196"/>
      <c r="L4" s="1196"/>
      <c r="M4" s="1196"/>
      <c r="N4" s="1196"/>
      <c r="O4" s="1196"/>
      <c r="P4" s="1197"/>
      <c r="R4" s="223" t="str">
        <f>IF($A$37="Business Administration Co-Op Diploma","  -A British Columbia Secondary School Diploma or equivalent with prior education in English at grade 10 level or higher OR","  -Grade 12 diploma (or equivalent) or mature student status.")</f>
        <v xml:space="preserve">  -Grade 12 diploma (or equivalent) or mature student status.</v>
      </c>
      <c r="T4" s="608"/>
      <c r="U4" s="608"/>
      <c r="V4" s="608"/>
      <c r="W4" s="608"/>
      <c r="X4" s="608"/>
      <c r="Y4" s="608"/>
      <c r="Z4" s="608"/>
      <c r="AA4" s="128"/>
      <c r="AB4" s="639"/>
      <c r="AC4" s="1198" t="str">
        <f>IFERROR(_xlfn.IFNA(VLOOKUP($A$37,WorkExp!$A$1:$F$7,2,FALSE),"not applicable to this program"),"not applicable to this program")</f>
        <v>not applicable to this program</v>
      </c>
      <c r="AD4" s="1199"/>
      <c r="AE4" s="1199"/>
      <c r="AF4" s="1199"/>
      <c r="AG4" s="1199"/>
      <c r="AH4" s="1199"/>
      <c r="AI4" s="1199"/>
      <c r="AJ4" s="1199"/>
      <c r="AK4" s="1199"/>
      <c r="AL4" s="1200"/>
      <c r="AM4" s="161"/>
      <c r="AN4" s="1102"/>
      <c r="AO4" s="1103"/>
      <c r="AP4" s="1103"/>
      <c r="AQ4" s="1103"/>
      <c r="AR4" s="1103"/>
      <c r="AS4" s="1103"/>
      <c r="AT4" s="1103"/>
      <c r="AU4" s="1103"/>
      <c r="AV4" s="1103"/>
      <c r="AW4" s="1104"/>
      <c r="AX4" s="101"/>
      <c r="AY4" s="101" t="s">
        <v>603</v>
      </c>
      <c r="AZ4" s="1123" t="s">
        <v>601</v>
      </c>
      <c r="BA4" s="1123"/>
      <c r="BB4" s="1123"/>
      <c r="BC4" s="1123"/>
      <c r="BD4" s="1123"/>
      <c r="BE4" s="1123"/>
      <c r="BF4" s="1123"/>
      <c r="BG4" s="1123"/>
      <c r="BH4" s="1123"/>
      <c r="BI4" s="97"/>
      <c r="BJ4" s="1136" t="s">
        <v>1811</v>
      </c>
      <c r="BK4" s="1137"/>
      <c r="BL4" s="1137"/>
      <c r="BM4" s="1137"/>
      <c r="BN4" s="1137"/>
      <c r="BO4" s="1137"/>
      <c r="BP4" s="1137"/>
      <c r="BQ4" s="1137"/>
      <c r="BR4" s="1137"/>
      <c r="BS4" s="1138"/>
    </row>
    <row r="5" spans="1:72" ht="15.75" customHeight="1">
      <c r="A5" s="1189" t="str">
        <f>CONCATENATE("Academy of Learning Career College",'Franchise Info'!$B$6)</f>
        <v>Academy of Learning Career College(o/b 0833888 B.C. Ltd.)</v>
      </c>
      <c r="B5" s="1190"/>
      <c r="C5" s="1190"/>
      <c r="D5" s="1190"/>
      <c r="E5" s="1190"/>
      <c r="F5" s="1190"/>
      <c r="G5" s="1191"/>
      <c r="H5" s="1215" t="s">
        <v>447</v>
      </c>
      <c r="I5" s="1216"/>
      <c r="J5" s="1216"/>
      <c r="K5" s="1216"/>
      <c r="L5" s="1216"/>
      <c r="M5" s="1216"/>
      <c r="N5" s="1216"/>
      <c r="O5" s="1216"/>
      <c r="P5" s="1217"/>
      <c r="R5" s="224" t="str">
        <f>IF(OR($A$37="Medical Office Assistant Diploma",$A$37="Medical Office Assistant Diploma w/ Unit Clerk",$A$37="Health Care Assistant Diploma",$A$37="Addictions Worker Certificate",$A$37="Community Service Worker Diploma"),"  -Mature students must successfully completed a Scholastic Level Exam and a Canadian Achievement Survey Test.",IF($A$37="Business Administration Co-Op Diploma","  -Mature students who pass a qualifying test demonstrating sufficient ability to undertake the program (i.e., English",IF($A$37="Graphic Designer Diploma"," - Applicant must possesses a good command of the English language and is able to follow instructions.","  -Mature students must successfully completed an admissions test.")))</f>
        <v xml:space="preserve">  -Mature students must successfully completed an admissions test.</v>
      </c>
      <c r="T5" s="608"/>
      <c r="U5" s="608"/>
      <c r="V5" s="608"/>
      <c r="W5" s="608"/>
      <c r="X5" s="608"/>
      <c r="Y5" s="608"/>
      <c r="Z5" s="608"/>
      <c r="AA5" s="128"/>
      <c r="AB5" s="639"/>
      <c r="AC5" s="1198"/>
      <c r="AD5" s="1199"/>
      <c r="AE5" s="1199"/>
      <c r="AF5" s="1199"/>
      <c r="AG5" s="1199"/>
      <c r="AH5" s="1199"/>
      <c r="AI5" s="1199"/>
      <c r="AJ5" s="1199"/>
      <c r="AK5" s="1199"/>
      <c r="AL5" s="1200"/>
      <c r="AM5" s="161"/>
      <c r="AN5" s="1108" t="s">
        <v>1453</v>
      </c>
      <c r="AO5" s="1106"/>
      <c r="AP5" s="1106"/>
      <c r="AQ5" s="1106"/>
      <c r="AR5" s="1106"/>
      <c r="AS5" s="1106"/>
      <c r="AT5" s="1106"/>
      <c r="AU5" s="1106"/>
      <c r="AV5" s="1106"/>
      <c r="AW5" s="1107"/>
      <c r="AX5" s="20"/>
      <c r="AY5" s="20"/>
      <c r="AZ5" s="1123"/>
      <c r="BA5" s="1123"/>
      <c r="BB5" s="1123"/>
      <c r="BC5" s="1123"/>
      <c r="BD5" s="1123"/>
      <c r="BE5" s="1123"/>
      <c r="BF5" s="1123"/>
      <c r="BG5" s="1123"/>
      <c r="BH5" s="1123"/>
      <c r="BI5" s="97"/>
      <c r="BJ5" s="1139"/>
      <c r="BK5" s="1140"/>
      <c r="BL5" s="1140"/>
      <c r="BM5" s="1140"/>
      <c r="BN5" s="1140"/>
      <c r="BO5" s="1140"/>
      <c r="BP5" s="1140"/>
      <c r="BQ5" s="1140"/>
      <c r="BR5" s="1140"/>
      <c r="BS5" s="1141"/>
    </row>
    <row r="6" spans="1:72" ht="15.75" customHeight="1">
      <c r="A6" s="1189" t="str">
        <f>LEFT('Franchise Info'!$B$4,FIND(", ",'Franchise Info'!$B$4)-1)</f>
        <v>201 - 20621 Logan Ave</v>
      </c>
      <c r="B6" s="1190"/>
      <c r="C6" s="1190"/>
      <c r="D6" s="1190"/>
      <c r="E6" s="1190"/>
      <c r="F6" s="1190"/>
      <c r="G6" s="1191"/>
      <c r="H6" s="1218" t="s">
        <v>649</v>
      </c>
      <c r="I6" s="1219"/>
      <c r="J6" s="1219"/>
      <c r="K6" s="1219"/>
      <c r="L6" s="1219"/>
      <c r="M6" s="1219"/>
      <c r="N6" s="1219"/>
      <c r="O6" s="1219"/>
      <c r="P6" s="1220"/>
      <c r="R6" s="225" t="str">
        <f>IF($A$37="Business Administration Co-Op Diploma","   comprehension and math skills).",IF($A$37="Graphic Designer Diploma","   (All applicants whose first language is not English must provide proof of English proficiency, i.e. IELTS 5.5 or equivalent.)","  -Attended a personal interview with the Director of Admissions."))</f>
        <v xml:space="preserve">  -Attended a personal interview with the Director of Admissions.</v>
      </c>
      <c r="U6" s="608"/>
      <c r="V6" s="608"/>
      <c r="W6" s="608"/>
      <c r="X6" s="608"/>
      <c r="Y6" s="608"/>
      <c r="Z6" s="608"/>
      <c r="AA6" s="128"/>
      <c r="AB6" s="639"/>
      <c r="AC6" s="1198"/>
      <c r="AD6" s="1199"/>
      <c r="AE6" s="1199"/>
      <c r="AF6" s="1199"/>
      <c r="AG6" s="1199"/>
      <c r="AH6" s="1199"/>
      <c r="AI6" s="1199"/>
      <c r="AJ6" s="1199"/>
      <c r="AK6" s="1199"/>
      <c r="AL6" s="1200"/>
      <c r="AM6" s="161"/>
      <c r="AN6" s="1108"/>
      <c r="AO6" s="1106"/>
      <c r="AP6" s="1106"/>
      <c r="AQ6" s="1106"/>
      <c r="AR6" s="1106"/>
      <c r="AS6" s="1106"/>
      <c r="AT6" s="1106"/>
      <c r="AU6" s="1106"/>
      <c r="AV6" s="1106"/>
      <c r="AW6" s="1107"/>
      <c r="AX6" s="101"/>
      <c r="AY6" s="101" t="s">
        <v>602</v>
      </c>
      <c r="AZ6" s="1232" t="s">
        <v>652</v>
      </c>
      <c r="BA6" s="1232"/>
      <c r="BB6" s="1232"/>
      <c r="BC6" s="1232"/>
      <c r="BD6" s="1232"/>
      <c r="BE6" s="1232"/>
      <c r="BF6" s="1232"/>
      <c r="BG6" s="1232"/>
      <c r="BH6" s="1232"/>
      <c r="BI6" s="98"/>
      <c r="BJ6" s="1139"/>
      <c r="BK6" s="1140"/>
      <c r="BL6" s="1140"/>
      <c r="BM6" s="1140"/>
      <c r="BN6" s="1140"/>
      <c r="BO6" s="1140"/>
      <c r="BP6" s="1140"/>
      <c r="BQ6" s="1140"/>
      <c r="BR6" s="1140"/>
      <c r="BS6" s="1141"/>
    </row>
    <row r="7" spans="1:72" ht="15.75" customHeight="1">
      <c r="A7" s="1189" t="str">
        <f>MID('Franchise Info'!$B$4,FIND(", ",'Franchise Info'!$B$4)+2,50)</f>
        <v>Langley, BC, V3A 7R3</v>
      </c>
      <c r="B7" s="1190"/>
      <c r="C7" s="1190"/>
      <c r="D7" s="1190"/>
      <c r="E7" s="1190"/>
      <c r="F7" s="1190"/>
      <c r="G7" s="1191"/>
      <c r="H7" s="13"/>
      <c r="P7" s="51"/>
      <c r="R7" s="225" t="str">
        <f>IF($A$37="Business Administration Co-Op Diploma","  -Applicants who do not meet one of the requirements above must provide proof of English proficiency through an English",IF($A$37="Graphic Designer Diploma"," - Attended a personal interview with the Director of Admissions.",IF(OR($A$37="Help Desk Support Analyst Diploma",$A$37="Computer Service Technician Diploma",$A$37="Computer Service Technician Certificate",$A$37="Network Administrator Diploma (Server 2008)",$A$37="PC Support Specialist Diploma"),"  -Good command of the English language.","")))</f>
        <v/>
      </c>
      <c r="T7" s="608"/>
      <c r="U7" s="608"/>
      <c r="V7" s="608"/>
      <c r="W7" s="608"/>
      <c r="X7" s="608"/>
      <c r="Y7" s="608"/>
      <c r="Z7" s="608"/>
      <c r="AA7" s="128"/>
      <c r="AB7" s="639"/>
      <c r="AC7" s="1198"/>
      <c r="AD7" s="1199"/>
      <c r="AE7" s="1199"/>
      <c r="AF7" s="1199"/>
      <c r="AG7" s="1199"/>
      <c r="AH7" s="1199"/>
      <c r="AI7" s="1199"/>
      <c r="AJ7" s="1199"/>
      <c r="AK7" s="1199"/>
      <c r="AL7" s="1200"/>
      <c r="AM7" s="161"/>
      <c r="AN7" s="1108" t="s">
        <v>1572</v>
      </c>
      <c r="AO7" s="1106"/>
      <c r="AP7" s="1106"/>
      <c r="AQ7" s="1106"/>
      <c r="AR7" s="1106"/>
      <c r="AS7" s="1106"/>
      <c r="AT7" s="1106"/>
      <c r="AU7" s="1106"/>
      <c r="AV7" s="1106"/>
      <c r="AW7" s="1107"/>
      <c r="AX7" s="20"/>
      <c r="AY7" s="20"/>
      <c r="AZ7" s="1232"/>
      <c r="BA7" s="1232"/>
      <c r="BB7" s="1232"/>
      <c r="BC7" s="1232"/>
      <c r="BD7" s="1232"/>
      <c r="BE7" s="1232"/>
      <c r="BF7" s="1232"/>
      <c r="BG7" s="1232"/>
      <c r="BH7" s="1232"/>
      <c r="BI7" s="98"/>
      <c r="BJ7" s="1139"/>
      <c r="BK7" s="1140"/>
      <c r="BL7" s="1140"/>
      <c r="BM7" s="1140"/>
      <c r="BN7" s="1140"/>
      <c r="BO7" s="1140"/>
      <c r="BP7" s="1140"/>
      <c r="BQ7" s="1140"/>
      <c r="BR7" s="1140"/>
      <c r="BS7" s="1141"/>
    </row>
    <row r="8" spans="1:72" ht="15.75" customHeight="1">
      <c r="A8" s="1189" t="str">
        <f>CONCATENATE("Phone:"," ",REPLACE(LEFT('Franchise Info'!$B$7,22),1,8,""),"      Fax:",RIGHT('Franchise Info'!$B$7,14))</f>
        <v>Phone: (604) 532-4040      Fax:(604) 532-4001</v>
      </c>
      <c r="B8" s="1190"/>
      <c r="C8" s="1190"/>
      <c r="D8" s="1190"/>
      <c r="E8" s="1190"/>
      <c r="F8" s="1190"/>
      <c r="G8" s="1191"/>
      <c r="H8" s="13"/>
      <c r="P8" s="51"/>
      <c r="R8" s="225" t="str">
        <f>IF($A$37="Business Administration Co-Op Diploma","   language assessment (IELTS 5.5 or equivalent) or successful completion of the college’s entrance evaluation. International",IF(OR($A$37="Help Desk Support Analyst Diploma",$A$37="Computer Service Technician Diploma",$A$37="Computer Service Technician Certificate",$A$37="Network Administrator Diploma (Server 2008)",$A$37="PC Support Specialist Diploma"),"  -Ability to work with integrated learning system or online learning.",""))</f>
        <v/>
      </c>
      <c r="T8" s="43"/>
      <c r="U8" s="43"/>
      <c r="V8" s="43"/>
      <c r="W8" s="43"/>
      <c r="X8" s="43"/>
      <c r="Y8" s="43"/>
      <c r="Z8" s="43"/>
      <c r="AA8" s="80"/>
      <c r="AB8" s="639"/>
      <c r="AC8" s="1198"/>
      <c r="AD8" s="1199"/>
      <c r="AE8" s="1199"/>
      <c r="AF8" s="1199"/>
      <c r="AG8" s="1199"/>
      <c r="AH8" s="1199"/>
      <c r="AI8" s="1199"/>
      <c r="AJ8" s="1199"/>
      <c r="AK8" s="1199"/>
      <c r="AL8" s="1200"/>
      <c r="AM8" s="161"/>
      <c r="AN8" s="1108"/>
      <c r="AO8" s="1106"/>
      <c r="AP8" s="1106"/>
      <c r="AQ8" s="1106"/>
      <c r="AR8" s="1106"/>
      <c r="AS8" s="1106"/>
      <c r="AT8" s="1106"/>
      <c r="AU8" s="1106"/>
      <c r="AV8" s="1106"/>
      <c r="AW8" s="1107"/>
      <c r="AX8" s="101"/>
      <c r="AY8" s="101" t="s">
        <v>604</v>
      </c>
      <c r="AZ8" s="1226" t="s">
        <v>785</v>
      </c>
      <c r="BA8" s="1226"/>
      <c r="BB8" s="1226"/>
      <c r="BC8" s="1226"/>
      <c r="BD8" s="1226"/>
      <c r="BE8" s="1226"/>
      <c r="BF8" s="1226"/>
      <c r="BG8" s="1226"/>
      <c r="BH8" s="98"/>
      <c r="BI8" s="98"/>
      <c r="BJ8" s="1120" t="s">
        <v>1110</v>
      </c>
      <c r="BK8" s="1121"/>
      <c r="BL8" s="1121"/>
      <c r="BM8" s="1121"/>
      <c r="BN8" s="1121"/>
      <c r="BO8" s="1121"/>
      <c r="BP8" s="1121"/>
      <c r="BQ8" s="1121"/>
      <c r="BR8" s="1121"/>
      <c r="BS8" s="1122"/>
    </row>
    <row r="9" spans="1:72" ht="15.75" customHeight="1" thickBot="1">
      <c r="A9" s="1189" t="str">
        <f>MID('Franchise Info'!$B$7,FIND("E-Mail",'Franchise Info'!$B$7),60)</f>
        <v xml:space="preserve">E-Mail : admin.langley@aolccbc.com                          </v>
      </c>
      <c r="B9" s="1190"/>
      <c r="C9" s="1190"/>
      <c r="D9" s="1190"/>
      <c r="E9" s="1190"/>
      <c r="F9" s="1190"/>
      <c r="G9" s="1191"/>
      <c r="H9" s="13"/>
      <c r="P9" s="51"/>
      <c r="R9" s="937" t="str">
        <f>IF($A$37="Business Administration Co-Op Diploma","   students may be required to take AOLCC ESL program (Pitman English) to bring English to the prerequisite level of acceptance.",IF($A$37="Help Desk Support Analyst Diploma","  -Computerized Office Skills Certificate or equivalent proficiency in Keyboarding, Windows, Word, Excel, Access, Outlook, PCs, and the Internet.",""))</f>
        <v/>
      </c>
      <c r="AA9" s="51"/>
      <c r="AB9" s="639"/>
      <c r="AC9" s="1198"/>
      <c r="AD9" s="1199"/>
      <c r="AE9" s="1199"/>
      <c r="AF9" s="1199"/>
      <c r="AG9" s="1199"/>
      <c r="AH9" s="1199"/>
      <c r="AI9" s="1199"/>
      <c r="AJ9" s="1199"/>
      <c r="AK9" s="1199"/>
      <c r="AL9" s="1200"/>
      <c r="AM9" s="161"/>
      <c r="AN9" s="1108"/>
      <c r="AO9" s="1106"/>
      <c r="AP9" s="1106"/>
      <c r="AQ9" s="1106"/>
      <c r="AR9" s="1106"/>
      <c r="AS9" s="1106"/>
      <c r="AT9" s="1106"/>
      <c r="AU9" s="1106"/>
      <c r="AV9" s="1106"/>
      <c r="AW9" s="1107"/>
      <c r="AX9" s="101"/>
      <c r="AY9" s="101" t="s">
        <v>605</v>
      </c>
      <c r="AZ9" s="1232" t="s">
        <v>786</v>
      </c>
      <c r="BA9" s="1232"/>
      <c r="BB9" s="1232"/>
      <c r="BC9" s="1232"/>
      <c r="BD9" s="1232"/>
      <c r="BE9" s="1232"/>
      <c r="BF9" s="1232"/>
      <c r="BG9" s="1232"/>
      <c r="BH9" s="1232"/>
      <c r="BI9" s="98"/>
      <c r="BJ9" s="1130" t="s">
        <v>1108</v>
      </c>
      <c r="BK9" s="1131"/>
      <c r="BL9" s="1131"/>
      <c r="BM9" s="1131"/>
      <c r="BN9" s="1131"/>
      <c r="BO9" s="1131"/>
      <c r="BP9" s="1131"/>
      <c r="BQ9" s="1131"/>
      <c r="BR9" s="1131"/>
      <c r="BS9" s="1132"/>
    </row>
    <row r="10" spans="1:72" ht="17.25" customHeight="1" thickTop="1" thickBot="1">
      <c r="A10" s="1205" t="s">
        <v>452</v>
      </c>
      <c r="B10" s="1206"/>
      <c r="C10" s="1206"/>
      <c r="D10" s="1206"/>
      <c r="E10" s="1206"/>
      <c r="F10" s="1206"/>
      <c r="G10" s="1206"/>
      <c r="H10" s="1206"/>
      <c r="I10" s="1206"/>
      <c r="J10" s="1206"/>
      <c r="K10" s="1206"/>
      <c r="L10" s="1206"/>
      <c r="M10" s="1206"/>
      <c r="N10" s="1206"/>
      <c r="O10" s="1206"/>
      <c r="P10" s="1207"/>
      <c r="R10" s="1209" t="s">
        <v>1332</v>
      </c>
      <c r="S10" s="1210"/>
      <c r="T10" s="1210"/>
      <c r="U10" s="1210"/>
      <c r="V10" s="1210"/>
      <c r="W10" s="1210"/>
      <c r="X10" s="1210"/>
      <c r="Y10" s="1210"/>
      <c r="Z10" s="1210"/>
      <c r="AA10" s="1211"/>
      <c r="AB10" s="638"/>
      <c r="AC10" s="653" t="s">
        <v>1098</v>
      </c>
      <c r="AD10" s="623"/>
      <c r="AE10" s="623"/>
      <c r="AF10" s="623"/>
      <c r="AG10" s="623"/>
      <c r="AH10" s="623"/>
      <c r="AI10" s="623"/>
      <c r="AJ10" s="623"/>
      <c r="AK10" s="623"/>
      <c r="AL10" s="659"/>
      <c r="AM10" s="160"/>
      <c r="AN10" s="1108" t="s">
        <v>1454</v>
      </c>
      <c r="AO10" s="1106"/>
      <c r="AP10" s="1106"/>
      <c r="AQ10" s="1106"/>
      <c r="AR10" s="1106"/>
      <c r="AS10" s="1106"/>
      <c r="AT10" s="1106"/>
      <c r="AU10" s="1106"/>
      <c r="AV10" s="1106"/>
      <c r="AW10" s="1107"/>
      <c r="AZ10" s="1232"/>
      <c r="BA10" s="1232"/>
      <c r="BB10" s="1232"/>
      <c r="BC10" s="1232"/>
      <c r="BD10" s="1232"/>
      <c r="BE10" s="1232"/>
      <c r="BF10" s="1232"/>
      <c r="BG10" s="1232"/>
      <c r="BH10" s="1232"/>
      <c r="BI10" s="98"/>
      <c r="BJ10" s="1133" t="s">
        <v>1109</v>
      </c>
      <c r="BK10" s="1134"/>
      <c r="BL10" s="1134"/>
      <c r="BM10" s="1134"/>
      <c r="BN10" s="1134"/>
      <c r="BO10" s="1134"/>
      <c r="BP10" s="1134"/>
      <c r="BQ10" s="1134"/>
      <c r="BR10" s="1134"/>
      <c r="BS10" s="1135"/>
    </row>
    <row r="11" spans="1:72" ht="15" customHeight="1" thickTop="1" thickBot="1">
      <c r="A11" s="1208">
        <f>'Student Info'!$B$3</f>
        <v>0</v>
      </c>
      <c r="B11" s="1203"/>
      <c r="C11" s="1203"/>
      <c r="D11" s="627"/>
      <c r="E11" s="627"/>
      <c r="F11" s="628"/>
      <c r="G11" s="627"/>
      <c r="H11" s="627"/>
      <c r="I11" s="627"/>
      <c r="J11" s="627"/>
      <c r="K11" s="721">
        <f>'Student Info'!$B$5</f>
        <v>0</v>
      </c>
      <c r="L11" s="721"/>
      <c r="M11" s="724"/>
      <c r="N11" s="724"/>
      <c r="O11" s="724"/>
      <c r="P11" s="725"/>
      <c r="R11" s="1149" t="s">
        <v>1057</v>
      </c>
      <c r="S11" s="1150"/>
      <c r="T11" s="1150"/>
      <c r="U11" s="1150"/>
      <c r="V11" s="1150"/>
      <c r="W11" s="1150"/>
      <c r="X11" s="1150"/>
      <c r="Y11" s="1150"/>
      <c r="Z11" s="1150"/>
      <c r="AA11" s="1151"/>
      <c r="AB11" s="640"/>
      <c r="AC11" s="669" t="str">
        <f>IFERROR(_xlfn.IFNA(VLOOKUP($A$37,WorkExp!$A$1:$F$7,3,FALSE),"not applicable to this program"),"not applicable to this program")</f>
        <v>not applicable to this program</v>
      </c>
      <c r="AD11" s="72"/>
      <c r="AE11" s="72"/>
      <c r="AF11" s="72"/>
      <c r="AG11" s="72"/>
      <c r="AH11" s="72"/>
      <c r="AI11" s="72"/>
      <c r="AJ11" s="72"/>
      <c r="AK11" s="72"/>
      <c r="AL11" s="660"/>
      <c r="AN11" s="1108"/>
      <c r="AO11" s="1106"/>
      <c r="AP11" s="1106"/>
      <c r="AQ11" s="1106"/>
      <c r="AR11" s="1106"/>
      <c r="AS11" s="1106"/>
      <c r="AT11" s="1106"/>
      <c r="AU11" s="1106"/>
      <c r="AV11" s="1106"/>
      <c r="AW11" s="1107"/>
      <c r="AX11" s="101"/>
      <c r="AY11" s="101" t="s">
        <v>606</v>
      </c>
      <c r="AZ11" s="1233" t="s">
        <v>1114</v>
      </c>
      <c r="BA11" s="1233"/>
      <c r="BB11" s="1233"/>
      <c r="BC11" s="1233"/>
      <c r="BD11" s="1233"/>
      <c r="BE11" s="1233"/>
      <c r="BF11" s="1233"/>
      <c r="BG11" s="1233"/>
      <c r="BH11" s="1233"/>
      <c r="BI11" s="99"/>
      <c r="BJ11" s="1120" t="s">
        <v>1111</v>
      </c>
      <c r="BK11" s="1121"/>
      <c r="BL11" s="1121"/>
      <c r="BM11" s="1121"/>
      <c r="BN11" s="1121"/>
      <c r="BO11" s="1121"/>
      <c r="BP11" s="1121"/>
      <c r="BQ11" s="1121"/>
      <c r="BR11" s="1121"/>
      <c r="BS11" s="1122"/>
    </row>
    <row r="12" spans="1:72" ht="18" customHeight="1">
      <c r="A12" s="49" t="s">
        <v>461</v>
      </c>
      <c r="D12" s="615"/>
      <c r="F12" s="609"/>
      <c r="K12" s="10" t="s">
        <v>1672</v>
      </c>
      <c r="P12" s="51"/>
      <c r="R12" s="968" t="s">
        <v>1063</v>
      </c>
      <c r="S12" s="969"/>
      <c r="T12" s="1201" t="str">
        <f>IFERROR(_xlfn.IFNA(VLOOKUP($A$37,ProgOutline!1:1048576,2),""),"Occupation varies base on the individual certificates chosen.")</f>
        <v/>
      </c>
      <c r="U12" s="1201"/>
      <c r="V12" s="1201"/>
      <c r="W12" s="1201"/>
      <c r="X12" s="1201"/>
      <c r="Y12" s="1201"/>
      <c r="Z12" s="1201"/>
      <c r="AA12" s="1202"/>
      <c r="AB12" s="641"/>
      <c r="AC12" s="654" t="s">
        <v>1097</v>
      </c>
      <c r="AD12" s="71"/>
      <c r="AE12" s="71"/>
      <c r="AF12" s="71"/>
      <c r="AG12" s="71"/>
      <c r="AH12" s="71"/>
      <c r="AI12" s="71"/>
      <c r="AJ12" s="71"/>
      <c r="AK12" s="71"/>
      <c r="AL12" s="661"/>
      <c r="AM12" s="609"/>
      <c r="AN12" s="1108" t="s">
        <v>1455</v>
      </c>
      <c r="AO12" s="1106"/>
      <c r="AP12" s="1106"/>
      <c r="AQ12" s="1106"/>
      <c r="AR12" s="1106"/>
      <c r="AS12" s="1106"/>
      <c r="AT12" s="1106"/>
      <c r="AU12" s="1106"/>
      <c r="AV12" s="1106"/>
      <c r="AW12" s="1107"/>
      <c r="AZ12" s="1233"/>
      <c r="BA12" s="1233"/>
      <c r="BB12" s="1233"/>
      <c r="BC12" s="1233"/>
      <c r="BD12" s="1233"/>
      <c r="BE12" s="1233"/>
      <c r="BF12" s="1233"/>
      <c r="BG12" s="1233"/>
      <c r="BH12" s="1233"/>
      <c r="BI12" s="99"/>
      <c r="BJ12" s="1124" t="s">
        <v>1112</v>
      </c>
      <c r="BK12" s="1125"/>
      <c r="BL12" s="1125"/>
      <c r="BM12" s="1125"/>
      <c r="BN12" s="1125"/>
      <c r="BO12" s="1125"/>
      <c r="BP12" s="1125"/>
      <c r="BQ12" s="1125"/>
      <c r="BR12" s="1125"/>
      <c r="BS12" s="1126"/>
    </row>
    <row r="13" spans="1:72" ht="15" customHeight="1">
      <c r="A13" s="53">
        <f>'Outline Info'!$B$3</f>
        <v>0</v>
      </c>
      <c r="B13" s="17"/>
      <c r="C13" s="17"/>
      <c r="D13" s="17"/>
      <c r="E13" s="17"/>
      <c r="F13" s="18">
        <f>'Outline Info'!$B$2</f>
        <v>0</v>
      </c>
      <c r="G13" s="17"/>
      <c r="H13" s="17"/>
      <c r="I13" s="17"/>
      <c r="J13" s="842"/>
      <c r="K13" s="17"/>
      <c r="L13" s="842"/>
      <c r="M13" s="722">
        <f>'Student Info'!$B$4</f>
        <v>0</v>
      </c>
      <c r="N13" s="722"/>
      <c r="O13" s="17"/>
      <c r="P13" s="52"/>
      <c r="R13" s="970"/>
      <c r="S13" s="971"/>
      <c r="T13" s="1142"/>
      <c r="U13" s="1142"/>
      <c r="V13" s="1142"/>
      <c r="W13" s="1142"/>
      <c r="X13" s="1142"/>
      <c r="Y13" s="1142"/>
      <c r="Z13" s="1142"/>
      <c r="AA13" s="1143"/>
      <c r="AB13" s="642"/>
      <c r="AC13" s="669" t="str">
        <f>IFERROR(_xlfn.IFNA(VLOOKUP($A$37,WorkExp!$A$1:$F$7,4,FALSE),"not applicable to this program"),"not applicable to this program")</f>
        <v>not applicable to this program</v>
      </c>
      <c r="AD13" s="78"/>
      <c r="AE13" s="78"/>
      <c r="AF13" s="78"/>
      <c r="AG13" s="78"/>
      <c r="AH13" s="78"/>
      <c r="AI13" s="78"/>
      <c r="AJ13" s="78"/>
      <c r="AK13" s="78"/>
      <c r="AL13" s="662"/>
      <c r="AM13" s="616"/>
      <c r="AN13" s="1108"/>
      <c r="AO13" s="1106"/>
      <c r="AP13" s="1106"/>
      <c r="AQ13" s="1106"/>
      <c r="AR13" s="1106"/>
      <c r="AS13" s="1106"/>
      <c r="AT13" s="1106"/>
      <c r="AU13" s="1106"/>
      <c r="AV13" s="1106"/>
      <c r="AW13" s="1107"/>
      <c r="AX13" s="102"/>
      <c r="AY13" s="102" t="s">
        <v>607</v>
      </c>
      <c r="AZ13" s="1227" t="s">
        <v>976</v>
      </c>
      <c r="BA13" s="1227"/>
      <c r="BB13" s="1227"/>
      <c r="BC13" s="1227"/>
      <c r="BD13" s="1227"/>
      <c r="BE13" s="1227"/>
      <c r="BF13" s="1227"/>
      <c r="BG13" s="1227"/>
      <c r="BH13" s="1227"/>
      <c r="BI13" s="98"/>
      <c r="BJ13" s="1124"/>
      <c r="BK13" s="1125"/>
      <c r="BL13" s="1125"/>
      <c r="BM13" s="1125"/>
      <c r="BN13" s="1125"/>
      <c r="BO13" s="1125"/>
      <c r="BP13" s="1125"/>
      <c r="BQ13" s="1125"/>
      <c r="BR13" s="1125"/>
      <c r="BS13" s="1126"/>
    </row>
    <row r="14" spans="1:72" ht="15.75" customHeight="1">
      <c r="A14" s="752" t="s">
        <v>468</v>
      </c>
      <c r="B14" s="12"/>
      <c r="C14" s="12"/>
      <c r="F14" s="10" t="s">
        <v>755</v>
      </c>
      <c r="I14" s="51"/>
      <c r="M14" s="10" t="s">
        <v>756</v>
      </c>
      <c r="P14" s="50"/>
      <c r="R14" s="970"/>
      <c r="S14" s="971"/>
      <c r="T14" s="1142"/>
      <c r="U14" s="1142"/>
      <c r="V14" s="1142"/>
      <c r="W14" s="1142"/>
      <c r="X14" s="1142"/>
      <c r="Y14" s="1142"/>
      <c r="Z14" s="1142"/>
      <c r="AA14" s="1143"/>
      <c r="AB14" s="643"/>
      <c r="AC14" s="656" t="s">
        <v>1099</v>
      </c>
      <c r="AD14" s="218"/>
      <c r="AE14" s="218"/>
      <c r="AF14" s="218"/>
      <c r="AG14" s="218"/>
      <c r="AH14" s="218"/>
      <c r="AI14" s="218"/>
      <c r="AJ14" s="218"/>
      <c r="AK14" s="218"/>
      <c r="AL14" s="219"/>
      <c r="AM14" s="179"/>
      <c r="AN14" s="1108"/>
      <c r="AO14" s="1106"/>
      <c r="AP14" s="1106"/>
      <c r="AQ14" s="1106"/>
      <c r="AR14" s="1106"/>
      <c r="AS14" s="1106"/>
      <c r="AT14" s="1106"/>
      <c r="AU14" s="1106"/>
      <c r="AV14" s="1106"/>
      <c r="AW14" s="1107"/>
      <c r="AX14" s="20"/>
      <c r="AY14" s="20"/>
      <c r="AZ14" s="1227"/>
      <c r="BA14" s="1227"/>
      <c r="BB14" s="1227"/>
      <c r="BC14" s="1227"/>
      <c r="BD14" s="1227"/>
      <c r="BE14" s="1227"/>
      <c r="BF14" s="1227"/>
      <c r="BG14" s="1227"/>
      <c r="BH14" s="1227"/>
      <c r="BI14" s="98"/>
      <c r="BJ14" s="1124"/>
      <c r="BK14" s="1125"/>
      <c r="BL14" s="1125"/>
      <c r="BM14" s="1125"/>
      <c r="BN14" s="1125"/>
      <c r="BO14" s="1125"/>
      <c r="BP14" s="1125"/>
      <c r="BQ14" s="1125"/>
      <c r="BR14" s="1125"/>
      <c r="BS14" s="1126"/>
    </row>
    <row r="15" spans="1:72" ht="15.75" customHeight="1" thickBot="1">
      <c r="A15" s="156">
        <f>'Outline Info'!$B$4</f>
        <v>0</v>
      </c>
      <c r="B15" s="17"/>
      <c r="C15" s="17"/>
      <c r="D15" s="17"/>
      <c r="E15" s="17"/>
      <c r="F15" s="705"/>
      <c r="G15" s="17"/>
      <c r="H15" s="17"/>
      <c r="I15" s="17"/>
      <c r="J15" s="842"/>
      <c r="K15" s="17"/>
      <c r="L15" s="842"/>
      <c r="M15" s="17"/>
      <c r="N15" s="842"/>
      <c r="O15" s="17"/>
      <c r="P15" s="52"/>
      <c r="R15" s="970"/>
      <c r="S15" s="971"/>
      <c r="T15" s="1142"/>
      <c r="U15" s="1142"/>
      <c r="V15" s="1142"/>
      <c r="W15" s="1142"/>
      <c r="X15" s="1142"/>
      <c r="Y15" s="1142"/>
      <c r="Z15" s="1142"/>
      <c r="AA15" s="1143"/>
      <c r="AB15" s="644"/>
      <c r="AC15" s="984" t="str">
        <f>IFERROR(_xlfn.IFNA(VLOOKUP($A$37,WorkExp!$A$1:$F$7,5,FALSE),"not applicable to this program"),"not applicable to this program")</f>
        <v>not applicable to this program</v>
      </c>
      <c r="AD15" s="625"/>
      <c r="AE15" s="625"/>
      <c r="AF15" s="625"/>
      <c r="AG15" s="625"/>
      <c r="AH15" s="625"/>
      <c r="AI15" s="625"/>
      <c r="AJ15" s="625"/>
      <c r="AK15" s="625"/>
      <c r="AL15" s="663"/>
      <c r="AM15" s="157"/>
      <c r="AN15" s="1108" t="s">
        <v>1049</v>
      </c>
      <c r="AO15" s="1106"/>
      <c r="AP15" s="1106"/>
      <c r="AQ15" s="1106"/>
      <c r="AR15" s="1106"/>
      <c r="AS15" s="1106"/>
      <c r="AT15" s="1106"/>
      <c r="AU15" s="1106"/>
      <c r="AV15" s="1106"/>
      <c r="AW15" s="1107"/>
      <c r="AX15" s="102"/>
      <c r="AY15" s="102"/>
      <c r="AZ15" s="1227"/>
      <c r="BA15" s="1227"/>
      <c r="BB15" s="1227"/>
      <c r="BC15" s="1227"/>
      <c r="BD15" s="1227"/>
      <c r="BE15" s="1227"/>
      <c r="BF15" s="1227"/>
      <c r="BG15" s="1227"/>
      <c r="BH15" s="1227"/>
      <c r="BI15" s="98"/>
      <c r="BJ15" s="1127"/>
      <c r="BK15" s="1128"/>
      <c r="BL15" s="1128"/>
      <c r="BM15" s="1128"/>
      <c r="BN15" s="1128"/>
      <c r="BO15" s="1128"/>
      <c r="BP15" s="1128"/>
      <c r="BQ15" s="1128"/>
      <c r="BR15" s="1128"/>
      <c r="BS15" s="1129"/>
    </row>
    <row r="16" spans="1:72" ht="15" customHeight="1" thickTop="1" thickBot="1">
      <c r="A16" s="49" t="s">
        <v>1231</v>
      </c>
      <c r="E16" s="26"/>
      <c r="F16" s="706"/>
      <c r="M16" s="26"/>
      <c r="N16" s="26"/>
      <c r="P16" s="51"/>
      <c r="R16" s="970"/>
      <c r="S16" s="971"/>
      <c r="T16" s="1142"/>
      <c r="U16" s="1142"/>
      <c r="V16" s="1142"/>
      <c r="W16" s="1142"/>
      <c r="X16" s="1142"/>
      <c r="Y16" s="1142"/>
      <c r="Z16" s="1142"/>
      <c r="AA16" s="1143"/>
      <c r="AB16" s="642"/>
      <c r="AC16" s="657" t="s">
        <v>1100</v>
      </c>
      <c r="AD16" s="78"/>
      <c r="AE16" s="78"/>
      <c r="AF16" s="78"/>
      <c r="AG16" s="78"/>
      <c r="AH16" s="78"/>
      <c r="AI16" s="78"/>
      <c r="AJ16" s="78"/>
      <c r="AK16" s="78"/>
      <c r="AL16" s="662"/>
      <c r="AM16" s="616"/>
      <c r="AN16" s="1108"/>
      <c r="AO16" s="1106"/>
      <c r="AP16" s="1106"/>
      <c r="AQ16" s="1106"/>
      <c r="AR16" s="1106"/>
      <c r="AS16" s="1106"/>
      <c r="AT16" s="1106"/>
      <c r="AU16" s="1106"/>
      <c r="AV16" s="1106"/>
      <c r="AW16" s="1107"/>
      <c r="AX16" s="20"/>
      <c r="AY16" s="102" t="s">
        <v>608</v>
      </c>
      <c r="AZ16" s="1234" t="s">
        <v>609</v>
      </c>
      <c r="BA16" s="1234"/>
      <c r="BB16" s="1234"/>
      <c r="BC16" s="1234"/>
      <c r="BD16" s="1234"/>
      <c r="BE16" s="1234"/>
      <c r="BF16" s="1234"/>
      <c r="BG16" s="1234"/>
      <c r="BH16" s="1234"/>
      <c r="BI16" s="98"/>
      <c r="BJ16" s="1268" t="s">
        <v>467</v>
      </c>
      <c r="BK16" s="1269"/>
      <c r="BL16" s="1269"/>
      <c r="BM16" s="1269"/>
      <c r="BN16" s="1269"/>
      <c r="BO16" s="1269"/>
      <c r="BP16" s="1269"/>
      <c r="BQ16" s="1269"/>
      <c r="BR16" s="1269"/>
      <c r="BS16" s="1270"/>
    </row>
    <row r="17" spans="1:71" ht="15" customHeight="1" thickBot="1">
      <c r="A17" s="156">
        <f>'Student Info'!$B$6</f>
        <v>0</v>
      </c>
      <c r="B17" s="17"/>
      <c r="C17" s="17"/>
      <c r="D17" s="17"/>
      <c r="E17" s="17"/>
      <c r="F17" s="705"/>
      <c r="G17" s="17"/>
      <c r="H17" s="17"/>
      <c r="I17" s="17"/>
      <c r="J17" s="842"/>
      <c r="K17" s="17"/>
      <c r="L17" s="842"/>
      <c r="M17" s="17"/>
      <c r="N17" s="842"/>
      <c r="O17" s="17"/>
      <c r="P17" s="723"/>
      <c r="R17" s="970"/>
      <c r="S17" s="971"/>
      <c r="T17" s="1142"/>
      <c r="U17" s="1142"/>
      <c r="V17" s="1142"/>
      <c r="W17" s="1142"/>
      <c r="X17" s="1142"/>
      <c r="Y17" s="1142"/>
      <c r="Z17" s="1142"/>
      <c r="AA17" s="1143"/>
      <c r="AB17" s="642"/>
      <c r="AC17" s="985" t="str">
        <f>IFERROR(_xlfn.IFNA(CONCATENATE(VLOOKUP($A$37,WorkExp!$A$1:$F$7,6,FALSE)," Hours"),"not applicable to this program"),"not applicable to this program")</f>
        <v>not applicable to this program</v>
      </c>
      <c r="AD17" s="78"/>
      <c r="AE17" s="78"/>
      <c r="AF17" s="78"/>
      <c r="AG17" s="78"/>
      <c r="AH17" s="78"/>
      <c r="AI17" s="78"/>
      <c r="AJ17" s="78"/>
      <c r="AK17" s="78"/>
      <c r="AL17" s="662"/>
      <c r="AM17" s="616"/>
      <c r="AN17" s="1108"/>
      <c r="AO17" s="1106"/>
      <c r="AP17" s="1106"/>
      <c r="AQ17" s="1106"/>
      <c r="AR17" s="1106"/>
      <c r="AS17" s="1106"/>
      <c r="AT17" s="1106"/>
      <c r="AU17" s="1106"/>
      <c r="AV17" s="1106"/>
      <c r="AW17" s="1107"/>
      <c r="AX17" s="101"/>
      <c r="AY17" s="102"/>
      <c r="AZ17" s="1234"/>
      <c r="BA17" s="1234"/>
      <c r="BB17" s="1234"/>
      <c r="BC17" s="1234"/>
      <c r="BD17" s="1234"/>
      <c r="BE17" s="1234"/>
      <c r="BF17" s="1234"/>
      <c r="BG17" s="1234"/>
      <c r="BH17" s="1234"/>
      <c r="BI17" s="98"/>
      <c r="BJ17" s="670" t="s">
        <v>471</v>
      </c>
      <c r="BK17" s="1005"/>
      <c r="BL17" s="1005"/>
      <c r="BM17" s="1005"/>
      <c r="BN17" s="1005"/>
      <c r="BO17" s="1005"/>
      <c r="BP17" s="1005"/>
      <c r="BQ17" s="1005"/>
      <c r="BR17" s="1005"/>
      <c r="BS17" s="1006"/>
    </row>
    <row r="18" spans="1:71" ht="15.75" customHeight="1" thickBot="1">
      <c r="A18" s="49" t="s">
        <v>1232</v>
      </c>
      <c r="B18" s="26"/>
      <c r="C18" s="26"/>
      <c r="D18" s="26"/>
      <c r="E18" s="26"/>
      <c r="F18" s="26"/>
      <c r="G18" s="26"/>
      <c r="H18" s="26"/>
      <c r="I18" s="26"/>
      <c r="J18" s="26"/>
      <c r="K18" s="26"/>
      <c r="L18" s="26"/>
      <c r="O18" s="1221"/>
      <c r="P18" s="1222"/>
      <c r="R18" s="970"/>
      <c r="S18" s="971"/>
      <c r="T18" s="1142"/>
      <c r="U18" s="1142"/>
      <c r="V18" s="1142"/>
      <c r="W18" s="1142"/>
      <c r="X18" s="1142"/>
      <c r="Y18" s="1142"/>
      <c r="Z18" s="1142"/>
      <c r="AA18" s="1143"/>
      <c r="AB18" s="642"/>
      <c r="AC18" s="1149" t="s">
        <v>1101</v>
      </c>
      <c r="AD18" s="1150"/>
      <c r="AE18" s="1150"/>
      <c r="AF18" s="1150"/>
      <c r="AG18" s="1150"/>
      <c r="AH18" s="1150"/>
      <c r="AI18" s="1150"/>
      <c r="AJ18" s="1150"/>
      <c r="AK18" s="1150"/>
      <c r="AL18" s="1151"/>
      <c r="AM18" s="616"/>
      <c r="AN18" s="1102" t="s">
        <v>1456</v>
      </c>
      <c r="AO18" s="1103"/>
      <c r="AP18" s="1103"/>
      <c r="AQ18" s="1103"/>
      <c r="AR18" s="1103"/>
      <c r="AS18" s="1103"/>
      <c r="AT18" s="1103"/>
      <c r="AU18" s="1103"/>
      <c r="AV18" s="1103"/>
      <c r="AW18" s="1104"/>
      <c r="AY18" s="101" t="s">
        <v>610</v>
      </c>
      <c r="AZ18" s="1227" t="s">
        <v>611</v>
      </c>
      <c r="BA18" s="1227"/>
      <c r="BB18" s="1227"/>
      <c r="BC18" s="1227"/>
      <c r="BD18" s="1227"/>
      <c r="BE18" s="1227"/>
      <c r="BF18" s="1227"/>
      <c r="BG18" s="1227"/>
      <c r="BH18" s="1227"/>
      <c r="BI18" s="98"/>
      <c r="BJ18" s="1259" t="s">
        <v>1336</v>
      </c>
      <c r="BK18" s="1260"/>
      <c r="BL18" s="1260"/>
      <c r="BM18" s="1260"/>
      <c r="BN18" s="1260"/>
      <c r="BO18" s="1260"/>
      <c r="BP18" s="1260"/>
      <c r="BQ18" s="1260"/>
      <c r="BR18" s="1260"/>
      <c r="BS18" s="1261"/>
    </row>
    <row r="19" spans="1:71" ht="15" customHeight="1">
      <c r="A19" s="1176">
        <f>'Outline Info'!$B$5</f>
        <v>0</v>
      </c>
      <c r="B19" s="1177"/>
      <c r="E19" s="1177">
        <f>'Student Info'!$B$7</f>
        <v>0</v>
      </c>
      <c r="F19" s="1177"/>
      <c r="G19" s="1177"/>
      <c r="H19" s="1177"/>
      <c r="I19" s="20"/>
      <c r="J19" s="20"/>
      <c r="M19" s="1203">
        <f>'Student Info'!$B$8</f>
        <v>0</v>
      </c>
      <c r="N19" s="1203"/>
      <c r="O19" s="1203"/>
      <c r="P19" s="1204"/>
      <c r="R19" s="970"/>
      <c r="S19" s="971"/>
      <c r="T19" s="1142"/>
      <c r="U19" s="1142"/>
      <c r="V19" s="1142"/>
      <c r="W19" s="1142"/>
      <c r="X19" s="1142"/>
      <c r="Y19" s="1142"/>
      <c r="Z19" s="1142"/>
      <c r="AA19" s="1143"/>
      <c r="AB19" s="642"/>
      <c r="AC19" s="655"/>
      <c r="AD19" s="78"/>
      <c r="AE19" s="78"/>
      <c r="AF19" s="78"/>
      <c r="AG19" s="78"/>
      <c r="AH19" s="78"/>
      <c r="AI19" s="78"/>
      <c r="AJ19" s="78"/>
      <c r="AK19" s="78"/>
      <c r="AL19" s="662"/>
      <c r="AM19" s="616"/>
      <c r="AN19" s="859" t="s">
        <v>1050</v>
      </c>
      <c r="AO19" s="854"/>
      <c r="AP19" s="854"/>
      <c r="AQ19" s="854"/>
      <c r="AR19" s="854"/>
      <c r="AS19" s="854"/>
      <c r="AT19" s="854"/>
      <c r="AU19" s="854"/>
      <c r="AV19" s="854"/>
      <c r="AW19" s="855"/>
      <c r="AX19" s="20"/>
      <c r="AY19" s="101"/>
      <c r="AZ19" s="1227"/>
      <c r="BA19" s="1227"/>
      <c r="BB19" s="1227"/>
      <c r="BC19" s="1227"/>
      <c r="BD19" s="1227"/>
      <c r="BE19" s="1227"/>
      <c r="BF19" s="1227"/>
      <c r="BG19" s="1227"/>
      <c r="BH19" s="1227"/>
      <c r="BI19" s="98"/>
      <c r="BJ19" s="1259"/>
      <c r="BK19" s="1260"/>
      <c r="BL19" s="1260"/>
      <c r="BM19" s="1260"/>
      <c r="BN19" s="1260"/>
      <c r="BO19" s="1260"/>
      <c r="BP19" s="1260"/>
      <c r="BQ19" s="1260"/>
      <c r="BR19" s="1260"/>
      <c r="BS19" s="1261"/>
    </row>
    <row r="20" spans="1:71" ht="15" customHeight="1" thickBot="1">
      <c r="A20" s="49" t="s">
        <v>479</v>
      </c>
      <c r="E20" s="10" t="s">
        <v>480</v>
      </c>
      <c r="F20" s="706"/>
      <c r="M20" s="10" t="s">
        <v>1223</v>
      </c>
      <c r="O20" s="26"/>
      <c r="P20" s="712"/>
      <c r="R20" s="972"/>
      <c r="S20" s="971"/>
      <c r="T20" s="1142"/>
      <c r="U20" s="1142"/>
      <c r="V20" s="1142"/>
      <c r="W20" s="1142"/>
      <c r="X20" s="1142"/>
      <c r="Y20" s="1142"/>
      <c r="Z20" s="1142"/>
      <c r="AA20" s="1143"/>
      <c r="AB20" s="642"/>
      <c r="AC20" s="655"/>
      <c r="AD20" s="78"/>
      <c r="AE20" s="78"/>
      <c r="AF20" s="78"/>
      <c r="AG20" s="78"/>
      <c r="AH20" s="78"/>
      <c r="AI20" s="78"/>
      <c r="AJ20" s="78"/>
      <c r="AK20" s="78"/>
      <c r="AL20" s="662"/>
      <c r="AM20" s="616"/>
      <c r="AN20" s="1223" t="s">
        <v>1458</v>
      </c>
      <c r="AO20" s="1224"/>
      <c r="AP20" s="1224"/>
      <c r="AQ20" s="1224"/>
      <c r="AR20" s="1224"/>
      <c r="AS20" s="1224"/>
      <c r="AT20" s="1224"/>
      <c r="AU20" s="1224"/>
      <c r="AV20" s="1224"/>
      <c r="AW20" s="1225"/>
      <c r="AX20" s="102"/>
      <c r="AZ20" s="1227"/>
      <c r="BA20" s="1227"/>
      <c r="BB20" s="1227"/>
      <c r="BC20" s="1227"/>
      <c r="BD20" s="1227"/>
      <c r="BE20" s="1227"/>
      <c r="BF20" s="1227"/>
      <c r="BG20" s="1227"/>
      <c r="BH20" s="1227"/>
      <c r="BI20" s="98"/>
      <c r="BJ20" s="1259"/>
      <c r="BK20" s="1260"/>
      <c r="BL20" s="1260"/>
      <c r="BM20" s="1260"/>
      <c r="BN20" s="1260"/>
      <c r="BO20" s="1260"/>
      <c r="BP20" s="1260"/>
      <c r="BQ20" s="1260"/>
      <c r="BR20" s="1260"/>
      <c r="BS20" s="1261"/>
    </row>
    <row r="21" spans="1:71" ht="15.75" customHeight="1" thickTop="1">
      <c r="A21" s="713" t="s">
        <v>1230</v>
      </c>
      <c r="B21" s="714"/>
      <c r="C21" s="714"/>
      <c r="D21" s="715" t="str">
        <f>IF(OR('Student Info'!$B$9="Y",'Student Info'!$B$9="Y with regular price"),I21,H21)</f>
        <v>¨</v>
      </c>
      <c r="E21" s="716" t="s">
        <v>570</v>
      </c>
      <c r="F21" s="715" t="str">
        <f>IF(OR('Student Info'!$B$9="Y",'Student Info'!$B$9="Y with regular price"),H21,I21)</f>
        <v>þ</v>
      </c>
      <c r="G21" s="716" t="s">
        <v>569</v>
      </c>
      <c r="H21" s="717" t="s">
        <v>549</v>
      </c>
      <c r="I21" s="718" t="s">
        <v>551</v>
      </c>
      <c r="J21" s="718"/>
      <c r="K21" s="719" t="s">
        <v>1226</v>
      </c>
      <c r="L21" s="719"/>
      <c r="M21" s="719"/>
      <c r="N21" s="719"/>
      <c r="O21" s="719"/>
      <c r="P21" s="720"/>
      <c r="R21" s="822" t="s">
        <v>1065</v>
      </c>
      <c r="S21" s="971"/>
      <c r="T21" s="1142" t="str">
        <f>IFERROR(_xlfn.IFNA(VLOOKUP($A$37,ProgOutline!1:1048576,3),""),"At the end of these contract term student will be have the knolwege and skills base on the individual certificates chosen")</f>
        <v/>
      </c>
      <c r="U21" s="1142"/>
      <c r="V21" s="1142"/>
      <c r="W21" s="1142"/>
      <c r="X21" s="1142"/>
      <c r="Y21" s="1142"/>
      <c r="Z21" s="1142"/>
      <c r="AA21" s="1143"/>
      <c r="AB21" s="642"/>
      <c r="AC21" s="655"/>
      <c r="AD21" s="78"/>
      <c r="AE21" s="78"/>
      <c r="AF21" s="78"/>
      <c r="AG21" s="78"/>
      <c r="AH21" s="78"/>
      <c r="AI21" s="78"/>
      <c r="AJ21" s="78"/>
      <c r="AK21" s="78"/>
      <c r="AL21" s="662"/>
      <c r="AM21" s="616"/>
      <c r="AN21" s="1223"/>
      <c r="AO21" s="1224"/>
      <c r="AP21" s="1224"/>
      <c r="AQ21" s="1224"/>
      <c r="AR21" s="1224"/>
      <c r="AS21" s="1224"/>
      <c r="AT21" s="1224"/>
      <c r="AU21" s="1224"/>
      <c r="AV21" s="1224"/>
      <c r="AW21" s="1225"/>
      <c r="AY21" s="102" t="s">
        <v>612</v>
      </c>
      <c r="AZ21" s="1235" t="s">
        <v>613</v>
      </c>
      <c r="BA21" s="1235"/>
      <c r="BB21" s="1235"/>
      <c r="BC21" s="1235"/>
      <c r="BD21" s="1235"/>
      <c r="BE21" s="1235"/>
      <c r="BF21" s="1235"/>
      <c r="BG21" s="1235"/>
      <c r="BH21" s="1235"/>
      <c r="BI21" s="98"/>
      <c r="BJ21" s="1259"/>
      <c r="BK21" s="1260"/>
      <c r="BL21" s="1260"/>
      <c r="BM21" s="1260"/>
      <c r="BN21" s="1260"/>
      <c r="BO21" s="1260"/>
      <c r="BP21" s="1260"/>
      <c r="BQ21" s="1260"/>
      <c r="BR21" s="1260"/>
      <c r="BS21" s="1261"/>
    </row>
    <row r="22" spans="1:71" ht="15.75" customHeight="1" thickBot="1">
      <c r="A22" s="49" t="s">
        <v>1224</v>
      </c>
      <c r="D22" s="81" t="str">
        <f>IF('Student Info'!$B$11="Y",I21,H21)</f>
        <v>¨</v>
      </c>
      <c r="E22" s="34" t="s">
        <v>570</v>
      </c>
      <c r="F22" s="81" t="str">
        <f>H21</f>
        <v>¨</v>
      </c>
      <c r="G22" s="34" t="s">
        <v>569</v>
      </c>
      <c r="K22" s="17">
        <f>'Student Info'!$B$10</f>
        <v>0</v>
      </c>
      <c r="L22" s="842"/>
      <c r="M22" s="17"/>
      <c r="N22" s="842"/>
      <c r="O22" s="17"/>
      <c r="P22" s="52"/>
      <c r="R22" s="972"/>
      <c r="S22" s="971"/>
      <c r="T22" s="1142"/>
      <c r="U22" s="1142"/>
      <c r="V22" s="1142"/>
      <c r="W22" s="1142"/>
      <c r="X22" s="1142"/>
      <c r="Y22" s="1142"/>
      <c r="Z22" s="1142"/>
      <c r="AA22" s="1143"/>
      <c r="AB22" s="642"/>
      <c r="AC22" s="666"/>
      <c r="AD22" s="664"/>
      <c r="AE22" s="664"/>
      <c r="AF22" s="664"/>
      <c r="AG22" s="664"/>
      <c r="AH22" s="664"/>
      <c r="AI22" s="664"/>
      <c r="AJ22" s="664"/>
      <c r="AK22" s="664"/>
      <c r="AL22" s="665"/>
      <c r="AM22" s="616"/>
      <c r="AN22" s="1102" t="s">
        <v>1457</v>
      </c>
      <c r="AO22" s="1103"/>
      <c r="AP22" s="1103"/>
      <c r="AQ22" s="1103"/>
      <c r="AR22" s="1103"/>
      <c r="AS22" s="1103"/>
      <c r="AT22" s="1103"/>
      <c r="AU22" s="1103"/>
      <c r="AV22" s="1103"/>
      <c r="AW22" s="1104"/>
      <c r="AX22" s="20"/>
      <c r="AY22" s="102"/>
      <c r="AZ22" s="1235"/>
      <c r="BA22" s="1235"/>
      <c r="BB22" s="1235"/>
      <c r="BC22" s="1235"/>
      <c r="BD22" s="1235"/>
      <c r="BE22" s="1235"/>
      <c r="BF22" s="1235"/>
      <c r="BG22" s="1235"/>
      <c r="BH22" s="1235"/>
      <c r="BI22" s="98"/>
      <c r="BJ22" s="1259"/>
      <c r="BK22" s="1260"/>
      <c r="BL22" s="1260"/>
      <c r="BM22" s="1260"/>
      <c r="BN22" s="1260"/>
      <c r="BO22" s="1260"/>
      <c r="BP22" s="1260"/>
      <c r="BQ22" s="1260"/>
      <c r="BR22" s="1260"/>
      <c r="BS22" s="1261"/>
    </row>
    <row r="23" spans="1:71" ht="15.75" customHeight="1" thickBot="1">
      <c r="A23" s="49" t="s">
        <v>1227</v>
      </c>
      <c r="F23" s="609"/>
      <c r="H23" s="843"/>
      <c r="P23" s="51"/>
      <c r="R23" s="972"/>
      <c r="S23" s="971"/>
      <c r="T23" s="1142"/>
      <c r="U23" s="1142"/>
      <c r="V23" s="1142"/>
      <c r="W23" s="1142"/>
      <c r="X23" s="1142"/>
      <c r="Y23" s="1142"/>
      <c r="Z23" s="1142"/>
      <c r="AA23" s="1143"/>
      <c r="AB23" s="645"/>
      <c r="AC23" s="1149" t="s">
        <v>453</v>
      </c>
      <c r="AD23" s="1150"/>
      <c r="AE23" s="1150"/>
      <c r="AF23" s="1150"/>
      <c r="AG23" s="1150"/>
      <c r="AH23" s="1150"/>
      <c r="AI23" s="1150"/>
      <c r="AJ23" s="1150"/>
      <c r="AK23" s="1150"/>
      <c r="AL23" s="1151"/>
      <c r="AM23" s="617"/>
      <c r="AN23" s="1102"/>
      <c r="AO23" s="1103"/>
      <c r="AP23" s="1103"/>
      <c r="AQ23" s="1103"/>
      <c r="AR23" s="1103"/>
      <c r="AS23" s="1103"/>
      <c r="AT23" s="1103"/>
      <c r="AU23" s="1103"/>
      <c r="AV23" s="1103"/>
      <c r="AW23" s="1104"/>
      <c r="AX23" s="97"/>
      <c r="AZ23" s="1235"/>
      <c r="BA23" s="1235"/>
      <c r="BB23" s="1235"/>
      <c r="BC23" s="1235"/>
      <c r="BD23" s="1235"/>
      <c r="BE23" s="1235"/>
      <c r="BF23" s="1235"/>
      <c r="BG23" s="1235"/>
      <c r="BH23" s="1235"/>
      <c r="BI23" s="98"/>
      <c r="BJ23" s="1259"/>
      <c r="BK23" s="1260"/>
      <c r="BL23" s="1260"/>
      <c r="BM23" s="1260"/>
      <c r="BN23" s="1260"/>
      <c r="BO23" s="1260"/>
      <c r="BP23" s="1260"/>
      <c r="BQ23" s="1260"/>
      <c r="BR23" s="1260"/>
      <c r="BS23" s="1261"/>
    </row>
    <row r="24" spans="1:71" ht="15.75" customHeight="1" thickBot="1">
      <c r="A24" s="753" t="s">
        <v>1228</v>
      </c>
      <c r="B24" s="742"/>
      <c r="C24" s="742"/>
      <c r="D24" s="743" t="str">
        <f>IF('Student Info'!$B$12="Y",I21,H21)</f>
        <v>¨</v>
      </c>
      <c r="E24" s="744" t="s">
        <v>570</v>
      </c>
      <c r="F24" s="743" t="str">
        <f>H21</f>
        <v>¨</v>
      </c>
      <c r="G24" s="744" t="s">
        <v>569</v>
      </c>
      <c r="H24" s="745"/>
      <c r="I24" s="745"/>
      <c r="J24" s="745"/>
      <c r="K24" s="742"/>
      <c r="L24" s="742"/>
      <c r="M24" s="1187"/>
      <c r="N24" s="1187"/>
      <c r="O24" s="1187"/>
      <c r="P24" s="1188"/>
      <c r="R24" s="972"/>
      <c r="S24" s="971"/>
      <c r="T24" s="1142"/>
      <c r="U24" s="1142"/>
      <c r="V24" s="1142"/>
      <c r="W24" s="1142"/>
      <c r="X24" s="1142"/>
      <c r="Y24" s="1142"/>
      <c r="Z24" s="1142"/>
      <c r="AA24" s="1143"/>
      <c r="AB24" s="645"/>
      <c r="AC24" s="49"/>
      <c r="AL24" s="51"/>
      <c r="AM24" s="617"/>
      <c r="AN24" s="1109" t="s">
        <v>1051</v>
      </c>
      <c r="AO24" s="1110"/>
      <c r="AP24" s="1110"/>
      <c r="AQ24" s="1110"/>
      <c r="AR24" s="1110"/>
      <c r="AS24" s="1110"/>
      <c r="AT24" s="1110"/>
      <c r="AU24" s="1110"/>
      <c r="AV24" s="1110"/>
      <c r="AW24" s="1111"/>
      <c r="AX24" s="102"/>
      <c r="AY24" s="102" t="s">
        <v>614</v>
      </c>
      <c r="AZ24" s="1236" t="s">
        <v>1676</v>
      </c>
      <c r="BA24" s="1237"/>
      <c r="BB24" s="1237"/>
      <c r="BC24" s="1237"/>
      <c r="BD24" s="1237"/>
      <c r="BE24" s="1237"/>
      <c r="BF24" s="1237"/>
      <c r="BG24" s="1237"/>
      <c r="BH24" s="1237"/>
      <c r="BI24" s="98"/>
      <c r="BJ24" s="1259"/>
      <c r="BK24" s="1260"/>
      <c r="BL24" s="1260"/>
      <c r="BM24" s="1260"/>
      <c r="BN24" s="1260"/>
      <c r="BO24" s="1260"/>
      <c r="BP24" s="1260"/>
      <c r="BQ24" s="1260"/>
      <c r="BR24" s="1260"/>
      <c r="BS24" s="1261"/>
    </row>
    <row r="25" spans="1:71" ht="15.75" hidden="1" customHeight="1">
      <c r="A25" s="49"/>
      <c r="M25" s="208"/>
      <c r="N25" s="208"/>
      <c r="O25" s="17"/>
      <c r="P25" s="52"/>
      <c r="R25" s="972"/>
      <c r="S25" s="971"/>
      <c r="T25" s="1142"/>
      <c r="U25" s="1142"/>
      <c r="V25" s="1142"/>
      <c r="W25" s="1142"/>
      <c r="X25" s="1142"/>
      <c r="Y25" s="1142"/>
      <c r="Z25" s="1142"/>
      <c r="AA25" s="1143"/>
      <c r="AB25" s="640"/>
      <c r="AC25" s="49" t="s">
        <v>651</v>
      </c>
      <c r="AK25" s="1172" t="s">
        <v>31</v>
      </c>
      <c r="AL25" s="1173"/>
      <c r="AN25" s="1109"/>
      <c r="AO25" s="1110"/>
      <c r="AP25" s="1110"/>
      <c r="AQ25" s="1110"/>
      <c r="AR25" s="1110"/>
      <c r="AS25" s="1110"/>
      <c r="AT25" s="1110"/>
      <c r="AU25" s="1110"/>
      <c r="AV25" s="1110"/>
      <c r="AW25" s="1111"/>
      <c r="AX25" s="97"/>
      <c r="AY25" s="97"/>
      <c r="AZ25" s="1237"/>
      <c r="BA25" s="1237"/>
      <c r="BB25" s="1237"/>
      <c r="BC25" s="1237"/>
      <c r="BD25" s="1237"/>
      <c r="BE25" s="1237"/>
      <c r="BF25" s="1237"/>
      <c r="BG25" s="1237"/>
      <c r="BH25" s="1237"/>
      <c r="BI25" s="98"/>
      <c r="BJ25" s="1004"/>
      <c r="BK25" s="1005"/>
      <c r="BL25" s="1005"/>
      <c r="BM25" s="1005"/>
      <c r="BN25" s="1005"/>
      <c r="BO25" s="1005"/>
      <c r="BP25" s="1005"/>
      <c r="BQ25" s="1005"/>
      <c r="BR25" s="1005"/>
      <c r="BS25" s="1006"/>
    </row>
    <row r="26" spans="1:71" ht="15.75" customHeight="1" thickTop="1">
      <c r="A26" s="1156" t="s">
        <v>650</v>
      </c>
      <c r="B26" s="1152">
        <f>'Student Info'!$B$13</f>
        <v>0</v>
      </c>
      <c r="C26" s="1153"/>
      <c r="D26" s="1178">
        <f>'Student Info'!$B$13</f>
        <v>0</v>
      </c>
      <c r="E26" s="1179"/>
      <c r="F26" s="1180"/>
      <c r="G26" s="1167">
        <f>'Student Info'!$B$13</f>
        <v>0</v>
      </c>
      <c r="H26" s="1184" t="s">
        <v>546</v>
      </c>
      <c r="I26" s="730"/>
      <c r="J26" s="730"/>
      <c r="K26" s="731"/>
      <c r="L26" s="731"/>
      <c r="M26" s="731"/>
      <c r="N26" s="731"/>
      <c r="O26" s="731"/>
      <c r="P26" s="732"/>
      <c r="R26" s="972"/>
      <c r="S26" s="971"/>
      <c r="T26" s="1142"/>
      <c r="U26" s="1142"/>
      <c r="V26" s="1142"/>
      <c r="W26" s="1142"/>
      <c r="X26" s="1142"/>
      <c r="Y26" s="1142"/>
      <c r="Z26" s="1142"/>
      <c r="AA26" s="1143"/>
      <c r="AB26" s="646"/>
      <c r="AC26" s="49"/>
      <c r="AE26" s="105"/>
      <c r="AF26" s="105"/>
      <c r="AK26" s="177"/>
      <c r="AL26" s="178"/>
      <c r="AM26" s="65"/>
      <c r="AN26" s="1096" t="s">
        <v>1570</v>
      </c>
      <c r="AO26" s="1097"/>
      <c r="AP26" s="1097"/>
      <c r="AQ26" s="1097"/>
      <c r="AR26" s="1097"/>
      <c r="AS26" s="1097"/>
      <c r="AT26" s="1097"/>
      <c r="AU26" s="1097"/>
      <c r="AV26" s="1097"/>
      <c r="AW26" s="1098"/>
      <c r="AY26" s="102"/>
      <c r="AZ26" s="1237"/>
      <c r="BA26" s="1237"/>
      <c r="BB26" s="1237"/>
      <c r="BC26" s="1237"/>
      <c r="BD26" s="1237"/>
      <c r="BE26" s="1237"/>
      <c r="BF26" s="1237"/>
      <c r="BG26" s="1237"/>
      <c r="BH26" s="1237"/>
      <c r="BI26" s="98"/>
      <c r="BJ26" s="686" t="s">
        <v>551</v>
      </c>
      <c r="BK26" s="687" t="s">
        <v>866</v>
      </c>
      <c r="BL26" s="15"/>
      <c r="BM26" s="15"/>
      <c r="BN26" s="16"/>
      <c r="BO26" s="688" t="s">
        <v>551</v>
      </c>
      <c r="BP26" s="687" t="s">
        <v>449</v>
      </c>
      <c r="BQ26" s="15"/>
      <c r="BR26" s="15"/>
      <c r="BS26" s="672"/>
    </row>
    <row r="27" spans="1:71" ht="15.75" customHeight="1">
      <c r="A27" s="1157"/>
      <c r="B27" s="1154"/>
      <c r="C27" s="1155"/>
      <c r="D27" s="1181"/>
      <c r="E27" s="1182"/>
      <c r="F27" s="1183"/>
      <c r="G27" s="1168"/>
      <c r="H27" s="1185"/>
      <c r="I27" s="733"/>
      <c r="J27" s="734" t="str">
        <f>IF('Student Info'!$B$14="M",I21,H21)</f>
        <v>¨</v>
      </c>
      <c r="K27" s="735" t="s">
        <v>572</v>
      </c>
      <c r="L27" s="734" t="str">
        <f>IF('Student Info'!$B$14="F",I21,H21)</f>
        <v>¨</v>
      </c>
      <c r="M27" s="735" t="s">
        <v>571</v>
      </c>
      <c r="N27" s="734" t="str">
        <f>IF('Student Info'!$B$14="Non-Binary",I21,H21)</f>
        <v>þ</v>
      </c>
      <c r="O27" s="735" t="s">
        <v>1806</v>
      </c>
      <c r="P27" s="736"/>
      <c r="R27" s="972"/>
      <c r="S27" s="971"/>
      <c r="T27" s="1142"/>
      <c r="U27" s="1142"/>
      <c r="V27" s="1142"/>
      <c r="W27" s="1142"/>
      <c r="X27" s="1142"/>
      <c r="Y27" s="1142"/>
      <c r="Z27" s="1142"/>
      <c r="AA27" s="1143"/>
      <c r="AB27" s="647"/>
      <c r="AC27" s="49"/>
      <c r="AD27" s="10" t="s">
        <v>1102</v>
      </c>
      <c r="AE27" s="105"/>
      <c r="AF27" s="105"/>
      <c r="AK27" s="1238">
        <f>ROUND(AK38-SUM(AK28:AL36),0)</f>
        <v>0</v>
      </c>
      <c r="AL27" s="1239"/>
      <c r="AM27" s="158"/>
      <c r="AN27" s="1096"/>
      <c r="AO27" s="1097"/>
      <c r="AP27" s="1097"/>
      <c r="AQ27" s="1097"/>
      <c r="AR27" s="1097"/>
      <c r="AS27" s="1097"/>
      <c r="AT27" s="1097"/>
      <c r="AU27" s="1097"/>
      <c r="AV27" s="1097"/>
      <c r="AW27" s="1098"/>
      <c r="AY27" s="102"/>
      <c r="AZ27" s="1237"/>
      <c r="BA27" s="1237"/>
      <c r="BB27" s="1237"/>
      <c r="BC27" s="1237"/>
      <c r="BD27" s="1237"/>
      <c r="BE27" s="1237"/>
      <c r="BF27" s="1237"/>
      <c r="BG27" s="1237"/>
      <c r="BH27" s="1237"/>
      <c r="BI27" s="98"/>
      <c r="BJ27" s="686" t="s">
        <v>551</v>
      </c>
      <c r="BK27" s="687" t="s">
        <v>450</v>
      </c>
      <c r="BL27" s="15"/>
      <c r="BM27" s="15"/>
      <c r="BN27" s="16"/>
      <c r="BO27" s="688" t="s">
        <v>551</v>
      </c>
      <c r="BP27" s="687" t="s">
        <v>451</v>
      </c>
      <c r="BQ27" s="15"/>
      <c r="BR27" s="15"/>
      <c r="BS27" s="672"/>
    </row>
    <row r="28" spans="1:71" ht="15.75" customHeight="1" thickBot="1">
      <c r="A28" s="737"/>
      <c r="B28" s="1171" t="s">
        <v>1625</v>
      </c>
      <c r="C28" s="1171"/>
      <c r="D28" s="1171" t="s">
        <v>1628</v>
      </c>
      <c r="E28" s="1171"/>
      <c r="F28" s="1171"/>
      <c r="G28" s="738" t="s">
        <v>1627</v>
      </c>
      <c r="H28" s="1186"/>
      <c r="I28" s="739"/>
      <c r="J28" s="739"/>
      <c r="K28" s="751" t="s">
        <v>549</v>
      </c>
      <c r="L28" s="751"/>
      <c r="M28" s="751" t="s">
        <v>551</v>
      </c>
      <c r="N28" s="751"/>
      <c r="O28" s="740"/>
      <c r="P28" s="741"/>
      <c r="R28" s="972"/>
      <c r="S28" s="971"/>
      <c r="T28" s="1142"/>
      <c r="U28" s="1142"/>
      <c r="V28" s="1142"/>
      <c r="W28" s="1142"/>
      <c r="X28" s="1142"/>
      <c r="Y28" s="1142"/>
      <c r="Z28" s="1142"/>
      <c r="AA28" s="1143"/>
      <c r="AB28" s="647"/>
      <c r="AC28" s="49"/>
      <c r="AD28" s="10" t="s">
        <v>465</v>
      </c>
      <c r="AG28" s="620"/>
      <c r="AH28" s="620"/>
      <c r="AI28" s="620"/>
      <c r="AJ28" s="620"/>
      <c r="AK28" s="1228">
        <f>ROUND(IF('Outline Admin'!$A$5="Individual Courses",0,'Outline Info'!$B$14),0)</f>
        <v>250</v>
      </c>
      <c r="AL28" s="1229"/>
      <c r="AM28" s="158"/>
      <c r="AN28" s="1109" t="s">
        <v>1459</v>
      </c>
      <c r="AO28" s="1110"/>
      <c r="AP28" s="1110"/>
      <c r="AQ28" s="1110"/>
      <c r="AR28" s="1110"/>
      <c r="AS28" s="1110"/>
      <c r="AT28" s="1110"/>
      <c r="AU28" s="1110"/>
      <c r="AV28" s="1110"/>
      <c r="AW28" s="1111"/>
      <c r="AZ28" s="1237"/>
      <c r="BA28" s="1237"/>
      <c r="BB28" s="1237"/>
      <c r="BC28" s="1237"/>
      <c r="BD28" s="1237"/>
      <c r="BE28" s="1237"/>
      <c r="BF28" s="1237"/>
      <c r="BG28" s="1237"/>
      <c r="BH28" s="1237"/>
      <c r="BI28" s="98"/>
      <c r="BJ28" s="686" t="s">
        <v>551</v>
      </c>
      <c r="BK28" s="687" t="s">
        <v>454</v>
      </c>
      <c r="BL28" s="15"/>
      <c r="BM28" s="15"/>
      <c r="BN28" s="16"/>
      <c r="BO28" s="688" t="s">
        <v>551</v>
      </c>
      <c r="BP28" s="687" t="s">
        <v>1810</v>
      </c>
      <c r="BQ28" s="15"/>
      <c r="BR28" s="15"/>
      <c r="BS28" s="672"/>
    </row>
    <row r="29" spans="1:71" ht="15.75" customHeight="1" thickBot="1">
      <c r="A29" s="1149" t="s">
        <v>1233</v>
      </c>
      <c r="B29" s="1150"/>
      <c r="C29" s="1150"/>
      <c r="D29" s="1150"/>
      <c r="E29" s="1150"/>
      <c r="F29" s="1150"/>
      <c r="G29" s="1150"/>
      <c r="H29" s="1150"/>
      <c r="I29" s="1150"/>
      <c r="J29" s="1150"/>
      <c r="K29" s="1150"/>
      <c r="L29" s="1150"/>
      <c r="M29" s="1150"/>
      <c r="N29" s="1150"/>
      <c r="O29" s="1150"/>
      <c r="P29" s="1151"/>
      <c r="R29" s="972"/>
      <c r="S29" s="971"/>
      <c r="T29" s="1142"/>
      <c r="U29" s="1142"/>
      <c r="V29" s="1142"/>
      <c r="W29" s="1142"/>
      <c r="X29" s="1142"/>
      <c r="Y29" s="1142"/>
      <c r="Z29" s="1142"/>
      <c r="AA29" s="1143"/>
      <c r="AB29" s="640"/>
      <c r="AC29" s="49"/>
      <c r="AD29" s="10" t="s">
        <v>466</v>
      </c>
      <c r="AK29" s="1174">
        <v>0</v>
      </c>
      <c r="AL29" s="1175"/>
      <c r="AN29" s="1109"/>
      <c r="AO29" s="1110"/>
      <c r="AP29" s="1110"/>
      <c r="AQ29" s="1110"/>
      <c r="AR29" s="1110"/>
      <c r="AS29" s="1110"/>
      <c r="AT29" s="1110"/>
      <c r="AU29" s="1110"/>
      <c r="AV29" s="1110"/>
      <c r="AW29" s="1111"/>
      <c r="AX29" s="102"/>
      <c r="AZ29" s="1237"/>
      <c r="BA29" s="1237"/>
      <c r="BB29" s="1237"/>
      <c r="BC29" s="1237"/>
      <c r="BD29" s="1237"/>
      <c r="BE29" s="1237"/>
      <c r="BF29" s="1237"/>
      <c r="BG29" s="1237"/>
      <c r="BH29" s="1237"/>
      <c r="BI29" s="98"/>
      <c r="BJ29" s="686" t="s">
        <v>551</v>
      </c>
      <c r="BK29" s="687" t="s">
        <v>456</v>
      </c>
      <c r="BL29" s="15"/>
      <c r="BM29" s="15"/>
      <c r="BN29" s="16"/>
      <c r="BO29" s="688" t="s">
        <v>551</v>
      </c>
      <c r="BP29" s="687" t="s">
        <v>455</v>
      </c>
      <c r="BQ29" s="15"/>
      <c r="BR29" s="15"/>
      <c r="BS29" s="672"/>
    </row>
    <row r="30" spans="1:71" ht="15.75" customHeight="1">
      <c r="A30" s="727" t="s">
        <v>1234</v>
      </c>
      <c r="B30" s="45"/>
      <c r="C30" s="45"/>
      <c r="D30" s="45"/>
      <c r="E30" s="45"/>
      <c r="F30" s="46"/>
      <c r="G30" s="45"/>
      <c r="H30" s="45"/>
      <c r="I30" s="45"/>
      <c r="J30" s="45"/>
      <c r="K30" s="45"/>
      <c r="M30" s="632" t="s">
        <v>549</v>
      </c>
      <c r="N30" s="632"/>
      <c r="O30" s="632" t="s">
        <v>551</v>
      </c>
      <c r="P30" s="726"/>
      <c r="R30" s="972"/>
      <c r="S30" s="971"/>
      <c r="T30" s="1142"/>
      <c r="U30" s="1142"/>
      <c r="V30" s="1142"/>
      <c r="W30" s="1142"/>
      <c r="X30" s="1142"/>
      <c r="Y30" s="1142"/>
      <c r="Z30" s="1142"/>
      <c r="AA30" s="1143"/>
      <c r="AB30" s="640"/>
      <c r="AC30" s="49"/>
      <c r="AD30" s="10" t="s">
        <v>469</v>
      </c>
      <c r="AK30" s="1228">
        <f>ROUND(_xlfn.IFNA(VLOOKUP("BOOKS"&amp;"*",'Outline Admin'!$A$7:$F$53,6,FALSE),0),0)</f>
        <v>0</v>
      </c>
      <c r="AL30" s="1229"/>
      <c r="AN30" s="1099" t="s">
        <v>1460</v>
      </c>
      <c r="AO30" s="1100"/>
      <c r="AP30" s="1100"/>
      <c r="AQ30" s="1100"/>
      <c r="AR30" s="1100"/>
      <c r="AS30" s="1100"/>
      <c r="AT30" s="1100"/>
      <c r="AU30" s="1100"/>
      <c r="AV30" s="1100"/>
      <c r="AW30" s="1101"/>
      <c r="AX30" s="97"/>
      <c r="AZ30" s="1237"/>
      <c r="BA30" s="1237"/>
      <c r="BB30" s="1237"/>
      <c r="BC30" s="1237"/>
      <c r="BD30" s="1237"/>
      <c r="BE30" s="1237"/>
      <c r="BF30" s="1237"/>
      <c r="BG30" s="1237"/>
      <c r="BH30" s="1237"/>
      <c r="BI30" s="98"/>
      <c r="BJ30" s="686" t="s">
        <v>551</v>
      </c>
      <c r="BK30" s="687" t="s">
        <v>459</v>
      </c>
      <c r="BL30" s="15"/>
      <c r="BM30" s="15"/>
      <c r="BN30" s="16"/>
      <c r="BO30" s="688" t="s">
        <v>551</v>
      </c>
      <c r="BP30" s="687" t="s">
        <v>457</v>
      </c>
      <c r="BQ30" s="15"/>
      <c r="BR30" s="15"/>
      <c r="BS30" s="672"/>
    </row>
    <row r="31" spans="1:71" ht="15.75" customHeight="1">
      <c r="A31" s="49" t="s">
        <v>1328</v>
      </c>
      <c r="F31" s="706"/>
      <c r="L31" s="668" t="str">
        <f>IF('Student Info'!$B$16="Y",$O$30,$M$30)</f>
        <v>¨</v>
      </c>
      <c r="M31" s="10" t="s">
        <v>796</v>
      </c>
      <c r="N31" s="668" t="str">
        <f>IF('Student Info'!$B$16="N",$O$30,$M$30)</f>
        <v>¨</v>
      </c>
      <c r="O31" s="10" t="s">
        <v>569</v>
      </c>
      <c r="P31" s="51"/>
      <c r="R31" s="972"/>
      <c r="S31" s="971"/>
      <c r="T31" s="1142"/>
      <c r="U31" s="1142"/>
      <c r="V31" s="1142"/>
      <c r="W31" s="1142"/>
      <c r="X31" s="1142"/>
      <c r="Y31" s="1142"/>
      <c r="Z31" s="1142"/>
      <c r="AA31" s="1143"/>
      <c r="AB31" s="640"/>
      <c r="AC31" s="49"/>
      <c r="AD31" s="10" t="s">
        <v>766</v>
      </c>
      <c r="AK31" s="1228">
        <v>0</v>
      </c>
      <c r="AL31" s="1229"/>
      <c r="AN31" s="1102" t="s">
        <v>1461</v>
      </c>
      <c r="AO31" s="1103"/>
      <c r="AP31" s="1103"/>
      <c r="AQ31" s="1103"/>
      <c r="AR31" s="1103"/>
      <c r="AS31" s="1103"/>
      <c r="AT31" s="1103"/>
      <c r="AU31" s="1103"/>
      <c r="AV31" s="1103"/>
      <c r="AW31" s="1104"/>
      <c r="AX31" s="101"/>
      <c r="AY31" s="102" t="s">
        <v>616</v>
      </c>
      <c r="AZ31" s="1227" t="s">
        <v>617</v>
      </c>
      <c r="BA31" s="1227"/>
      <c r="BB31" s="1227"/>
      <c r="BC31" s="1227"/>
      <c r="BD31" s="1227"/>
      <c r="BE31" s="1227"/>
      <c r="BF31" s="1227"/>
      <c r="BG31" s="1227"/>
      <c r="BH31" s="1227"/>
      <c r="BI31" s="98"/>
      <c r="BJ31" s="686" t="s">
        <v>551</v>
      </c>
      <c r="BK31" s="687" t="s">
        <v>463</v>
      </c>
      <c r="BL31" s="15"/>
      <c r="BM31" s="15"/>
      <c r="BN31" s="16"/>
      <c r="BO31" s="688" t="str">
        <f>IF(_xlfn.IFNA(VLOOKUP($A$37,WorkExp!$A$1:$F$7,2,FALSE),"FALSE")="FALSE","o","þ")</f>
        <v>o</v>
      </c>
      <c r="BP31" s="687" t="s">
        <v>460</v>
      </c>
      <c r="BQ31" s="15"/>
      <c r="BR31" s="15"/>
      <c r="BS31" s="672"/>
    </row>
    <row r="32" spans="1:71" ht="15.75" customHeight="1">
      <c r="A32" s="692" t="s">
        <v>1235</v>
      </c>
      <c r="C32" s="668"/>
      <c r="F32" s="706"/>
      <c r="G32" s="845" t="str">
        <f>IF('Student Info'!$B$17="First Nations",$O$30,$M$30)</f>
        <v>¨</v>
      </c>
      <c r="H32" s="847" t="s">
        <v>1329</v>
      </c>
      <c r="I32" s="844" t="str">
        <f>IF('Student Info'!$B$17="Métis",$O$30,$M$30)</f>
        <v>¨</v>
      </c>
      <c r="J32" s="844"/>
      <c r="K32" s="847" t="s">
        <v>1330</v>
      </c>
      <c r="L32" s="844" t="str">
        <f>IF('Student Info'!$B$17="Inuit",$O$30,$M$30)</f>
        <v>¨</v>
      </c>
      <c r="M32" s="846" t="s">
        <v>1331</v>
      </c>
      <c r="N32" s="843"/>
      <c r="O32" s="843"/>
      <c r="P32" s="51"/>
      <c r="R32" s="972"/>
      <c r="S32" s="971"/>
      <c r="T32" s="1142"/>
      <c r="U32" s="1142"/>
      <c r="V32" s="1142"/>
      <c r="W32" s="1142"/>
      <c r="X32" s="1142"/>
      <c r="Y32" s="1142"/>
      <c r="Z32" s="1142"/>
      <c r="AA32" s="1143"/>
      <c r="AB32" s="640"/>
      <c r="AC32" s="49"/>
      <c r="AD32" s="10" t="s">
        <v>470</v>
      </c>
      <c r="AK32" s="1228">
        <f>ROUND(SUMIF('Outline Admin'!$A$7:$A$53,"ESL0102-Books",'Outline Admin'!$F$7:$F$53)+SUMIF('Outline Admin'!$A$7:$A$53,"ESL0104-Books",'Outline Admin'!$F$7:$F$53)+SUMIF('Outline Admin'!$A$7:$A$53,"ESL0402-Books",'Outline Admin'!$F$7:$F$53)+SUMIF('Outline Admin'!$A$7:$A$53,"ESL0404-Books",'Outline Admin'!$F$7:$F$53)+SUMIF('Outline Admin'!$A$7:$A$53,"ESL0802-Books",'Outline Admin'!$F$7:$F$53)+SUMIF('Outline Admin'!$A$7:$A$53,"ESL0804-Books",'Outline Admin'!$F$7:$F$53)+SUMIF('Outline Admin'!$A$7:$A$53,"ESL1202-Books",'Outline Admin'!$F$7:$F$53)+SUMIF('Outline Admin'!$A$7:$A$53,"ESL1204-Books",'Outline Admin'!$F$7:$F$53),0)</f>
        <v>0</v>
      </c>
      <c r="AL32" s="1229"/>
      <c r="AN32" s="1102"/>
      <c r="AO32" s="1103"/>
      <c r="AP32" s="1103"/>
      <c r="AQ32" s="1103"/>
      <c r="AR32" s="1103"/>
      <c r="AS32" s="1103"/>
      <c r="AT32" s="1103"/>
      <c r="AU32" s="1103"/>
      <c r="AV32" s="1103"/>
      <c r="AW32" s="1104"/>
      <c r="AX32" s="100"/>
      <c r="AY32" s="102"/>
      <c r="AZ32" s="1227"/>
      <c r="BA32" s="1227"/>
      <c r="BB32" s="1227"/>
      <c r="BC32" s="1227"/>
      <c r="BD32" s="1227"/>
      <c r="BE32" s="1227"/>
      <c r="BF32" s="1227"/>
      <c r="BG32" s="1227"/>
      <c r="BH32" s="1227"/>
      <c r="BI32" s="98"/>
      <c r="BJ32" s="686" t="s">
        <v>551</v>
      </c>
      <c r="BK32" s="687" t="s">
        <v>1809</v>
      </c>
      <c r="BL32" s="15"/>
      <c r="BM32" s="15"/>
      <c r="BN32" s="16"/>
      <c r="BO32" s="688" t="str">
        <f>IF(_xlfn.IFNA(VLOOKUP($A$37,WorkExp!$A$1:$F$7,2,FALSE),"FALSE")="FALSE","o","þ")</f>
        <v>o</v>
      </c>
      <c r="BP32" s="687" t="s">
        <v>464</v>
      </c>
      <c r="BQ32" s="15"/>
      <c r="BR32" s="15"/>
      <c r="BS32" s="672"/>
    </row>
    <row r="33" spans="1:71" ht="15" customHeight="1">
      <c r="A33" s="49"/>
      <c r="F33" s="706"/>
      <c r="P33" s="51"/>
      <c r="R33" s="972"/>
      <c r="S33" s="971"/>
      <c r="T33" s="1142"/>
      <c r="U33" s="1142"/>
      <c r="V33" s="1142"/>
      <c r="W33" s="1142"/>
      <c r="X33" s="1142"/>
      <c r="Y33" s="1142"/>
      <c r="Z33" s="1142"/>
      <c r="AA33" s="1143"/>
      <c r="AB33" s="640"/>
      <c r="AC33" s="49"/>
      <c r="AD33" s="10" t="s">
        <v>472</v>
      </c>
      <c r="AI33" s="19"/>
      <c r="AK33" s="1228">
        <f>ROUND(_xlfn.IFNA(VLOOKUP("LAB"&amp;"*",'Outline Admin'!$A$7:$F$53,6,FALSE),0),0)</f>
        <v>0</v>
      </c>
      <c r="AL33" s="1229"/>
      <c r="AN33" s="1105" t="s">
        <v>1571</v>
      </c>
      <c r="AO33" s="1106"/>
      <c r="AP33" s="1106"/>
      <c r="AQ33" s="1106"/>
      <c r="AR33" s="1106"/>
      <c r="AS33" s="1106"/>
      <c r="AT33" s="1106"/>
      <c r="AU33" s="1106"/>
      <c r="AV33" s="1106"/>
      <c r="AW33" s="1107"/>
      <c r="AY33" s="101" t="s">
        <v>618</v>
      </c>
      <c r="AZ33" s="1227" t="s">
        <v>1673</v>
      </c>
      <c r="BA33" s="1227"/>
      <c r="BB33" s="1227"/>
      <c r="BC33" s="1227"/>
      <c r="BD33" s="1227"/>
      <c r="BE33" s="1227"/>
      <c r="BF33" s="1227"/>
      <c r="BG33" s="1227"/>
      <c r="BH33" s="1227"/>
      <c r="BI33" s="98"/>
      <c r="BJ33" s="1262" t="s">
        <v>1808</v>
      </c>
      <c r="BK33" s="1263"/>
      <c r="BL33" s="1263"/>
      <c r="BM33" s="1263"/>
      <c r="BN33" s="1263"/>
      <c r="BO33" s="1263"/>
      <c r="BP33" s="1263"/>
      <c r="BQ33" s="1263"/>
      <c r="BR33" s="1263"/>
      <c r="BS33" s="1264"/>
    </row>
    <row r="34" spans="1:71" ht="15.75" customHeight="1">
      <c r="A34" s="49" t="s">
        <v>1236</v>
      </c>
      <c r="F34" s="706"/>
      <c r="P34" s="51"/>
      <c r="R34" s="967" t="s">
        <v>1066</v>
      </c>
      <c r="S34" s="971"/>
      <c r="T34" s="1142" t="str">
        <f>IFERROR(_xlfn.IFNA(VLOOKUP($A$37,ProgOutline!$A$1:$E$49,4,FALSE),""),"Method(s) varies base on the individual certificates chosen.")</f>
        <v/>
      </c>
      <c r="U34" s="1142"/>
      <c r="V34" s="1142"/>
      <c r="W34" s="1142"/>
      <c r="X34" s="1142"/>
      <c r="Y34" s="1142"/>
      <c r="Z34" s="1142"/>
      <c r="AA34" s="1143"/>
      <c r="AB34" s="640"/>
      <c r="AC34" s="49"/>
      <c r="AD34" s="10" t="s">
        <v>473</v>
      </c>
      <c r="AK34" s="1228">
        <v>0</v>
      </c>
      <c r="AL34" s="1229"/>
      <c r="AN34" s="1108"/>
      <c r="AO34" s="1106"/>
      <c r="AP34" s="1106"/>
      <c r="AQ34" s="1106"/>
      <c r="AR34" s="1106"/>
      <c r="AS34" s="1106"/>
      <c r="AT34" s="1106"/>
      <c r="AU34" s="1106"/>
      <c r="AV34" s="1106"/>
      <c r="AW34" s="1107"/>
      <c r="AY34" s="102"/>
      <c r="AZ34" s="1227"/>
      <c r="BA34" s="1227"/>
      <c r="BB34" s="1227"/>
      <c r="BC34" s="1227"/>
      <c r="BD34" s="1227"/>
      <c r="BE34" s="1227"/>
      <c r="BF34" s="1227"/>
      <c r="BG34" s="1227"/>
      <c r="BH34" s="1227"/>
      <c r="BI34" s="98"/>
      <c r="BJ34" s="1265"/>
      <c r="BK34" s="1266"/>
      <c r="BL34" s="1266"/>
      <c r="BM34" s="1266"/>
      <c r="BN34" s="1266"/>
      <c r="BO34" s="1266"/>
      <c r="BP34" s="1266"/>
      <c r="BQ34" s="1266"/>
      <c r="BR34" s="1266"/>
      <c r="BS34" s="1267"/>
    </row>
    <row r="35" spans="1:71" ht="16.5" customHeight="1" thickBot="1">
      <c r="A35" s="56"/>
      <c r="B35" s="57"/>
      <c r="C35" s="57"/>
      <c r="D35" s="57"/>
      <c r="E35" s="57"/>
      <c r="F35" s="58"/>
      <c r="G35" s="668" t="str">
        <f>IF('Student Info'!$B$18="Y",$O$30,$M$30)</f>
        <v>¨</v>
      </c>
      <c r="H35" s="10" t="s">
        <v>796</v>
      </c>
      <c r="I35" s="729" t="str">
        <f>IF('Student Info'!$B$18="N",$O$30,$M$30)</f>
        <v>¨</v>
      </c>
      <c r="J35" s="729"/>
      <c r="K35" s="10" t="s">
        <v>569</v>
      </c>
      <c r="M35" s="57"/>
      <c r="N35" s="57"/>
      <c r="O35" s="57"/>
      <c r="P35" s="59"/>
      <c r="R35" s="973"/>
      <c r="S35" s="974"/>
      <c r="T35" s="1142"/>
      <c r="U35" s="1142"/>
      <c r="V35" s="1142"/>
      <c r="W35" s="1142"/>
      <c r="X35" s="1142"/>
      <c r="Y35" s="1142"/>
      <c r="Z35" s="1142"/>
      <c r="AA35" s="1143"/>
      <c r="AB35" s="640"/>
      <c r="AC35" s="49"/>
      <c r="AD35" s="10" t="s">
        <v>474</v>
      </c>
      <c r="AF35" s="621" t="str">
        <f>IF('Outline Admin'!$A$5="Individual courses","","Student Record Archiving Fee")</f>
        <v>Student Record Archiving Fee</v>
      </c>
      <c r="AG35" s="621"/>
      <c r="AH35" s="621"/>
      <c r="AK35" s="1228">
        <f>ROUND(IF('Outline Admin'!$A$5="Individual Courses",0,'Outline Info'!$C$15),)</f>
        <v>4</v>
      </c>
      <c r="AL35" s="1229"/>
      <c r="AN35" s="1105" t="s">
        <v>1462</v>
      </c>
      <c r="AO35" s="1106"/>
      <c r="AP35" s="1106"/>
      <c r="AQ35" s="1106"/>
      <c r="AR35" s="1106"/>
      <c r="AS35" s="1106"/>
      <c r="AT35" s="1106"/>
      <c r="AU35" s="1106"/>
      <c r="AV35" s="1106"/>
      <c r="AW35" s="1107"/>
      <c r="AX35" s="102"/>
      <c r="AY35" s="97"/>
      <c r="AZ35" s="1227"/>
      <c r="BA35" s="1227"/>
      <c r="BB35" s="1227"/>
      <c r="BC35" s="1227"/>
      <c r="BD35" s="1227"/>
      <c r="BE35" s="1227"/>
      <c r="BF35" s="1227"/>
      <c r="BG35" s="1227"/>
      <c r="BH35" s="1227"/>
      <c r="BI35" s="98"/>
      <c r="BJ35" s="1265"/>
      <c r="BK35" s="1266"/>
      <c r="BL35" s="1266"/>
      <c r="BM35" s="1266"/>
      <c r="BN35" s="1266"/>
      <c r="BO35" s="1266"/>
      <c r="BP35" s="1266"/>
      <c r="BQ35" s="1266"/>
      <c r="BR35" s="1266"/>
      <c r="BS35" s="1267"/>
    </row>
    <row r="36" spans="1:71" ht="15.75" customHeight="1" thickBot="1">
      <c r="A36" s="1149" t="s">
        <v>485</v>
      </c>
      <c r="B36" s="1150"/>
      <c r="C36" s="1150"/>
      <c r="D36" s="1150"/>
      <c r="E36" s="1150"/>
      <c r="F36" s="1150"/>
      <c r="G36" s="1150"/>
      <c r="H36" s="1150"/>
      <c r="I36" s="1150"/>
      <c r="J36" s="1150"/>
      <c r="K36" s="1150"/>
      <c r="L36" s="1150"/>
      <c r="M36" s="1150"/>
      <c r="N36" s="1150"/>
      <c r="O36" s="1150"/>
      <c r="P36" s="1151"/>
      <c r="R36" s="967" t="s">
        <v>1067</v>
      </c>
      <c r="S36" s="975"/>
      <c r="T36" s="1142" t="str">
        <f>IFERROR(_xlfn.IFNA(VLOOKUP($A$37,ProgOutline!$A$1:$E$49,5,FALSE),""),"Obtain 75% for each course to receive its certificate.")</f>
        <v/>
      </c>
      <c r="U36" s="1142"/>
      <c r="V36" s="1142"/>
      <c r="W36" s="1142"/>
      <c r="X36" s="1142"/>
      <c r="Y36" s="1142"/>
      <c r="Z36" s="1142"/>
      <c r="AA36" s="1143"/>
      <c r="AB36" s="640"/>
      <c r="AC36" s="49"/>
      <c r="AD36" s="10" t="s">
        <v>474</v>
      </c>
      <c r="AF36" s="194" t="str">
        <f>IF('Outline Admin'!$A$5="Individual courses","","Evaluation &amp; Entrance Exam (maximum $250)")</f>
        <v>Evaluation &amp; Entrance Exam (maximum $250)</v>
      </c>
      <c r="AG36" s="15"/>
      <c r="AH36" s="15"/>
      <c r="AK36" s="1228">
        <f>ROUND(IF('Outline Admin'!$A$5="Individual Courses",0,'Outline Info'!$B$15),0)</f>
        <v>100</v>
      </c>
      <c r="AL36" s="1229"/>
      <c r="AN36" s="1108"/>
      <c r="AO36" s="1106"/>
      <c r="AP36" s="1106"/>
      <c r="AQ36" s="1106"/>
      <c r="AR36" s="1106"/>
      <c r="AS36" s="1106"/>
      <c r="AT36" s="1106"/>
      <c r="AU36" s="1106"/>
      <c r="AV36" s="1106"/>
      <c r="AW36" s="1107"/>
      <c r="AY36" s="101"/>
      <c r="AZ36" s="1227"/>
      <c r="BA36" s="1227"/>
      <c r="BB36" s="1227"/>
      <c r="BC36" s="1227"/>
      <c r="BD36" s="1227"/>
      <c r="BE36" s="1227"/>
      <c r="BF36" s="1227"/>
      <c r="BG36" s="1227"/>
      <c r="BH36" s="1227"/>
      <c r="BI36" s="98"/>
      <c r="BJ36" s="1265"/>
      <c r="BK36" s="1266"/>
      <c r="BL36" s="1266"/>
      <c r="BM36" s="1266"/>
      <c r="BN36" s="1266"/>
      <c r="BO36" s="1266"/>
      <c r="BP36" s="1266"/>
      <c r="BQ36" s="1266"/>
      <c r="BR36" s="1266"/>
      <c r="BS36" s="1267"/>
    </row>
    <row r="37" spans="1:71" ht="15.75" customHeight="1">
      <c r="A37" s="1158" t="str">
        <f>IF('Outline Admin'!$A$5:$F$5&gt;0,IF('Outline Admin'!$A$5="Individual Courses",CONCATENATE('Outline Admin'!$C$7,IF('Outline Admin'!$C$8="","",", "),'Outline Admin'!$C$8,IF('Outline Admin'!$C$9="","",", "),'Outline Admin'!$C$9,IF('Outline Admin'!$C$10="","",", "),'Outline Admin'!$C$10,IF('Outline Admin'!$C$11="","",", "),'Outline Admin'!$C$11,IF('Outline Admin'!$C$12="","",", "),'Outline Admin'!$C$12,IF('Outline Admin'!$C$13="","",", "),'Outline Admin'!$C$13,IF('Outline Admin'!$C$14="","",", "),'Outline Admin'!$C$14,IF('Outline Admin'!$C$15="","",", "),'Outline Admin'!$C$15,IF('Outline Admin'!$C$16="","",", "),'Outline Admin'!$C$16,IF('Outline Admin'!$C$17="","",", "),'Outline Admin'!$C$17,IF('Outline Admin'!$C$18="","",", "),'Outline Admin'!$C$18,IF('Outline Admin'!$C$19="","",", "),'Outline Admin'!$C$19,IF('Outline Admin'!$C$20="","",", "),'Outline Admin'!$C$20),'Outline Admin'!$A$5:$F$5),"")</f>
        <v/>
      </c>
      <c r="B37" s="1159"/>
      <c r="C37" s="1159"/>
      <c r="D37" s="1159"/>
      <c r="E37" s="1159"/>
      <c r="F37" s="1159"/>
      <c r="G37" s="1159"/>
      <c r="H37" s="1159"/>
      <c r="I37" s="1159"/>
      <c r="J37" s="1159"/>
      <c r="K37" s="1159"/>
      <c r="L37" s="1159"/>
      <c r="M37" s="1159"/>
      <c r="N37" s="1159"/>
      <c r="O37" s="1159"/>
      <c r="P37" s="1160"/>
      <c r="Q37" s="630"/>
      <c r="R37" s="976"/>
      <c r="S37" s="977"/>
      <c r="T37" s="1142"/>
      <c r="U37" s="1142"/>
      <c r="V37" s="1142"/>
      <c r="W37" s="1142"/>
      <c r="X37" s="1142"/>
      <c r="Y37" s="1142"/>
      <c r="Z37" s="1142"/>
      <c r="AA37" s="1143"/>
      <c r="AB37" s="630"/>
      <c r="AC37" s="61"/>
      <c r="AK37" s="622"/>
      <c r="AL37" s="168"/>
      <c r="AN37" s="1108" t="s">
        <v>1463</v>
      </c>
      <c r="AO37" s="1106"/>
      <c r="AP37" s="1106"/>
      <c r="AQ37" s="1106"/>
      <c r="AR37" s="1106"/>
      <c r="AS37" s="1106"/>
      <c r="AT37" s="1106"/>
      <c r="AU37" s="1106"/>
      <c r="AV37" s="1106"/>
      <c r="AW37" s="1107"/>
      <c r="AX37" s="102"/>
      <c r="AY37" s="100"/>
      <c r="AZ37" s="1227"/>
      <c r="BA37" s="1227"/>
      <c r="BB37" s="1227"/>
      <c r="BC37" s="1227"/>
      <c r="BD37" s="1227"/>
      <c r="BE37" s="1227"/>
      <c r="BF37" s="1227"/>
      <c r="BG37" s="1227"/>
      <c r="BH37" s="1227"/>
      <c r="BI37" s="98"/>
      <c r="BJ37" s="1265"/>
      <c r="BK37" s="1266"/>
      <c r="BL37" s="1266"/>
      <c r="BM37" s="1266"/>
      <c r="BN37" s="1266"/>
      <c r="BO37" s="1266"/>
      <c r="BP37" s="1266"/>
      <c r="BQ37" s="1266"/>
      <c r="BR37" s="1266"/>
      <c r="BS37" s="1267"/>
    </row>
    <row r="38" spans="1:71" ht="15.75" customHeight="1" thickBot="1">
      <c r="A38" s="1161"/>
      <c r="B38" s="1162"/>
      <c r="C38" s="1162"/>
      <c r="D38" s="1162"/>
      <c r="E38" s="1162"/>
      <c r="F38" s="1162"/>
      <c r="G38" s="1162"/>
      <c r="H38" s="1162"/>
      <c r="I38" s="1162"/>
      <c r="J38" s="1162"/>
      <c r="K38" s="1162"/>
      <c r="L38" s="1162"/>
      <c r="M38" s="1162"/>
      <c r="N38" s="1162"/>
      <c r="O38" s="1162"/>
      <c r="P38" s="1163"/>
      <c r="Q38" s="630"/>
      <c r="R38" s="978" t="s">
        <v>1068</v>
      </c>
      <c r="S38" s="971"/>
      <c r="T38" s="971"/>
      <c r="U38" s="971"/>
      <c r="V38" s="971"/>
      <c r="W38" s="977"/>
      <c r="X38" s="977"/>
      <c r="Y38" s="977"/>
      <c r="Z38" s="977"/>
      <c r="AA38" s="979"/>
      <c r="AB38" s="630"/>
      <c r="AC38" s="61" t="s">
        <v>475</v>
      </c>
      <c r="AK38" s="1230">
        <f>ROUND('Outline Admin'!$F$57,0)</f>
        <v>354</v>
      </c>
      <c r="AL38" s="1231"/>
      <c r="AN38" s="1108"/>
      <c r="AO38" s="1106"/>
      <c r="AP38" s="1106"/>
      <c r="AQ38" s="1106"/>
      <c r="AR38" s="1106"/>
      <c r="AS38" s="1106"/>
      <c r="AT38" s="1106"/>
      <c r="AU38" s="1106"/>
      <c r="AV38" s="1106"/>
      <c r="AW38" s="1107"/>
      <c r="AX38" s="102"/>
      <c r="AY38" s="102" t="s">
        <v>619</v>
      </c>
      <c r="AZ38" s="1234" t="s">
        <v>620</v>
      </c>
      <c r="BA38" s="1234"/>
      <c r="BB38" s="1234"/>
      <c r="BC38" s="1234"/>
      <c r="BD38" s="1234"/>
      <c r="BE38" s="1234"/>
      <c r="BF38" s="1234"/>
      <c r="BG38" s="1234"/>
      <c r="BH38" s="1234"/>
      <c r="BI38" s="98"/>
      <c r="BJ38" s="1265"/>
      <c r="BK38" s="1266"/>
      <c r="BL38" s="1266"/>
      <c r="BM38" s="1266"/>
      <c r="BN38" s="1266"/>
      <c r="BO38" s="1266"/>
      <c r="BP38" s="1266"/>
      <c r="BQ38" s="1266"/>
      <c r="BR38" s="1266"/>
      <c r="BS38" s="1267"/>
    </row>
    <row r="39" spans="1:71" ht="15.75" customHeight="1">
      <c r="A39" s="1164"/>
      <c r="B39" s="1165"/>
      <c r="C39" s="1165"/>
      <c r="D39" s="1165"/>
      <c r="E39" s="1165"/>
      <c r="F39" s="1165"/>
      <c r="G39" s="1165"/>
      <c r="H39" s="1165"/>
      <c r="I39" s="1165"/>
      <c r="J39" s="1165"/>
      <c r="K39" s="1165"/>
      <c r="L39" s="1165"/>
      <c r="M39" s="1165"/>
      <c r="N39" s="1165"/>
      <c r="O39" s="1165"/>
      <c r="P39" s="1166"/>
      <c r="Q39" s="630"/>
      <c r="R39" s="980" t="s">
        <v>1069</v>
      </c>
      <c r="S39" s="981"/>
      <c r="T39" s="981"/>
      <c r="U39" s="981"/>
      <c r="V39" s="982" t="s">
        <v>1070</v>
      </c>
      <c r="W39" s="981" t="str">
        <f>IF(ISERROR(Q57),"","Title of Course/Work Experience Component")</f>
        <v/>
      </c>
      <c r="X39" s="981"/>
      <c r="Y39" s="981"/>
      <c r="Z39" s="981"/>
      <c r="AA39" s="983" t="str">
        <f>IF(ISERROR(Q57),"","# of Hours")</f>
        <v/>
      </c>
      <c r="AB39" s="630"/>
      <c r="AC39" s="61"/>
      <c r="AK39" s="1240"/>
      <c r="AL39" s="1241"/>
      <c r="AN39" s="1105" t="s">
        <v>1464</v>
      </c>
      <c r="AO39" s="1251"/>
      <c r="AP39" s="1251"/>
      <c r="AQ39" s="1251"/>
      <c r="AR39" s="1251"/>
      <c r="AS39" s="1251"/>
      <c r="AT39" s="1251"/>
      <c r="AU39" s="1251"/>
      <c r="AV39" s="1251"/>
      <c r="AW39" s="1252"/>
      <c r="AX39" s="11"/>
      <c r="AZ39" s="1234"/>
      <c r="BA39" s="1234"/>
      <c r="BB39" s="1234"/>
      <c r="BC39" s="1234"/>
      <c r="BD39" s="1234"/>
      <c r="BE39" s="1234"/>
      <c r="BF39" s="1234"/>
      <c r="BG39" s="1234"/>
      <c r="BH39" s="1234"/>
      <c r="BI39" s="98"/>
      <c r="BJ39" s="1265"/>
      <c r="BK39" s="1266"/>
      <c r="BL39" s="1266"/>
      <c r="BM39" s="1266"/>
      <c r="BN39" s="1266"/>
      <c r="BO39" s="1266"/>
      <c r="BP39" s="1266"/>
      <c r="BQ39" s="1266"/>
      <c r="BR39" s="1266"/>
      <c r="BS39" s="1267"/>
    </row>
    <row r="40" spans="1:71" ht="15.75" customHeight="1" thickBot="1">
      <c r="A40" s="49" t="s">
        <v>1042</v>
      </c>
      <c r="F40" s="609"/>
      <c r="P40" s="51"/>
      <c r="Q40" s="630" t="e">
        <f t="array" ref="Q40">INDEX('Outline Admin'!$A$7:$A$53,SMALL(IF('Outline Admin'!$A$7:$A$53&lt;&gt;"",ROW('Outline Admin'!$A$7:$A$53)-ROW('Outline Admin'!$A$7)+1),1))</f>
        <v>#NUM!</v>
      </c>
      <c r="R40" s="1115" t="str">
        <f>IF(ISERROR($Q40),"",VLOOKUP($Q40,'Course Table'!$A$1:$K$325,2))</f>
        <v/>
      </c>
      <c r="S40" s="1116"/>
      <c r="T40" s="1116"/>
      <c r="U40" s="1116"/>
      <c r="V40" s="633" t="str">
        <f>IF(ISERROR($Q40),"",VLOOKUP($Q40,'Course Table'!$A$1:$K$325,5))</f>
        <v/>
      </c>
      <c r="W40" s="1094" t="str">
        <f>IF(ISERROR($AB40),"",VLOOKUP($AB40,'Course Table'!$A$1:$K$325,2))</f>
        <v/>
      </c>
      <c r="X40" s="1094"/>
      <c r="Y40" s="1094"/>
      <c r="Z40" s="1094"/>
      <c r="AA40" s="635" t="str">
        <f>IF(ISERROR($AB40),"",VLOOKUP($AB40,'Course Table'!$A$1:$K$325,5))</f>
        <v/>
      </c>
      <c r="AB40" s="630" t="e">
        <f t="array" ref="AB40">INDEX('Outline Admin'!$A$7:$A$53,SMALL(IF('Outline Admin'!$A$7:$A$53&lt;&gt;"",ROW('Outline Admin'!$A$7:$A$53)-ROW('Outline Admin'!$A$7)+1),19))</f>
        <v>#NUM!</v>
      </c>
      <c r="AC40" s="1245"/>
      <c r="AD40" s="1246"/>
      <c r="AE40" s="1246"/>
      <c r="AF40" s="1246"/>
      <c r="AG40" s="1246"/>
      <c r="AH40" s="1246"/>
      <c r="AI40" s="1246"/>
      <c r="AJ40" s="1246"/>
      <c r="AK40" s="1246"/>
      <c r="AL40" s="1247"/>
      <c r="AN40" s="1105"/>
      <c r="AO40" s="1251"/>
      <c r="AP40" s="1251"/>
      <c r="AQ40" s="1251"/>
      <c r="AR40" s="1251"/>
      <c r="AS40" s="1251"/>
      <c r="AT40" s="1251"/>
      <c r="AU40" s="1251"/>
      <c r="AV40" s="1251"/>
      <c r="AW40" s="1252"/>
      <c r="AX40" s="102"/>
      <c r="AY40" s="102" t="s">
        <v>622</v>
      </c>
      <c r="AZ40" s="69" t="s">
        <v>621</v>
      </c>
      <c r="BA40" s="98"/>
      <c r="BB40" s="98"/>
      <c r="BC40" s="98"/>
      <c r="BD40" s="98"/>
      <c r="BE40" s="98"/>
      <c r="BF40" s="98"/>
      <c r="BG40" s="98"/>
      <c r="BH40" s="98"/>
      <c r="BI40" s="98"/>
      <c r="BJ40" s="1265"/>
      <c r="BK40" s="1266"/>
      <c r="BL40" s="1266"/>
      <c r="BM40" s="1266"/>
      <c r="BN40" s="1266"/>
      <c r="BO40" s="1266"/>
      <c r="BP40" s="1266"/>
      <c r="BQ40" s="1266"/>
      <c r="BR40" s="1266"/>
      <c r="BS40" s="1267"/>
    </row>
    <row r="41" spans="1:71" ht="15.75" customHeight="1" thickBot="1">
      <c r="A41" s="55">
        <f>'Outline Admin'!$H$57+'Outline Admin'!$H$58</f>
        <v>0</v>
      </c>
      <c r="E41" s="1147">
        <f>ROUND(EndDate!$B$13,1)</f>
        <v>0</v>
      </c>
      <c r="F41" s="1148"/>
      <c r="K41" s="1169">
        <f>'Outline Info'!$B$6</f>
        <v>44473</v>
      </c>
      <c r="L41" s="1169"/>
      <c r="M41" s="1169"/>
      <c r="N41" s="841"/>
      <c r="O41" s="1169">
        <f>'Outline Info'!$C$6</f>
        <v>44470</v>
      </c>
      <c r="P41" s="1170"/>
      <c r="Q41" s="630" t="e">
        <f t="array" ref="Q41">INDEX('Outline Admin'!$A$7:$A$53,SMALL(IF('Outline Admin'!$A$7:$A$53&lt;&gt;"",ROW('Outline Admin'!$A$7:$A$53)-ROW('Outline Admin'!$A$7)+1),2))</f>
        <v>#NUM!</v>
      </c>
      <c r="R41" s="1115" t="str">
        <f>IF(ISERROR($Q41),"",VLOOKUP($Q41,'Course Table'!$A$1:$K$325,2))</f>
        <v/>
      </c>
      <c r="S41" s="1116"/>
      <c r="T41" s="1116"/>
      <c r="U41" s="1116"/>
      <c r="V41" s="633" t="str">
        <f>IF(ISERROR($Q41),"",VLOOKUP($Q41,'Course Table'!$A$1:$K$325,5))</f>
        <v/>
      </c>
      <c r="W41" s="1094" t="str">
        <f>IF(ISERROR($AB41),"",VLOOKUP($AB41,'Course Table'!$A$1:$K$325,2))</f>
        <v/>
      </c>
      <c r="X41" s="1094"/>
      <c r="Y41" s="1094"/>
      <c r="Z41" s="1094"/>
      <c r="AA41" s="635" t="str">
        <f>IF(ISERROR($AB41),"",VLOOKUP($AB41,'Course Table'!$A$1:$K$325,5))</f>
        <v/>
      </c>
      <c r="AB41" s="630" t="e">
        <f t="array" ref="AB41">INDEX('Outline Admin'!$A$7:$A$53,SMALL(IF('Outline Admin'!$A$7:$A$53&lt;&gt;"",ROW('Outline Admin'!$A$7:$A$53)-ROW('Outline Admin'!$A$7)+1),20))</f>
        <v>#NUM!</v>
      </c>
      <c r="AC41" s="1149" t="s">
        <v>757</v>
      </c>
      <c r="AD41" s="1150"/>
      <c r="AE41" s="1150"/>
      <c r="AF41" s="1150"/>
      <c r="AG41" s="1150"/>
      <c r="AH41" s="1150"/>
      <c r="AI41" s="1150"/>
      <c r="AJ41" s="1150"/>
      <c r="AK41" s="1150"/>
      <c r="AL41" s="1151"/>
      <c r="AN41" s="1105"/>
      <c r="AO41" s="1251"/>
      <c r="AP41" s="1251"/>
      <c r="AQ41" s="1251"/>
      <c r="AR41" s="1251"/>
      <c r="AS41" s="1251"/>
      <c r="AT41" s="1251"/>
      <c r="AU41" s="1251"/>
      <c r="AV41" s="1251"/>
      <c r="AW41" s="1252"/>
      <c r="AY41" s="102" t="s">
        <v>623</v>
      </c>
      <c r="AZ41" s="1227" t="s">
        <v>1115</v>
      </c>
      <c r="BA41" s="1227"/>
      <c r="BB41" s="1227"/>
      <c r="BC41" s="1227"/>
      <c r="BD41" s="1227"/>
      <c r="BE41" s="1227"/>
      <c r="BF41" s="1227"/>
      <c r="BG41" s="1227"/>
      <c r="BH41" s="1227"/>
      <c r="BI41" s="98"/>
      <c r="BJ41" s="673"/>
      <c r="BK41" s="83"/>
      <c r="BL41" s="83"/>
      <c r="BM41" s="83"/>
      <c r="BN41" s="83"/>
      <c r="BO41" s="83"/>
      <c r="BQ41" s="819"/>
      <c r="BR41" s="819"/>
      <c r="BS41" s="820"/>
    </row>
    <row r="42" spans="1:71" ht="15.75" customHeight="1">
      <c r="A42" s="49" t="s">
        <v>1043</v>
      </c>
      <c r="E42" s="10" t="s">
        <v>764</v>
      </c>
      <c r="F42" s="609"/>
      <c r="K42" s="701" t="s">
        <v>1045</v>
      </c>
      <c r="L42" s="840"/>
      <c r="O42" s="701" t="s">
        <v>1046</v>
      </c>
      <c r="P42" s="610"/>
      <c r="Q42" s="630" t="e">
        <f t="array" ref="Q42">INDEX('Outline Admin'!$A$7:$A$53,SMALL(IF('Outline Admin'!$A$7:$A$53&lt;&gt;"",ROW('Outline Admin'!$A$7:$A$53)-ROW('Outline Admin'!$A$7)+1),3))</f>
        <v>#NUM!</v>
      </c>
      <c r="R42" s="1115" t="str">
        <f>IF(ISERROR($Q42),"",VLOOKUP($Q42,'Course Table'!$A$1:$K$325,2))</f>
        <v/>
      </c>
      <c r="S42" s="1116"/>
      <c r="T42" s="1116"/>
      <c r="U42" s="1116"/>
      <c r="V42" s="633" t="str">
        <f>IF(ISERROR($Q42),"",VLOOKUP($Q42,'Course Table'!$A$1:$K$325,5))</f>
        <v/>
      </c>
      <c r="W42" s="1094" t="str">
        <f>IF(ISERROR($AB42),"",VLOOKUP($AB42,'Course Table'!$A$1:$K$325,2))</f>
        <v/>
      </c>
      <c r="X42" s="1094"/>
      <c r="Y42" s="1094"/>
      <c r="Z42" s="1094"/>
      <c r="AA42" s="635" t="str">
        <f>IF(ISERROR($AB42),"",VLOOKUP($AB42,'Course Table'!$A$1:$K$325,5))</f>
        <v/>
      </c>
      <c r="AB42" s="630" t="e">
        <f t="array" ref="AB42">INDEX('Outline Admin'!$A$7:$A$53,SMALL(IF('Outline Admin'!$A$7:$A$53&lt;&gt;"",ROW('Outline Admin'!$A$7:$A$53)-ROW('Outline Admin'!$A$7)+1),21))</f>
        <v>#NUM!</v>
      </c>
      <c r="AC42" s="1242" t="s">
        <v>784</v>
      </c>
      <c r="AD42" s="1243"/>
      <c r="AE42" s="1243"/>
      <c r="AF42" s="1243"/>
      <c r="AG42" s="1243"/>
      <c r="AH42" s="1243"/>
      <c r="AI42" s="1243"/>
      <c r="AJ42" s="1243"/>
      <c r="AK42" s="1243"/>
      <c r="AL42" s="1244"/>
      <c r="AN42" s="1105" t="s">
        <v>1465</v>
      </c>
      <c r="AO42" s="1251"/>
      <c r="AP42" s="1251"/>
      <c r="AQ42" s="1251"/>
      <c r="AR42" s="1251"/>
      <c r="AS42" s="1251"/>
      <c r="AT42" s="1251"/>
      <c r="AU42" s="1251"/>
      <c r="AV42" s="1251"/>
      <c r="AW42" s="1252"/>
      <c r="AX42" s="101"/>
      <c r="AY42" s="102"/>
      <c r="AZ42" s="1227"/>
      <c r="BA42" s="1227"/>
      <c r="BB42" s="1227"/>
      <c r="BC42" s="1227"/>
      <c r="BD42" s="1227"/>
      <c r="BE42" s="1227"/>
      <c r="BF42" s="1227"/>
      <c r="BG42" s="1227"/>
      <c r="BH42" s="1227"/>
      <c r="BI42" s="98"/>
      <c r="BJ42" s="675"/>
      <c r="BK42" s="84"/>
      <c r="BL42" s="84"/>
      <c r="BM42" s="84"/>
      <c r="BN42" s="84"/>
      <c r="BO42" s="84"/>
      <c r="BQ42" s="999"/>
      <c r="BR42" s="999"/>
      <c r="BS42" s="676"/>
    </row>
    <row r="43" spans="1:71" ht="15.75" customHeight="1">
      <c r="A43" s="49" t="s">
        <v>1044</v>
      </c>
      <c r="F43" s="609"/>
      <c r="P43" s="51"/>
      <c r="Q43" s="630" t="e">
        <f t="array" ref="Q43">INDEX('Outline Admin'!$A$7:$A$53,SMALL(IF('Outline Admin'!$A$7:$A$53&lt;&gt;"",ROW('Outline Admin'!$A$7:$A$53)-ROW('Outline Admin'!$A$7)+1),4))</f>
        <v>#NUM!</v>
      </c>
      <c r="R43" s="1115" t="str">
        <f>IF(ISERROR($Q43),"",VLOOKUP($Q43,'Course Table'!$A$1:$K$325,2))</f>
        <v/>
      </c>
      <c r="S43" s="1116"/>
      <c r="T43" s="1116"/>
      <c r="U43" s="1116"/>
      <c r="V43" s="633" t="str">
        <f>IF(ISERROR($Q43),"",VLOOKUP($Q43,'Course Table'!$A$1:$K$325,5))</f>
        <v/>
      </c>
      <c r="W43" s="1094" t="str">
        <f>IF(ISERROR($AB43),"",VLOOKUP($AB43,'Course Table'!$A$1:$K$325,2))</f>
        <v/>
      </c>
      <c r="X43" s="1094"/>
      <c r="Y43" s="1094"/>
      <c r="Z43" s="1094"/>
      <c r="AA43" s="635" t="str">
        <f>IF(ISERROR($AB43),"",VLOOKUP($AB43,'Course Table'!$A$1:$K$325,5))</f>
        <v/>
      </c>
      <c r="AB43" s="630" t="e">
        <f t="array" ref="AB43">INDEX('Outline Admin'!$A$7:$A$53,SMALL(IF('Outline Admin'!$A$7:$A$53&lt;&gt;"",ROW('Outline Admin'!$A$7:$A$53)-ROW('Outline Admin'!$A$7)+1),22))</f>
        <v>#NUM!</v>
      </c>
      <c r="AC43" s="1099"/>
      <c r="AD43" s="1100"/>
      <c r="AE43" s="1100"/>
      <c r="AF43" s="1100"/>
      <c r="AG43" s="1100"/>
      <c r="AH43" s="1100"/>
      <c r="AI43" s="1100"/>
      <c r="AJ43" s="1100"/>
      <c r="AK43" s="1100"/>
      <c r="AL43" s="1101"/>
      <c r="AN43" s="1105"/>
      <c r="AO43" s="1251"/>
      <c r="AP43" s="1251"/>
      <c r="AQ43" s="1251"/>
      <c r="AR43" s="1251"/>
      <c r="AS43" s="1251"/>
      <c r="AT43" s="1251"/>
      <c r="AU43" s="1251"/>
      <c r="AV43" s="1251"/>
      <c r="AW43" s="1252"/>
      <c r="AX43" s="97"/>
      <c r="AY43" s="102" t="s">
        <v>624</v>
      </c>
      <c r="AZ43" s="195" t="s">
        <v>625</v>
      </c>
      <c r="BA43" s="98"/>
      <c r="BB43" s="98"/>
      <c r="BC43" s="98"/>
      <c r="BD43" s="98"/>
      <c r="BE43" s="98"/>
      <c r="BF43" s="98"/>
      <c r="BG43" s="98"/>
      <c r="BH43" s="98"/>
      <c r="BI43" s="98"/>
      <c r="BJ43" s="670" t="s">
        <v>97</v>
      </c>
      <c r="BL43" s="23"/>
      <c r="BM43" s="20"/>
      <c r="BQ43" s="996" t="s">
        <v>552</v>
      </c>
      <c r="BS43" s="671"/>
    </row>
    <row r="44" spans="1:71" ht="15.75" customHeight="1" thickBot="1">
      <c r="A44" s="49"/>
      <c r="E44" s="28"/>
      <c r="F44" s="32"/>
      <c r="I44" s="33"/>
      <c r="J44" s="33"/>
      <c r="K44" s="34"/>
      <c r="L44" s="34"/>
      <c r="M44" s="611"/>
      <c r="N44" s="840"/>
      <c r="P44" s="51"/>
      <c r="Q44" s="630" t="e">
        <f t="array" ref="Q44">INDEX('Outline Admin'!$A$7:$A$53,SMALL(IF('Outline Admin'!$A$7:$A$53&lt;&gt;"",ROW('Outline Admin'!$A$7:$A$53)-ROW('Outline Admin'!$A$7)+1),5))</f>
        <v>#NUM!</v>
      </c>
      <c r="R44" s="1115" t="str">
        <f>IF(ISERROR($Q44),"",VLOOKUP($Q44,'Course Table'!$A$1:$K$325,2))</f>
        <v/>
      </c>
      <c r="S44" s="1116"/>
      <c r="T44" s="1116"/>
      <c r="U44" s="1116"/>
      <c r="V44" s="633" t="str">
        <f>IF(ISERROR($Q44),"",VLOOKUP($Q44,'Course Table'!$A$1:$K$325,5))</f>
        <v/>
      </c>
      <c r="W44" s="1094" t="str">
        <f>IF(ISERROR($AB44),"",VLOOKUP($AB44,'Course Table'!$A$1:$K$325,2))</f>
        <v/>
      </c>
      <c r="X44" s="1094"/>
      <c r="Y44" s="1094"/>
      <c r="Z44" s="1094"/>
      <c r="AA44" s="635" t="str">
        <f>IF(ISERROR($AB44),"",VLOOKUP($AB44,'Course Table'!$A$1:$K$325,5))</f>
        <v/>
      </c>
      <c r="AB44" s="630" t="e">
        <f t="array" ref="AB44">INDEX('Outline Admin'!$A$7:$A$53,SMALL(IF('Outline Admin'!$A$7:$A$53&lt;&gt;"",ROW('Outline Admin'!$A$7:$A$53)-ROW('Outline Admin'!$A$7)+1),23))</f>
        <v>#NUM!</v>
      </c>
      <c r="AC44" s="49" t="s">
        <v>477</v>
      </c>
      <c r="AF44" s="667" t="s">
        <v>1103</v>
      </c>
      <c r="AG44" s="667" t="s">
        <v>1104</v>
      </c>
      <c r="AH44" s="667" t="s">
        <v>1105</v>
      </c>
      <c r="AI44" s="668" t="s">
        <v>1106</v>
      </c>
      <c r="AJ44" s="1219"/>
      <c r="AK44" s="1219"/>
      <c r="AL44" s="51"/>
      <c r="AN44" s="1108" t="s">
        <v>1466</v>
      </c>
      <c r="AO44" s="1106"/>
      <c r="AP44" s="1106"/>
      <c r="AQ44" s="1106"/>
      <c r="AR44" s="1106"/>
      <c r="AS44" s="1106"/>
      <c r="AT44" s="1106"/>
      <c r="AU44" s="1106"/>
      <c r="AV44" s="1106"/>
      <c r="AW44" s="1107"/>
      <c r="AY44" s="101" t="s">
        <v>626</v>
      </c>
      <c r="AZ44" s="1237" t="s">
        <v>1116</v>
      </c>
      <c r="BA44" s="1237"/>
      <c r="BB44" s="1237"/>
      <c r="BC44" s="1237"/>
      <c r="BD44" s="1237"/>
      <c r="BE44" s="1237"/>
      <c r="BF44" s="1237"/>
      <c r="BG44" s="1237"/>
      <c r="BH44" s="1237"/>
      <c r="BI44" s="98"/>
      <c r="BJ44" s="1002"/>
      <c r="BK44" s="82"/>
      <c r="BL44" s="82"/>
      <c r="BM44" s="82"/>
      <c r="BN44" s="82"/>
      <c r="BO44" s="82"/>
      <c r="BP44" s="82"/>
      <c r="BQ44" s="82"/>
      <c r="BR44" s="82"/>
      <c r="BS44" s="1003"/>
    </row>
    <row r="45" spans="1:71" ht="15.75" customHeight="1" thickBot="1">
      <c r="A45" s="49" t="s">
        <v>487</v>
      </c>
      <c r="E45" s="28"/>
      <c r="F45" s="32" t="str">
        <f>IF(ISNUMBER(SEARCH("Diploma",'Outline Admin'!$A$5)),$G$46,$F$46)</f>
        <v>¨</v>
      </c>
      <c r="G45" s="10" t="s">
        <v>548</v>
      </c>
      <c r="I45" s="33" t="str">
        <f>IF(ISNUMBER(SEARCH("Certificate",'Outline Admin'!$A$5)),$K$46,$I$46)</f>
        <v>¨</v>
      </c>
      <c r="J45" s="33"/>
      <c r="K45" s="34" t="s">
        <v>550</v>
      </c>
      <c r="L45" s="34"/>
      <c r="M45" s="611"/>
      <c r="N45" s="840"/>
      <c r="P45" s="51"/>
      <c r="Q45" s="630" t="e">
        <f t="array" ref="Q45">INDEX('Outline Admin'!$A$7:$A$53,SMALL(IF('Outline Admin'!$A$7:$A$53&lt;&gt;"",ROW('Outline Admin'!$A$7:$A$53)-ROW('Outline Admin'!$A$7)+1),6))</f>
        <v>#NUM!</v>
      </c>
      <c r="R45" s="1115" t="str">
        <f>IF(ISERROR($Q45),"",VLOOKUP($Q45,'Course Table'!$A$1:$K$325,2))</f>
        <v/>
      </c>
      <c r="S45" s="1116"/>
      <c r="T45" s="1116"/>
      <c r="U45" s="1116"/>
      <c r="V45" s="633" t="str">
        <f>IF(ISERROR($Q45),"",VLOOKUP($Q45,'Course Table'!$A$1:$K$325,5))</f>
        <v/>
      </c>
      <c r="W45" s="1094" t="str">
        <f>IF(ISERROR($AB45),"",VLOOKUP($AB45,'Course Table'!$A$1:$K$325,2))</f>
        <v/>
      </c>
      <c r="X45" s="1094"/>
      <c r="Y45" s="1094"/>
      <c r="Z45" s="1094"/>
      <c r="AA45" s="635" t="str">
        <f>IF(ISERROR($AB45),"",VLOOKUP($AB45,'Course Table'!$A$1:$K$325,5))</f>
        <v/>
      </c>
      <c r="AB45" s="630" t="e">
        <f t="array" ref="AB45">INDEX('Outline Admin'!$A$7:$A$53,SMALL(IF('Outline Admin'!$A$7:$A$53&lt;&gt;"",ROW('Outline Admin'!$A$7:$A$53)-ROW('Outline Admin'!$A$7)+1),24))</f>
        <v>#NUM!</v>
      </c>
      <c r="AC45" s="180"/>
      <c r="AD45" s="24"/>
      <c r="AE45" s="24"/>
      <c r="AF45" s="24"/>
      <c r="AG45" s="24"/>
      <c r="AH45" s="24"/>
      <c r="AI45" s="24"/>
      <c r="AJ45" s="24"/>
      <c r="AL45" s="51"/>
      <c r="AN45" s="1108"/>
      <c r="AO45" s="1106"/>
      <c r="AP45" s="1106"/>
      <c r="AQ45" s="1106"/>
      <c r="AR45" s="1106"/>
      <c r="AS45" s="1106"/>
      <c r="AT45" s="1106"/>
      <c r="AU45" s="1106"/>
      <c r="AV45" s="1106"/>
      <c r="AW45" s="1107"/>
      <c r="AY45" s="102"/>
      <c r="AZ45" s="1237"/>
      <c r="BA45" s="1237"/>
      <c r="BB45" s="1237"/>
      <c r="BC45" s="1237"/>
      <c r="BD45" s="1237"/>
      <c r="BE45" s="1237"/>
      <c r="BF45" s="1237"/>
      <c r="BG45" s="1237"/>
      <c r="BH45" s="1237"/>
      <c r="BI45" s="98"/>
      <c r="BJ45" s="1253" t="s">
        <v>484</v>
      </c>
      <c r="BK45" s="1150"/>
      <c r="BL45" s="1150"/>
      <c r="BM45" s="1150"/>
      <c r="BN45" s="1150"/>
      <c r="BO45" s="1150"/>
      <c r="BP45" s="1150"/>
      <c r="BQ45" s="1150"/>
      <c r="BR45" s="1150"/>
      <c r="BS45" s="677"/>
    </row>
    <row r="46" spans="1:71" ht="15" customHeight="1">
      <c r="A46" s="49"/>
      <c r="F46" s="36" t="s">
        <v>549</v>
      </c>
      <c r="G46" s="37" t="s">
        <v>551</v>
      </c>
      <c r="I46" s="36" t="s">
        <v>549</v>
      </c>
      <c r="J46" s="36"/>
      <c r="K46" s="37" t="s">
        <v>551</v>
      </c>
      <c r="L46" s="37"/>
      <c r="P46" s="51"/>
      <c r="Q46" s="630" t="e">
        <f t="array" ref="Q46">INDEX('Outline Admin'!$A$7:$A$53,SMALL(IF('Outline Admin'!$A$7:$A$53&lt;&gt;"",ROW('Outline Admin'!$A$7:$A$53)-ROW('Outline Admin'!$A$7)+1),7))</f>
        <v>#NUM!</v>
      </c>
      <c r="R46" s="1115" t="str">
        <f>IF(ISERROR($Q46),"",VLOOKUP($Q46,'Course Table'!$A$1:$K$325,2))</f>
        <v/>
      </c>
      <c r="S46" s="1116"/>
      <c r="T46" s="1116"/>
      <c r="U46" s="1116"/>
      <c r="V46" s="633" t="str">
        <f>IF(ISERROR($Q46),"",VLOOKUP($Q46,'Course Table'!$A$1:$K$325,5))</f>
        <v/>
      </c>
      <c r="W46" s="1094" t="str">
        <f>IF(ISERROR($AB46),"",VLOOKUP($AB46,'Course Table'!$A$1:$K$325,2))</f>
        <v/>
      </c>
      <c r="X46" s="1094"/>
      <c r="Y46" s="1094"/>
      <c r="Z46" s="1094"/>
      <c r="AA46" s="635" t="str">
        <f>IF(ISERROR($AB46),"",VLOOKUP($AB46,'Course Table'!$A$1:$K$325,5))</f>
        <v/>
      </c>
      <c r="AB46" s="630" t="e">
        <f t="array" ref="AB46">INDEX('Outline Admin'!$A$7:$A$53,SMALL(IF('Outline Admin'!$A$7:$A$53&lt;&gt;"",ROW('Outline Admin'!$A$7:$A$53)-ROW('Outline Admin'!$A$7)+1),25))</f>
        <v>#NUM!</v>
      </c>
      <c r="AC46" s="49"/>
      <c r="AL46" s="51"/>
      <c r="AN46" s="1108" t="s">
        <v>1467</v>
      </c>
      <c r="AO46" s="1106"/>
      <c r="AP46" s="1106"/>
      <c r="AQ46" s="1106"/>
      <c r="AR46" s="1106"/>
      <c r="AS46" s="1106"/>
      <c r="AT46" s="1106"/>
      <c r="AU46" s="1106"/>
      <c r="AV46" s="1106"/>
      <c r="AW46" s="1107"/>
      <c r="AX46" s="102"/>
      <c r="AY46" s="11"/>
      <c r="AZ46" s="1237"/>
      <c r="BA46" s="1237"/>
      <c r="BB46" s="1237"/>
      <c r="BC46" s="1237"/>
      <c r="BD46" s="1237"/>
      <c r="BE46" s="1237"/>
      <c r="BF46" s="1237"/>
      <c r="BG46" s="1237"/>
      <c r="BH46" s="1237"/>
      <c r="BI46" s="98"/>
      <c r="BJ46" s="1254" t="s">
        <v>978</v>
      </c>
      <c r="BK46" s="1255"/>
      <c r="BL46" s="1255"/>
      <c r="BM46" s="1255"/>
      <c r="BN46" s="1255"/>
      <c r="BO46" s="1255"/>
      <c r="BP46" s="1255"/>
      <c r="BQ46" s="1255"/>
      <c r="BR46" s="1255"/>
      <c r="BS46" s="1256"/>
    </row>
    <row r="47" spans="1:71" ht="15.75" customHeight="1">
      <c r="A47" s="49" t="s">
        <v>488</v>
      </c>
      <c r="E47" s="29"/>
      <c r="F47" s="938" t="str">
        <f>IF('Student Info'!$D$8="Y",$G$46,$F$46)</f>
        <v>þ</v>
      </c>
      <c r="G47" s="10" t="s">
        <v>1656</v>
      </c>
      <c r="I47" s="939" t="str">
        <f>IF('Student Info'!$D$9="Y",$K$46,$I$46)</f>
        <v>¨</v>
      </c>
      <c r="J47" s="939"/>
      <c r="K47" s="10" t="s">
        <v>1655</v>
      </c>
      <c r="N47" s="844" t="str">
        <f>IF('Student Info'!$D$10="Y",$K$46,$I$46)</f>
        <v>¨</v>
      </c>
      <c r="O47" s="34" t="s">
        <v>1657</v>
      </c>
      <c r="P47" s="51"/>
      <c r="Q47" s="630" t="e">
        <f t="array" ref="Q47">INDEX('Outline Admin'!$A$7:$A$53,SMALL(IF('Outline Admin'!$A$7:$A$53&lt;&gt;"",ROW('Outline Admin'!$A$7:$A$53)-ROW('Outline Admin'!$A$7)+1),8))</f>
        <v>#NUM!</v>
      </c>
      <c r="R47" s="1115" t="str">
        <f>IF(ISERROR($Q47),"",VLOOKUP($Q47,'Course Table'!$A$1:$K$325,2))</f>
        <v/>
      </c>
      <c r="S47" s="1116"/>
      <c r="T47" s="1116"/>
      <c r="U47" s="1116"/>
      <c r="V47" s="633" t="str">
        <f>IF(ISERROR($Q47),"",VLOOKUP($Q47,'Course Table'!$A$1:$K$325,5))</f>
        <v/>
      </c>
      <c r="W47" s="1094" t="str">
        <f>IF(ISERROR($AB47),"",VLOOKUP($AB47,'Course Table'!$A$1:$K$325,2))</f>
        <v/>
      </c>
      <c r="X47" s="1094"/>
      <c r="Y47" s="1094"/>
      <c r="Z47" s="1094"/>
      <c r="AA47" s="635" t="str">
        <f>IF(ISERROR($AB47),"",VLOOKUP($AB47,'Course Table'!$A$1:$K$325,5))</f>
        <v/>
      </c>
      <c r="AB47" s="630" t="e">
        <f t="array" ref="AB47">INDEX('Outline Admin'!$A$7:$A$53,SMALL(IF('Outline Admin'!$A$7:$A$53&lt;&gt;"",ROW('Outline Admin'!$A$7:$A$53)-ROW('Outline Admin'!$A$7)+1),26))</f>
        <v>#NUM!</v>
      </c>
      <c r="AC47" s="49" t="s">
        <v>481</v>
      </c>
      <c r="AE47" s="1248">
        <f>'Outline Info'!$C$21</f>
        <v>0</v>
      </c>
      <c r="AF47" s="1248"/>
      <c r="AH47" s="11" t="s">
        <v>482</v>
      </c>
      <c r="AI47" s="1249">
        <f>'Outline Info'!$B$21</f>
        <v>0</v>
      </c>
      <c r="AJ47" s="1249"/>
      <c r="AL47" s="51"/>
      <c r="AN47" s="1108"/>
      <c r="AO47" s="1106"/>
      <c r="AP47" s="1106"/>
      <c r="AQ47" s="1106"/>
      <c r="AR47" s="1106"/>
      <c r="AS47" s="1106"/>
      <c r="AT47" s="1106"/>
      <c r="AU47" s="1106"/>
      <c r="AV47" s="1106"/>
      <c r="AW47" s="1107"/>
      <c r="AX47" s="97"/>
      <c r="AY47" s="102"/>
      <c r="AZ47" s="1237"/>
      <c r="BA47" s="1237"/>
      <c r="BB47" s="1237"/>
      <c r="BC47" s="1237"/>
      <c r="BD47" s="1237"/>
      <c r="BE47" s="1237"/>
      <c r="BF47" s="1237"/>
      <c r="BG47" s="1237"/>
      <c r="BH47" s="1237"/>
      <c r="BI47" s="98"/>
      <c r="BJ47" s="1257"/>
      <c r="BK47" s="1106"/>
      <c r="BL47" s="1106"/>
      <c r="BM47" s="1106"/>
      <c r="BN47" s="1106"/>
      <c r="BO47" s="1106"/>
      <c r="BP47" s="1106"/>
      <c r="BQ47" s="1106"/>
      <c r="BR47" s="1106"/>
      <c r="BS47" s="1258"/>
    </row>
    <row r="48" spans="1:71" ht="15.75" customHeight="1">
      <c r="A48" s="49" t="s">
        <v>765</v>
      </c>
      <c r="E48" s="29"/>
      <c r="F48" s="29"/>
      <c r="P48" s="51"/>
      <c r="Q48" s="630" t="e">
        <f t="array" ref="Q48">INDEX('Outline Admin'!$A$7:$A$53,SMALL(IF('Outline Admin'!$A$7:$A$53&lt;&gt;"",ROW('Outline Admin'!$A$7:$A$53)-ROW('Outline Admin'!$A$7)+1),9))</f>
        <v>#NUM!</v>
      </c>
      <c r="R48" s="1115" t="str">
        <f>IF(ISERROR($Q48),"",VLOOKUP($Q48,'Course Table'!$A$1:$K$325,2))</f>
        <v/>
      </c>
      <c r="S48" s="1116"/>
      <c r="T48" s="1116"/>
      <c r="U48" s="1116"/>
      <c r="V48" s="633" t="str">
        <f>IF(ISERROR($Q48),"",VLOOKUP($Q48,'Course Table'!$A$1:$K$325,5))</f>
        <v/>
      </c>
      <c r="W48" s="1094" t="str">
        <f>IF(ISERROR($AB48),"",VLOOKUP($AB48,'Course Table'!$A$1:$K$325,2))</f>
        <v/>
      </c>
      <c r="X48" s="1094"/>
      <c r="Y48" s="1094"/>
      <c r="Z48" s="1094"/>
      <c r="AA48" s="635" t="str">
        <f>IF(ISERROR($AB48),"",VLOOKUP($AB48,'Course Table'!$A$1:$K$325,5))</f>
        <v/>
      </c>
      <c r="AB48" s="630" t="e">
        <f t="array" ref="AB48">INDEX('Outline Admin'!$A$7:$A$53,SMALL(IF('Outline Admin'!$A$7:$A$53&lt;&gt;"",ROW('Outline Admin'!$A$7:$A$53)-ROW('Outline Admin'!$A$7)+1),27))</f>
        <v>#NUM!</v>
      </c>
      <c r="AC48" s="49"/>
      <c r="AE48" s="1095">
        <f>'Outline Info'!$C$22</f>
        <v>0</v>
      </c>
      <c r="AF48" s="1095"/>
      <c r="AI48" s="1093">
        <f>'Outline Info'!$B$22</f>
        <v>0</v>
      </c>
      <c r="AJ48" s="1093"/>
      <c r="AL48" s="51"/>
      <c r="AN48" s="860" t="s">
        <v>1053</v>
      </c>
      <c r="AO48" s="856"/>
      <c r="AP48" s="856"/>
      <c r="AQ48" s="856"/>
      <c r="AR48" s="856"/>
      <c r="AS48" s="856"/>
      <c r="AT48" s="856"/>
      <c r="AU48" s="856"/>
      <c r="AV48" s="856"/>
      <c r="AW48" s="857"/>
      <c r="AX48" s="97"/>
      <c r="AY48" s="102" t="s">
        <v>627</v>
      </c>
      <c r="AZ48" s="1227" t="s">
        <v>977</v>
      </c>
      <c r="BA48" s="1227"/>
      <c r="BB48" s="1227"/>
      <c r="BC48" s="1227"/>
      <c r="BD48" s="1227"/>
      <c r="BE48" s="1227"/>
      <c r="BF48" s="1227"/>
      <c r="BG48" s="1227"/>
      <c r="BH48" s="1227"/>
      <c r="BI48" s="98"/>
      <c r="BJ48" s="1257"/>
      <c r="BK48" s="1106"/>
      <c r="BL48" s="1106"/>
      <c r="BM48" s="1106"/>
      <c r="BN48" s="1106"/>
      <c r="BO48" s="1106"/>
      <c r="BP48" s="1106"/>
      <c r="BQ48" s="1106"/>
      <c r="BR48" s="1106"/>
      <c r="BS48" s="1258"/>
    </row>
    <row r="49" spans="1:72" ht="15.75" customHeight="1">
      <c r="A49" s="49"/>
      <c r="E49" s="29"/>
      <c r="F49" s="34"/>
      <c r="I49" s="34"/>
      <c r="J49" s="34"/>
      <c r="P49" s="51"/>
      <c r="Q49" s="630" t="e">
        <f t="array" ref="Q49">INDEX('Outline Admin'!$A$7:$A$53,SMALL(IF('Outline Admin'!$A$7:$A$53&lt;&gt;"",ROW('Outline Admin'!$A$7:$A$53)-ROW('Outline Admin'!$A$7)+1),10))</f>
        <v>#NUM!</v>
      </c>
      <c r="R49" s="1115" t="str">
        <f>IF(ISERROR($Q49),"",VLOOKUP($Q49,'Course Table'!$A$1:$K$325,2))</f>
        <v/>
      </c>
      <c r="S49" s="1116"/>
      <c r="T49" s="1116"/>
      <c r="U49" s="1116"/>
      <c r="V49" s="633" t="str">
        <f>IF(ISERROR($Q49),"",VLOOKUP($Q49,'Course Table'!$A$1:$K$325,5))</f>
        <v/>
      </c>
      <c r="W49" s="1094" t="str">
        <f>IF(ISERROR($AB49),"",VLOOKUP($AB49,'Course Table'!$A$1:$K$325,2))</f>
        <v/>
      </c>
      <c r="X49" s="1094"/>
      <c r="Y49" s="1094"/>
      <c r="Z49" s="1094"/>
      <c r="AA49" s="635" t="str">
        <f>IF(ISERROR($AB49),"",VLOOKUP($AB49,'Course Table'!$A$1:$K$325,5))</f>
        <v/>
      </c>
      <c r="AB49" s="630" t="e">
        <f t="array" ref="AB49">INDEX('Outline Admin'!$A$7:$A$53,SMALL(IF('Outline Admin'!$A$7:$A$53&lt;&gt;"",ROW('Outline Admin'!$A$7:$A$53)-ROW('Outline Admin'!$A$7)+1),28))</f>
        <v>#NUM!</v>
      </c>
      <c r="AC49" s="49"/>
      <c r="AE49" s="1095">
        <f>'Outline Info'!N28</f>
        <v>0</v>
      </c>
      <c r="AF49" s="1095"/>
      <c r="AI49" s="1093">
        <f>'Outline Info'!$B$23</f>
        <v>0</v>
      </c>
      <c r="AJ49" s="1093"/>
      <c r="AL49" s="51"/>
      <c r="AN49" s="860" t="s">
        <v>1052</v>
      </c>
      <c r="AO49" s="618"/>
      <c r="AP49" s="618"/>
      <c r="AQ49" s="618"/>
      <c r="AR49" s="618"/>
      <c r="AS49" s="618"/>
      <c r="AT49" s="618"/>
      <c r="AU49" s="618"/>
      <c r="AV49" s="618"/>
      <c r="AW49" s="619"/>
      <c r="AX49" s="101"/>
      <c r="AY49" s="101"/>
      <c r="AZ49" s="1227"/>
      <c r="BA49" s="1227"/>
      <c r="BB49" s="1227"/>
      <c r="BC49" s="1227"/>
      <c r="BD49" s="1227"/>
      <c r="BE49" s="1227"/>
      <c r="BF49" s="1227"/>
      <c r="BG49" s="1227"/>
      <c r="BH49" s="1227"/>
      <c r="BI49" s="98"/>
      <c r="BJ49" s="670"/>
      <c r="BK49" s="993"/>
      <c r="BL49" s="993"/>
      <c r="BM49" s="993"/>
      <c r="BN49" s="993"/>
      <c r="BO49" s="993"/>
      <c r="BP49" s="993"/>
      <c r="BQ49" s="993"/>
      <c r="BR49" s="993"/>
      <c r="BS49" s="671"/>
    </row>
    <row r="50" spans="1:72" ht="15.75" customHeight="1">
      <c r="A50" s="49" t="s">
        <v>1047</v>
      </c>
      <c r="C50" s="24"/>
      <c r="F50" s="613"/>
      <c r="G50" s="614"/>
      <c r="H50" s="614"/>
      <c r="I50" s="614"/>
      <c r="J50" s="997"/>
      <c r="K50" s="17"/>
      <c r="L50" s="842"/>
      <c r="M50" s="17"/>
      <c r="N50" s="842"/>
      <c r="O50" s="17"/>
      <c r="P50" s="52"/>
      <c r="Q50" s="630" t="e">
        <f t="array" ref="Q50">INDEX('Outline Admin'!$A$7:$A$53,SMALL(IF('Outline Admin'!$A$7:$A$53&lt;&gt;"",ROW('Outline Admin'!$A$7:$A$53)-ROW('Outline Admin'!$A$7)+1),11))</f>
        <v>#NUM!</v>
      </c>
      <c r="R50" s="1115" t="str">
        <f>IF(ISERROR($Q50),"",VLOOKUP($Q50,'Course Table'!$A$1:$K$325,2))</f>
        <v/>
      </c>
      <c r="S50" s="1116"/>
      <c r="T50" s="1116"/>
      <c r="U50" s="1116"/>
      <c r="V50" s="633" t="str">
        <f>IF(ISERROR($Q50),"",VLOOKUP($Q50,'Course Table'!$A$1:$K$325,5))</f>
        <v/>
      </c>
      <c r="W50" s="1094" t="str">
        <f>IF(ISERROR($AB50),"",VLOOKUP($AB50,'Course Table'!$A$1:$K$325,2))</f>
        <v/>
      </c>
      <c r="X50" s="1094"/>
      <c r="Y50" s="1094"/>
      <c r="Z50" s="1094"/>
      <c r="AA50" s="635" t="str">
        <f>IF(ISERROR($AB50),"",VLOOKUP($AB50,'Course Table'!$A$1:$K$325,5))</f>
        <v/>
      </c>
      <c r="AB50" s="630" t="e">
        <f t="array" ref="AB50">INDEX('Outline Admin'!$A$7:$A$53,SMALL(IF('Outline Admin'!$A$7:$A$53&lt;&gt;"",ROW('Outline Admin'!$A$7:$A$53)-ROW('Outline Admin'!$A$7)+1),29))</f>
        <v>#NUM!</v>
      </c>
      <c r="AC50" s="49"/>
      <c r="AE50" s="1095">
        <f>'Outline Info'!$C$24</f>
        <v>0</v>
      </c>
      <c r="AF50" s="1095"/>
      <c r="AI50" s="1093">
        <f>'Outline Info'!$B$24</f>
        <v>0</v>
      </c>
      <c r="AJ50" s="1093"/>
      <c r="AL50" s="51"/>
      <c r="AN50" s="1105" t="s">
        <v>1468</v>
      </c>
      <c r="AO50" s="1106"/>
      <c r="AP50" s="1106"/>
      <c r="AQ50" s="1106"/>
      <c r="AR50" s="1106"/>
      <c r="AS50" s="1106"/>
      <c r="AT50" s="1106"/>
      <c r="AU50" s="1106"/>
      <c r="AV50" s="1106"/>
      <c r="AW50" s="1107"/>
      <c r="AX50" s="97"/>
      <c r="AY50" s="101" t="s">
        <v>629</v>
      </c>
      <c r="AZ50" s="1227" t="s">
        <v>1117</v>
      </c>
      <c r="BA50" s="1227"/>
      <c r="BB50" s="1227"/>
      <c r="BC50" s="1227"/>
      <c r="BD50" s="1227"/>
      <c r="BE50" s="1227"/>
      <c r="BF50" s="1227"/>
      <c r="BG50" s="1227"/>
      <c r="BH50" s="1227"/>
      <c r="BI50" s="20"/>
      <c r="BJ50" s="678" t="s">
        <v>1760</v>
      </c>
      <c r="BK50" s="22"/>
      <c r="BL50" s="842"/>
      <c r="BM50" s="842"/>
      <c r="BN50" s="842"/>
      <c r="BO50" s="842"/>
      <c r="BQ50" s="995" t="str">
        <f>IF(ISBLANK('Student Info'!$D$6),VLOOKUP('Franchise Info'!$B$3,'Franchise Info'!$A$14:$P$19,10),'Student Info'!$D$6)</f>
        <v>Admissions Coordinator</v>
      </c>
      <c r="BR50" s="995"/>
      <c r="BS50" s="679"/>
    </row>
    <row r="51" spans="1:72" ht="15.45" customHeight="1">
      <c r="A51" s="49"/>
      <c r="C51" s="24"/>
      <c r="F51" s="612"/>
      <c r="G51" s="176"/>
      <c r="H51" s="176"/>
      <c r="I51" s="176"/>
      <c r="J51" s="176"/>
      <c r="K51" s="12"/>
      <c r="L51" s="12"/>
      <c r="M51" s="12"/>
      <c r="N51" s="12"/>
      <c r="O51" s="12"/>
      <c r="P51" s="50"/>
      <c r="Q51" s="630" t="e">
        <f t="array" ref="Q51">INDEX('Outline Admin'!$A$7:$A$53,SMALL(IF('Outline Admin'!$A$7:$A$53&lt;&gt;"",ROW('Outline Admin'!$A$7:$A$53)-ROW('Outline Admin'!$A$7)+1),12))</f>
        <v>#NUM!</v>
      </c>
      <c r="R51" s="1115" t="str">
        <f>IF(ISERROR($Q51),"",VLOOKUP($Q51,'Course Table'!$A$1:$K$325,2))</f>
        <v/>
      </c>
      <c r="S51" s="1116"/>
      <c r="T51" s="1116"/>
      <c r="U51" s="1116"/>
      <c r="V51" s="633" t="str">
        <f>IF(ISERROR($Q51),"",VLOOKUP($Q51,'Course Table'!$A$1:$K$325,5))</f>
        <v/>
      </c>
      <c r="W51" s="1094" t="str">
        <f>IF(ISERROR($AB51),"",VLOOKUP($AB51,'Course Table'!$A$1:$K$325,2))</f>
        <v/>
      </c>
      <c r="X51" s="1094"/>
      <c r="Y51" s="1094"/>
      <c r="Z51" s="1094"/>
      <c r="AA51" s="635" t="str">
        <f>IF(ISERROR($AB51),"",VLOOKUP($AB51,'Course Table'!$A$1:$K$325,5))</f>
        <v/>
      </c>
      <c r="AB51" s="630" t="e">
        <f t="array" ref="AB51">INDEX('Outline Admin'!$A$7:$A$53,SMALL(IF('Outline Admin'!$A$7:$A$53&lt;&gt;"",ROW('Outline Admin'!$A$7:$A$53)-ROW('Outline Admin'!$A$7)+1),30))</f>
        <v>#NUM!</v>
      </c>
      <c r="AC51" s="49"/>
      <c r="AE51" s="1095">
        <f>'Outline Info'!$C$25</f>
        <v>0</v>
      </c>
      <c r="AF51" s="1095"/>
      <c r="AI51" s="1093">
        <f>'Outline Info'!$B$25</f>
        <v>0</v>
      </c>
      <c r="AJ51" s="1093"/>
      <c r="AL51" s="51"/>
      <c r="AN51" s="1108"/>
      <c r="AO51" s="1106"/>
      <c r="AP51" s="1106"/>
      <c r="AQ51" s="1106"/>
      <c r="AR51" s="1106"/>
      <c r="AS51" s="1106"/>
      <c r="AT51" s="1106"/>
      <c r="AU51" s="1106"/>
      <c r="AV51" s="1106"/>
      <c r="AW51" s="1107"/>
      <c r="AX51" s="97"/>
      <c r="AY51" s="97"/>
      <c r="AZ51" s="1227"/>
      <c r="BA51" s="1227"/>
      <c r="BB51" s="1227"/>
      <c r="BC51" s="1227"/>
      <c r="BD51" s="1227"/>
      <c r="BE51" s="1227"/>
      <c r="BF51" s="1227"/>
      <c r="BG51" s="1227"/>
      <c r="BH51" s="1227"/>
      <c r="BI51" s="20"/>
      <c r="BJ51" s="670" t="s">
        <v>486</v>
      </c>
      <c r="BQ51" s="162" t="s">
        <v>553</v>
      </c>
      <c r="BR51" s="162"/>
      <c r="BS51" s="680"/>
    </row>
    <row r="52" spans="1:72" ht="15.6">
      <c r="A52" s="49" t="s">
        <v>1048</v>
      </c>
      <c r="F52" s="609"/>
      <c r="P52" s="51"/>
      <c r="Q52" s="630" t="e">
        <f t="array" ref="Q52">INDEX('Outline Admin'!$A$7:$A$53,SMALL(IF('Outline Admin'!$A$7:$A$53&lt;&gt;"",ROW('Outline Admin'!$A$7:$A$53)-ROW('Outline Admin'!$A$7)+1),13))</f>
        <v>#NUM!</v>
      </c>
      <c r="R52" s="1115" t="str">
        <f>IF(ISERROR($Q52),"",VLOOKUP($Q52,'Course Table'!$A$1:$K$325,2))</f>
        <v/>
      </c>
      <c r="S52" s="1116"/>
      <c r="T52" s="1116"/>
      <c r="U52" s="1116"/>
      <c r="V52" s="633" t="str">
        <f>IF(ISERROR($Q52),"",VLOOKUP($Q52,'Course Table'!$A$1:$K$325,5))</f>
        <v/>
      </c>
      <c r="W52" s="1094" t="str">
        <f>IF(ISERROR($AB52),"",VLOOKUP($AB52,'Course Table'!$A$1:$K$325,2))</f>
        <v/>
      </c>
      <c r="X52" s="1094"/>
      <c r="Y52" s="1094"/>
      <c r="Z52" s="1094"/>
      <c r="AA52" s="635" t="str">
        <f>IF(ISERROR($AB52),"",VLOOKUP($AB52,'Course Table'!$A$1:$K$325,5))</f>
        <v/>
      </c>
      <c r="AB52" s="630" t="e">
        <f t="array" ref="AB52">INDEX('Outline Admin'!$A$7:$A$53,SMALL(IF('Outline Admin'!$A$7:$A$53&lt;&gt;"",ROW('Outline Admin'!$A$7:$A$53)-ROW('Outline Admin'!$A$7)+1),31))</f>
        <v>#NUM!</v>
      </c>
      <c r="AC52" s="49"/>
      <c r="AE52" s="1095">
        <f>'Outline Info'!$C$26</f>
        <v>0</v>
      </c>
      <c r="AF52" s="1095"/>
      <c r="AI52" s="1093">
        <f>'Outline Info'!$B$26</f>
        <v>0</v>
      </c>
      <c r="AJ52" s="1093"/>
      <c r="AL52" s="51"/>
      <c r="AN52" s="860" t="s">
        <v>1054</v>
      </c>
      <c r="AO52" s="856"/>
      <c r="AP52" s="856"/>
      <c r="AQ52" s="856"/>
      <c r="AR52" s="856"/>
      <c r="AS52" s="856"/>
      <c r="AT52" s="856"/>
      <c r="AU52" s="856"/>
      <c r="AV52" s="856"/>
      <c r="AW52" s="857"/>
      <c r="AX52" s="97"/>
      <c r="AZ52" s="159"/>
      <c r="BA52" s="159"/>
      <c r="BB52" s="159"/>
      <c r="BC52" s="159"/>
      <c r="BD52" s="159"/>
      <c r="BE52" s="159"/>
      <c r="BF52" s="159"/>
      <c r="BG52" s="159"/>
      <c r="BH52" s="159"/>
      <c r="BI52" s="20"/>
      <c r="BJ52" s="670"/>
      <c r="BS52" s="671"/>
      <c r="BT52" s="1250"/>
    </row>
    <row r="53" spans="1:72" ht="15.75" customHeight="1">
      <c r="A53" s="49"/>
      <c r="F53" s="609"/>
      <c r="P53" s="51"/>
      <c r="Q53" s="630" t="e">
        <f t="array" ref="Q53">INDEX('Outline Admin'!$A$7:$A$53,SMALL(IF('Outline Admin'!$A$7:$A$53&lt;&gt;"",ROW('Outline Admin'!$A$7:$A$53)-ROW('Outline Admin'!$A$7)+1),14))</f>
        <v>#NUM!</v>
      </c>
      <c r="R53" s="1115" t="str">
        <f>IF(ISERROR($Q53),"",VLOOKUP($Q53,'Course Table'!$A$1:$K$325,2))</f>
        <v/>
      </c>
      <c r="S53" s="1116"/>
      <c r="T53" s="1116"/>
      <c r="U53" s="1116"/>
      <c r="V53" s="633" t="str">
        <f>IF(ISERROR($Q53),"",VLOOKUP($Q53,'Course Table'!$A$1:$K$325,5))</f>
        <v/>
      </c>
      <c r="W53" s="1094" t="str">
        <f>IF(ISERROR($AB53),"",VLOOKUP($AB53,'Course Table'!$A$1:$K$325,2))</f>
        <v/>
      </c>
      <c r="X53" s="1094"/>
      <c r="Y53" s="1094"/>
      <c r="Z53" s="1094"/>
      <c r="AA53" s="635" t="str">
        <f>IF(ISERROR($AB53),"",VLOOKUP($AB53,'Course Table'!$A$1:$K$325,5))</f>
        <v/>
      </c>
      <c r="AB53" s="630" t="e">
        <f t="array" ref="AB53">INDEX('Outline Admin'!$A$7:$A$53,SMALL(IF('Outline Admin'!$A$7:$A$53&lt;&gt;"",ROW('Outline Admin'!$A$7:$A$53)-ROW('Outline Admin'!$A$7)+1),32))</f>
        <v>#NUM!</v>
      </c>
      <c r="AC53" s="49"/>
      <c r="AE53" s="1248">
        <f>'Outline Info'!$C$27</f>
        <v>0</v>
      </c>
      <c r="AF53" s="1248"/>
      <c r="AI53" s="1249">
        <f>'Outline Info'!$B$27</f>
        <v>0</v>
      </c>
      <c r="AJ53" s="1249"/>
      <c r="AL53" s="51"/>
      <c r="AN53" s="1102" t="s">
        <v>1469</v>
      </c>
      <c r="AO53" s="1103"/>
      <c r="AP53" s="1103"/>
      <c r="AQ53" s="1103"/>
      <c r="AR53" s="1103"/>
      <c r="AS53" s="1103"/>
      <c r="AT53" s="1103"/>
      <c r="AU53" s="1103"/>
      <c r="AV53" s="1103"/>
      <c r="AW53" s="1104"/>
      <c r="AX53" s="97"/>
      <c r="AY53" s="102"/>
      <c r="AZ53" s="98"/>
      <c r="BA53" s="98"/>
      <c r="BB53" s="98"/>
      <c r="BC53" s="98"/>
      <c r="BD53" s="98"/>
      <c r="BE53" s="98"/>
      <c r="BF53" s="98"/>
      <c r="BG53" s="98"/>
      <c r="BH53" s="98"/>
      <c r="BI53" s="20"/>
      <c r="BJ53" s="673"/>
      <c r="BK53" s="83"/>
      <c r="BL53" s="83"/>
      <c r="BM53" s="83"/>
      <c r="BN53" s="83"/>
      <c r="BO53" s="83"/>
      <c r="BQ53" s="83"/>
      <c r="BR53" s="83"/>
      <c r="BS53" s="674"/>
      <c r="BT53" s="1250"/>
    </row>
    <row r="54" spans="1:72" ht="16.2" customHeight="1" thickBot="1">
      <c r="A54" s="56"/>
      <c r="B54" s="57"/>
      <c r="C54" s="57"/>
      <c r="D54" s="57"/>
      <c r="E54" s="57"/>
      <c r="F54" s="58"/>
      <c r="G54" s="57"/>
      <c r="H54" s="57"/>
      <c r="I54" s="57"/>
      <c r="J54" s="57"/>
      <c r="K54" s="57"/>
      <c r="L54" s="57"/>
      <c r="M54" s="57"/>
      <c r="N54" s="57"/>
      <c r="O54" s="57"/>
      <c r="P54" s="59"/>
      <c r="Q54" s="630" t="e">
        <f t="array" ref="Q54">INDEX('Outline Admin'!$A$7:$A$53,SMALL(IF('Outline Admin'!$A$7:$A$53&lt;&gt;"",ROW('Outline Admin'!$A$7:$A$53)-ROW('Outline Admin'!$A$7)+1),15))</f>
        <v>#NUM!</v>
      </c>
      <c r="R54" s="1115" t="str">
        <f>IF(ISERROR($Q54),"",VLOOKUP($Q54,'Course Table'!$A$1:$K$325,2))</f>
        <v/>
      </c>
      <c r="S54" s="1116"/>
      <c r="T54" s="1116"/>
      <c r="U54" s="1116"/>
      <c r="V54" s="633" t="str">
        <f>IF(ISERROR($Q54),"",VLOOKUP($Q54,'Course Table'!$A$1:$K$325,5))</f>
        <v/>
      </c>
      <c r="W54" s="1094" t="str">
        <f>IF(ISERROR($AB54),"",VLOOKUP($AB54,'Course Table'!$A$1:$K$325,2))</f>
        <v/>
      </c>
      <c r="X54" s="1094"/>
      <c r="Y54" s="1094"/>
      <c r="Z54" s="1094"/>
      <c r="AA54" s="635" t="str">
        <f>IF(ISERROR($AB54),"",VLOOKUP($AB54,'Course Table'!$A$1:$K$325,5))</f>
        <v/>
      </c>
      <c r="AB54" s="630" t="e">
        <f t="array" ref="AB54">INDEX('Outline Admin'!$A$7:$A$53,SMALL(IF('Outline Admin'!$A$7:$A$53&lt;&gt;"",ROW('Outline Admin'!$A$7:$A$53)-ROW('Outline Admin'!$A$7)+1),33))</f>
        <v>#NUM!</v>
      </c>
      <c r="AC54" s="49"/>
      <c r="AE54" s="1095">
        <f>'Outline Info'!$C$28</f>
        <v>0</v>
      </c>
      <c r="AF54" s="1095"/>
      <c r="AI54" s="1093">
        <f>'Outline Info'!$B$28</f>
        <v>0</v>
      </c>
      <c r="AJ54" s="1093"/>
      <c r="AL54" s="51"/>
      <c r="AN54" s="1102"/>
      <c r="AO54" s="1103"/>
      <c r="AP54" s="1103"/>
      <c r="AQ54" s="1103"/>
      <c r="AR54" s="1103"/>
      <c r="AS54" s="1103"/>
      <c r="AT54" s="1103"/>
      <c r="AU54" s="1103"/>
      <c r="AV54" s="1103"/>
      <c r="AW54" s="1104"/>
      <c r="AX54" s="69"/>
      <c r="AZ54" s="98"/>
      <c r="BA54" s="98"/>
      <c r="BB54" s="98"/>
      <c r="BC54" s="98"/>
      <c r="BD54" s="98"/>
      <c r="BE54" s="98"/>
      <c r="BF54" s="98"/>
      <c r="BG54" s="98"/>
      <c r="BH54" s="98"/>
      <c r="BI54" s="20"/>
      <c r="BJ54" s="675"/>
      <c r="BK54" s="84"/>
      <c r="BL54" s="84"/>
      <c r="BM54" s="84"/>
      <c r="BN54" s="84"/>
      <c r="BO54" s="84"/>
      <c r="BQ54" s="999"/>
      <c r="BR54" s="999"/>
      <c r="BS54" s="676"/>
      <c r="BT54" s="1250"/>
    </row>
    <row r="55" spans="1:72" ht="16.2" thickBot="1">
      <c r="Q55" s="637" t="e">
        <f t="array" ref="Q55">INDEX('Outline Admin'!$A$7:$A$53,SMALL(IF('Outline Admin'!$A$7:$A$53&lt;&gt;"",ROW('Outline Admin'!$A$7:$A$53)-ROW('Outline Admin'!$A$7)+1),16))</f>
        <v>#NUM!</v>
      </c>
      <c r="R55" s="1115" t="str">
        <f>IF(ISERROR($Q55),"",VLOOKUP($Q55,'Course Table'!$A$1:$K$325,2))</f>
        <v/>
      </c>
      <c r="S55" s="1116"/>
      <c r="T55" s="1116"/>
      <c r="U55" s="1116"/>
      <c r="V55" s="633" t="str">
        <f>IF(ISERROR($Q55),"",VLOOKUP($Q55,'Course Table'!$A$1:$K$325,5))</f>
        <v/>
      </c>
      <c r="W55" s="1094" t="str">
        <f>IF(ISERROR($AB55),"",VLOOKUP($AB55,'Course Table'!$A$1:$K$325,2))</f>
        <v/>
      </c>
      <c r="X55" s="1094"/>
      <c r="Y55" s="1094"/>
      <c r="Z55" s="1094"/>
      <c r="AA55" s="635" t="str">
        <f>IF(ISERROR($AB55),"",VLOOKUP($AB55,'Course Table'!$A$1:$K$325,5))</f>
        <v/>
      </c>
      <c r="AB55" s="630" t="e">
        <f t="array" ref="AB55">INDEX('Outline Admin'!$A$7:$A$53,SMALL(IF('Outline Admin'!$A$7:$A$53&lt;&gt;"",ROW('Outline Admin'!$A$7:$A$53)-ROW('Outline Admin'!$A$7)+1),34))</f>
        <v>#NUM!</v>
      </c>
      <c r="AC55" s="49"/>
      <c r="AE55" s="1095">
        <f>'Outline Info'!$C$29</f>
        <v>0</v>
      </c>
      <c r="AF55" s="1095"/>
      <c r="AI55" s="1093">
        <f>'Outline Info'!$B$29</f>
        <v>0</v>
      </c>
      <c r="AJ55" s="1093"/>
      <c r="AL55" s="51"/>
      <c r="AN55" s="1223" t="s">
        <v>1470</v>
      </c>
      <c r="AO55" s="1103"/>
      <c r="AP55" s="1103"/>
      <c r="AQ55" s="1103"/>
      <c r="AR55" s="1103"/>
      <c r="AS55" s="1103"/>
      <c r="AT55" s="1103"/>
      <c r="AU55" s="1103"/>
      <c r="AV55" s="1103"/>
      <c r="AW55" s="1104"/>
      <c r="AY55" s="97"/>
      <c r="AZ55" s="98"/>
      <c r="BA55" s="98"/>
      <c r="BB55" s="98"/>
      <c r="BC55" s="98"/>
      <c r="BD55" s="98"/>
      <c r="BE55" s="98"/>
      <c r="BF55" s="98"/>
      <c r="BG55" s="98"/>
      <c r="BH55" s="98"/>
      <c r="BJ55" s="681" t="s">
        <v>489</v>
      </c>
      <c r="BK55" s="682"/>
      <c r="BL55" s="682"/>
      <c r="BM55" s="682"/>
      <c r="BN55" s="682"/>
      <c r="BO55" s="682"/>
      <c r="BP55" s="682"/>
      <c r="BQ55" s="683" t="s">
        <v>552</v>
      </c>
      <c r="BR55" s="682"/>
      <c r="BS55" s="684"/>
    </row>
    <row r="56" spans="1:72" ht="15.75" customHeight="1" thickTop="1">
      <c r="Q56" s="637" t="e">
        <f t="array" ref="Q56">INDEX('Outline Admin'!$A$7:$A$53,SMALL(IF('Outline Admin'!$A$7:$A$53&lt;&gt;"",ROW('Outline Admin'!$A$7:$A$53)-ROW('Outline Admin'!$A$7)+1),17))</f>
        <v>#NUM!</v>
      </c>
      <c r="R56" s="1115" t="str">
        <f>IF(ISERROR($Q56),"",VLOOKUP($Q56,'Course Table'!$A$1:$K$325,2))</f>
        <v/>
      </c>
      <c r="S56" s="1116"/>
      <c r="T56" s="1116"/>
      <c r="U56" s="1116"/>
      <c r="V56" s="633" t="str">
        <f>IF(ISERROR($Q56),"",VLOOKUP($Q56,'Course Table'!$A$1:$K$325,5))</f>
        <v/>
      </c>
      <c r="W56" s="1094" t="str">
        <f>IF(ISERROR($AB56),"",VLOOKUP($AB56,'Course Table'!$A$1:$K$325,2))</f>
        <v/>
      </c>
      <c r="X56" s="1094"/>
      <c r="Y56" s="1094"/>
      <c r="Z56" s="1094"/>
      <c r="AA56" s="635" t="str">
        <f>IF(ISERROR($AB56),"",VLOOKUP($AB56,'Course Table'!$A$1:$K$325,5))</f>
        <v/>
      </c>
      <c r="AB56" s="630" t="e">
        <f t="array" ref="AB56">INDEX('Outline Admin'!$A$7:$A$53,SMALL(IF('Outline Admin'!$A$7:$A$53&lt;&gt;"",ROW('Outline Admin'!$A$7:$A$53)-ROW('Outline Admin'!$A$7)+1),35))</f>
        <v>#NUM!</v>
      </c>
      <c r="AC56" s="49"/>
      <c r="AE56" s="1095">
        <f>'Outline Info'!$C$30</f>
        <v>0</v>
      </c>
      <c r="AF56" s="1095"/>
      <c r="AI56" s="1093">
        <f>'Outline Info'!$B$30</f>
        <v>0</v>
      </c>
      <c r="AJ56" s="1093"/>
      <c r="AL56" s="51"/>
      <c r="AN56" s="1102"/>
      <c r="AO56" s="1103"/>
      <c r="AP56" s="1103"/>
      <c r="AQ56" s="1103"/>
      <c r="AR56" s="1103"/>
      <c r="AS56" s="1103"/>
      <c r="AT56" s="1103"/>
      <c r="AU56" s="1103"/>
      <c r="AV56" s="1103"/>
      <c r="AW56" s="1104"/>
      <c r="AY56" s="101"/>
      <c r="AZ56" s="98"/>
      <c r="BA56" s="98"/>
      <c r="BB56" s="98"/>
      <c r="BC56" s="98"/>
      <c r="BD56" s="98"/>
      <c r="BE56" s="98"/>
      <c r="BF56" s="98"/>
      <c r="BG56" s="98"/>
      <c r="BH56" s="98"/>
      <c r="BJ56" s="1250" t="s">
        <v>1113</v>
      </c>
      <c r="BK56" s="1250"/>
      <c r="BL56" s="1250"/>
      <c r="BM56" s="1250"/>
      <c r="BN56" s="1250"/>
      <c r="BO56" s="1250"/>
      <c r="BP56" s="1250"/>
      <c r="BQ56" s="1250"/>
      <c r="BR56" s="1250"/>
      <c r="BS56" s="1001"/>
    </row>
    <row r="57" spans="1:72" ht="15" customHeight="1" thickBot="1">
      <c r="Q57" s="637" t="e">
        <f t="array" ref="Q57">INDEX('Outline Admin'!$A$7:$A$53,SMALL(IF('Outline Admin'!$A$7:$A$53&lt;&gt;"",ROW('Outline Admin'!$A$7:$A$53)-ROW('Outline Admin'!$A$7)+1),18))</f>
        <v>#NUM!</v>
      </c>
      <c r="R57" s="1113" t="str">
        <f>IF(ISERROR($Q57),"",VLOOKUP($Q57,'Course Table'!$A$1:$K$325,2))</f>
        <v/>
      </c>
      <c r="S57" s="1114"/>
      <c r="T57" s="1114"/>
      <c r="U57" s="1114"/>
      <c r="V57" s="634" t="str">
        <f>IF(ISERROR($Q57),"",VLOOKUP($Q57,'Course Table'!$A$1:$K$325,5))</f>
        <v/>
      </c>
      <c r="W57" s="1112" t="str">
        <f>IF(ISERROR($AB57),"",VLOOKUP($AB57,'Course Table'!$A$1:$K$325,2))</f>
        <v/>
      </c>
      <c r="X57" s="1112"/>
      <c r="Y57" s="1112"/>
      <c r="Z57" s="1112"/>
      <c r="AA57" s="636" t="str">
        <f>IF(ISERROR($AB57),"",VLOOKUP($AB57,'Course Table'!$A$1:$K$325,5))</f>
        <v/>
      </c>
      <c r="AB57" s="630" t="e">
        <f>INDEX('Outline Admin'!$A$7:$A$53,SMALL(IF('Outline Admin'!$A$7:$A$53&lt;&gt;"",ROW('Outline Admin'!$A$7:$A$53)-ROW('Outline Admin'!$A$7)+1),36))</f>
        <v>#VALUE!</v>
      </c>
      <c r="AC57" s="56"/>
      <c r="AD57" s="57"/>
      <c r="AE57" s="57"/>
      <c r="AF57" s="57"/>
      <c r="AG57" s="57"/>
      <c r="AH57" s="57"/>
      <c r="AI57" s="57"/>
      <c r="AJ57" s="57"/>
      <c r="AK57" s="57"/>
      <c r="AL57" s="59"/>
      <c r="AN57" s="861" t="s">
        <v>1055</v>
      </c>
      <c r="AO57" s="854"/>
      <c r="AP57" s="854"/>
      <c r="AQ57" s="854"/>
      <c r="AR57" s="854"/>
      <c r="AS57" s="854"/>
      <c r="AT57" s="854"/>
      <c r="AU57" s="854"/>
      <c r="AV57" s="854"/>
      <c r="AW57" s="855"/>
      <c r="AZ57" s="98"/>
      <c r="BA57" s="98"/>
      <c r="BB57" s="98"/>
      <c r="BC57" s="98"/>
      <c r="BD57" s="98"/>
      <c r="BE57" s="98"/>
      <c r="BF57" s="98"/>
      <c r="BG57" s="98"/>
      <c r="BH57" s="98"/>
      <c r="BJ57" s="1250"/>
      <c r="BK57" s="1250"/>
      <c r="BL57" s="1250"/>
      <c r="BM57" s="1250"/>
      <c r="BN57" s="1250"/>
      <c r="BO57" s="1250"/>
      <c r="BP57" s="1250"/>
      <c r="BQ57" s="1250"/>
      <c r="BR57" s="1250"/>
    </row>
    <row r="58" spans="1:72" ht="16.2" thickTop="1">
      <c r="P58" s="192" t="s">
        <v>777</v>
      </c>
      <c r="AA58" s="192" t="s">
        <v>777</v>
      </c>
      <c r="AL58" s="192" t="s">
        <v>777</v>
      </c>
      <c r="AN58" s="862"/>
      <c r="AO58" s="863"/>
      <c r="AP58" s="863"/>
      <c r="AQ58" s="863"/>
      <c r="AR58" s="863"/>
      <c r="AS58" s="863"/>
      <c r="AT58" s="863"/>
      <c r="AU58" s="627"/>
      <c r="AV58" s="627"/>
      <c r="AW58" s="685" t="s">
        <v>777</v>
      </c>
      <c r="BH58" s="192" t="s">
        <v>777</v>
      </c>
      <c r="BJ58" s="1250"/>
      <c r="BK58" s="1250"/>
      <c r="BL58" s="1250"/>
      <c r="BM58" s="1250"/>
      <c r="BN58" s="1250"/>
      <c r="BO58" s="1250"/>
      <c r="BP58" s="1250"/>
      <c r="BQ58" s="1250"/>
      <c r="BR58" s="1250"/>
    </row>
    <row r="59" spans="1:72">
      <c r="A59" s="10" t="s">
        <v>776</v>
      </c>
      <c r="P59" s="193" t="s">
        <v>1812</v>
      </c>
      <c r="R59" s="10" t="s">
        <v>778</v>
      </c>
      <c r="AA59" s="193" t="s">
        <v>1812</v>
      </c>
      <c r="AC59" s="10" t="s">
        <v>779</v>
      </c>
      <c r="AL59" s="193" t="s">
        <v>1812</v>
      </c>
      <c r="AN59" s="10" t="s">
        <v>782</v>
      </c>
      <c r="AW59" s="193" t="s">
        <v>1812</v>
      </c>
      <c r="AY59" s="10" t="s">
        <v>781</v>
      </c>
      <c r="BH59" s="193" t="s">
        <v>1812</v>
      </c>
      <c r="BJ59" s="10" t="s">
        <v>780</v>
      </c>
      <c r="BR59" s="193" t="s">
        <v>1812</v>
      </c>
    </row>
  </sheetData>
  <mergeCells count="170">
    <mergeCell ref="BJ56:BR58"/>
    <mergeCell ref="BJ45:BR45"/>
    <mergeCell ref="BJ46:BS48"/>
    <mergeCell ref="BJ18:BS24"/>
    <mergeCell ref="BJ33:BS40"/>
    <mergeCell ref="BJ16:BS16"/>
    <mergeCell ref="W41:Z41"/>
    <mergeCell ref="W42:Z42"/>
    <mergeCell ref="W43:Z43"/>
    <mergeCell ref="T21:AA33"/>
    <mergeCell ref="T34:AA35"/>
    <mergeCell ref="R40:U40"/>
    <mergeCell ref="R41:U41"/>
    <mergeCell ref="R42:U42"/>
    <mergeCell ref="R43:U43"/>
    <mergeCell ref="R44:U44"/>
    <mergeCell ref="R45:U45"/>
    <mergeCell ref="R55:U55"/>
    <mergeCell ref="W40:Z40"/>
    <mergeCell ref="W45:Z45"/>
    <mergeCell ref="W46:Z46"/>
    <mergeCell ref="W47:Z47"/>
    <mergeCell ref="W48:Z48"/>
    <mergeCell ref="AK31:AL31"/>
    <mergeCell ref="AZ48:BH49"/>
    <mergeCell ref="AJ44:AK44"/>
    <mergeCell ref="AI48:AJ48"/>
    <mergeCell ref="AI49:AJ49"/>
    <mergeCell ref="AC40:AL40"/>
    <mergeCell ref="AE47:AF47"/>
    <mergeCell ref="AI47:AJ47"/>
    <mergeCell ref="AE48:AF48"/>
    <mergeCell ref="BT52:BT54"/>
    <mergeCell ref="AN39:AW41"/>
    <mergeCell ref="AN42:AW43"/>
    <mergeCell ref="AN44:AW45"/>
    <mergeCell ref="AN46:AW47"/>
    <mergeCell ref="AN50:AW51"/>
    <mergeCell ref="AN53:AW54"/>
    <mergeCell ref="AE51:AF51"/>
    <mergeCell ref="AI52:AJ52"/>
    <mergeCell ref="AE53:AF53"/>
    <mergeCell ref="AI53:AJ53"/>
    <mergeCell ref="AE54:AF54"/>
    <mergeCell ref="AI54:AJ54"/>
    <mergeCell ref="AI50:AJ50"/>
    <mergeCell ref="AZ38:BH39"/>
    <mergeCell ref="AK32:AL32"/>
    <mergeCell ref="AK33:AL33"/>
    <mergeCell ref="AK39:AL39"/>
    <mergeCell ref="AC41:AL41"/>
    <mergeCell ref="AC42:AL43"/>
    <mergeCell ref="AK34:AL34"/>
    <mergeCell ref="AZ41:BH42"/>
    <mergeCell ref="AZ44:BH47"/>
    <mergeCell ref="O18:P18"/>
    <mergeCell ref="R2:AA2"/>
    <mergeCell ref="AN18:AW18"/>
    <mergeCell ref="AN20:AW21"/>
    <mergeCell ref="AY2:BH2"/>
    <mergeCell ref="AZ8:BG8"/>
    <mergeCell ref="AZ50:BH51"/>
    <mergeCell ref="AK35:AL35"/>
    <mergeCell ref="AE49:AF49"/>
    <mergeCell ref="AE50:AF50"/>
    <mergeCell ref="AC18:AL18"/>
    <mergeCell ref="AK38:AL38"/>
    <mergeCell ref="AK30:AL30"/>
    <mergeCell ref="AZ6:BH7"/>
    <mergeCell ref="AZ9:BH10"/>
    <mergeCell ref="AZ11:BH12"/>
    <mergeCell ref="AZ13:BH15"/>
    <mergeCell ref="AZ16:BH17"/>
    <mergeCell ref="AZ18:BH20"/>
    <mergeCell ref="AZ21:BH23"/>
    <mergeCell ref="AZ24:BH30"/>
    <mergeCell ref="AK36:AL36"/>
    <mergeCell ref="AN22:AW23"/>
    <mergeCell ref="AK27:AL27"/>
    <mergeCell ref="A19:B19"/>
    <mergeCell ref="E19:H19"/>
    <mergeCell ref="D26:F27"/>
    <mergeCell ref="H26:H28"/>
    <mergeCell ref="B28:C28"/>
    <mergeCell ref="M24:P24"/>
    <mergeCell ref="AN2:AW2"/>
    <mergeCell ref="A7:G7"/>
    <mergeCell ref="H3:P4"/>
    <mergeCell ref="AC2:AL2"/>
    <mergeCell ref="AC4:AL9"/>
    <mergeCell ref="R11:AA11"/>
    <mergeCell ref="T12:AA20"/>
    <mergeCell ref="M19:P19"/>
    <mergeCell ref="A9:G9"/>
    <mergeCell ref="A10:P10"/>
    <mergeCell ref="A11:C11"/>
    <mergeCell ref="R10:AA10"/>
    <mergeCell ref="A5:G5"/>
    <mergeCell ref="H2:O2"/>
    <mergeCell ref="H5:P5"/>
    <mergeCell ref="A6:G6"/>
    <mergeCell ref="H6:P6"/>
    <mergeCell ref="A8:G8"/>
    <mergeCell ref="E41:F41"/>
    <mergeCell ref="A36:P36"/>
    <mergeCell ref="B26:C27"/>
    <mergeCell ref="A26:A27"/>
    <mergeCell ref="A37:P39"/>
    <mergeCell ref="G26:G27"/>
    <mergeCell ref="O41:P41"/>
    <mergeCell ref="K41:M41"/>
    <mergeCell ref="A29:P29"/>
    <mergeCell ref="D28:F28"/>
    <mergeCell ref="BJ3:BS3"/>
    <mergeCell ref="BJ11:BS11"/>
    <mergeCell ref="AZ4:BH5"/>
    <mergeCell ref="BJ12:BS15"/>
    <mergeCell ref="BJ9:BS9"/>
    <mergeCell ref="BJ10:BS10"/>
    <mergeCell ref="BJ4:BS7"/>
    <mergeCell ref="BJ8:BS8"/>
    <mergeCell ref="T36:AA37"/>
    <mergeCell ref="AN3:AW4"/>
    <mergeCell ref="AN5:AW6"/>
    <mergeCell ref="AN7:AW9"/>
    <mergeCell ref="AN10:AW11"/>
    <mergeCell ref="AN12:AW14"/>
    <mergeCell ref="AN15:AW17"/>
    <mergeCell ref="AN24:AW25"/>
    <mergeCell ref="AC23:AL23"/>
    <mergeCell ref="AK25:AL25"/>
    <mergeCell ref="AK29:AL29"/>
    <mergeCell ref="AK28:AL28"/>
    <mergeCell ref="AZ31:BH32"/>
    <mergeCell ref="AZ33:BH37"/>
    <mergeCell ref="W57:Z57"/>
    <mergeCell ref="R57:U57"/>
    <mergeCell ref="R46:U46"/>
    <mergeCell ref="R47:U47"/>
    <mergeCell ref="R48:U48"/>
    <mergeCell ref="R49:U49"/>
    <mergeCell ref="R50:U50"/>
    <mergeCell ref="R51:U51"/>
    <mergeCell ref="R52:U52"/>
    <mergeCell ref="W49:Z49"/>
    <mergeCell ref="W55:Z55"/>
    <mergeCell ref="W50:Z50"/>
    <mergeCell ref="R56:U56"/>
    <mergeCell ref="W56:Z56"/>
    <mergeCell ref="W53:Z53"/>
    <mergeCell ref="W54:Z54"/>
    <mergeCell ref="R54:U54"/>
    <mergeCell ref="R53:U53"/>
    <mergeCell ref="AI56:AJ56"/>
    <mergeCell ref="W51:Z51"/>
    <mergeCell ref="W52:Z52"/>
    <mergeCell ref="AE55:AF55"/>
    <mergeCell ref="AI51:AJ51"/>
    <mergeCell ref="AE52:AF52"/>
    <mergeCell ref="AN26:AW27"/>
    <mergeCell ref="AN30:AW30"/>
    <mergeCell ref="AN31:AW32"/>
    <mergeCell ref="AN33:AW34"/>
    <mergeCell ref="AN35:AW36"/>
    <mergeCell ref="AN37:AW38"/>
    <mergeCell ref="AN28:AW29"/>
    <mergeCell ref="AN55:AW56"/>
    <mergeCell ref="W44:Z44"/>
    <mergeCell ref="AI55:AJ55"/>
    <mergeCell ref="AE56:AF56"/>
  </mergeCells>
  <phoneticPr fontId="117" type="noConversion"/>
  <conditionalFormatting sqref="K11:L11 A16:A17">
    <cfRule type="cellIs" dxfId="100" priority="88" operator="equal">
      <formula>",  "</formula>
    </cfRule>
  </conditionalFormatting>
  <conditionalFormatting sqref="K11:L11 A15:A17">
    <cfRule type="cellIs" dxfId="99" priority="87" operator="equal">
      <formula>",   Canada"</formula>
    </cfRule>
  </conditionalFormatting>
  <conditionalFormatting sqref="E44:F44 I44:J44">
    <cfRule type="cellIs" dxfId="98" priority="86" operator="equal">
      <formula>"-"</formula>
    </cfRule>
  </conditionalFormatting>
  <conditionalFormatting sqref="A11:P24 A34:P35 M32:P33 A30:P30 P31 A31:F33">
    <cfRule type="cellIs" dxfId="97" priority="85" operator="equal">
      <formula>0</formula>
    </cfRule>
  </conditionalFormatting>
  <conditionalFormatting sqref="K11:L11 A16:A17">
    <cfRule type="cellIs" dxfId="96" priority="84" operator="equal">
      <formula>",  "</formula>
    </cfRule>
  </conditionalFormatting>
  <conditionalFormatting sqref="K11:L11 A15:A17">
    <cfRule type="cellIs" dxfId="95" priority="83" operator="equal">
      <formula>",   Canada"</formula>
    </cfRule>
  </conditionalFormatting>
  <conditionalFormatting sqref="E44:F44 I44:J44">
    <cfRule type="cellIs" dxfId="94" priority="82" operator="equal">
      <formula>"-"</formula>
    </cfRule>
  </conditionalFormatting>
  <conditionalFormatting sqref="AY42">
    <cfRule type="duplicateValues" dxfId="93" priority="23"/>
  </conditionalFormatting>
  <conditionalFormatting sqref="AY38:AZ38">
    <cfRule type="duplicateValues" dxfId="92" priority="22"/>
  </conditionalFormatting>
  <conditionalFormatting sqref="E45:F45 I45:J45">
    <cfRule type="cellIs" dxfId="91" priority="21" operator="equal">
      <formula>"-"</formula>
    </cfRule>
  </conditionalFormatting>
  <conditionalFormatting sqref="E45:F45 I45:J45">
    <cfRule type="cellIs" dxfId="90" priority="20" operator="equal">
      <formula>"-"</formula>
    </cfRule>
  </conditionalFormatting>
  <conditionalFormatting sqref="X11">
    <cfRule type="cellIs" dxfId="89" priority="15" operator="equal">
      <formula>0</formula>
    </cfRule>
  </conditionalFormatting>
  <conditionalFormatting sqref="AE44:AF46 AI45:AJ46 AE47:AE56 AJ44 AE31:AF38 AI31:AJ38 AE38:AE39 AI23:AI31 AI38:AI39">
    <cfRule type="cellIs" dxfId="88" priority="19" operator="equal">
      <formula>0</formula>
    </cfRule>
  </conditionalFormatting>
  <conditionalFormatting sqref="AE44:AF46 AI45:AJ46 AE42:AE56 AI42:AI43 AJ44 AI45:AI56 AE27:AF41 AI27:AJ41">
    <cfRule type="cellIs" dxfId="87" priority="18" operator="equal">
      <formula>0</formula>
    </cfRule>
  </conditionalFormatting>
  <conditionalFormatting sqref="R3">
    <cfRule type="cellIs" dxfId="86" priority="16" operator="equal">
      <formula>0</formula>
    </cfRule>
  </conditionalFormatting>
  <conditionalFormatting sqref="T38">
    <cfRule type="cellIs" dxfId="85" priority="14" operator="equal">
      <formula>0</formula>
    </cfRule>
  </conditionalFormatting>
  <conditionalFormatting sqref="T38">
    <cfRule type="cellIs" dxfId="84" priority="13" operator="equal">
      <formula>0</formula>
    </cfRule>
  </conditionalFormatting>
  <conditionalFormatting sqref="AI18">
    <cfRule type="cellIs" dxfId="83" priority="12" operator="equal">
      <formula>0</formula>
    </cfRule>
  </conditionalFormatting>
  <conditionalFormatting sqref="AG44">
    <cfRule type="cellIs" dxfId="82" priority="11" operator="equal">
      <formula>0</formula>
    </cfRule>
  </conditionalFormatting>
  <conditionalFormatting sqref="AG44">
    <cfRule type="cellIs" dxfId="81" priority="10" operator="equal">
      <formula>0</formula>
    </cfRule>
  </conditionalFormatting>
  <conditionalFormatting sqref="AH44">
    <cfRule type="cellIs" dxfId="80" priority="9" operator="equal">
      <formula>0</formula>
    </cfRule>
  </conditionalFormatting>
  <conditionalFormatting sqref="AH44">
    <cfRule type="cellIs" dxfId="79" priority="8" operator="equal">
      <formula>0</formula>
    </cfRule>
  </conditionalFormatting>
  <conditionalFormatting sqref="AI44">
    <cfRule type="cellIs" dxfId="78" priority="7" operator="equal">
      <formula>0</formula>
    </cfRule>
  </conditionalFormatting>
  <conditionalFormatting sqref="AI44">
    <cfRule type="cellIs" dxfId="77" priority="6" operator="equal">
      <formula>0</formula>
    </cfRule>
  </conditionalFormatting>
  <conditionalFormatting sqref="L31:O31">
    <cfRule type="cellIs" dxfId="76" priority="4" operator="equal">
      <formula>0</formula>
    </cfRule>
  </conditionalFormatting>
  <conditionalFormatting sqref="G32">
    <cfRule type="cellIs" dxfId="75" priority="3" operator="equal">
      <formula>0</formula>
    </cfRule>
  </conditionalFormatting>
  <conditionalFormatting sqref="I32:J32">
    <cfRule type="cellIs" dxfId="74" priority="2" operator="equal">
      <formula>0</formula>
    </cfRule>
  </conditionalFormatting>
  <conditionalFormatting sqref="L32">
    <cfRule type="cellIs" dxfId="73" priority="1" operator="equal">
      <formula>0</formula>
    </cfRule>
  </conditionalFormatting>
  <hyperlinks>
    <hyperlink ref="BJ8" r:id="rId1" xr:uid="{0667DD0C-CA45-4161-B5C2-9D76EE4BFCE7}"/>
    <hyperlink ref="BJ11" r:id="rId2" xr:uid="{D3BBF4AF-45F5-430D-B7DC-537B57F90249}"/>
  </hyperlinks>
  <printOptions horizontalCentered="1"/>
  <pageMargins left="0.7" right="0.7" top="0.75" bottom="0.75" header="0.3" footer="0.3"/>
  <pageSetup scale="74" fitToWidth="4" orientation="portrait" r:id="rId3"/>
  <colBreaks count="2" manualBreakCount="2">
    <brk id="17" max="58" man="1"/>
    <brk id="61" max="58" man="1"/>
  </colBreaks>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tabColor theme="1"/>
  </sheetPr>
  <dimension ref="A1:E50"/>
  <sheetViews>
    <sheetView zoomScale="130" zoomScaleNormal="130" workbookViewId="0">
      <pane ySplit="1" topLeftCell="A50" activePane="bottomLeft" state="frozen"/>
      <selection activeCell="A5" sqref="A5:F5"/>
      <selection pane="bottomLeft"/>
    </sheetView>
  </sheetViews>
  <sheetFormatPr defaultColWidth="15" defaultRowHeight="13.8"/>
  <cols>
    <col min="1" max="1" width="60.6640625" style="334" bestFit="1" customWidth="1"/>
    <col min="2" max="2" width="51.6640625" style="334" customWidth="1"/>
    <col min="3" max="3" width="96.77734375" style="334" customWidth="1"/>
    <col min="4" max="4" width="51.6640625" style="334" customWidth="1"/>
    <col min="5" max="5" width="24.6640625" style="334" customWidth="1"/>
    <col min="6" max="6" width="15" style="334" customWidth="1"/>
    <col min="7" max="16384" width="15" style="334"/>
  </cols>
  <sheetData>
    <row r="1" spans="1:5" s="626" customFormat="1" ht="26.4">
      <c r="A1" s="626" t="s">
        <v>1058</v>
      </c>
      <c r="B1" s="626" t="s">
        <v>1059</v>
      </c>
      <c r="C1" s="626" t="s">
        <v>1060</v>
      </c>
      <c r="D1" s="626" t="s">
        <v>1061</v>
      </c>
      <c r="E1" s="626" t="s">
        <v>1062</v>
      </c>
    </row>
    <row r="2" spans="1:5" ht="124.2">
      <c r="A2" s="334" t="str">
        <f>'[1]A+N+MCPCrt'!$D$4</f>
        <v>A+ NETWORK+ AND MCSA DESKTOP CERT. PREP</v>
      </c>
      <c r="B2" s="334" t="s">
        <v>1064</v>
      </c>
      <c r="C2" s="334" t="s">
        <v>1734</v>
      </c>
      <c r="D2" s="334" t="s">
        <v>1071</v>
      </c>
      <c r="E2" s="334" t="s">
        <v>1083</v>
      </c>
    </row>
    <row r="3" spans="1:5" ht="69">
      <c r="A3" s="334" t="str">
        <f>[1]AccAdminDip!$D$4</f>
        <v>ACCOUNTING ADMINISTRATOR DIPLOMA with SAGE</v>
      </c>
      <c r="B3" s="334" t="s">
        <v>1077</v>
      </c>
      <c r="C3" s="334" t="s">
        <v>1078</v>
      </c>
      <c r="D3" s="334" t="s">
        <v>1071</v>
      </c>
      <c r="E3" s="334" t="s">
        <v>1083</v>
      </c>
    </row>
    <row r="4" spans="1:5" ht="55.2">
      <c r="A4" s="334" t="str">
        <f>[1]AccBusTechDip!$D$4</f>
        <v>ACCOUNTING AND BUSINESS TECHNOLOGY DIPLOMA</v>
      </c>
      <c r="B4" s="334" t="s">
        <v>1079</v>
      </c>
      <c r="C4" s="334" t="s">
        <v>1080</v>
      </c>
      <c r="D4" s="334" t="s">
        <v>1071</v>
      </c>
      <c r="E4" s="334" t="s">
        <v>1083</v>
      </c>
    </row>
    <row r="5" spans="1:5" ht="82.8">
      <c r="A5" s="334" t="str">
        <f>[1]AccPayAdmDip!$D$4</f>
        <v>ACCOUNTING AND PAYROLL ADMINISTRATOR DIPLOMA</v>
      </c>
      <c r="B5" s="334" t="s">
        <v>1741</v>
      </c>
      <c r="C5" s="334" t="s">
        <v>1118</v>
      </c>
      <c r="D5" s="334" t="s">
        <v>1119</v>
      </c>
      <c r="E5" s="334" t="s">
        <v>1160</v>
      </c>
    </row>
    <row r="6" spans="1:5" ht="96.6">
      <c r="A6" s="334" t="str">
        <f>[1]AccBkCrt!$D$4</f>
        <v>ACCOUNTING BOOKKEEPER CERTIFICATE</v>
      </c>
      <c r="B6" s="334" t="s">
        <v>1740</v>
      </c>
      <c r="C6" s="334" t="s">
        <v>1120</v>
      </c>
      <c r="D6" s="334" t="s">
        <v>1071</v>
      </c>
      <c r="E6" s="334" t="s">
        <v>1083</v>
      </c>
    </row>
    <row r="7" spans="1:5" ht="96.6">
      <c r="A7" s="334" t="str">
        <f>[1]AccClrkCrt!$D$4</f>
        <v>ACCOUNTING CLERK CERTIFICATE</v>
      </c>
      <c r="B7" s="334" t="s">
        <v>1081</v>
      </c>
      <c r="C7" s="334" t="s">
        <v>1162</v>
      </c>
      <c r="D7" s="334" t="s">
        <v>1071</v>
      </c>
      <c r="E7" s="334" t="s">
        <v>1083</v>
      </c>
    </row>
    <row r="8" spans="1:5" ht="165.6">
      <c r="A8" s="334" t="str">
        <f>[1]AddWrkCrt!$D$4</f>
        <v>ADDICTIONS WORKER CERTIFICATE</v>
      </c>
      <c r="B8" s="334" t="s">
        <v>1082</v>
      </c>
      <c r="C8" s="334" t="s">
        <v>1176</v>
      </c>
      <c r="D8" s="334" t="s">
        <v>1084</v>
      </c>
      <c r="E8" s="334" t="s">
        <v>1083</v>
      </c>
    </row>
    <row r="9" spans="1:5" ht="55.2">
      <c r="A9" s="334" t="str">
        <f>[1]AdminAsstDip!$D$4</f>
        <v>ADMINISTRATIVE ASSISTANT DIPLOMA</v>
      </c>
      <c r="B9" s="334" t="s">
        <v>1088</v>
      </c>
      <c r="C9" s="334" t="s">
        <v>1087</v>
      </c>
      <c r="D9" s="334" t="s">
        <v>1071</v>
      </c>
      <c r="E9" s="334" t="s">
        <v>1083</v>
      </c>
    </row>
    <row r="10" spans="1:5" ht="151.80000000000001">
      <c r="A10" s="334" t="str">
        <f>[1]BusAdminCoop!$D$4</f>
        <v>BUSINESS ADMINISTRATION CO-OP DIPLOMA</v>
      </c>
      <c r="B10" s="689" t="s">
        <v>1737</v>
      </c>
      <c r="C10" s="334" t="s">
        <v>1559</v>
      </c>
      <c r="D10" s="334" t="s">
        <v>1071</v>
      </c>
      <c r="E10" s="334" t="s">
        <v>1083</v>
      </c>
    </row>
    <row r="11" spans="1:5" ht="165.6">
      <c r="A11" s="334" t="str">
        <f>[1]BusAdminDip!$D$4</f>
        <v>BUSINESS ADMINISTRATION DIPLOMA</v>
      </c>
      <c r="B11" s="689" t="s">
        <v>1738</v>
      </c>
      <c r="C11" s="334" t="s">
        <v>1161</v>
      </c>
      <c r="D11" s="334" t="s">
        <v>1071</v>
      </c>
      <c r="E11" s="334" t="s">
        <v>1083</v>
      </c>
    </row>
    <row r="12" spans="1:5" ht="138">
      <c r="A12" s="334" t="str">
        <f>[1]BusManCrt!$D$4</f>
        <v>BUSINESS MANAGEMENT CERTIFICATE</v>
      </c>
      <c r="B12" s="689" t="s">
        <v>1739</v>
      </c>
      <c r="C12" s="334" t="s">
        <v>1164</v>
      </c>
      <c r="D12" s="334" t="s">
        <v>1071</v>
      </c>
      <c r="E12" s="334" t="s">
        <v>1083</v>
      </c>
    </row>
    <row r="13" spans="1:5" ht="69">
      <c r="A13" s="334" t="str">
        <f>[1]BusOffSkillsDip!$D$4</f>
        <v>BUSINESS OFFICE SKILLS DIPLOMA</v>
      </c>
      <c r="B13" s="689" t="s">
        <v>1742</v>
      </c>
      <c r="C13" s="334" t="s">
        <v>1121</v>
      </c>
      <c r="D13" s="334" t="s">
        <v>1071</v>
      </c>
      <c r="E13" s="334" t="s">
        <v>1083</v>
      </c>
    </row>
    <row r="14" spans="1:5" ht="82.8">
      <c r="A14" s="334" t="str">
        <f>[1]BusRecCrt!$D$4</f>
        <v>BUSINESS RECEPTIONIST CERTIFICATE</v>
      </c>
      <c r="B14" s="689" t="s">
        <v>1743</v>
      </c>
      <c r="C14" s="334" t="s">
        <v>1744</v>
      </c>
      <c r="D14" s="334" t="s">
        <v>1071</v>
      </c>
      <c r="E14" s="334" t="s">
        <v>1083</v>
      </c>
    </row>
    <row r="15" spans="1:5" ht="82.8">
      <c r="A15" s="334" t="str">
        <f>[1]BusSrvEssCoop!$D$4</f>
        <v>BUSINESS SERVICE ESSENTIALS CO-OP DIPLOMA</v>
      </c>
      <c r="B15" s="689" t="s">
        <v>1557</v>
      </c>
      <c r="C15" s="334" t="s">
        <v>1745</v>
      </c>
      <c r="D15" s="334" t="s">
        <v>1071</v>
      </c>
      <c r="E15" s="334" t="s">
        <v>1083</v>
      </c>
    </row>
    <row r="16" spans="1:5" ht="96.6">
      <c r="A16" s="334" t="str">
        <f>[1]CalCtrCstRepDip!$D$4</f>
        <v>CALL CENTRE CUSTOMER REPRESENTATIVE DIPLOMA</v>
      </c>
      <c r="B16" s="334" t="s">
        <v>1122</v>
      </c>
      <c r="C16" s="334" t="s">
        <v>1123</v>
      </c>
      <c r="D16" s="334" t="s">
        <v>1071</v>
      </c>
      <c r="E16" s="334" t="s">
        <v>1083</v>
      </c>
    </row>
    <row r="17" spans="1:5" ht="165.6">
      <c r="A17" s="334" t="str">
        <f>[1]CsAwWrkDip!$D$4</f>
        <v>COMMUNITY SERVICE WORKER &amp; ADDICTION WORKER DIPLOMA</v>
      </c>
      <c r="B17" s="334" t="s">
        <v>1246</v>
      </c>
      <c r="C17" s="334" t="s">
        <v>1247</v>
      </c>
      <c r="D17" s="334" t="s">
        <v>1248</v>
      </c>
      <c r="E17" s="334" t="s">
        <v>1249</v>
      </c>
    </row>
    <row r="18" spans="1:5" ht="151.80000000000001">
      <c r="A18" s="334" t="str">
        <f>[1]ComSrvWrkDip!$D$4</f>
        <v>COMMUNITY SERVICE WORKER DIPLOMA</v>
      </c>
      <c r="B18" s="334" t="s">
        <v>1124</v>
      </c>
      <c r="C18" s="334" t="s">
        <v>1177</v>
      </c>
      <c r="D18" s="334" t="s">
        <v>1125</v>
      </c>
      <c r="E18" s="334" t="s">
        <v>1244</v>
      </c>
    </row>
    <row r="19" spans="1:5" ht="82.8">
      <c r="A19" s="334" t="str">
        <f>[1]CmpSrvTechCrt!$D$4</f>
        <v>COMPUTER SERVICE TECHNICIAN CERTIFICATE</v>
      </c>
      <c r="B19" s="334" t="s">
        <v>1126</v>
      </c>
      <c r="C19" s="334" t="s">
        <v>1166</v>
      </c>
      <c r="D19" s="334" t="s">
        <v>1071</v>
      </c>
      <c r="E19" s="334" t="s">
        <v>1083</v>
      </c>
    </row>
    <row r="20" spans="1:5" ht="82.8">
      <c r="A20" s="334" t="str">
        <f>[1]CmpSrvTechDip!$D$4</f>
        <v>COMPUTER SERVICE TECHNICIAN DIPLOMA</v>
      </c>
      <c r="B20" s="334" t="s">
        <v>1126</v>
      </c>
      <c r="C20" s="334" t="s">
        <v>1166</v>
      </c>
      <c r="D20" s="334" t="s">
        <v>1071</v>
      </c>
      <c r="E20" s="334" t="s">
        <v>1083</v>
      </c>
    </row>
    <row r="21" spans="1:5" ht="82.8">
      <c r="A21" s="334" t="str">
        <f>[1]CmpOffProCrt!$D$4</f>
        <v>COMPUTERIZED OFFICE PROCEDURES CERTIFICATE</v>
      </c>
      <c r="B21" s="334" t="s">
        <v>1185</v>
      </c>
      <c r="C21" s="334" t="s">
        <v>1186</v>
      </c>
      <c r="D21" s="334" t="s">
        <v>1071</v>
      </c>
      <c r="E21" s="334" t="s">
        <v>1083</v>
      </c>
    </row>
    <row r="22" spans="1:5" ht="124.2">
      <c r="A22" s="334" t="str">
        <f>[1]ConEvtPlnDip!$D$4</f>
        <v>CONFERENCE AND EVENT PLANNER DIPLOMA</v>
      </c>
      <c r="B22" s="334" t="s">
        <v>1748</v>
      </c>
      <c r="C22" s="334" t="s">
        <v>1163</v>
      </c>
      <c r="D22" s="334" t="s">
        <v>1071</v>
      </c>
      <c r="E22" s="334" t="s">
        <v>1083</v>
      </c>
    </row>
    <row r="23" spans="1:5" ht="96.6">
      <c r="A23" s="334" t="str">
        <f>[1]CusSrvRepCrt!$D$4</f>
        <v>CUSTOMER SERVICE REPRESENTATIVE CERTIFICATE</v>
      </c>
      <c r="B23" s="334" t="s">
        <v>1623</v>
      </c>
      <c r="C23" s="334" t="s">
        <v>1167</v>
      </c>
      <c r="D23" s="334" t="s">
        <v>1071</v>
      </c>
      <c r="E23" s="334" t="s">
        <v>1621</v>
      </c>
    </row>
    <row r="24" spans="1:5" ht="41.4">
      <c r="A24" s="334" t="str">
        <f>[1]ESLCourses!$D$4</f>
        <v>ENGLISH AS SECOND LANGUAGE</v>
      </c>
      <c r="B24" s="334" t="s">
        <v>1624</v>
      </c>
      <c r="C24" s="334" t="s">
        <v>1619</v>
      </c>
      <c r="D24" s="334" t="s">
        <v>1620</v>
      </c>
      <c r="E24" s="334" t="s">
        <v>1622</v>
      </c>
    </row>
    <row r="25" spans="1:5" ht="69">
      <c r="A25" s="334" t="str">
        <f>[1]EntBusAppDip!$D$4</f>
        <v>ENTREPRENEURIAL BUSINESS APPLICATIONS DIPLOMA</v>
      </c>
      <c r="B25" s="334" t="s">
        <v>1165</v>
      </c>
      <c r="C25" s="334" t="s">
        <v>1127</v>
      </c>
      <c r="D25" s="334" t="s">
        <v>1071</v>
      </c>
      <c r="E25" s="334" t="s">
        <v>1083</v>
      </c>
    </row>
    <row r="26" spans="1:5" ht="69">
      <c r="A26" s="334" t="str">
        <f>[1]ExecAssDip!$D$4</f>
        <v>EXECUTIVE ASSISTANT DIPLOMA</v>
      </c>
      <c r="B26" s="334" t="s">
        <v>1128</v>
      </c>
      <c r="C26" s="334" t="s">
        <v>1129</v>
      </c>
      <c r="D26" s="334" t="s">
        <v>1071</v>
      </c>
      <c r="E26" s="334" t="s">
        <v>1083</v>
      </c>
    </row>
    <row r="27" spans="1:5" ht="55.2">
      <c r="A27" s="334" t="str">
        <f>[1]GrphDesDip!$D$4</f>
        <v>GRAPHIC DESIGNER DIPLOMA</v>
      </c>
      <c r="B27" s="334" t="s">
        <v>1653</v>
      </c>
      <c r="C27" s="334" t="s">
        <v>1749</v>
      </c>
      <c r="D27" s="334" t="s">
        <v>1654</v>
      </c>
      <c r="E27" s="334" t="s">
        <v>1083</v>
      </c>
    </row>
    <row r="28" spans="1:5" ht="82.8">
      <c r="A28" s="334" t="str">
        <f>[1]HRAdmCrt!$D$4</f>
        <v>HUMAN RESOURCES ADMINISTRATION CERTIFICATE</v>
      </c>
      <c r="B28" s="334" t="s">
        <v>1130</v>
      </c>
      <c r="C28" s="334" t="s">
        <v>1131</v>
      </c>
      <c r="D28" s="334" t="s">
        <v>1071</v>
      </c>
      <c r="E28" s="334" t="s">
        <v>1083</v>
      </c>
    </row>
    <row r="29" spans="1:5" ht="55.2">
      <c r="A29" s="334" t="str">
        <f>[1]MrkAdmAssCrt!$D$4</f>
        <v>MARKETING ADMINISTRATIVE ASSISTANT CERTIFICATE</v>
      </c>
      <c r="B29" s="334" t="s">
        <v>1132</v>
      </c>
      <c r="C29" s="334" t="s">
        <v>1133</v>
      </c>
      <c r="D29" s="334" t="s">
        <v>1071</v>
      </c>
      <c r="E29" s="334" t="s">
        <v>1083</v>
      </c>
    </row>
    <row r="30" spans="1:5" ht="124.2">
      <c r="A30" s="334" t="str">
        <f>[1]MrkCordDip!$D$4</f>
        <v>MARKETING COORDINATOR DIPLOMA</v>
      </c>
      <c r="B30" s="334" t="s">
        <v>1134</v>
      </c>
      <c r="C30" s="334" t="s">
        <v>1135</v>
      </c>
      <c r="D30" s="334" t="s">
        <v>1071</v>
      </c>
      <c r="E30" s="334" t="s">
        <v>1083</v>
      </c>
    </row>
    <row r="31" spans="1:5" ht="82.8">
      <c r="A31" s="936" t="str">
        <f>[1]MCSAWinCrt!$D$4</f>
        <v>MCSA: WINDOWS CERTIFICATION PREPARATION</v>
      </c>
      <c r="B31" s="936" t="s">
        <v>1136</v>
      </c>
      <c r="C31" s="936" t="s">
        <v>1137</v>
      </c>
      <c r="D31" s="936" t="s">
        <v>1071</v>
      </c>
      <c r="E31" s="936" t="s">
        <v>1083</v>
      </c>
    </row>
    <row r="32" spans="1:5" ht="110.4">
      <c r="A32" s="334" t="str">
        <f>[1]MCSASrvCrt!$D$4</f>
        <v>MCSA: WINDOWS SERVER CERTIFICATION PREPARATION</v>
      </c>
      <c r="B32" s="334" t="s">
        <v>1138</v>
      </c>
      <c r="C32" s="334" t="s">
        <v>1139</v>
      </c>
      <c r="D32" s="334" t="s">
        <v>1071</v>
      </c>
      <c r="E32" s="334" t="s">
        <v>1083</v>
      </c>
    </row>
    <row r="33" spans="1:5" ht="124.2">
      <c r="A33" s="334" t="str">
        <f>[1]MedAdmAssCrt!$D$4</f>
        <v>MEDICAL ADMINISTRATIVE ASSISTANT CERTIFICATE</v>
      </c>
      <c r="B33" s="334" t="s">
        <v>1140</v>
      </c>
      <c r="C33" s="334" t="s">
        <v>1141</v>
      </c>
      <c r="D33" s="334" t="s">
        <v>1071</v>
      </c>
      <c r="E33" s="334" t="s">
        <v>1083</v>
      </c>
    </row>
    <row r="34" spans="1:5" s="936" customFormat="1" ht="110.4">
      <c r="A34" s="334" t="str">
        <f>[1]MOADip!$D$4</f>
        <v>MEDICAL OFFICE ASSISTANT DIPLOMA</v>
      </c>
      <c r="B34" s="334" t="s">
        <v>1142</v>
      </c>
      <c r="C34" s="334" t="s">
        <v>1144</v>
      </c>
      <c r="D34" s="334" t="s">
        <v>1751</v>
      </c>
      <c r="E34" s="334" t="s">
        <v>1245</v>
      </c>
    </row>
    <row r="35" spans="1:5" ht="151.80000000000001">
      <c r="A35" s="334" t="str">
        <f>[1]MOADipHUC!$D$4</f>
        <v>MEDICAL OFFICE ASSISTANT DIPLOMA W/ UNIT CLERK</v>
      </c>
      <c r="B35" s="334" t="s">
        <v>1143</v>
      </c>
      <c r="C35" s="334" t="s">
        <v>1754</v>
      </c>
      <c r="D35" s="334" t="s">
        <v>1751</v>
      </c>
      <c r="E35" s="334" t="s">
        <v>1755</v>
      </c>
    </row>
    <row r="36" spans="1:5" s="936" customFormat="1" ht="55.2">
      <c r="A36" s="334" t="str">
        <f>[1]MOFDACrt!$D$4</f>
        <v>MEDICAL OFFICE FRONT DESK ASSISTANT CERTIFICATE</v>
      </c>
      <c r="B36" s="334" t="s">
        <v>1145</v>
      </c>
      <c r="C36" s="334" t="s">
        <v>1146</v>
      </c>
      <c r="D36" s="334" t="s">
        <v>1751</v>
      </c>
      <c r="E36" s="334" t="s">
        <v>1083</v>
      </c>
    </row>
    <row r="37" spans="1:5" ht="110.4">
      <c r="A37" s="334" t="str">
        <f>[1]NetAdminDip!$D$4</f>
        <v>NETWORK ADMINISTRATOR DIPLOMA (SERVER 2016)</v>
      </c>
      <c r="B37" s="334" t="s">
        <v>1147</v>
      </c>
      <c r="C37" s="334" t="s">
        <v>1148</v>
      </c>
      <c r="D37" s="334" t="s">
        <v>1071</v>
      </c>
      <c r="E37" s="334" t="s">
        <v>1083</v>
      </c>
    </row>
    <row r="38" spans="1:5" ht="55.2">
      <c r="A38" s="334" t="str">
        <f>[1]OffAdmAssCrt!$D$4</f>
        <v>OFFICE ADMINISTRATION ASSISTANT CERTIFICATE</v>
      </c>
      <c r="B38" s="334" t="s">
        <v>1149</v>
      </c>
      <c r="C38" s="334" t="s">
        <v>1150</v>
      </c>
      <c r="D38" s="334" t="s">
        <v>1071</v>
      </c>
      <c r="E38" s="334" t="s">
        <v>1083</v>
      </c>
    </row>
    <row r="39" spans="1:5" ht="69">
      <c r="A39" s="334" t="str">
        <f>[1]OffAdminDip!$D$4</f>
        <v>OFFICE ADMINISTRATION DIPLOMA</v>
      </c>
      <c r="B39" s="334" t="s">
        <v>1168</v>
      </c>
      <c r="C39" s="334" t="s">
        <v>1169</v>
      </c>
      <c r="D39" s="334" t="s">
        <v>1071</v>
      </c>
      <c r="E39" s="334" t="s">
        <v>1083</v>
      </c>
    </row>
    <row r="40" spans="1:5" ht="69">
      <c r="A40" s="334" t="str">
        <f>[1]OffClkCrt!$D$4</f>
        <v>OFFICE CLERK CERTIFICATE</v>
      </c>
      <c r="B40" s="334" t="s">
        <v>1151</v>
      </c>
      <c r="C40" s="334" t="s">
        <v>1170</v>
      </c>
      <c r="D40" s="334" t="s">
        <v>1071</v>
      </c>
      <c r="E40" s="334" t="s">
        <v>1083</v>
      </c>
    </row>
    <row r="41" spans="1:5" ht="124.2">
      <c r="A41" s="334" t="str">
        <f>[1]PayAdmCrt!$D$4</f>
        <v>PAYROLL ADMINISTRATOR CERTIFICATE</v>
      </c>
      <c r="B41" s="334" t="s">
        <v>1152</v>
      </c>
      <c r="C41" s="334" t="s">
        <v>1171</v>
      </c>
      <c r="D41" s="334" t="s">
        <v>1119</v>
      </c>
      <c r="E41" s="334" t="s">
        <v>1160</v>
      </c>
    </row>
    <row r="42" spans="1:5" ht="69">
      <c r="A42" s="334" t="str">
        <f>[1]PayClkCrt!$D$4</f>
        <v>PAYROLL CLERK CERTIFICATE</v>
      </c>
      <c r="B42" s="334" t="s">
        <v>1153</v>
      </c>
      <c r="C42" s="334" t="s">
        <v>1154</v>
      </c>
      <c r="D42" s="334" t="s">
        <v>1119</v>
      </c>
      <c r="E42" s="334" t="s">
        <v>1160</v>
      </c>
    </row>
    <row r="43" spans="1:5" ht="55.2">
      <c r="A43" s="334" t="str">
        <f>[1]PCSupSpecDip!$D$4</f>
        <v>PC SUPPORT SPECIALIST DIPLOMA</v>
      </c>
      <c r="B43" s="334" t="s">
        <v>1155</v>
      </c>
      <c r="C43" s="334" t="s">
        <v>1172</v>
      </c>
      <c r="D43" s="334" t="s">
        <v>1071</v>
      </c>
      <c r="E43" s="334" t="s">
        <v>1083</v>
      </c>
    </row>
    <row r="44" spans="1:5" ht="124.2">
      <c r="A44" s="334" t="str">
        <f>[1]PrjAdminDip!$D$4</f>
        <v>PROJECT ADMINISTRATION DIPLOMA</v>
      </c>
      <c r="B44" s="334" t="s">
        <v>1756</v>
      </c>
      <c r="C44" s="334" t="s">
        <v>1173</v>
      </c>
      <c r="D44" s="334" t="s">
        <v>1071</v>
      </c>
      <c r="E44" s="334" t="s">
        <v>1083</v>
      </c>
    </row>
    <row r="45" spans="1:5" ht="55.2">
      <c r="A45" s="334" t="str">
        <f>[1]PSACrt!$D$4</f>
        <v>PSA - COMPUTERIZED OFFICE SKILLS CERTIFICATE</v>
      </c>
      <c r="B45" s="334" t="s">
        <v>1758</v>
      </c>
      <c r="C45" s="334" t="s">
        <v>1759</v>
      </c>
      <c r="D45" s="334" t="s">
        <v>1071</v>
      </c>
      <c r="E45" s="334" t="s">
        <v>1757</v>
      </c>
    </row>
    <row r="46" spans="1:5" ht="110.4">
      <c r="A46" s="334" t="str">
        <f>[1]SalesAscCrt!$D$4</f>
        <v>SALES ASSOCIATE CERTIFICATE</v>
      </c>
      <c r="B46" s="334" t="s">
        <v>1156</v>
      </c>
      <c r="C46" s="334" t="s">
        <v>1157</v>
      </c>
      <c r="D46" s="334" t="s">
        <v>1071</v>
      </c>
      <c r="E46" s="334" t="s">
        <v>1083</v>
      </c>
    </row>
    <row r="47" spans="1:5" ht="82.8">
      <c r="A47" s="334" t="str">
        <f>[1]SalesProfDip!$D$4</f>
        <v>SALES PROFESSIONAL DIPLOMA</v>
      </c>
      <c r="B47" s="334" t="s">
        <v>1158</v>
      </c>
      <c r="C47" s="334" t="s">
        <v>1159</v>
      </c>
      <c r="D47" s="334" t="s">
        <v>1071</v>
      </c>
      <c r="E47" s="334" t="s">
        <v>1083</v>
      </c>
    </row>
    <row r="48" spans="1:5" ht="96.6">
      <c r="A48" s="334" t="str">
        <f>[1]SoftWebDevDip!$D$4</f>
        <v>SOFTWARE AND WEB DEVELOPER DIPLOMA</v>
      </c>
      <c r="B48" s="334" t="s">
        <v>1790</v>
      </c>
      <c r="C48" s="334" t="s">
        <v>1791</v>
      </c>
      <c r="D48" s="334" t="s">
        <v>1071</v>
      </c>
      <c r="E48" s="334" t="s">
        <v>1083</v>
      </c>
    </row>
    <row r="49" spans="1:5" ht="124.2">
      <c r="A49" s="334" t="str">
        <f>[1]WebDesDip!$D$4</f>
        <v>WEB DESIGNER DIPLOMA</v>
      </c>
      <c r="B49" s="334" t="s">
        <v>1174</v>
      </c>
      <c r="C49" s="334" t="s">
        <v>1175</v>
      </c>
      <c r="D49" s="334" t="s">
        <v>1071</v>
      </c>
      <c r="E49" s="334" t="s">
        <v>1083</v>
      </c>
    </row>
    <row r="50" spans="1:5" ht="69">
      <c r="A50" s="334" t="str">
        <f>[1]WebDevDip!$D$4</f>
        <v>WEB DEVELOPER DIPLOMA</v>
      </c>
      <c r="B50" s="334" t="s">
        <v>1792</v>
      </c>
      <c r="C50" s="334" t="s">
        <v>1793</v>
      </c>
      <c r="D50" s="334" t="s">
        <v>1071</v>
      </c>
      <c r="E50" s="334" t="s">
        <v>1083</v>
      </c>
    </row>
  </sheetData>
  <sortState xmlns:xlrd2="http://schemas.microsoft.com/office/spreadsheetml/2017/richdata2" ref="A2:E50">
    <sortCondition ref="A1:A50"/>
  </sortState>
  <phoneticPr fontId="11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8">
    <tabColor theme="1"/>
  </sheetPr>
  <dimension ref="A1:F7"/>
  <sheetViews>
    <sheetView workbookViewId="0">
      <pane ySplit="1" topLeftCell="A2" activePane="bottomLeft" state="frozen"/>
      <selection pane="bottomLeft"/>
    </sheetView>
  </sheetViews>
  <sheetFormatPr defaultColWidth="8.77734375" defaultRowHeight="13.2"/>
  <cols>
    <col min="1" max="1" width="57.109375" style="651" bestFit="1" customWidth="1"/>
    <col min="2" max="2" width="43.33203125" style="651" customWidth="1"/>
    <col min="3" max="6" width="26.6640625" style="651" customWidth="1"/>
    <col min="7" max="16384" width="8.77734375" style="651"/>
  </cols>
  <sheetData>
    <row r="1" spans="1:6" s="648" customFormat="1">
      <c r="A1" s="648" t="s">
        <v>1058</v>
      </c>
      <c r="B1" s="648" t="s">
        <v>1091</v>
      </c>
      <c r="C1" s="648" t="s">
        <v>1093</v>
      </c>
      <c r="D1" s="648" t="s">
        <v>1090</v>
      </c>
      <c r="E1" s="648" t="s">
        <v>1094</v>
      </c>
      <c r="F1" s="648" t="s">
        <v>1092</v>
      </c>
    </row>
    <row r="2" spans="1:6" s="649" customFormat="1" ht="69">
      <c r="A2" s="649" t="str">
        <f>[1]BusAdminCoop!$D$4</f>
        <v>BUSINESS ADMINISTRATION CO-OP DIPLOMA</v>
      </c>
      <c r="B2" s="650" t="s">
        <v>1747</v>
      </c>
      <c r="C2" s="649">
        <f>ROUNDUP(VLOOKUP("BAC-COOP(BAC-BC)",'Course Table'!$A$1:$E$262,4)*IF('Student Info'!$B$9="y",1.3,1),0)</f>
        <v>4400</v>
      </c>
      <c r="D2" s="574" t="s">
        <v>1558</v>
      </c>
      <c r="E2" s="574" t="s">
        <v>1096</v>
      </c>
      <c r="F2" s="649">
        <f>VLOOKUP("BAC-COOP(BAC-BC)",'Course Table'!$A$1:$E$301,5)</f>
        <v>880</v>
      </c>
    </row>
    <row r="3" spans="1:6" s="649" customFormat="1" ht="69">
      <c r="A3" s="649" t="str">
        <f>[1]BusSrvEssCoop!$D$4</f>
        <v>BUSINESS SERVICE ESSENTIALS CO-OP DIPLOMA</v>
      </c>
      <c r="B3" s="650" t="s">
        <v>1747</v>
      </c>
      <c r="C3" s="649">
        <f>ROUNDUP(VLOOKUP("BSE-COOP(BSE-BC)",'Course Table'!$A$1:$E$262,4)*IF('Student Info'!$B$9="y",1.3,1),0)</f>
        <v>2600</v>
      </c>
      <c r="D3" s="574" t="s">
        <v>1558</v>
      </c>
      <c r="E3" s="574" t="s">
        <v>1096</v>
      </c>
      <c r="F3" s="649">
        <f>VLOOKUP("BSE-COOP(BSE-BC)",'Course Table'!$A$1:$E$301,5)</f>
        <v>520</v>
      </c>
    </row>
    <row r="4" spans="1:6" s="649" customFormat="1" ht="151.80000000000001">
      <c r="A4" s="649" t="str">
        <f>[1]CsAwWrkDip!$D$4</f>
        <v>COMMUNITY SERVICE WORKER &amp; ADDICTION WORKER DIPLOMA</v>
      </c>
      <c r="B4" s="650" t="s">
        <v>1746</v>
      </c>
      <c r="C4" s="649">
        <f>ROUNDUP(VLOOKUP("HCCP1BC_CSWAW",'Course Table'!$A$1:$E$262,4)*IF('Student Info'!$B$9="y",1.3,1),0)</f>
        <v>889</v>
      </c>
      <c r="D4" s="574" t="s">
        <v>1095</v>
      </c>
      <c r="E4" s="574" t="s">
        <v>1096</v>
      </c>
      <c r="F4" s="649">
        <f>VLOOKUP("HCCP1BC_CSWAW",'Course Table'!$A$1:$E$301,5)</f>
        <v>105</v>
      </c>
    </row>
    <row r="5" spans="1:6" s="649" customFormat="1" ht="151.80000000000001">
      <c r="A5" s="649" t="str">
        <f>[1]ComSrvWrkDip!$D$4</f>
        <v>COMMUNITY SERVICE WORKER DIPLOMA</v>
      </c>
      <c r="B5" s="650" t="s">
        <v>1746</v>
      </c>
      <c r="C5" s="649">
        <f>ROUNDUP(VLOOKUP("HCCP1BC_CSW",'Course Table'!$A$1:$E$262,4)*IF('Student Info'!$B$9="y",1.3,1),0)</f>
        <v>889</v>
      </c>
      <c r="D5" s="574" t="s">
        <v>1095</v>
      </c>
      <c r="E5" s="574" t="s">
        <v>1096</v>
      </c>
      <c r="F5" s="649">
        <f>VLOOKUP("HCCP1BC_CSW",'Course Table'!$A$1:$E$301,5)</f>
        <v>75</v>
      </c>
    </row>
    <row r="6" spans="1:6" s="649" customFormat="1" ht="151.80000000000001">
      <c r="A6" s="649" t="str">
        <f>[1]MOADip!$D$4</f>
        <v>MEDICAL OFFICE ASSISTANT DIPLOMA</v>
      </c>
      <c r="B6" s="650" t="s">
        <v>1752</v>
      </c>
      <c r="C6" s="649">
        <f>ROUNDUP(VLOOKUP("HCCP1BC_MOA",'Course Table'!$A$1:$E$262,4)*IF('Student Info'!$B$9="y",1.3,1),0)</f>
        <v>889</v>
      </c>
      <c r="D6" s="574" t="s">
        <v>1095</v>
      </c>
      <c r="E6" s="574" t="s">
        <v>1096</v>
      </c>
      <c r="F6" s="649">
        <f>VLOOKUP("HCCP1BC_MOA",'Course Table'!$A$1:$E$301,5)</f>
        <v>75</v>
      </c>
    </row>
    <row r="7" spans="1:6" s="649" customFormat="1" ht="151.80000000000001">
      <c r="A7" s="649" t="str">
        <f>[1]MOADipHUC!$D$4</f>
        <v>MEDICAL OFFICE ASSISTANT DIPLOMA W/ UNIT CLERK</v>
      </c>
      <c r="B7" s="650" t="s">
        <v>1753</v>
      </c>
      <c r="C7" s="649">
        <f>ROUNDUP(VLOOKUP("HCCP1BC_HUC",'Course Table'!$A$1:$E$262,4)*IF('Student Info'!$B$9="y",1.3,1),0)</f>
        <v>889</v>
      </c>
      <c r="D7" s="574" t="s">
        <v>1095</v>
      </c>
      <c r="E7" s="574" t="s">
        <v>1096</v>
      </c>
      <c r="F7" s="986">
        <f>VLOOKUP("HCCP1BC_HUC",'Course Table'!$A$1:$E$301,5)</f>
        <v>113</v>
      </c>
    </row>
  </sheetData>
  <sortState xmlns:xlrd2="http://schemas.microsoft.com/office/spreadsheetml/2017/richdata2" ref="A2:F7">
    <sortCondition ref="A1"/>
  </sortState>
  <phoneticPr fontId="117" type="noConversion"/>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E31DB9"/>
    <pageSetUpPr fitToPage="1"/>
  </sheetPr>
  <dimension ref="A1:ED57"/>
  <sheetViews>
    <sheetView showZeros="0" zoomScale="80" zoomScaleNormal="80" workbookViewId="0">
      <selection activeCell="S7" sqref="S7"/>
    </sheetView>
  </sheetViews>
  <sheetFormatPr defaultColWidth="9.33203125" defaultRowHeight="15.6"/>
  <cols>
    <col min="1" max="1" width="16" style="3" customWidth="1"/>
    <col min="2" max="2" width="1.77734375" style="3" customWidth="1"/>
    <col min="3" max="3" width="47" style="3" customWidth="1"/>
    <col min="4" max="4" width="8.6640625" style="3" customWidth="1"/>
    <col min="5" max="6" width="3.77734375" style="3" customWidth="1"/>
    <col min="7" max="8" width="3.33203125" style="3" customWidth="1"/>
    <col min="9" max="9" width="7.109375" style="3" customWidth="1"/>
    <col min="10" max="10" width="6.77734375" style="3" customWidth="1"/>
    <col min="11" max="11" width="5.33203125" style="9" customWidth="1"/>
    <col min="12" max="12" width="11.33203125" style="3" hidden="1" customWidth="1"/>
    <col min="13" max="13" width="11.109375" style="3" hidden="1" customWidth="1"/>
    <col min="14" max="14" width="10.77734375" style="3" hidden="1" customWidth="1"/>
    <col min="15" max="15" width="13.109375" style="3" hidden="1" customWidth="1"/>
    <col min="16" max="16" width="9.33203125" style="3" hidden="1" customWidth="1"/>
    <col min="17" max="18" width="5.33203125" style="3" customWidth="1"/>
    <col min="19" max="19" width="8.77734375" style="3" customWidth="1"/>
    <col min="20" max="20" width="7" style="3" customWidth="1"/>
    <col min="21" max="21" width="6.77734375" style="3" customWidth="1"/>
    <col min="22" max="22" width="5" style="3" customWidth="1"/>
    <col min="23" max="23" width="8.109375" style="3" customWidth="1"/>
    <col min="24" max="24" width="10.77734375" style="3" hidden="1" customWidth="1"/>
    <col min="25" max="25" width="9.44140625" style="3" hidden="1" customWidth="1"/>
    <col min="26" max="26" width="11.6640625" style="3" hidden="1" customWidth="1"/>
    <col min="27" max="27" width="10.109375" style="3" hidden="1" customWidth="1"/>
    <col min="28" max="28" width="9.33203125" style="3" hidden="1" customWidth="1"/>
    <col min="29" max="29" width="12" style="3" hidden="1" customWidth="1"/>
    <col min="30" max="30" width="12.6640625" style="3" hidden="1" customWidth="1"/>
    <col min="31" max="31" width="3.33203125" style="3" hidden="1" customWidth="1"/>
    <col min="32" max="32" width="13.44140625" style="3" hidden="1" customWidth="1"/>
    <col min="33" max="33" width="1.6640625" style="3" hidden="1" customWidth="1"/>
    <col min="34" max="38" width="9.33203125" style="3" hidden="1" customWidth="1"/>
    <col min="39" max="39" width="11.44140625" style="3" hidden="1" customWidth="1"/>
    <col min="40" max="41" width="9.33203125" style="3" hidden="1" customWidth="1"/>
    <col min="42" max="49" width="8.33203125" style="3" hidden="1" customWidth="1"/>
    <col min="50" max="50" width="9.33203125" style="3" hidden="1" customWidth="1"/>
    <col min="51" max="51" width="11.109375" style="3" hidden="1" customWidth="1"/>
    <col min="52" max="53" width="9.33203125" style="3" hidden="1" customWidth="1"/>
    <col min="54" max="54" width="12.109375" style="3" hidden="1" customWidth="1"/>
    <col min="55" max="69" width="10.77734375" style="3" hidden="1" customWidth="1"/>
    <col min="70" max="70" width="6.109375" style="3" hidden="1" customWidth="1"/>
    <col min="71" max="71" width="11.109375" style="3" hidden="1" customWidth="1"/>
    <col min="72" max="86" width="10.77734375" style="3" hidden="1" customWidth="1"/>
    <col min="87" max="87" width="6.109375" style="3" hidden="1" customWidth="1"/>
    <col min="88" max="88" width="11.109375" style="3" hidden="1" customWidth="1"/>
    <col min="89" max="103" width="10.77734375" style="3" hidden="1" customWidth="1"/>
    <col min="104" max="104" width="7.77734375" style="3" hidden="1" customWidth="1"/>
    <col min="105" max="119" width="10.77734375" style="3" hidden="1" customWidth="1"/>
    <col min="120" max="120" width="10.6640625" style="3" hidden="1" customWidth="1"/>
    <col min="121" max="121" width="11.109375" style="3" hidden="1" customWidth="1"/>
    <col min="122" max="122" width="10.33203125" style="3" hidden="1" customWidth="1"/>
    <col min="123" max="124" width="9.44140625" style="3" hidden="1" customWidth="1"/>
    <col min="125" max="128" width="9.33203125" style="3" hidden="1" customWidth="1"/>
    <col min="129" max="129" width="9.33203125" style="3" customWidth="1"/>
    <col min="130" max="131" width="7.109375" style="3" customWidth="1"/>
    <col min="132" max="132" width="11.33203125" style="3" bestFit="1" customWidth="1"/>
    <col min="133" max="16384" width="9.33203125" style="3"/>
  </cols>
  <sheetData>
    <row r="1" spans="1:134" s="400" customFormat="1" ht="23.25" customHeight="1" thickBot="1">
      <c r="A1" s="388"/>
      <c r="B1" s="389"/>
      <c r="C1" s="390"/>
      <c r="D1" s="391" t="s">
        <v>1424</v>
      </c>
      <c r="E1" s="392"/>
      <c r="F1" s="392"/>
      <c r="G1" s="392"/>
      <c r="H1" s="392"/>
      <c r="I1" s="392"/>
      <c r="J1" s="392"/>
      <c r="K1" s="393"/>
      <c r="L1" s="392"/>
      <c r="M1" s="392"/>
      <c r="N1" s="392"/>
      <c r="O1" s="392"/>
      <c r="P1" s="392"/>
      <c r="Q1" s="1292" t="str">
        <f>CONCATENATE('Outline Info'!B3,",  ",'Outline Info'!B2)</f>
        <v xml:space="preserve">,  </v>
      </c>
      <c r="R1" s="1292"/>
      <c r="S1" s="1292"/>
      <c r="T1" s="1292"/>
      <c r="U1" s="1292"/>
      <c r="V1" s="1292"/>
      <c r="W1" s="1293"/>
      <c r="X1" s="394"/>
      <c r="Y1" s="394"/>
      <c r="Z1" s="394"/>
      <c r="AA1" s="395"/>
      <c r="AB1" s="396"/>
      <c r="AC1" s="394"/>
      <c r="AD1" s="394"/>
      <c r="AE1" s="394"/>
      <c r="AF1" s="397"/>
      <c r="AG1" s="394"/>
      <c r="AH1" s="394"/>
      <c r="AI1" s="394"/>
      <c r="AJ1" s="394"/>
      <c r="AK1" s="398" t="s">
        <v>129</v>
      </c>
      <c r="AL1" s="394" t="s">
        <v>32</v>
      </c>
      <c r="AM1" s="399" t="s">
        <v>121</v>
      </c>
      <c r="AN1" s="399" t="s">
        <v>122</v>
      </c>
      <c r="AO1" s="399" t="s">
        <v>23</v>
      </c>
      <c r="AP1" s="394"/>
      <c r="AQ1" s="394"/>
      <c r="AR1" s="394"/>
      <c r="AS1" s="394"/>
      <c r="AT1" s="394"/>
      <c r="AU1" s="394"/>
      <c r="AV1" s="394"/>
      <c r="AW1" s="394"/>
      <c r="AX1" s="394"/>
      <c r="AY1" s="394"/>
      <c r="AZ1" s="394"/>
      <c r="BA1" s="394"/>
      <c r="BB1" s="394"/>
      <c r="BC1" s="394"/>
      <c r="BD1" s="394"/>
      <c r="BE1" s="394"/>
      <c r="BF1" s="394"/>
      <c r="BG1" s="394"/>
      <c r="BH1" s="394"/>
      <c r="BI1" s="394"/>
      <c r="BJ1" s="394"/>
      <c r="BK1" s="394"/>
      <c r="BL1" s="394"/>
      <c r="BM1" s="394"/>
      <c r="BN1" s="394"/>
      <c r="BO1" s="394"/>
      <c r="BP1" s="394"/>
      <c r="BQ1" s="394"/>
      <c r="BR1" s="394"/>
      <c r="BS1" s="394"/>
      <c r="BT1" s="394"/>
      <c r="BU1" s="394"/>
      <c r="BV1" s="394"/>
      <c r="BW1" s="394"/>
      <c r="BX1" s="394"/>
      <c r="BY1" s="394"/>
      <c r="BZ1" s="394"/>
      <c r="CA1" s="394"/>
      <c r="CB1" s="394"/>
      <c r="CC1" s="394"/>
      <c r="CD1" s="394"/>
      <c r="CE1" s="394"/>
      <c r="CF1" s="394"/>
      <c r="CG1" s="394"/>
      <c r="CH1" s="394"/>
      <c r="CI1" s="394"/>
      <c r="CJ1" s="394"/>
      <c r="CK1" s="394"/>
      <c r="CL1" s="394"/>
      <c r="CM1" s="394"/>
      <c r="CN1" s="394"/>
      <c r="CO1" s="394"/>
      <c r="CP1" s="394"/>
      <c r="CQ1" s="394"/>
      <c r="CR1" s="394"/>
      <c r="CS1" s="394"/>
      <c r="CT1" s="394"/>
      <c r="CU1" s="394"/>
      <c r="CV1" s="394"/>
      <c r="CW1" s="394"/>
      <c r="CX1" s="394"/>
      <c r="CY1" s="394"/>
      <c r="CZ1" s="394"/>
      <c r="DA1" s="394"/>
      <c r="DB1" s="394"/>
      <c r="DC1" s="394"/>
      <c r="DD1" s="394"/>
      <c r="DE1" s="394"/>
      <c r="DF1" s="394"/>
      <c r="DG1" s="394"/>
      <c r="DH1" s="394"/>
      <c r="DI1" s="394"/>
      <c r="DJ1" s="394"/>
      <c r="DK1" s="394"/>
      <c r="DL1" s="394"/>
      <c r="DM1" s="394"/>
      <c r="DN1" s="394"/>
      <c r="DO1" s="394"/>
      <c r="DP1" s="394"/>
      <c r="DQ1" s="394"/>
      <c r="DR1" s="394"/>
      <c r="DS1" s="394"/>
      <c r="DT1" s="394"/>
      <c r="DU1" s="394"/>
      <c r="DV1" s="394"/>
      <c r="DW1" s="394"/>
      <c r="DX1" s="397"/>
      <c r="DY1" s="394"/>
      <c r="DZ1" s="394"/>
      <c r="EA1" s="394"/>
      <c r="EB1" s="394"/>
      <c r="EC1" s="394"/>
      <c r="ED1" s="394"/>
    </row>
    <row r="2" spans="1:134" s="400" customFormat="1" ht="22.5" customHeight="1" thickBot="1">
      <c r="A2" s="401"/>
      <c r="B2" s="402"/>
      <c r="C2" s="402"/>
      <c r="D2" s="1303" t="str">
        <f>'Franchise Info'!B4</f>
        <v>201 - 20621 Logan Ave, Langley, BC, V3A 7R3</v>
      </c>
      <c r="E2" s="1303"/>
      <c r="F2" s="1303"/>
      <c r="G2" s="1303"/>
      <c r="H2" s="1303"/>
      <c r="I2" s="1303"/>
      <c r="J2" s="1303"/>
      <c r="K2" s="1303"/>
      <c r="L2" s="1303"/>
      <c r="M2" s="1303"/>
      <c r="N2" s="1303"/>
      <c r="O2" s="1303"/>
      <c r="P2" s="1303"/>
      <c r="Q2" s="1303"/>
      <c r="R2" s="1303"/>
      <c r="S2" s="1304"/>
      <c r="T2" s="403" t="s">
        <v>92</v>
      </c>
      <c r="U2" s="404"/>
      <c r="V2" s="1294">
        <f>'Outline Info'!B7</f>
        <v>0</v>
      </c>
      <c r="W2" s="1295"/>
      <c r="X2" s="394"/>
      <c r="Y2" s="394"/>
      <c r="Z2" s="394"/>
      <c r="AA2" s="394"/>
      <c r="AB2" s="394"/>
      <c r="AC2" s="394"/>
      <c r="AD2" s="394"/>
      <c r="AE2" s="394"/>
      <c r="AF2" s="394"/>
      <c r="AG2" s="394"/>
      <c r="AH2" s="394"/>
      <c r="AI2" s="394"/>
      <c r="AJ2" s="394"/>
      <c r="AK2" s="394"/>
      <c r="AL2" s="394" t="s">
        <v>98</v>
      </c>
      <c r="AM2" s="394"/>
      <c r="AN2" s="399" t="s">
        <v>123</v>
      </c>
      <c r="AO2" s="399" t="s">
        <v>113</v>
      </c>
      <c r="AP2" s="394"/>
      <c r="AQ2" s="394"/>
      <c r="AR2" s="394"/>
      <c r="AS2" s="394"/>
      <c r="AT2" s="394"/>
      <c r="AU2" s="394"/>
      <c r="AV2" s="394"/>
      <c r="AW2" s="394"/>
      <c r="AX2" s="394"/>
      <c r="AY2" s="394"/>
      <c r="AZ2" s="394"/>
      <c r="BA2" s="394"/>
      <c r="BB2" s="394"/>
      <c r="BC2" s="394"/>
      <c r="BD2" s="394"/>
      <c r="BE2" s="394"/>
      <c r="BF2" s="394"/>
      <c r="BG2" s="394"/>
      <c r="BH2" s="394"/>
      <c r="BI2" s="394"/>
      <c r="BJ2" s="394"/>
      <c r="BK2" s="394"/>
      <c r="BL2" s="394"/>
      <c r="BM2" s="394"/>
      <c r="BN2" s="394"/>
      <c r="BO2" s="394"/>
      <c r="BP2" s="394"/>
      <c r="BQ2" s="394"/>
      <c r="BR2" s="394"/>
      <c r="BS2" s="394"/>
      <c r="BT2" s="394"/>
      <c r="BU2" s="394"/>
      <c r="BV2" s="394"/>
      <c r="BW2" s="394"/>
      <c r="BX2" s="394"/>
      <c r="BY2" s="394"/>
      <c r="BZ2" s="394"/>
      <c r="CA2" s="394"/>
      <c r="CB2" s="394"/>
      <c r="CC2" s="394"/>
      <c r="CD2" s="394"/>
      <c r="CE2" s="394"/>
      <c r="CF2" s="394"/>
      <c r="CG2" s="394"/>
      <c r="CH2" s="394"/>
      <c r="CI2" s="394"/>
      <c r="CJ2" s="394"/>
      <c r="CK2" s="394"/>
      <c r="CL2" s="394"/>
      <c r="CM2" s="394"/>
      <c r="CN2" s="394"/>
      <c r="CO2" s="394"/>
      <c r="CP2" s="394"/>
      <c r="CQ2" s="394"/>
      <c r="CR2" s="394"/>
      <c r="CS2" s="394"/>
      <c r="CT2" s="394"/>
      <c r="CU2" s="394"/>
      <c r="CV2" s="394"/>
      <c r="CW2" s="394"/>
      <c r="CX2" s="394"/>
      <c r="CY2" s="394"/>
      <c r="CZ2" s="394"/>
      <c r="DA2" s="394"/>
      <c r="DB2" s="394"/>
      <c r="DC2" s="394"/>
      <c r="DD2" s="394"/>
      <c r="DE2" s="394"/>
      <c r="DF2" s="394"/>
      <c r="DG2" s="394"/>
      <c r="DH2" s="394"/>
      <c r="DI2" s="394"/>
      <c r="DJ2" s="394"/>
      <c r="DK2" s="394"/>
      <c r="DL2" s="394"/>
      <c r="DM2" s="394"/>
      <c r="DN2" s="394"/>
      <c r="DO2" s="394"/>
      <c r="DP2" s="405">
        <f>MAX(DP7:DP47)</f>
        <v>44475</v>
      </c>
      <c r="DQ2" s="394"/>
      <c r="DR2" s="394"/>
      <c r="DS2" s="394"/>
      <c r="DT2" s="394"/>
      <c r="DU2" s="394"/>
      <c r="DV2" s="394"/>
      <c r="DW2" s="394"/>
      <c r="DX2" s="394"/>
      <c r="DY2" s="394"/>
      <c r="DZ2" s="394"/>
      <c r="EA2" s="394"/>
      <c r="EB2" s="394"/>
      <c r="EC2" s="394"/>
      <c r="ED2" s="394"/>
    </row>
    <row r="3" spans="1:134" s="400" customFormat="1" ht="25.2" customHeight="1" thickBot="1">
      <c r="A3" s="406" t="s">
        <v>5</v>
      </c>
      <c r="B3" s="1296">
        <f>'Outline Info'!B4</f>
        <v>0</v>
      </c>
      <c r="C3" s="1297"/>
      <c r="D3" s="1297"/>
      <c r="E3" s="1297"/>
      <c r="F3" s="1297"/>
      <c r="G3" s="1297"/>
      <c r="H3" s="1298"/>
      <c r="I3" s="407" t="s">
        <v>93</v>
      </c>
      <c r="J3" s="1299">
        <f>'Outline Info'!B5</f>
        <v>0</v>
      </c>
      <c r="K3" s="1299"/>
      <c r="L3" s="1299"/>
      <c r="M3" s="1299"/>
      <c r="N3" s="1299"/>
      <c r="O3" s="1299"/>
      <c r="P3" s="1299"/>
      <c r="Q3" s="1299"/>
      <c r="R3" s="1299"/>
      <c r="S3" s="1300"/>
      <c r="T3" s="408" t="s">
        <v>9</v>
      </c>
      <c r="U3" s="409"/>
      <c r="V3" s="1301">
        <f>'Outline Info'!B6</f>
        <v>44473</v>
      </c>
      <c r="W3" s="1302"/>
      <c r="X3" s="394"/>
      <c r="Y3" s="394" t="s">
        <v>125</v>
      </c>
      <c r="Z3" s="394"/>
      <c r="AA3" s="410"/>
      <c r="AB3" s="411">
        <f>V4-V3</f>
        <v>-3</v>
      </c>
      <c r="AC3" s="394"/>
      <c r="AD3" s="394"/>
      <c r="AE3" s="394"/>
      <c r="AF3" s="394"/>
      <c r="AG3" s="394"/>
      <c r="AH3" s="394"/>
      <c r="AI3" s="394"/>
      <c r="AJ3" s="394"/>
      <c r="AK3" s="394" t="s">
        <v>23</v>
      </c>
      <c r="AL3" s="394" t="s">
        <v>3</v>
      </c>
      <c r="AM3" s="399" t="s">
        <v>124</v>
      </c>
      <c r="AN3" s="399"/>
      <c r="AO3" s="399" t="s">
        <v>114</v>
      </c>
      <c r="AP3" s="394"/>
      <c r="AQ3" s="394"/>
      <c r="AR3" s="394"/>
      <c r="AS3" s="394"/>
      <c r="AT3" s="394"/>
      <c r="AU3" s="394"/>
      <c r="AV3" s="394"/>
      <c r="AW3" s="394"/>
      <c r="AX3" s="394"/>
      <c r="AY3" s="394"/>
      <c r="AZ3" s="394"/>
      <c r="BA3" s="394"/>
      <c r="BB3" s="412"/>
      <c r="BC3" s="405"/>
      <c r="BD3" s="405"/>
      <c r="BE3" s="405"/>
      <c r="BF3" s="405"/>
      <c r="BG3" s="405"/>
      <c r="BH3" s="405"/>
      <c r="BI3" s="405"/>
      <c r="BJ3" s="405"/>
      <c r="BK3" s="405"/>
      <c r="BL3" s="405"/>
      <c r="BM3" s="405"/>
      <c r="BN3" s="405"/>
      <c r="BO3" s="405"/>
      <c r="BP3" s="405"/>
      <c r="BQ3" s="405"/>
      <c r="BR3" s="405" t="s">
        <v>130</v>
      </c>
      <c r="BS3" s="405" t="s">
        <v>128</v>
      </c>
      <c r="BT3" s="405"/>
      <c r="BU3" s="405"/>
      <c r="BV3" s="405"/>
      <c r="BW3" s="405"/>
      <c r="BX3" s="405"/>
      <c r="BY3" s="405"/>
      <c r="BZ3" s="405"/>
      <c r="CA3" s="405"/>
      <c r="CB3" s="405"/>
      <c r="CC3" s="405"/>
      <c r="CD3" s="405"/>
      <c r="CE3" s="405"/>
      <c r="CF3" s="405"/>
      <c r="CG3" s="405"/>
      <c r="CH3" s="405"/>
      <c r="CI3" s="405" t="s">
        <v>132</v>
      </c>
      <c r="CJ3" s="405" t="s">
        <v>128</v>
      </c>
      <c r="CK3" s="405"/>
      <c r="CL3" s="405"/>
      <c r="CM3" s="405"/>
      <c r="CN3" s="405"/>
      <c r="CO3" s="405"/>
      <c r="CP3" s="405"/>
      <c r="CQ3" s="405"/>
      <c r="CR3" s="405"/>
      <c r="CS3" s="405"/>
      <c r="CT3" s="405"/>
      <c r="CU3" s="405"/>
      <c r="CV3" s="405"/>
      <c r="CW3" s="405"/>
      <c r="CX3" s="405"/>
      <c r="CY3" s="405"/>
      <c r="CZ3" s="405" t="s">
        <v>135</v>
      </c>
      <c r="DA3" s="405"/>
      <c r="DB3" s="405"/>
      <c r="DC3" s="405"/>
      <c r="DD3" s="405"/>
      <c r="DE3" s="405"/>
      <c r="DF3" s="405"/>
      <c r="DG3" s="405"/>
      <c r="DH3" s="405"/>
      <c r="DI3" s="405"/>
      <c r="DJ3" s="405"/>
      <c r="DK3" s="405"/>
      <c r="DL3" s="405"/>
      <c r="DM3" s="405"/>
      <c r="DN3" s="405"/>
      <c r="DO3" s="405"/>
      <c r="DP3" s="394"/>
      <c r="DQ3" s="394"/>
      <c r="DR3" s="394"/>
      <c r="DS3" s="394"/>
      <c r="DT3" s="394"/>
      <c r="DU3" s="394"/>
      <c r="DV3" s="394"/>
      <c r="DW3" s="394"/>
      <c r="DX3" s="394"/>
      <c r="DY3" s="394"/>
      <c r="DZ3" s="394"/>
      <c r="EA3" s="394"/>
      <c r="EB3" s="394"/>
      <c r="EC3" s="394"/>
      <c r="ED3" s="394"/>
    </row>
    <row r="4" spans="1:134" s="400" customFormat="1" ht="25.2" customHeight="1" thickBot="1">
      <c r="A4" s="413" t="s">
        <v>33</v>
      </c>
      <c r="B4" s="1312" t="str">
        <f>IF('Outline Info'!B8="Y","Pay-per-Course",'Outline Info'!B9)</f>
        <v>Student Loan</v>
      </c>
      <c r="C4" s="1313"/>
      <c r="D4" s="1313"/>
      <c r="E4" s="1313"/>
      <c r="F4" s="1313"/>
      <c r="G4" s="1313"/>
      <c r="H4" s="1313"/>
      <c r="I4" s="1314"/>
      <c r="J4" s="1315" t="s">
        <v>127</v>
      </c>
      <c r="K4" s="1316"/>
      <c r="L4" s="1316"/>
      <c r="M4" s="1316"/>
      <c r="N4" s="1316"/>
      <c r="O4" s="1316"/>
      <c r="P4" s="1316"/>
      <c r="Q4" s="1316"/>
      <c r="R4" s="1317"/>
      <c r="S4" s="414"/>
      <c r="T4" s="415" t="s">
        <v>58</v>
      </c>
      <c r="U4" s="416"/>
      <c r="V4" s="1318">
        <f>'Outline Info'!C6</f>
        <v>44470</v>
      </c>
      <c r="W4" s="1319"/>
      <c r="X4" s="394"/>
      <c r="Y4" s="394" t="s">
        <v>65</v>
      </c>
      <c r="Z4" s="394">
        <f>SUM(Z7:Z47)</f>
        <v>0</v>
      </c>
      <c r="AA4" s="394">
        <f>SUM(AA7:AA47)</f>
        <v>0</v>
      </c>
      <c r="AB4" s="394">
        <f>SUM(AB7:AB47)</f>
        <v>0</v>
      </c>
      <c r="AC4" s="394"/>
      <c r="AD4" s="394"/>
      <c r="AE4" s="394"/>
      <c r="AF4" s="394"/>
      <c r="AG4" s="394"/>
      <c r="AH4" s="394"/>
      <c r="AI4" s="394"/>
      <c r="AJ4" s="394"/>
      <c r="AK4" s="394" t="s">
        <v>1</v>
      </c>
      <c r="AL4" s="394">
        <f>SUMPRODUCT(AH7:AH47,AL7:AL47)</f>
        <v>0</v>
      </c>
      <c r="AM4" s="394">
        <f>ROUND(AL4*IF(AM6&gt;2,0.25,IF(AM6&gt;1,0.175,IF(AM6&gt;0,0.1,0))),0)</f>
        <v>0</v>
      </c>
      <c r="AN4" s="394">
        <f>SUMPRODUCT(AH7:AH47,AN7:AN47)</f>
        <v>0</v>
      </c>
      <c r="AO4" s="399"/>
      <c r="AP4" s="417" t="s">
        <v>115</v>
      </c>
      <c r="AQ4" s="417" t="s">
        <v>116</v>
      </c>
      <c r="AR4" s="417" t="s">
        <v>117</v>
      </c>
      <c r="AS4" s="417" t="s">
        <v>118</v>
      </c>
      <c r="AT4" s="417" t="s">
        <v>115</v>
      </c>
      <c r="AU4" s="417" t="s">
        <v>116</v>
      </c>
      <c r="AV4" s="417" t="s">
        <v>117</v>
      </c>
      <c r="AW4" s="417" t="s">
        <v>118</v>
      </c>
      <c r="AX4" s="417" t="s">
        <v>115</v>
      </c>
      <c r="AY4" s="417" t="s">
        <v>116</v>
      </c>
      <c r="AZ4" s="417" t="s">
        <v>117</v>
      </c>
      <c r="BA4" s="417" t="s">
        <v>118</v>
      </c>
      <c r="BB4" s="394"/>
      <c r="BC4" s="405"/>
      <c r="BD4" s="405"/>
      <c r="BE4" s="405"/>
      <c r="BF4" s="405"/>
      <c r="BG4" s="405"/>
      <c r="BH4" s="405"/>
      <c r="BI4" s="405"/>
      <c r="BJ4" s="405"/>
      <c r="BK4" s="405"/>
      <c r="BL4" s="405"/>
      <c r="BM4" s="405"/>
      <c r="BN4" s="405"/>
      <c r="BO4" s="405"/>
      <c r="BP4" s="405"/>
      <c r="BQ4" s="405"/>
      <c r="BR4" s="405" t="s">
        <v>131</v>
      </c>
      <c r="BS4" s="418">
        <f>COUNTIF($AC7:$AC47,9997)</f>
        <v>0</v>
      </c>
      <c r="BT4" s="405"/>
      <c r="BU4" s="405"/>
      <c r="BV4" s="405"/>
      <c r="BW4" s="405"/>
      <c r="BX4" s="405"/>
      <c r="BY4" s="405"/>
      <c r="BZ4" s="405"/>
      <c r="CA4" s="405"/>
      <c r="CB4" s="405"/>
      <c r="CC4" s="405"/>
      <c r="CD4" s="405"/>
      <c r="CE4" s="405"/>
      <c r="CF4" s="405"/>
      <c r="CG4" s="405"/>
      <c r="CH4" s="405"/>
      <c r="CI4" s="405" t="s">
        <v>131</v>
      </c>
      <c r="CJ4" s="418">
        <f>COUNTIF($AC7:$AC47,9998)</f>
        <v>0</v>
      </c>
      <c r="CK4" s="405"/>
      <c r="CL4" s="405"/>
      <c r="CM4" s="405"/>
      <c r="CN4" s="405"/>
      <c r="CO4" s="405"/>
      <c r="CP4" s="405"/>
      <c r="CQ4" s="405"/>
      <c r="CR4" s="405"/>
      <c r="CS4" s="405"/>
      <c r="CT4" s="405"/>
      <c r="CU4" s="405"/>
      <c r="CV4" s="405"/>
      <c r="CW4" s="405"/>
      <c r="CX4" s="405"/>
      <c r="CY4" s="405"/>
      <c r="CZ4" s="405" t="s">
        <v>131</v>
      </c>
      <c r="DA4" s="405"/>
      <c r="DB4" s="405"/>
      <c r="DC4" s="405"/>
      <c r="DD4" s="405"/>
      <c r="DE4" s="405"/>
      <c r="DF4" s="405"/>
      <c r="DG4" s="405"/>
      <c r="DH4" s="405"/>
      <c r="DI4" s="405"/>
      <c r="DJ4" s="405"/>
      <c r="DK4" s="405"/>
      <c r="DL4" s="405"/>
      <c r="DM4" s="405"/>
      <c r="DN4" s="405"/>
      <c r="DO4" s="405"/>
      <c r="DP4" s="394"/>
      <c r="DQ4" s="394"/>
      <c r="DR4" s="394"/>
      <c r="DS4" s="394"/>
      <c r="DT4" s="394"/>
      <c r="DU4" s="394"/>
      <c r="DV4" s="394"/>
      <c r="DW4" s="394"/>
      <c r="DX4" s="394"/>
      <c r="DY4" s="394"/>
      <c r="DZ4" s="394"/>
      <c r="EA4" s="394"/>
      <c r="EB4" s="394"/>
      <c r="EC4" s="394"/>
      <c r="ED4" s="394"/>
    </row>
    <row r="5" spans="1:134" s="400" customFormat="1" ht="25.2" customHeight="1" thickBot="1">
      <c r="A5" s="419" t="s">
        <v>95</v>
      </c>
      <c r="B5" s="1305">
        <f>'Outline Admin'!A5</f>
        <v>0</v>
      </c>
      <c r="C5" s="1305"/>
      <c r="D5" s="1305"/>
      <c r="E5" s="1305"/>
      <c r="F5" s="1305"/>
      <c r="G5" s="1305"/>
      <c r="H5" s="1305"/>
      <c r="I5" s="1305"/>
      <c r="J5" s="1305"/>
      <c r="K5" s="1305"/>
      <c r="L5" s="1305"/>
      <c r="M5" s="1305"/>
      <c r="N5" s="1305"/>
      <c r="O5" s="1305"/>
      <c r="P5" s="1305"/>
      <c r="Q5" s="1305"/>
      <c r="R5" s="1305"/>
      <c r="S5" s="1306"/>
      <c r="T5" s="420" t="s">
        <v>94</v>
      </c>
      <c r="U5" s="421"/>
      <c r="V5" s="1307">
        <f>'Outline Admin'!F57</f>
        <v>354</v>
      </c>
      <c r="W5" s="1308"/>
      <c r="X5" s="394"/>
      <c r="Y5" s="394" t="s">
        <v>126</v>
      </c>
      <c r="Z5" s="394"/>
      <c r="AA5" s="422"/>
      <c r="AB5" s="422"/>
      <c r="AC5" s="394" t="s">
        <v>25</v>
      </c>
      <c r="AD5" s="394" t="s">
        <v>23</v>
      </c>
      <c r="AE5" s="394"/>
      <c r="AF5" s="394" t="s">
        <v>23</v>
      </c>
      <c r="AG5" s="394"/>
      <c r="AH5" s="394"/>
      <c r="AI5" s="394"/>
      <c r="AJ5" s="394"/>
      <c r="AK5" s="394" t="s">
        <v>120</v>
      </c>
      <c r="AL5" s="398">
        <f>AL4-AM4</f>
        <v>0</v>
      </c>
      <c r="AM5" s="394">
        <f>IF(AM6&lt;&gt;0,ROUNDDOWN(AM4/AM6,0),0)</f>
        <v>0</v>
      </c>
      <c r="AN5" s="394">
        <f>IF(AL5&gt;0,IF(AN6&lt;25,ROUNDDOWN(AL5/AN6,1),ROUNDDOWN((AL5/AN6)/2,1)),0)</f>
        <v>0</v>
      </c>
      <c r="AO5" s="394"/>
      <c r="AP5" s="423" t="s">
        <v>119</v>
      </c>
      <c r="AQ5" s="423" t="s">
        <v>119</v>
      </c>
      <c r="AR5" s="423" t="s">
        <v>119</v>
      </c>
      <c r="AS5" s="423" t="s">
        <v>119</v>
      </c>
      <c r="AT5" s="417" t="s">
        <v>31</v>
      </c>
      <c r="AU5" s="417" t="s">
        <v>31</v>
      </c>
      <c r="AV5" s="417" t="s">
        <v>31</v>
      </c>
      <c r="AW5" s="417" t="s">
        <v>31</v>
      </c>
      <c r="AX5" s="417" t="s">
        <v>30</v>
      </c>
      <c r="AY5" s="417" t="s">
        <v>30</v>
      </c>
      <c r="AZ5" s="417" t="s">
        <v>30</v>
      </c>
      <c r="BA5" s="417" t="s">
        <v>30</v>
      </c>
      <c r="BB5" s="394"/>
      <c r="BC5" s="405"/>
      <c r="BD5" s="405"/>
      <c r="BE5" s="405"/>
      <c r="BF5" s="405"/>
      <c r="BG5" s="405"/>
      <c r="BH5" s="405"/>
      <c r="BI5" s="405"/>
      <c r="BJ5" s="405"/>
      <c r="BK5" s="405"/>
      <c r="BL5" s="405"/>
      <c r="BM5" s="405"/>
      <c r="BN5" s="405"/>
      <c r="BO5" s="405"/>
      <c r="BP5" s="405"/>
      <c r="BQ5" s="405"/>
      <c r="BR5" s="405"/>
      <c r="BS5" s="424" t="s">
        <v>101</v>
      </c>
      <c r="BT5" s="405"/>
      <c r="BU5" s="405"/>
      <c r="BV5" s="405"/>
      <c r="BW5" s="405"/>
      <c r="BX5" s="405"/>
      <c r="BY5" s="405"/>
      <c r="BZ5" s="405"/>
      <c r="CA5" s="405"/>
      <c r="CB5" s="405"/>
      <c r="CC5" s="405"/>
      <c r="CD5" s="405"/>
      <c r="CE5" s="405"/>
      <c r="CF5" s="405"/>
      <c r="CG5" s="405"/>
      <c r="CH5" s="405"/>
      <c r="CI5" s="405"/>
      <c r="CJ5" s="424" t="s">
        <v>133</v>
      </c>
      <c r="CK5" s="405"/>
      <c r="CL5" s="405"/>
      <c r="CM5" s="405"/>
      <c r="CN5" s="405"/>
      <c r="CO5" s="405"/>
      <c r="CP5" s="405"/>
      <c r="CQ5" s="405"/>
      <c r="CR5" s="405"/>
      <c r="CS5" s="405"/>
      <c r="CT5" s="405"/>
      <c r="CU5" s="405"/>
      <c r="CV5" s="405"/>
      <c r="CW5" s="405"/>
      <c r="CX5" s="405"/>
      <c r="CY5" s="405"/>
      <c r="CZ5" s="405"/>
      <c r="DA5" s="424" t="s">
        <v>105</v>
      </c>
      <c r="DB5" s="405"/>
      <c r="DC5" s="405"/>
      <c r="DD5" s="405"/>
      <c r="DE5" s="405"/>
      <c r="DF5" s="405"/>
      <c r="DG5" s="405"/>
      <c r="DH5" s="405"/>
      <c r="DI5" s="405"/>
      <c r="DJ5" s="405"/>
      <c r="DK5" s="405"/>
      <c r="DL5" s="405"/>
      <c r="DM5" s="405"/>
      <c r="DN5" s="405"/>
      <c r="DO5" s="405"/>
      <c r="DP5" s="394"/>
      <c r="DQ5" s="394"/>
      <c r="DR5" s="424" t="s">
        <v>108</v>
      </c>
      <c r="DS5" s="394"/>
      <c r="DT5" s="394"/>
      <c r="DU5" s="394"/>
      <c r="DV5" s="1311" t="s">
        <v>35</v>
      </c>
      <c r="DW5" s="1311"/>
      <c r="DX5" s="1311"/>
      <c r="DY5" s="394"/>
      <c r="DZ5" s="1326" t="s">
        <v>1576</v>
      </c>
      <c r="EA5" s="1326"/>
      <c r="EB5" s="394"/>
      <c r="EC5" s="394"/>
      <c r="ED5" s="394"/>
    </row>
    <row r="6" spans="1:134" s="400" customFormat="1" ht="30" customHeight="1">
      <c r="A6" s="425" t="s">
        <v>175</v>
      </c>
      <c r="B6" s="426" t="s">
        <v>111</v>
      </c>
      <c r="C6" s="427" t="s">
        <v>26</v>
      </c>
      <c r="D6" s="428" t="s">
        <v>174</v>
      </c>
      <c r="E6" s="1320" t="s">
        <v>172</v>
      </c>
      <c r="F6" s="1321"/>
      <c r="G6" s="1322" t="s">
        <v>416</v>
      </c>
      <c r="H6" s="1323"/>
      <c r="I6" s="429" t="s">
        <v>173</v>
      </c>
      <c r="J6" s="430" t="s">
        <v>27</v>
      </c>
      <c r="K6" s="427" t="s">
        <v>417</v>
      </c>
      <c r="L6" s="427"/>
      <c r="M6" s="427"/>
      <c r="N6" s="427"/>
      <c r="O6" s="427"/>
      <c r="P6" s="427"/>
      <c r="Q6" s="427" t="s">
        <v>418</v>
      </c>
      <c r="R6" s="431" t="s">
        <v>176</v>
      </c>
      <c r="S6" s="429" t="s">
        <v>419</v>
      </c>
      <c r="T6" s="1320" t="s">
        <v>96</v>
      </c>
      <c r="U6" s="1323"/>
      <c r="V6" s="1321"/>
      <c r="W6" s="868" t="str">
        <f>IF(AND('Outline Info'!T4=1,'Outline Info'!$C$33=0),"Required
Total","Ahead +
Behind -")</f>
        <v>Required
Total</v>
      </c>
      <c r="X6" s="394"/>
      <c r="Y6" s="394"/>
      <c r="Z6" s="424" t="s">
        <v>40</v>
      </c>
      <c r="AA6" s="424" t="s">
        <v>41</v>
      </c>
      <c r="AB6" s="424" t="s">
        <v>42</v>
      </c>
      <c r="AC6" s="394" t="s">
        <v>21</v>
      </c>
      <c r="AD6" s="394" t="s">
        <v>24</v>
      </c>
      <c r="AE6" s="432" t="s">
        <v>20</v>
      </c>
      <c r="AF6" s="394" t="s">
        <v>17</v>
      </c>
      <c r="AG6" s="394"/>
      <c r="AH6" s="394" t="s">
        <v>0</v>
      </c>
      <c r="AI6" s="394"/>
      <c r="AJ6" s="394"/>
      <c r="AK6" s="394" t="s">
        <v>112</v>
      </c>
      <c r="AL6" s="394">
        <f>SUM(AL7:AL47)</f>
        <v>0</v>
      </c>
      <c r="AM6" s="394">
        <f>SUM(AM7:AM47)</f>
        <v>0</v>
      </c>
      <c r="AN6" s="394">
        <f>SUM(AN7:AN47)</f>
        <v>0</v>
      </c>
      <c r="AO6" s="394"/>
      <c r="AP6" s="394"/>
      <c r="AQ6" s="394"/>
      <c r="AR6" s="394"/>
      <c r="AS6" s="394"/>
      <c r="AT6" s="394">
        <f t="shared" ref="AT6:BA6" si="0">SUM(AT7:AT47)</f>
        <v>0</v>
      </c>
      <c r="AU6" s="394">
        <f t="shared" si="0"/>
        <v>0</v>
      </c>
      <c r="AV6" s="394">
        <f t="shared" si="0"/>
        <v>0</v>
      </c>
      <c r="AW6" s="394">
        <f t="shared" si="0"/>
        <v>0</v>
      </c>
      <c r="AX6" s="433">
        <f t="shared" si="0"/>
        <v>0</v>
      </c>
      <c r="AY6" s="433">
        <f t="shared" si="0"/>
        <v>0</v>
      </c>
      <c r="AZ6" s="433">
        <f t="shared" si="0"/>
        <v>0</v>
      </c>
      <c r="BA6" s="433">
        <f t="shared" si="0"/>
        <v>0</v>
      </c>
      <c r="BB6" s="424" t="s">
        <v>110</v>
      </c>
      <c r="BC6" s="434" t="s">
        <v>46</v>
      </c>
      <c r="BD6" s="434" t="s">
        <v>47</v>
      </c>
      <c r="BE6" s="434" t="s">
        <v>48</v>
      </c>
      <c r="BF6" s="434" t="s">
        <v>49</v>
      </c>
      <c r="BG6" s="434" t="s">
        <v>50</v>
      </c>
      <c r="BH6" s="434" t="s">
        <v>51</v>
      </c>
      <c r="BI6" s="434" t="s">
        <v>52</v>
      </c>
      <c r="BJ6" s="434" t="s">
        <v>53</v>
      </c>
      <c r="BK6" s="434" t="s">
        <v>54</v>
      </c>
      <c r="BL6" s="434" t="s">
        <v>55</v>
      </c>
      <c r="BM6" s="434" t="s">
        <v>56</v>
      </c>
      <c r="BN6" s="434" t="s">
        <v>57</v>
      </c>
      <c r="BO6" s="434" t="s">
        <v>102</v>
      </c>
      <c r="BP6" s="434" t="s">
        <v>103</v>
      </c>
      <c r="BQ6" s="424" t="s">
        <v>44</v>
      </c>
      <c r="BR6" s="424"/>
      <c r="BS6" s="424" t="s">
        <v>106</v>
      </c>
      <c r="BT6" s="434" t="s">
        <v>46</v>
      </c>
      <c r="BU6" s="434" t="s">
        <v>47</v>
      </c>
      <c r="BV6" s="434" t="s">
        <v>48</v>
      </c>
      <c r="BW6" s="434" t="s">
        <v>49</v>
      </c>
      <c r="BX6" s="434" t="s">
        <v>50</v>
      </c>
      <c r="BY6" s="434" t="s">
        <v>51</v>
      </c>
      <c r="BZ6" s="434" t="s">
        <v>52</v>
      </c>
      <c r="CA6" s="434" t="s">
        <v>53</v>
      </c>
      <c r="CB6" s="434" t="s">
        <v>54</v>
      </c>
      <c r="CC6" s="434" t="s">
        <v>55</v>
      </c>
      <c r="CD6" s="434" t="s">
        <v>56</v>
      </c>
      <c r="CE6" s="434" t="s">
        <v>57</v>
      </c>
      <c r="CF6" s="434" t="s">
        <v>102</v>
      </c>
      <c r="CG6" s="434" t="s">
        <v>103</v>
      </c>
      <c r="CH6" s="424" t="s">
        <v>44</v>
      </c>
      <c r="CI6" s="424"/>
      <c r="CJ6" s="424" t="s">
        <v>134</v>
      </c>
      <c r="CK6" s="434" t="s">
        <v>46</v>
      </c>
      <c r="CL6" s="434" t="s">
        <v>47</v>
      </c>
      <c r="CM6" s="434" t="s">
        <v>48</v>
      </c>
      <c r="CN6" s="434" t="s">
        <v>49</v>
      </c>
      <c r="CO6" s="434" t="s">
        <v>50</v>
      </c>
      <c r="CP6" s="434" t="s">
        <v>51</v>
      </c>
      <c r="CQ6" s="434" t="s">
        <v>52</v>
      </c>
      <c r="CR6" s="434" t="s">
        <v>53</v>
      </c>
      <c r="CS6" s="434" t="s">
        <v>54</v>
      </c>
      <c r="CT6" s="434" t="s">
        <v>55</v>
      </c>
      <c r="CU6" s="434" t="s">
        <v>56</v>
      </c>
      <c r="CV6" s="434" t="s">
        <v>57</v>
      </c>
      <c r="CW6" s="434" t="s">
        <v>102</v>
      </c>
      <c r="CX6" s="434" t="s">
        <v>103</v>
      </c>
      <c r="CY6" s="424" t="s">
        <v>44</v>
      </c>
      <c r="CZ6" s="424"/>
      <c r="DA6" s="424" t="s">
        <v>107</v>
      </c>
      <c r="DB6" s="434" t="s">
        <v>46</v>
      </c>
      <c r="DC6" s="434" t="s">
        <v>47</v>
      </c>
      <c r="DD6" s="434" t="s">
        <v>48</v>
      </c>
      <c r="DE6" s="434" t="s">
        <v>49</v>
      </c>
      <c r="DF6" s="434" t="s">
        <v>50</v>
      </c>
      <c r="DG6" s="434" t="s">
        <v>51</v>
      </c>
      <c r="DH6" s="434" t="s">
        <v>52</v>
      </c>
      <c r="DI6" s="434" t="s">
        <v>53</v>
      </c>
      <c r="DJ6" s="434" t="s">
        <v>54</v>
      </c>
      <c r="DK6" s="434" t="s">
        <v>55</v>
      </c>
      <c r="DL6" s="434" t="s">
        <v>56</v>
      </c>
      <c r="DM6" s="434" t="s">
        <v>57</v>
      </c>
      <c r="DN6" s="434" t="s">
        <v>102</v>
      </c>
      <c r="DO6" s="434" t="s">
        <v>103</v>
      </c>
      <c r="DP6" s="424" t="s">
        <v>44</v>
      </c>
      <c r="DQ6" s="424" t="s">
        <v>45</v>
      </c>
      <c r="DR6" s="424" t="s">
        <v>109</v>
      </c>
      <c r="DS6" s="394"/>
      <c r="DT6" s="394"/>
      <c r="DU6" s="394"/>
      <c r="DV6" s="424" t="s">
        <v>34</v>
      </c>
      <c r="DW6" s="424" t="s">
        <v>36</v>
      </c>
      <c r="DX6" s="424" t="s">
        <v>43</v>
      </c>
      <c r="DY6" s="394"/>
      <c r="DZ6" s="933" t="s">
        <v>1577</v>
      </c>
      <c r="EA6" s="933" t="s">
        <v>1578</v>
      </c>
      <c r="EB6" s="394"/>
      <c r="EC6" s="394"/>
      <c r="ED6" s="394"/>
    </row>
    <row r="7" spans="1:134" s="400" customFormat="1" ht="20.100000000000001" customHeight="1">
      <c r="A7" s="874" t="str">
        <f>IF(AD7="","",AD7)</f>
        <v/>
      </c>
      <c r="B7" s="876" t="str">
        <f>IF(CZ7=1,"A",IF(CI7=1,"J",IF(BR7=1,"T",IF(AE7="","",AE7))))</f>
        <v/>
      </c>
      <c r="C7" s="878" t="str">
        <f>IF(AF7="","",AF7)</f>
        <v/>
      </c>
      <c r="D7" s="463">
        <f>IF(OR(AE7="x",AE7="X"),"",V3)</f>
        <v>44473</v>
      </c>
      <c r="E7" s="1324"/>
      <c r="F7" s="1325"/>
      <c r="G7" s="1282"/>
      <c r="H7" s="1283"/>
      <c r="I7" s="464">
        <f>IF(DP7&gt;V4,V4,DP7)</f>
        <v>44470</v>
      </c>
      <c r="J7" s="436"/>
      <c r="K7" s="437"/>
      <c r="L7" s="438"/>
      <c r="M7" s="438"/>
      <c r="N7" s="435"/>
      <c r="O7" s="435"/>
      <c r="P7" s="438"/>
      <c r="Q7" s="438"/>
      <c r="R7" s="439"/>
      <c r="S7" s="872">
        <f>IF(V5-DX7&lt;0,V5,DX7)</f>
        <v>0</v>
      </c>
      <c r="T7" s="440" t="str">
        <f>IF(S7&gt;0,IF('Outline Info'!$B$8="Y",V3,DT7),"")</f>
        <v/>
      </c>
      <c r="U7" s="441"/>
      <c r="V7" s="442"/>
      <c r="W7" s="869" t="str">
        <f>IF('Outline Info'!$C$33&gt;0,ROUND(IF('Outline Info'!B8="Y",S7-AJ7-'Outline Info'!$B$14-'Outline Info'!$B$15-'Outline Info'!$B$17,IF(AL7=0,S7-AK7-SUM(AP7:AS7)-'Outline Info'!$B$14-'Outline Info'!$B$15-'Outline Info'!$B$17,0)),0),IF('Outline Info'!$T$4&lt;&gt;1,"",IF(OR(AD7="",AL7=1),"",SUM(AK$7:AK7)+SUM(AP7:AS7)+'Outline Info'!$B$14+'Outline Info'!$B$15+'Outline Info'!$B$17)))</f>
        <v/>
      </c>
      <c r="X7" s="394"/>
      <c r="Y7" s="443"/>
      <c r="Z7" s="444">
        <f>IF(AC7&lt;99999,IF(AE7="*",AH7,IF(OR(AE7="x",AE7="X",AC7&lt;10),0,IF(AND(AC7&lt;&gt;9998,AC7&lt;&gt;9997),IF(AM7=1,(AH7+$AM$5)*(1+('Outline Info'!$B$16)),IF(AN7=1,(AH7+$AN$5)*(1+('Outline Info'!$B$16)),0)),AH7))),0)</f>
        <v>0</v>
      </c>
      <c r="AA7" s="395">
        <f>Z7/'Outline Info'!$C$11+Y7</f>
        <v>0</v>
      </c>
      <c r="AB7" s="395">
        <f>ROUND(AA7/'Outline Info'!$B$11*7,0)</f>
        <v>0</v>
      </c>
      <c r="AC7" s="445">
        <f>IF($AD7&lt;&gt;"",VLOOKUP($AD7,'Course Table'!$A$2:$J$331,10,TRUE),99999)</f>
        <v>99999</v>
      </c>
      <c r="AD7" s="394"/>
      <c r="AE7" s="394"/>
      <c r="AF7" s="394"/>
      <c r="AG7" s="394"/>
      <c r="AH7" s="394"/>
      <c r="AI7" s="394">
        <v>349</v>
      </c>
      <c r="AJ7" s="394">
        <v>349</v>
      </c>
      <c r="AK7" s="394">
        <f>IF(AND(AC7&gt;6,AE7&lt;&gt;"x",AE7&lt;&gt;"X"),AJ7,IF(AE7="*",AJ7,0))</f>
        <v>349</v>
      </c>
      <c r="AL7" s="394">
        <f>IF(AND(AC7&lt;6,AE7&lt;&gt;"X",AE7&lt;&gt;"x",AE7&lt;&gt;"*"),1,0)</f>
        <v>0</v>
      </c>
      <c r="AM7" s="394">
        <f>IF(AND(AN7=1,AC7&gt;19,AC7&lt;300,AE7&lt;&gt;"*"),1,0)</f>
        <v>0</v>
      </c>
      <c r="AN7" s="394">
        <f>IF(AND(AL7=0,AE7&lt;&gt;"X",AE7&lt;&gt;"x",AC7&lt;99999),1,0)</f>
        <v>0</v>
      </c>
      <c r="AO7" s="394">
        <f>IF(AN7=1,SUMPRODUCT($AJ$7:$AJ7,$AN$7:$AN7),0)</f>
        <v>0</v>
      </c>
      <c r="AP7" s="394">
        <f>IF(OR(AND($AE7&lt;&gt;"*",$AN7=1,AX$6&lt;=$D7),$AC7=9997,$AC7=9998,$AC7&gt;99998),AT$6,0)</f>
        <v>0</v>
      </c>
      <c r="AQ7" s="394">
        <f>IF(OR(AND($AE7&lt;&gt;"*",$AN7=1,AY$6&lt;=$D7),$AC7=9997,$AC7=9998,$AC7&gt;99998),AU$6,0)</f>
        <v>0</v>
      </c>
      <c r="AR7" s="394">
        <f>IF(OR(AND($AE7&lt;&gt;"*",$AN7=1,AZ$6&lt;=$D7),$AC7=9997,$AC7=9998,$AC7&gt;99998),AV$6,0)</f>
        <v>0</v>
      </c>
      <c r="AS7" s="394">
        <f>IF(OR(AND($AE7&lt;&gt;"*",$AN7=1,BA$6&lt;=$D7),$AC7=9997,$AC7=9998,$AC7&gt;99998),AW$6,0)</f>
        <v>0</v>
      </c>
      <c r="AT7" s="394">
        <f>IF(AX7&gt;0,$AJ7,0)</f>
        <v>0</v>
      </c>
      <c r="AU7" s="394">
        <f>IF(AY7&gt;0,$AJ7,0)</f>
        <v>0</v>
      </c>
      <c r="AV7" s="394">
        <f>IF(AZ7&gt;0,$AJ7,0)</f>
        <v>0</v>
      </c>
      <c r="AW7" s="394">
        <f>IF(BA7&gt;0,$AJ7,0)</f>
        <v>0</v>
      </c>
      <c r="AX7" s="394">
        <f t="shared" ref="AX7:AX47" si="1">IF(AND($AN7=0,$AC7=1),$D7,0)</f>
        <v>0</v>
      </c>
      <c r="AY7" s="394">
        <f t="shared" ref="AY7:AY47" si="2">IF(AND($AN7=0,$AC7=2),$D7,0)</f>
        <v>0</v>
      </c>
      <c r="AZ7" s="394">
        <f t="shared" ref="AZ7:AZ47" si="3">IF(AND($AN7=0,$AC7=3),$D7,0)</f>
        <v>0</v>
      </c>
      <c r="BA7" s="394">
        <f t="shared" ref="BA7:BA47" si="4">IF(AND($AN7=0,$AC7=4),$D7,0)</f>
        <v>0</v>
      </c>
      <c r="BB7" s="405">
        <f>IF(OR(AE7="X",AE7="x"),V3,IF(AE7="*",V3+AB7-1,IF(AC7&gt;6,V3+AB7,$V$3-2+ROUND(($V$4-$V$3)/COUNTIF(A7:A10,"KBD*")*(AC7),0))))</f>
        <v>44473</v>
      </c>
      <c r="BC7" s="405">
        <f>BB7+IF(WEEKDAY(BB7)=1,1,IF(WEEKDAY(BB7)=7,2,0))+COUNTIF(ClosedDays!$B$4:$B$32,IF(WEEKDAY(BB7)=1,BB7+1,IF(WEEKDAY(BB7)=7,BB7+2,BB7)))+COUNTIF(ClosedDays!$F$4:$F$32,IF(WEEKDAY(BB7)=1,BB7+1,IF(WEEKDAY(BB7)=7,BB7+2,BB7)))+COUNTIF(ClosedDays!$J$4:$J$32,IF(WEEKDAY(BB7)=1,BB7+1,IF(WEEKDAY(BB7)=7,BB7+2,BB7)))+COUNTIF(ClosedDays!$N$4:$N$32,IF(WEEKDAY(BB7)=1,BB7+1,IF(WEEKDAY(BB7)=7,BB7+2,BB7)))</f>
        <v>44473</v>
      </c>
      <c r="BD7" s="405">
        <f>BC7+IF(WEEKDAY(BC7)=1,1,IF(WEEKDAY(BC7)=7,2,0))+COUNTIF(ClosedDays!$B$4:$B$32,IF(WEEKDAY(BC7)=1,BC7+1,IF(WEEKDAY(BC7)=7,BC7+2,BC7)))+COUNTIF(ClosedDays!$F$4:$F$32,IF(WEEKDAY(BC7)=1,BC7+1,IF(WEEKDAY(BC7)=7,BC7+2,BC7)))+COUNTIF(ClosedDays!$J$4:$J$32,IF(WEEKDAY(BC7)=1,BC7+1,IF(WEEKDAY(BC7)=7,BC7+2,BC7)))+COUNTIF(ClosedDays!$N$4:$N$32,IF(WEEKDAY(BC7)=1,BC7+1,IF(WEEKDAY(BC7)=7,BC7+2,BC7)))</f>
        <v>44473</v>
      </c>
      <c r="BE7" s="405">
        <f>BD7+IF(WEEKDAY(BD7)=1,1,IF(WEEKDAY(BD7)=7,2,0))+COUNTIF(ClosedDays!$B$4:$B$32,IF(WEEKDAY(BD7)=1,BD7+1,IF(WEEKDAY(BD7)=7,BD7+2,BD7)))+COUNTIF(ClosedDays!$F$4:$F$32,IF(WEEKDAY(BD7)=1,BD7+1,IF(WEEKDAY(BD7)=7,BD7+2,BD7)))+COUNTIF(ClosedDays!$J$4:$J$32,IF(WEEKDAY(BD7)=1,BD7+1,IF(WEEKDAY(BD7)=7,BD7+2,BD7)))+COUNTIF(ClosedDays!$N$4:$N$32,IF(WEEKDAY(BD7)=1,BD7+1,IF(WEEKDAY(BD7)=7,BD7+2,BD7)))</f>
        <v>44473</v>
      </c>
      <c r="BF7" s="405">
        <f>BE7+IF(WEEKDAY(BE7)=1,1,IF(WEEKDAY(BE7)=7,2,0))+COUNTIF(ClosedDays!$B$4:$B$32,IF(WEEKDAY(BE7)=1,BE7+1,IF(WEEKDAY(BE7)=7,BE7+2,BE7)))+COUNTIF(ClosedDays!$F$4:$F$32,IF(WEEKDAY(BE7)=1,BE7+1,IF(WEEKDAY(BE7)=7,BE7+2,BE7)))+COUNTIF(ClosedDays!$J$4:$J$32,IF(WEEKDAY(BE7)=1,BE7+1,IF(WEEKDAY(BE7)=7,BE7+2,BE7)))+COUNTIF(ClosedDays!$N$4:$N$32,IF(WEEKDAY(BE7)=1,BE7+1,IF(WEEKDAY(BE7)=7,BE7+2,BE7)))</f>
        <v>44473</v>
      </c>
      <c r="BG7" s="405">
        <f>BF7+IF(WEEKDAY(BF7)=1,1,IF(WEEKDAY(BF7)=7,2,0))+COUNTIF(ClosedDays!$B$4:$B$32,IF(WEEKDAY(BF7)=1,BF7+1,IF(WEEKDAY(BF7)=7,BF7+2,BF7)))+COUNTIF(ClosedDays!$F$4:$F$32,IF(WEEKDAY(BF7)=1,BF7+1,IF(WEEKDAY(BF7)=7,BF7+2,BF7)))+COUNTIF(ClosedDays!$J$4:$J$32,IF(WEEKDAY(BF7)=1,BF7+1,IF(WEEKDAY(BF7)=7,BF7+2,BF7)))+COUNTIF(ClosedDays!$N$4:$N$32,IF(WEEKDAY(BF7)=1,BF7+1,IF(WEEKDAY(BF7)=7,BF7+2,BF7)))</f>
        <v>44473</v>
      </c>
      <c r="BH7" s="405">
        <f>BG7+IF(WEEKDAY(BG7)=1,1,IF(WEEKDAY(BG7)=7,2,0))+COUNTIF(ClosedDays!$B$4:$B$32,IF(WEEKDAY(BG7)=1,BG7+1,IF(WEEKDAY(BG7)=7,BG7+2,BG7)))+COUNTIF(ClosedDays!$F$4:$F$32,IF(WEEKDAY(BG7)=1,BG7+1,IF(WEEKDAY(BG7)=7,BG7+2,BG7)))+COUNTIF(ClosedDays!$J$4:$J$32,IF(WEEKDAY(BG7)=1,BG7+1,IF(WEEKDAY(BG7)=7,BG7+2,BG7)))+COUNTIF(ClosedDays!$N$4:$N$32,IF(WEEKDAY(BG7)=1,BG7+1,IF(WEEKDAY(BG7)=7,BG7+2,BG7)))</f>
        <v>44473</v>
      </c>
      <c r="BI7" s="405">
        <f>BH7+IF(WEEKDAY(BH7)=1,1,IF(WEEKDAY(BH7)=7,2,0))+COUNTIF(ClosedDays!$B$4:$B$32,IF(WEEKDAY(BH7)=1,BH7+1,IF(WEEKDAY(BH7)=7,BH7+2,BH7)))+COUNTIF(ClosedDays!$F$4:$F$32,IF(WEEKDAY(BH7)=1,BH7+1,IF(WEEKDAY(BH7)=7,BH7+2,BH7)))+COUNTIF(ClosedDays!$J$4:$J$32,IF(WEEKDAY(BH7)=1,BH7+1,IF(WEEKDAY(BH7)=7,BH7+2,BH7)))+COUNTIF(ClosedDays!$N$4:$N$32,IF(WEEKDAY(BH7)=1,BH7+1,IF(WEEKDAY(BH7)=7,BH7+2,BH7)))</f>
        <v>44473</v>
      </c>
      <c r="BJ7" s="405">
        <f>BI7+IF(WEEKDAY(BI7)=1,1,IF(WEEKDAY(BI7)=7,2,0))+COUNTIF(ClosedDays!$B$4:$B$32,IF(WEEKDAY(BI7)=1,BI7+1,IF(WEEKDAY(BI7)=7,BI7+2,BI7)))+COUNTIF(ClosedDays!$F$4:$F$32,IF(WEEKDAY(BI7)=1,BI7+1,IF(WEEKDAY(BI7)=7,BI7+2,BI7)))+COUNTIF(ClosedDays!$J$4:$J$32,IF(WEEKDAY(BI7)=1,BI7+1,IF(WEEKDAY(BI7)=7,BI7+2,BI7)))+COUNTIF(ClosedDays!$N$4:$N$32,IF(WEEKDAY(BI7)=1,BI7+1,IF(WEEKDAY(BI7)=7,BI7+2,BI7)))</f>
        <v>44473</v>
      </c>
      <c r="BK7" s="405">
        <f>BJ7+IF(WEEKDAY(BJ7)=1,1,IF(WEEKDAY(BJ7)=7,2,0))+COUNTIF(ClosedDays!$B$4:$B$32,IF(WEEKDAY(BJ7)=1,BJ7+1,IF(WEEKDAY(BJ7)=7,BJ7+2,BJ7)))+COUNTIF(ClosedDays!$F$4:$F$32,IF(WEEKDAY(BJ7)=1,BJ7+1,IF(WEEKDAY(BJ7)=7,BJ7+2,BJ7)))+COUNTIF(ClosedDays!$J$4:$J$32,IF(WEEKDAY(BJ7)=1,BJ7+1,IF(WEEKDAY(BJ7)=7,BJ7+2,BJ7)))+COUNTIF(ClosedDays!$N$4:$N$32,IF(WEEKDAY(BJ7)=1,BJ7+1,IF(WEEKDAY(BJ7)=7,BJ7+2,BJ7)))</f>
        <v>44473</v>
      </c>
      <c r="BL7" s="405">
        <f>BK7+IF(WEEKDAY(BK7)=1,1,IF(WEEKDAY(BK7)=7,2,0))+COUNTIF(ClosedDays!$B$4:$B$32,IF(WEEKDAY(BK7)=1,BK7+1,IF(WEEKDAY(BK7)=7,BK7+2,BK7)))+COUNTIF(ClosedDays!$F$4:$F$32,IF(WEEKDAY(BK7)=1,BK7+1,IF(WEEKDAY(BK7)=7,BK7+2,BK7)))+COUNTIF(ClosedDays!$J$4:$J$32,IF(WEEKDAY(BK7)=1,BK7+1,IF(WEEKDAY(BK7)=7,BK7+2,BK7)))+COUNTIF(ClosedDays!$N$4:$N$32,IF(WEEKDAY(BK7)=1,BK7+1,IF(WEEKDAY(BK7)=7,BK7+2,BK7)))</f>
        <v>44473</v>
      </c>
      <c r="BM7" s="405">
        <f>BL7+IF(WEEKDAY(BL7)=1,1,IF(WEEKDAY(BL7)=7,2,0))+COUNTIF(ClosedDays!$B$4:$B$32,IF(WEEKDAY(BL7)=1,BL7+1,IF(WEEKDAY(BL7)=7,BL7+2,BL7)))+COUNTIF(ClosedDays!$F$4:$F$32,IF(WEEKDAY(BL7)=1,BL7+1,IF(WEEKDAY(BL7)=7,BL7+2,BL7)))+COUNTIF(ClosedDays!$J$4:$J$32,IF(WEEKDAY(BL7)=1,BL7+1,IF(WEEKDAY(BL7)=7,BL7+2,BL7)))+COUNTIF(ClosedDays!$N$4:$N$32,IF(WEEKDAY(BL7)=1,BL7+1,IF(WEEKDAY(BL7)=7,BL7+2,BL7)))</f>
        <v>44473</v>
      </c>
      <c r="BN7" s="405">
        <f>BM7+IF(WEEKDAY(BM7)=1,1,IF(WEEKDAY(BM7)=7,2,0))+COUNTIF(ClosedDays!$B$4:$B$32,IF(WEEKDAY(BM7)=1,BM7+1,IF(WEEKDAY(BM7)=7,BM7+2,BM7)))+COUNTIF(ClosedDays!$F$4:$F$32,IF(WEEKDAY(BM7)=1,BM7+1,IF(WEEKDAY(BM7)=7,BM7+2,BM7)))+COUNTIF(ClosedDays!$J$4:$J$32,IF(WEEKDAY(BM7)=1,BM7+1,IF(WEEKDAY(BM7)=7,BM7+2,BM7)))+COUNTIF(ClosedDays!$N$4:$N$32,IF(WEEKDAY(BM7)=1,BM7+1,IF(WEEKDAY(BM7)=7,BM7+2,BM7)))</f>
        <v>44473</v>
      </c>
      <c r="BO7" s="405">
        <f>BN7+IF(WEEKDAY(BN7)=1,1,IF(WEEKDAY(BN7)=7,2,0))+COUNTIF(ClosedDays!$B$4:$B$32,IF(WEEKDAY(BN7)=1,BN7+1,IF(WEEKDAY(BN7)=7,BN7+2,BN7)))+COUNTIF(ClosedDays!$F$4:$F$32,IF(WEEKDAY(BN7)=1,BN7+1,IF(WEEKDAY(BN7)=7,BN7+2,BN7)))+COUNTIF(ClosedDays!$J$4:$J$32,IF(WEEKDAY(BN7)=1,BN7+1,IF(WEEKDAY(BN7)=7,BN7+2,BN7)))+COUNTIF(ClosedDays!$N$4:$N$32,IF(WEEKDAY(BN7)=1,BN7+1,IF(WEEKDAY(BN7)=7,BN7+2,BN7)))</f>
        <v>44473</v>
      </c>
      <c r="BP7" s="405">
        <f>BO7+IF(WEEKDAY(BO7)=1,1,IF(WEEKDAY(BO7)=7,2,0))+COUNTIF(ClosedDays!$B$4:$B$32,IF(WEEKDAY(BO7)=1,BO7+1,IF(WEEKDAY(BO7)=7,BO7+2,BO7)))+COUNTIF(ClosedDays!$F$4:$F$32,IF(WEEKDAY(BO7)=1,BO7+1,IF(WEEKDAY(BO7)=7,BO7+2,BO7)))+COUNTIF(ClosedDays!$J$4:$J$32,IF(WEEKDAY(BO7)=1,BO7+1,IF(WEEKDAY(BO7)=7,BO7+2,BO7)))+COUNTIF(ClosedDays!$N$4:$N$32,IF(WEEKDAY(BO7)=1,BO7+1,IF(WEEKDAY(BO7)=7,BO7+2,BO7)))</f>
        <v>44473</v>
      </c>
      <c r="BQ7" s="405">
        <f>IF(WEEKDAY(BP7)=1,BP7+1,IF(WEEKDAY(BP7)=7,BP7+2,BP7))</f>
        <v>44473</v>
      </c>
      <c r="BR7" s="446">
        <f>IF(AND($D7&lt;='Outline Info'!$H$31,BQ7&gt;='Outline Info'!$H$31,$BS$4=1,$AC7&gt;10,$AC7&lt;9997),1,0)</f>
        <v>0</v>
      </c>
      <c r="BS7" s="405">
        <f>IF(BR7=1,BQ7+'Outline Info'!$I$31-'Outline Info'!$H$31+1,BQ7)</f>
        <v>44473</v>
      </c>
      <c r="BT7" s="405">
        <f>BS7+IF(WEEKDAY(BS7)=1,1,IF(WEEKDAY(BS7)=7,2,0))+COUNTIF(ClosedDays!$B$4:$B$32,IF(WEEKDAY(BS7)=1,BS7+1,IF(WEEKDAY(BS7)=7,BS7+2,BS7)))+COUNTIF(ClosedDays!$F$4:$F$32,IF(WEEKDAY(BS7)=1,BS7+1,IF(WEEKDAY(BS7)=7,BS7+2,BS7)))+COUNTIF(ClosedDays!$J$4:$J$32,IF(WEEKDAY(BS7)=1,BS7+1,IF(WEEKDAY(BS7)=7,BS7+2,BS7)))+COUNTIF(ClosedDays!$N$4:$N$32,IF(WEEKDAY(BS7)=1,BS7+1,IF(WEEKDAY(BS7)=7,BS7+2,BS7)))</f>
        <v>44473</v>
      </c>
      <c r="BU7" s="405">
        <f>BT7+IF(WEEKDAY(BT7)=1,1,IF(WEEKDAY(BT7)=7,2,0))+COUNTIF(ClosedDays!$B$4:$B$32,IF(WEEKDAY(BT7)=1,BT7+1,IF(WEEKDAY(BT7)=7,BT7+2,BT7)))+COUNTIF(ClosedDays!$F$4:$F$32,IF(WEEKDAY(BT7)=1,BT7+1,IF(WEEKDAY(BT7)=7,BT7+2,BT7)))+COUNTIF(ClosedDays!$J$4:$J$32,IF(WEEKDAY(BT7)=1,BT7+1,IF(WEEKDAY(BT7)=7,BT7+2,BT7)))+COUNTIF(ClosedDays!$N$4:$N$32,IF(WEEKDAY(BT7)=1,BT7+1,IF(WEEKDAY(BT7)=7,BT7+2,BT7)))</f>
        <v>44473</v>
      </c>
      <c r="BV7" s="405">
        <f>BU7+IF(WEEKDAY(BU7)=1,1,IF(WEEKDAY(BU7)=7,2,0))+COUNTIF(ClosedDays!$B$4:$B$32,IF(WEEKDAY(BU7)=1,BU7+1,IF(WEEKDAY(BU7)=7,BU7+2,BU7)))+COUNTIF(ClosedDays!$F$4:$F$32,IF(WEEKDAY(BU7)=1,BU7+1,IF(WEEKDAY(BU7)=7,BU7+2,BU7)))+COUNTIF(ClosedDays!$J$4:$J$32,IF(WEEKDAY(BU7)=1,BU7+1,IF(WEEKDAY(BU7)=7,BU7+2,BU7)))+COUNTIF(ClosedDays!$N$4:$N$32,IF(WEEKDAY(BU7)=1,BU7+1,IF(WEEKDAY(BU7)=7,BU7+2,BU7)))</f>
        <v>44473</v>
      </c>
      <c r="BW7" s="405">
        <f>BV7+IF(WEEKDAY(BV7)=1,1,IF(WEEKDAY(BV7)=7,2,0))+COUNTIF(ClosedDays!$B$4:$B$32,IF(WEEKDAY(BV7)=1,BV7+1,IF(WEEKDAY(BV7)=7,BV7+2,BV7)))+COUNTIF(ClosedDays!$F$4:$F$32,IF(WEEKDAY(BV7)=1,BV7+1,IF(WEEKDAY(BV7)=7,BV7+2,BV7)))+COUNTIF(ClosedDays!$J$4:$J$32,IF(WEEKDAY(BV7)=1,BV7+1,IF(WEEKDAY(BV7)=7,BV7+2,BV7)))+COUNTIF(ClosedDays!$N$4:$N$32,IF(WEEKDAY(BV7)=1,BV7+1,IF(WEEKDAY(BV7)=7,BV7+2,BV7)))</f>
        <v>44473</v>
      </c>
      <c r="BX7" s="405">
        <f>BW7+IF(WEEKDAY(BW7)=1,1,IF(WEEKDAY(BW7)=7,2,0))+COUNTIF(ClosedDays!$B$4:$B$32,IF(WEEKDAY(BW7)=1,BW7+1,IF(WEEKDAY(BW7)=7,BW7+2,BW7)))+COUNTIF(ClosedDays!$F$4:$F$32,IF(WEEKDAY(BW7)=1,BW7+1,IF(WEEKDAY(BW7)=7,BW7+2,BW7)))+COUNTIF(ClosedDays!$J$4:$J$32,IF(WEEKDAY(BW7)=1,BW7+1,IF(WEEKDAY(BW7)=7,BW7+2,BW7)))+COUNTIF(ClosedDays!$N$4:$N$32,IF(WEEKDAY(BW7)=1,BW7+1,IF(WEEKDAY(BW7)=7,BW7+2,BW7)))</f>
        <v>44473</v>
      </c>
      <c r="BY7" s="405">
        <f>BX7+IF(WEEKDAY(BX7)=1,1,IF(WEEKDAY(BX7)=7,2,0))+COUNTIF(ClosedDays!$B$4:$B$32,IF(WEEKDAY(BX7)=1,BX7+1,IF(WEEKDAY(BX7)=7,BX7+2,BX7)))+COUNTIF(ClosedDays!$F$4:$F$32,IF(WEEKDAY(BX7)=1,BX7+1,IF(WEEKDAY(BX7)=7,BX7+2,BX7)))+COUNTIF(ClosedDays!$J$4:$J$32,IF(WEEKDAY(BX7)=1,BX7+1,IF(WEEKDAY(BX7)=7,BX7+2,BX7)))+COUNTIF(ClosedDays!$N$4:$N$32,IF(WEEKDAY(BX7)=1,BX7+1,IF(WEEKDAY(BX7)=7,BX7+2,BX7)))</f>
        <v>44473</v>
      </c>
      <c r="BZ7" s="405">
        <f>BY7+IF(WEEKDAY(BY7)=1,1,IF(WEEKDAY(BY7)=7,2,0))+COUNTIF(ClosedDays!$B$4:$B$32,IF(WEEKDAY(BY7)=1,BY7+1,IF(WEEKDAY(BY7)=7,BY7+2,BY7)))+COUNTIF(ClosedDays!$F$4:$F$32,IF(WEEKDAY(BY7)=1,BY7+1,IF(WEEKDAY(BY7)=7,BY7+2,BY7)))+COUNTIF(ClosedDays!$J$4:$J$32,IF(WEEKDAY(BY7)=1,BY7+1,IF(WEEKDAY(BY7)=7,BY7+2,BY7)))+COUNTIF(ClosedDays!$N$4:$N$32,IF(WEEKDAY(BY7)=1,BY7+1,IF(WEEKDAY(BY7)=7,BY7+2,BY7)))</f>
        <v>44473</v>
      </c>
      <c r="CA7" s="405">
        <f>BZ7+IF(WEEKDAY(BZ7)=1,1,IF(WEEKDAY(BZ7)=7,2,0))+COUNTIF(ClosedDays!$B$4:$B$32,IF(WEEKDAY(BZ7)=1,BZ7+1,IF(WEEKDAY(BZ7)=7,BZ7+2,BZ7)))+COUNTIF(ClosedDays!$F$4:$F$32,IF(WEEKDAY(BZ7)=1,BZ7+1,IF(WEEKDAY(BZ7)=7,BZ7+2,BZ7)))+COUNTIF(ClosedDays!$J$4:$J$32,IF(WEEKDAY(BZ7)=1,BZ7+1,IF(WEEKDAY(BZ7)=7,BZ7+2,BZ7)))+COUNTIF(ClosedDays!$N$4:$N$32,IF(WEEKDAY(BZ7)=1,BZ7+1,IF(WEEKDAY(BZ7)=7,BZ7+2,BZ7)))</f>
        <v>44473</v>
      </c>
      <c r="CB7" s="405">
        <f>CA7+IF(WEEKDAY(CA7)=1,1,IF(WEEKDAY(CA7)=7,2,0))+COUNTIF(ClosedDays!$B$4:$B$32,IF(WEEKDAY(CA7)=1,CA7+1,IF(WEEKDAY(CA7)=7,CA7+2,CA7)))+COUNTIF(ClosedDays!$F$4:$F$32,IF(WEEKDAY(CA7)=1,CA7+1,IF(WEEKDAY(CA7)=7,CA7+2,CA7)))+COUNTIF(ClosedDays!$J$4:$J$32,IF(WEEKDAY(CA7)=1,CA7+1,IF(WEEKDAY(CA7)=7,CA7+2,CA7)))+COUNTIF(ClosedDays!$N$4:$N$32,IF(WEEKDAY(CA7)=1,CA7+1,IF(WEEKDAY(CA7)=7,CA7+2,CA7)))</f>
        <v>44473</v>
      </c>
      <c r="CC7" s="405">
        <f>CB7+IF(WEEKDAY(CB7)=1,1,IF(WEEKDAY(CB7)=7,2,0))+COUNTIF(ClosedDays!$B$4:$B$32,IF(WEEKDAY(CB7)=1,CB7+1,IF(WEEKDAY(CB7)=7,CB7+2,CB7)))+COUNTIF(ClosedDays!$F$4:$F$32,IF(WEEKDAY(CB7)=1,CB7+1,IF(WEEKDAY(CB7)=7,CB7+2,CB7)))+COUNTIF(ClosedDays!$J$4:$J$32,IF(WEEKDAY(CB7)=1,CB7+1,IF(WEEKDAY(CB7)=7,CB7+2,CB7)))+COUNTIF(ClosedDays!$N$4:$N$32,IF(WEEKDAY(CB7)=1,CB7+1,IF(WEEKDAY(CB7)=7,CB7+2,CB7)))</f>
        <v>44473</v>
      </c>
      <c r="CD7" s="405">
        <f>CC7+IF(WEEKDAY(CC7)=1,1,IF(WEEKDAY(CC7)=7,2,0))+COUNTIF(ClosedDays!$B$4:$B$32,IF(WEEKDAY(CC7)=1,CC7+1,IF(WEEKDAY(CC7)=7,CC7+2,CC7)))+COUNTIF(ClosedDays!$F$4:$F$32,IF(WEEKDAY(CC7)=1,CC7+1,IF(WEEKDAY(CC7)=7,CC7+2,CC7)))+COUNTIF(ClosedDays!$J$4:$J$32,IF(WEEKDAY(CC7)=1,CC7+1,IF(WEEKDAY(CC7)=7,CC7+2,CC7)))+COUNTIF(ClosedDays!$N$4:$N$32,IF(WEEKDAY(CC7)=1,CC7+1,IF(WEEKDAY(CC7)=7,CC7+2,CC7)))</f>
        <v>44473</v>
      </c>
      <c r="CE7" s="405">
        <f>CD7+IF(WEEKDAY(CD7)=1,1,IF(WEEKDAY(CD7)=7,2,0))+COUNTIF(ClosedDays!$B$4:$B$32,IF(WEEKDAY(CD7)=1,CD7+1,IF(WEEKDAY(CD7)=7,CD7+2,CD7)))+COUNTIF(ClosedDays!$F$4:$F$32,IF(WEEKDAY(CD7)=1,CD7+1,IF(WEEKDAY(CD7)=7,CD7+2,CD7)))+COUNTIF(ClosedDays!$J$4:$J$32,IF(WEEKDAY(CD7)=1,CD7+1,IF(WEEKDAY(CD7)=7,CD7+2,CD7)))+COUNTIF(ClosedDays!$N$4:$N$32,IF(WEEKDAY(CD7)=1,CD7+1,IF(WEEKDAY(CD7)=7,CD7+2,CD7)))</f>
        <v>44473</v>
      </c>
      <c r="CF7" s="405">
        <f>CE7+IF(WEEKDAY(CE7)=1,1,IF(WEEKDAY(CE7)=7,2,0))+COUNTIF(ClosedDays!$B$4:$B$32,IF(WEEKDAY(CE7)=1,CE7+1,IF(WEEKDAY(CE7)=7,CE7+2,CE7)))+COUNTIF(ClosedDays!$F$4:$F$32,IF(WEEKDAY(CE7)=1,CE7+1,IF(WEEKDAY(CE7)=7,CE7+2,CE7)))+COUNTIF(ClosedDays!$J$4:$J$32,IF(WEEKDAY(CE7)=1,CE7+1,IF(WEEKDAY(CE7)=7,CE7+2,CE7)))+COUNTIF(ClosedDays!$N$4:$N$32,IF(WEEKDAY(CE7)=1,CE7+1,IF(WEEKDAY(CE7)=7,CE7+2,CE7)))</f>
        <v>44473</v>
      </c>
      <c r="CG7" s="405">
        <f>CF7+IF(WEEKDAY(CF7)=1,1,IF(WEEKDAY(CF7)=7,2,0))+COUNTIF(ClosedDays!$B$4:$B$32,IF(WEEKDAY(CF7)=1,CF7+1,IF(WEEKDAY(CF7)=7,CF7+2,CF7)))+COUNTIF(ClosedDays!$F$4:$F$32,IF(WEEKDAY(CF7)=1,CF7+1,IF(WEEKDAY(CF7)=7,CF7+2,CF7)))+COUNTIF(ClosedDays!$J$4:$J$32,IF(WEEKDAY(CF7)=1,CF7+1,IF(WEEKDAY(CF7)=7,CF7+2,CF7)))+COUNTIF(ClosedDays!$N$4:$N$32,IF(WEEKDAY(CF7)=1,CF7+1,IF(WEEKDAY(CF7)=7,CF7+2,CF7)))</f>
        <v>44473</v>
      </c>
      <c r="CH7" s="405">
        <f>IF(WEEKDAY(CG7)=1,CG7+1,IF(WEEKDAY(CG7)=7,CG7+2,CG7))</f>
        <v>44473</v>
      </c>
      <c r="CI7" s="446">
        <f>IF(AND($D7&lt;='Outline Info'!$H$33,CH7&gt;='Outline Info'!$H$33,$CJ$4=1,$AC7&gt;10,$AC7&lt;9997),1,0)</f>
        <v>0</v>
      </c>
      <c r="CJ7" s="405">
        <f>IF(CI7=1,CH7+'Outline Info'!$I$33-'Outline Info'!$H$33+1,CH7)</f>
        <v>44473</v>
      </c>
      <c r="CK7" s="405">
        <f>CJ7+IF(WEEKDAY(CJ7)=1,1,IF(WEEKDAY(CJ7)=7,2,0))+COUNTIF(ClosedDays!$B$4:$B$32,IF(WEEKDAY(CJ7)=1,CJ7+1,IF(WEEKDAY(CJ7)=7,CJ7+2,CJ7)))+COUNTIF(ClosedDays!$F$4:$F$32,IF(WEEKDAY(CJ7)=1,CJ7+1,IF(WEEKDAY(CJ7)=7,CJ7+2,CJ7)))+COUNTIF(ClosedDays!$J$4:$J$32,IF(WEEKDAY(CJ7)=1,CJ7+1,IF(WEEKDAY(CJ7)=7,CJ7+2,CJ7)))+COUNTIF(ClosedDays!$N$4:$N$32,IF(WEEKDAY(CJ7)=1,CJ7+1,IF(WEEKDAY(CJ7)=7,CJ7+2,CJ7)))</f>
        <v>44473</v>
      </c>
      <c r="CL7" s="405">
        <f>CK7+IF(WEEKDAY(CK7)=1,1,IF(WEEKDAY(CK7)=7,2,0))+COUNTIF(ClosedDays!$B$4:$B$32,IF(WEEKDAY(CK7)=1,CK7+1,IF(WEEKDAY(CK7)=7,CK7+2,CK7)))+COUNTIF(ClosedDays!$F$4:$F$32,IF(WEEKDAY(CK7)=1,CK7+1,IF(WEEKDAY(CK7)=7,CK7+2,CK7)))+COUNTIF(ClosedDays!$J$4:$J$32,IF(WEEKDAY(CK7)=1,CK7+1,IF(WEEKDAY(CK7)=7,CK7+2,CK7)))+COUNTIF(ClosedDays!$N$4:$N$32,IF(WEEKDAY(CK7)=1,CK7+1,IF(WEEKDAY(CK7)=7,CK7+2,CK7)))</f>
        <v>44473</v>
      </c>
      <c r="CM7" s="405">
        <f>CL7+IF(WEEKDAY(CL7)=1,1,IF(WEEKDAY(CL7)=7,2,0))+COUNTIF(ClosedDays!$B$4:$B$32,IF(WEEKDAY(CL7)=1,CL7+1,IF(WEEKDAY(CL7)=7,CL7+2,CL7)))+COUNTIF(ClosedDays!$F$4:$F$32,IF(WEEKDAY(CL7)=1,CL7+1,IF(WEEKDAY(CL7)=7,CL7+2,CL7)))+COUNTIF(ClosedDays!$J$4:$J$32,IF(WEEKDAY(CL7)=1,CL7+1,IF(WEEKDAY(CL7)=7,CL7+2,CL7)))+COUNTIF(ClosedDays!$N$4:$N$32,IF(WEEKDAY(CL7)=1,CL7+1,IF(WEEKDAY(CL7)=7,CL7+2,CL7)))</f>
        <v>44473</v>
      </c>
      <c r="CN7" s="405">
        <f>CM7+IF(WEEKDAY(CM7)=1,1,IF(WEEKDAY(CM7)=7,2,0))+COUNTIF(ClosedDays!$B$4:$B$32,IF(WEEKDAY(CM7)=1,CM7+1,IF(WEEKDAY(CM7)=7,CM7+2,CM7)))+COUNTIF(ClosedDays!$F$4:$F$32,IF(WEEKDAY(CM7)=1,CM7+1,IF(WEEKDAY(CM7)=7,CM7+2,CM7)))+COUNTIF(ClosedDays!$J$4:$J$32,IF(WEEKDAY(CM7)=1,CM7+1,IF(WEEKDAY(CM7)=7,CM7+2,CM7)))+COUNTIF(ClosedDays!$N$4:$N$32,IF(WEEKDAY(CM7)=1,CM7+1,IF(WEEKDAY(CM7)=7,CM7+2,CM7)))</f>
        <v>44473</v>
      </c>
      <c r="CO7" s="405">
        <f>CN7+IF(WEEKDAY(CN7)=1,1,IF(WEEKDAY(CN7)=7,2,0))+COUNTIF(ClosedDays!$B$4:$B$32,IF(WEEKDAY(CN7)=1,CN7+1,IF(WEEKDAY(CN7)=7,CN7+2,CN7)))+COUNTIF(ClosedDays!$F$4:$F$32,IF(WEEKDAY(CN7)=1,CN7+1,IF(WEEKDAY(CN7)=7,CN7+2,CN7)))+COUNTIF(ClosedDays!$J$4:$J$32,IF(WEEKDAY(CN7)=1,CN7+1,IF(WEEKDAY(CN7)=7,CN7+2,CN7)))+COUNTIF(ClosedDays!$N$4:$N$32,IF(WEEKDAY(CN7)=1,CN7+1,IF(WEEKDAY(CN7)=7,CN7+2,CN7)))</f>
        <v>44473</v>
      </c>
      <c r="CP7" s="405">
        <f>CO7+IF(WEEKDAY(CO7)=1,1,IF(WEEKDAY(CO7)=7,2,0))+COUNTIF(ClosedDays!$B$4:$B$32,IF(WEEKDAY(CO7)=1,CO7+1,IF(WEEKDAY(CO7)=7,CO7+2,CO7)))+COUNTIF(ClosedDays!$F$4:$F$32,IF(WEEKDAY(CO7)=1,CO7+1,IF(WEEKDAY(CO7)=7,CO7+2,CO7)))+COUNTIF(ClosedDays!$J$4:$J$32,IF(WEEKDAY(CO7)=1,CO7+1,IF(WEEKDAY(CO7)=7,CO7+2,CO7)))+COUNTIF(ClosedDays!$N$4:$N$32,IF(WEEKDAY(CO7)=1,CO7+1,IF(WEEKDAY(CO7)=7,CO7+2,CO7)))</f>
        <v>44473</v>
      </c>
      <c r="CQ7" s="405">
        <f>CP7+IF(WEEKDAY(CP7)=1,1,IF(WEEKDAY(CP7)=7,2,0))+COUNTIF(ClosedDays!$B$4:$B$32,IF(WEEKDAY(CP7)=1,CP7+1,IF(WEEKDAY(CP7)=7,CP7+2,CP7)))+COUNTIF(ClosedDays!$F$4:$F$32,IF(WEEKDAY(CP7)=1,CP7+1,IF(WEEKDAY(CP7)=7,CP7+2,CP7)))+COUNTIF(ClosedDays!$J$4:$J$32,IF(WEEKDAY(CP7)=1,CP7+1,IF(WEEKDAY(CP7)=7,CP7+2,CP7)))+COUNTIF(ClosedDays!$N$4:$N$32,IF(WEEKDAY(CP7)=1,CP7+1,IF(WEEKDAY(CP7)=7,CP7+2,CP7)))</f>
        <v>44473</v>
      </c>
      <c r="CR7" s="405">
        <f>CQ7+IF(WEEKDAY(CQ7)=1,1,IF(WEEKDAY(CQ7)=7,2,0))+COUNTIF(ClosedDays!$B$4:$B$32,IF(WEEKDAY(CQ7)=1,CQ7+1,IF(WEEKDAY(CQ7)=7,CQ7+2,CQ7)))+COUNTIF(ClosedDays!$F$4:$F$32,IF(WEEKDAY(CQ7)=1,CQ7+1,IF(WEEKDAY(CQ7)=7,CQ7+2,CQ7)))+COUNTIF(ClosedDays!$J$4:$J$32,IF(WEEKDAY(CQ7)=1,CQ7+1,IF(WEEKDAY(CQ7)=7,CQ7+2,CQ7)))+COUNTIF(ClosedDays!$N$4:$N$32,IF(WEEKDAY(CQ7)=1,CQ7+1,IF(WEEKDAY(CQ7)=7,CQ7+2,CQ7)))</f>
        <v>44473</v>
      </c>
      <c r="CS7" s="405">
        <f>CR7+IF(WEEKDAY(CR7)=1,1,IF(WEEKDAY(CR7)=7,2,0))+COUNTIF(ClosedDays!$B$4:$B$32,IF(WEEKDAY(CR7)=1,CR7+1,IF(WEEKDAY(CR7)=7,CR7+2,CR7)))+COUNTIF(ClosedDays!$F$4:$F$32,IF(WEEKDAY(CR7)=1,CR7+1,IF(WEEKDAY(CR7)=7,CR7+2,CR7)))+COUNTIF(ClosedDays!$J$4:$J$32,IF(WEEKDAY(CR7)=1,CR7+1,IF(WEEKDAY(CR7)=7,CR7+2,CR7)))+COUNTIF(ClosedDays!$N$4:$N$32,IF(WEEKDAY(CR7)=1,CR7+1,IF(WEEKDAY(CR7)=7,CR7+2,CR7)))</f>
        <v>44473</v>
      </c>
      <c r="CT7" s="405">
        <f>CS7+IF(WEEKDAY(CS7)=1,1,IF(WEEKDAY(CS7)=7,2,0))+COUNTIF(ClosedDays!$B$4:$B$32,IF(WEEKDAY(CS7)=1,CS7+1,IF(WEEKDAY(CS7)=7,CS7+2,CS7)))+COUNTIF(ClosedDays!$F$4:$F$32,IF(WEEKDAY(CS7)=1,CS7+1,IF(WEEKDAY(CS7)=7,CS7+2,CS7)))+COUNTIF(ClosedDays!$J$4:$J$32,IF(WEEKDAY(CS7)=1,CS7+1,IF(WEEKDAY(CS7)=7,CS7+2,CS7)))+COUNTIF(ClosedDays!$N$4:$N$32,IF(WEEKDAY(CS7)=1,CS7+1,IF(WEEKDAY(CS7)=7,CS7+2,CS7)))</f>
        <v>44473</v>
      </c>
      <c r="CU7" s="405">
        <f>CT7+IF(WEEKDAY(CT7)=1,1,IF(WEEKDAY(CT7)=7,2,0))+COUNTIF(ClosedDays!$B$4:$B$32,IF(WEEKDAY(CT7)=1,CT7+1,IF(WEEKDAY(CT7)=7,CT7+2,CT7)))+COUNTIF(ClosedDays!$F$4:$F$32,IF(WEEKDAY(CT7)=1,CT7+1,IF(WEEKDAY(CT7)=7,CT7+2,CT7)))+COUNTIF(ClosedDays!$J$4:$J$32,IF(WEEKDAY(CT7)=1,CT7+1,IF(WEEKDAY(CT7)=7,CT7+2,CT7)))+COUNTIF(ClosedDays!$N$4:$N$32,IF(WEEKDAY(CT7)=1,CT7+1,IF(WEEKDAY(CT7)=7,CT7+2,CT7)))</f>
        <v>44473</v>
      </c>
      <c r="CV7" s="405">
        <f>CU7+IF(WEEKDAY(CU7)=1,1,IF(WEEKDAY(CU7)=7,2,0))+COUNTIF(ClosedDays!$B$4:$B$32,IF(WEEKDAY(CU7)=1,CU7+1,IF(WEEKDAY(CU7)=7,CU7+2,CU7)))+COUNTIF(ClosedDays!$F$4:$F$32,IF(WEEKDAY(CU7)=1,CU7+1,IF(WEEKDAY(CU7)=7,CU7+2,CU7)))+COUNTIF(ClosedDays!$J$4:$J$32,IF(WEEKDAY(CU7)=1,CU7+1,IF(WEEKDAY(CU7)=7,CU7+2,CU7)))+COUNTIF(ClosedDays!$N$4:$N$32,IF(WEEKDAY(CU7)=1,CU7+1,IF(WEEKDAY(CU7)=7,CU7+2,CU7)))</f>
        <v>44473</v>
      </c>
      <c r="CW7" s="405">
        <f>CV7+IF(WEEKDAY(CV7)=1,1,IF(WEEKDAY(CV7)=7,2,0))+COUNTIF(ClosedDays!$B$4:$B$32,IF(WEEKDAY(CV7)=1,CV7+1,IF(WEEKDAY(CV7)=7,CV7+2,CV7)))+COUNTIF(ClosedDays!$F$4:$F$32,IF(WEEKDAY(CV7)=1,CV7+1,IF(WEEKDAY(CV7)=7,CV7+2,CV7)))+COUNTIF(ClosedDays!$J$4:$J$32,IF(WEEKDAY(CV7)=1,CV7+1,IF(WEEKDAY(CV7)=7,CV7+2,CV7)))+COUNTIF(ClosedDays!$N$4:$N$32,IF(WEEKDAY(CV7)=1,CV7+1,IF(WEEKDAY(CV7)=7,CV7+2,CV7)))</f>
        <v>44473</v>
      </c>
      <c r="CX7" s="405">
        <f>CW7+IF(WEEKDAY(CW7)=1,1,IF(WEEKDAY(CW7)=7,2,0))+COUNTIF(ClosedDays!$B$4:$B$32,IF(WEEKDAY(CW7)=1,CW7+1,IF(WEEKDAY(CW7)=7,CW7+2,CW7)))+COUNTIF(ClosedDays!$F$4:$F$32,IF(WEEKDAY(CW7)=1,CW7+1,IF(WEEKDAY(CW7)=7,CW7+2,CW7)))+COUNTIF(ClosedDays!$J$4:$J$32,IF(WEEKDAY(CW7)=1,CW7+1,IF(WEEKDAY(CW7)=7,CW7+2,CW7)))+COUNTIF(ClosedDays!$N$4:$N$32,IF(WEEKDAY(CW7)=1,CW7+1,IF(WEEKDAY(CW7)=7,CW7+2,CW7)))</f>
        <v>44473</v>
      </c>
      <c r="CY7" s="405">
        <f>IF(WEEKDAY(CX7)=1,CX7+1,IF(WEEKDAY(CX7)=7,CX7+2,CX7))</f>
        <v>44473</v>
      </c>
      <c r="CZ7" s="446">
        <f>IF(AND($D7&lt;='Outline Info'!$E$33,CY7&gt;='Outline Info'!$E$33,$AC7&gt;10,$AC7&lt;9997),1,0)</f>
        <v>0</v>
      </c>
      <c r="DA7" s="405">
        <f>IF(AND($D7&lt;='Outline Info'!$E$33,CY7&gt;='Outline Info'!$E$33),CY7+'Outline Info'!$F$33-'Outline Info'!$E$33+1,CY7)</f>
        <v>44473</v>
      </c>
      <c r="DB7" s="405">
        <f>DA7+IF(WEEKDAY(DA7)=1,1,IF(WEEKDAY(DA7)=7,2,0))+COUNTIF(ClosedDays!$B$4:$B$32,IF(WEEKDAY(DA7)=1,DA7+1,IF(WEEKDAY(DA7)=7,DA7+2,DA7)))+COUNTIF(ClosedDays!$F$4:$F$32,IF(WEEKDAY(DA7)=1,DA7+1,IF(WEEKDAY(DA7)=7,DA7+2,DA7)))+COUNTIF(ClosedDays!$J$4:$J$32,IF(WEEKDAY(DA7)=1,DA7+1,IF(WEEKDAY(DA7)=7,DA7+2,DA7)))+COUNTIF(ClosedDays!$N$4:$N$32,IF(WEEKDAY(DA7)=1,DA7+1,IF(WEEKDAY(DA7)=7,DA7+2,DA7)))</f>
        <v>44473</v>
      </c>
      <c r="DC7" s="405">
        <f>DB7+IF(WEEKDAY(DB7)=1,1,IF(WEEKDAY(DB7)=7,2,0))+COUNTIF(ClosedDays!$B$4:$B$32,IF(WEEKDAY(DB7)=1,DB7+1,IF(WEEKDAY(DB7)=7,DB7+2,DB7)))+COUNTIF(ClosedDays!$F$4:$F$32,IF(WEEKDAY(DB7)=1,DB7+1,IF(WEEKDAY(DB7)=7,DB7+2,DB7)))+COUNTIF(ClosedDays!$J$4:$J$32,IF(WEEKDAY(DB7)=1,DB7+1,IF(WEEKDAY(DB7)=7,DB7+2,DB7)))+COUNTIF(ClosedDays!$N$4:$N$32,IF(WEEKDAY(DB7)=1,DB7+1,IF(WEEKDAY(DB7)=7,DB7+2,DB7)))</f>
        <v>44473</v>
      </c>
      <c r="DD7" s="405">
        <f>DC7+IF(WEEKDAY(DC7)=1,1,IF(WEEKDAY(DC7)=7,2,0))+COUNTIF(ClosedDays!$B$4:$B$32,IF(WEEKDAY(DC7)=1,DC7+1,IF(WEEKDAY(DC7)=7,DC7+2,DC7)))+COUNTIF(ClosedDays!$F$4:$F$32,IF(WEEKDAY(DC7)=1,DC7+1,IF(WEEKDAY(DC7)=7,DC7+2,DC7)))+COUNTIF(ClosedDays!$J$4:$J$32,IF(WEEKDAY(DC7)=1,DC7+1,IF(WEEKDAY(DC7)=7,DC7+2,DC7)))+COUNTIF(ClosedDays!$N$4:$N$32,IF(WEEKDAY(DC7)=1,DC7+1,IF(WEEKDAY(DC7)=7,DC7+2,DC7)))</f>
        <v>44473</v>
      </c>
      <c r="DE7" s="405">
        <f>DD7+IF(WEEKDAY(DD7)=1,1,IF(WEEKDAY(DD7)=7,2,0))+COUNTIF(ClosedDays!$B$4:$B$32,IF(WEEKDAY(DD7)=1,DD7+1,IF(WEEKDAY(DD7)=7,DD7+2,DD7)))+COUNTIF(ClosedDays!$F$4:$F$32,IF(WEEKDAY(DD7)=1,DD7+1,IF(WEEKDAY(DD7)=7,DD7+2,DD7)))+COUNTIF(ClosedDays!$J$4:$J$32,IF(WEEKDAY(DD7)=1,DD7+1,IF(WEEKDAY(DD7)=7,DD7+2,DD7)))+COUNTIF(ClosedDays!$N$4:$N$32,IF(WEEKDAY(DD7)=1,DD7+1,IF(WEEKDAY(DD7)=7,DD7+2,DD7)))</f>
        <v>44473</v>
      </c>
      <c r="DF7" s="405">
        <f>DE7+IF(WEEKDAY(DE7)=1,1,IF(WEEKDAY(DE7)=7,2,0))+COUNTIF(ClosedDays!$B$4:$B$32,IF(WEEKDAY(DE7)=1,DE7+1,IF(WEEKDAY(DE7)=7,DE7+2,DE7)))+COUNTIF(ClosedDays!$F$4:$F$32,IF(WEEKDAY(DE7)=1,DE7+1,IF(WEEKDAY(DE7)=7,DE7+2,DE7)))+COUNTIF(ClosedDays!$J$4:$J$32,IF(WEEKDAY(DE7)=1,DE7+1,IF(WEEKDAY(DE7)=7,DE7+2,DE7)))+COUNTIF(ClosedDays!$N$4:$N$32,IF(WEEKDAY(DE7)=1,DE7+1,IF(WEEKDAY(DE7)=7,DE7+2,DE7)))</f>
        <v>44473</v>
      </c>
      <c r="DG7" s="405">
        <f>DF7+IF(WEEKDAY(DF7)=1,1,IF(WEEKDAY(DF7)=7,2,0))+COUNTIF(ClosedDays!$B$4:$B$32,IF(WEEKDAY(DF7)=1,DF7+1,IF(WEEKDAY(DF7)=7,DF7+2,DF7)))+COUNTIF(ClosedDays!$F$4:$F$32,IF(WEEKDAY(DF7)=1,DF7+1,IF(WEEKDAY(DF7)=7,DF7+2,DF7)))+COUNTIF(ClosedDays!$J$4:$J$32,IF(WEEKDAY(DF7)=1,DF7+1,IF(WEEKDAY(DF7)=7,DF7+2,DF7)))+COUNTIF(ClosedDays!$N$4:$N$32,IF(WEEKDAY(DF7)=1,DF7+1,IF(WEEKDAY(DF7)=7,DF7+2,DF7)))</f>
        <v>44473</v>
      </c>
      <c r="DH7" s="405">
        <f>DG7+IF(WEEKDAY(DG7)=1,1,IF(WEEKDAY(DG7)=7,2,0))+COUNTIF(ClosedDays!$B$4:$B$32,IF(WEEKDAY(DG7)=1,DG7+1,IF(WEEKDAY(DG7)=7,DG7+2,DG7)))+COUNTIF(ClosedDays!$F$4:$F$32,IF(WEEKDAY(DG7)=1,DG7+1,IF(WEEKDAY(DG7)=7,DG7+2,DG7)))+COUNTIF(ClosedDays!$J$4:$J$32,IF(WEEKDAY(DG7)=1,DG7+1,IF(WEEKDAY(DG7)=7,DG7+2,DG7)))+COUNTIF(ClosedDays!$N$4:$N$32,IF(WEEKDAY(DG7)=1,DG7+1,IF(WEEKDAY(DG7)=7,DG7+2,DG7)))</f>
        <v>44473</v>
      </c>
      <c r="DI7" s="405">
        <f>DH7+IF(WEEKDAY(DH7)=1,1,IF(WEEKDAY(DH7)=7,2,0))+COUNTIF(ClosedDays!$B$4:$B$32,IF(WEEKDAY(DH7)=1,DH7+1,IF(WEEKDAY(DH7)=7,DH7+2,DH7)))+COUNTIF(ClosedDays!$F$4:$F$32,IF(WEEKDAY(DH7)=1,DH7+1,IF(WEEKDAY(DH7)=7,DH7+2,DH7)))+COUNTIF(ClosedDays!$J$4:$J$32,IF(WEEKDAY(DH7)=1,DH7+1,IF(WEEKDAY(DH7)=7,DH7+2,DH7)))+COUNTIF(ClosedDays!$N$4:$N$32,IF(WEEKDAY(DH7)=1,DH7+1,IF(WEEKDAY(DH7)=7,DH7+2,DH7)))</f>
        <v>44473</v>
      </c>
      <c r="DJ7" s="405">
        <f>DI7+IF(WEEKDAY(DI7)=1,1,IF(WEEKDAY(DI7)=7,2,0))+COUNTIF(ClosedDays!$B$4:$B$32,IF(WEEKDAY(DI7)=1,DI7+1,IF(WEEKDAY(DI7)=7,DI7+2,DI7)))+COUNTIF(ClosedDays!$F$4:$F$32,IF(WEEKDAY(DI7)=1,DI7+1,IF(WEEKDAY(DI7)=7,DI7+2,DI7)))+COUNTIF(ClosedDays!$J$4:$J$32,IF(WEEKDAY(DI7)=1,DI7+1,IF(WEEKDAY(DI7)=7,DI7+2,DI7)))+COUNTIF(ClosedDays!$N$4:$N$32,IF(WEEKDAY(DI7)=1,DI7+1,IF(WEEKDAY(DI7)=7,DI7+2,DI7)))</f>
        <v>44473</v>
      </c>
      <c r="DK7" s="405">
        <f>DJ7+IF(WEEKDAY(DJ7)=1,1,IF(WEEKDAY(DJ7)=7,2,0))+COUNTIF(ClosedDays!$B$4:$B$32,IF(WEEKDAY(DJ7)=1,DJ7+1,IF(WEEKDAY(DJ7)=7,DJ7+2,DJ7)))+COUNTIF(ClosedDays!$F$4:$F$32,IF(WEEKDAY(DJ7)=1,DJ7+1,IF(WEEKDAY(DJ7)=7,DJ7+2,DJ7)))+COUNTIF(ClosedDays!$J$4:$J$32,IF(WEEKDAY(DJ7)=1,DJ7+1,IF(WEEKDAY(DJ7)=7,DJ7+2,DJ7)))+COUNTIF(ClosedDays!$N$4:$N$32,IF(WEEKDAY(DJ7)=1,DJ7+1,IF(WEEKDAY(DJ7)=7,DJ7+2,DJ7)))</f>
        <v>44473</v>
      </c>
      <c r="DL7" s="405">
        <f>DK7+IF(WEEKDAY(DK7)=1,1,IF(WEEKDAY(DK7)=7,2,0))+COUNTIF(ClosedDays!$B$4:$B$32,IF(WEEKDAY(DK7)=1,DK7+1,IF(WEEKDAY(DK7)=7,DK7+2,DK7)))+COUNTIF(ClosedDays!$F$4:$F$32,IF(WEEKDAY(DK7)=1,DK7+1,IF(WEEKDAY(DK7)=7,DK7+2,DK7)))+COUNTIF(ClosedDays!$J$4:$J$32,IF(WEEKDAY(DK7)=1,DK7+1,IF(WEEKDAY(DK7)=7,DK7+2,DK7)))+COUNTIF(ClosedDays!$N$4:$N$32,IF(WEEKDAY(DK7)=1,DK7+1,IF(WEEKDAY(DK7)=7,DK7+2,DK7)))</f>
        <v>44473</v>
      </c>
      <c r="DM7" s="405">
        <f>DL7+IF(WEEKDAY(DL7)=1,1,IF(WEEKDAY(DL7)=7,2,0))+COUNTIF(ClosedDays!$B$4:$B$32,IF(WEEKDAY(DL7)=1,DL7+1,IF(WEEKDAY(DL7)=7,DL7+2,DL7)))+COUNTIF(ClosedDays!$F$4:$F$32,IF(WEEKDAY(DL7)=1,DL7+1,IF(WEEKDAY(DL7)=7,DL7+2,DL7)))+COUNTIF(ClosedDays!$J$4:$J$32,IF(WEEKDAY(DL7)=1,DL7+1,IF(WEEKDAY(DL7)=7,DL7+2,DL7)))+COUNTIF(ClosedDays!$N$4:$N$32,IF(WEEKDAY(DL7)=1,DL7+1,IF(WEEKDAY(DL7)=7,DL7+2,DL7)))</f>
        <v>44473</v>
      </c>
      <c r="DN7" s="405">
        <f>DM7+IF(WEEKDAY(DM7)=1,1,IF(WEEKDAY(DM7)=7,2,0))+COUNTIF(ClosedDays!$B$4:$B$32,IF(WEEKDAY(DM7)=1,DM7+1,IF(WEEKDAY(DM7)=7,DM7+2,DM7)))+COUNTIF(ClosedDays!$F$4:$F$32,IF(WEEKDAY(DM7)=1,DM7+1,IF(WEEKDAY(DM7)=7,DM7+2,DM7)))+COUNTIF(ClosedDays!$J$4:$J$32,IF(WEEKDAY(DM7)=1,DM7+1,IF(WEEKDAY(DM7)=7,DM7+2,DM7)))+COUNTIF(ClosedDays!$N$4:$N$32,IF(WEEKDAY(DM7)=1,DM7+1,IF(WEEKDAY(DM7)=7,DM7+2,DM7)))</f>
        <v>44473</v>
      </c>
      <c r="DO7" s="405">
        <f>DN7+IF(WEEKDAY(DN7)=1,1,IF(WEEKDAY(DN7)=7,2,0))+COUNTIF(ClosedDays!$B$4:$B$32,IF(WEEKDAY(DN7)=1,DN7+1,IF(WEEKDAY(DN7)=7,DN7+2,DN7)))+COUNTIF(ClosedDays!$F$4:$F$32,IF(WEEKDAY(DN7)=1,DN7+1,IF(WEEKDAY(DN7)=7,DN7+2,DN7)))+COUNTIF(ClosedDays!$J$4:$J$32,IF(WEEKDAY(DN7)=1,DN7+1,IF(WEEKDAY(DN7)=7,DN7+2,DN7)))+COUNTIF(ClosedDays!$N$4:$N$32,IF(WEEKDAY(DN7)=1,DN7+1,IF(WEEKDAY(DN7)=7,DN7+2,DN7)))</f>
        <v>44473</v>
      </c>
      <c r="DP7" s="405">
        <f t="shared" ref="DP7:DP20" si="5">IF(NOT(ISBLANK(EA7)),EA7,IF(WEEKDAY(DO7)=1,DO7+1,IF(WEEKDAY(DO7)=7,DO7+2,DO7)))</f>
        <v>44473</v>
      </c>
      <c r="DQ7" s="405">
        <f>IF(OR(AE7="*",AE7="X",AE7="x",AC7&gt;6),DP7,$V$3)</f>
        <v>44473</v>
      </c>
      <c r="DR7" s="394">
        <f>IF(OR(AE7="*",AC7&gt;6),1,0)</f>
        <v>1</v>
      </c>
      <c r="DS7" s="394">
        <f>IF(AND(DR7=1,VLOOKUP(1,'Outline Info'!$A$21:$C$32,2)&lt;=I7),1,0)</f>
        <v>1</v>
      </c>
      <c r="DT7" s="405" t="str">
        <f>IF(DS7=1,IF(VLOOKUP(COUNTIF(DS$7:DS7,1),'Outline Info'!$A$21:$C$32,2)=0,"",VLOOKUP(COUNTIF(DS$7:DS7,1),'Outline Info'!$A$21:$C$32,2)),"")</f>
        <v/>
      </c>
      <c r="DU7" s="447">
        <f>IF(DS7=1,VLOOKUP(COUNTIF(DS$7:DS7,1),'Outline Info'!$A$21:$C$32,3),0)</f>
        <v>0</v>
      </c>
      <c r="DV7" s="445">
        <f>IF('Outline Info'!$B$8="Y",IF(B7="*",'Outline Info'!$B$19+'Outline Info'!$C$21,IF(OR($A7="",B7="X",B7="x"),'Outline Info'!$C$21,VLOOKUP($A7,'Course Table'!$A$2:$J$331,4,TRUE)+'Outline Info'!$C$21)),0)</f>
        <v>0</v>
      </c>
      <c r="DW7" s="447">
        <f t="shared" ref="DW7:DW47" si="6">DU7</f>
        <v>0</v>
      </c>
      <c r="DX7" s="447">
        <f>IF('Outline Info'!$B$8="Y",$DV7+$DW7,$DW7)</f>
        <v>0</v>
      </c>
      <c r="DY7" s="394"/>
      <c r="DZ7" s="934"/>
      <c r="EA7" s="934"/>
      <c r="EB7" s="394"/>
      <c r="EC7" s="394"/>
      <c r="ED7" s="394"/>
    </row>
    <row r="8" spans="1:134" s="400" customFormat="1" ht="20.100000000000001" customHeight="1">
      <c r="A8" s="874" t="str">
        <f t="shared" ref="A8:A41" si="7">IF(AD8="","",AD8)</f>
        <v/>
      </c>
      <c r="B8" s="876" t="str">
        <f t="shared" ref="B8:B41" si="8">IF(CZ8=1,"A",IF(CI8=1,"J",IF(BR8=1,"T",IF(AE8="","",AE8))))</f>
        <v/>
      </c>
      <c r="C8" s="878" t="str">
        <f t="shared" ref="C8:C41" si="9">IF(AF8="","",AF8)</f>
        <v/>
      </c>
      <c r="D8" s="463">
        <f>IF(NOT(ISBLANK(DZ8)),DZ8,IF(AND($AC8=9998,'Outline Info'!$H$33&gt;='Outline Info'!$B$6,'Outline Info'!$H$33&lt;='Outline Info'!$C$6),'Outline Info'!$H$33,IF(AND($AC8=9997,'Outline Info'!$H$31&gt;='Outline Info'!$B$6,'Outline Info'!$H$31&lt;='Outline Info'!$C$6),'Outline Info'!$H$31,IF(AE8="*",DQ7,IF(OR(AE8="x",AE8="X"),I7,IF(AND(AC8&gt;6,AC7&lt;6),DQ7,IF(AND($AC8=9998,$AC7=9997),I6,I7)))))))</f>
        <v>44470</v>
      </c>
      <c r="E8" s="1286"/>
      <c r="F8" s="1287"/>
      <c r="G8" s="1282"/>
      <c r="H8" s="1283"/>
      <c r="I8" s="464">
        <f>IF(AND($AC8=9998,'Outline Info'!$I$33&gt;='Outline Info'!$B$6,'Outline Info'!$I$33&lt;='Outline Info'!$C$6),'Outline Info'!$I$33,IF(AND($AC8=9997,'Outline Info'!$I$31&gt;='Outline Info'!$B$6,'Outline Info'!$I$31&lt;='Outline Info'!$C$6),'Outline Info'!$I$31,IF(DP8&gt;$V$4,$V$4,DP8)))</f>
        <v>44470</v>
      </c>
      <c r="J8" s="436"/>
      <c r="K8" s="437"/>
      <c r="L8" s="438"/>
      <c r="M8" s="438"/>
      <c r="N8" s="435"/>
      <c r="O8" s="435"/>
      <c r="P8" s="438"/>
      <c r="Q8" s="438"/>
      <c r="R8" s="439"/>
      <c r="S8" s="872">
        <f>IF($V$5-SUM($DX$7:$DX8)&lt;0,IF($V$5-SUM($DX$7:$DX7)&lt;0,0,$V$5-SUM($DX$7:$DX7)),DX8)</f>
        <v>0</v>
      </c>
      <c r="T8" s="440" t="str">
        <f>IF(S8&gt;0,IF('Outline Info'!$B$8="Y",D8,DT8),"")</f>
        <v/>
      </c>
      <c r="U8" s="441"/>
      <c r="V8" s="442"/>
      <c r="W8" s="870" t="str">
        <f>IF('Outline Info'!$C$33&gt;0,ROUND(IF('Outline Info'!$B$8="Y",SUM(S$7:S8)-SUM(AJ$7:AJ8)-'Outline Info'!$B$14-'Outline Info'!$B$15-'Outline Info'!$B$17,IF(AL8=0,SUM(S$7:S8)-SUM(AK$7:AK8)-SUM(AP8:AS8)-'Outline Info'!$B$14-'Outline Info'!$B$15-'Outline Info'!$B$17,0)),0),IF('Outline Info'!$T$4&lt;&gt;1,"",IF(OR(AD8="",AL8=1),"",SUM(AK$7:AK8)+SUM(AP8:AS8)+'Outline Info'!$B$14+'Outline Info'!$B$15+'Outline Info'!$B$17)))</f>
        <v/>
      </c>
      <c r="X8" s="448"/>
      <c r="Y8" s="443">
        <f>IF(OR(AE8="X",AE8="x",AE8="*",AC8=99999),0,IF(AC8&lt;50,0,IF($S$4-SUM($Y$7:$Y7)&gt;0,1,0)))</f>
        <v>0</v>
      </c>
      <c r="Z8" s="444">
        <f>IF(AC8&lt;99999,IF(AE8="*",AH8,IF(OR(AE8="x",AE8="X",AC8&lt;10),0,IF(AND(AC8&lt;&gt;9998,AC8&lt;&gt;9997),IF(AM8=1,(AH8+$AM$5)*(1+('Outline Info'!$B$16)),IF(AN8=1,(AH8+$AN$5)*(1+('Outline Info'!$B$16)),0)),AH8))),0)</f>
        <v>0</v>
      </c>
      <c r="AA8" s="395">
        <f>Z8/'Outline Info'!$C$11+Y8</f>
        <v>0</v>
      </c>
      <c r="AB8" s="395">
        <f>ROUND(AA8/'Outline Info'!$B$11*7,0)</f>
        <v>0</v>
      </c>
      <c r="AC8" s="445">
        <f>IF($AD8&lt;&gt;"",VLOOKUP($AD8,'Course Table'!$A$2:$J$331,10,TRUE),99999)</f>
        <v>99999</v>
      </c>
      <c r="AD8" s="394"/>
      <c r="AE8" s="394"/>
      <c r="AF8" s="394"/>
      <c r="AG8" s="394"/>
      <c r="AH8" s="394"/>
      <c r="AI8" s="394">
        <v>389</v>
      </c>
      <c r="AJ8" s="394">
        <v>389</v>
      </c>
      <c r="AK8" s="394">
        <f t="shared" ref="AK8:AK47" si="10">IF(AND(AC8&gt;6,AE8&lt;&gt;"x",AE8&lt;&gt;"X"),AJ8,IF(AE8="*",AJ8,0))</f>
        <v>389</v>
      </c>
      <c r="AL8" s="394">
        <f t="shared" ref="AL8:AL47" si="11">IF(AND(AC8&lt;6,AE8&lt;&gt;"X",AE8&lt;&gt;"x",AE8&lt;&gt;"*"),1,0)</f>
        <v>0</v>
      </c>
      <c r="AM8" s="394">
        <f t="shared" ref="AM8:AM47" si="12">IF(AND(AN8=1,AC8&gt;19,AC8&lt;300,AE8&lt;&gt;"*"),1,0)</f>
        <v>0</v>
      </c>
      <c r="AN8" s="394">
        <f t="shared" ref="AN8:AN47" si="13">IF(AND(AL8=0,AE8&lt;&gt;"X",AE8&lt;&gt;"x",AC8&lt;99999),1,0)</f>
        <v>0</v>
      </c>
      <c r="AO8" s="394">
        <f>IF(AN8=1,SUMPRODUCT($AJ$7:$AJ8,$AN$7:$AN8),0)</f>
        <v>0</v>
      </c>
      <c r="AP8" s="394">
        <f t="shared" ref="AP8:AS47" si="14">IF(OR(AND($AE8&lt;&gt;"*",$AN8=1,AX$6&lt;=$D8),$AC8=9997,$AC8=9998,$AC8&gt;99998),AT$6,0)</f>
        <v>0</v>
      </c>
      <c r="AQ8" s="394">
        <f t="shared" si="14"/>
        <v>0</v>
      </c>
      <c r="AR8" s="394">
        <f t="shared" si="14"/>
        <v>0</v>
      </c>
      <c r="AS8" s="394">
        <f t="shared" si="14"/>
        <v>0</v>
      </c>
      <c r="AT8" s="394">
        <f t="shared" ref="AT8:AW47" si="15">IF(AX8&gt;0,$AJ8,0)</f>
        <v>0</v>
      </c>
      <c r="AU8" s="394">
        <f t="shared" si="15"/>
        <v>0</v>
      </c>
      <c r="AV8" s="394">
        <f t="shared" si="15"/>
        <v>0</v>
      </c>
      <c r="AW8" s="394">
        <f t="shared" si="15"/>
        <v>0</v>
      </c>
      <c r="AX8" s="394">
        <f t="shared" si="1"/>
        <v>0</v>
      </c>
      <c r="AY8" s="394">
        <f t="shared" si="2"/>
        <v>0</v>
      </c>
      <c r="AZ8" s="394">
        <f t="shared" si="3"/>
        <v>0</v>
      </c>
      <c r="BA8" s="394">
        <f t="shared" si="4"/>
        <v>0</v>
      </c>
      <c r="BB8" s="405">
        <f>IF(OR(AE8="X",AE8="x"),I7,IF(AE8="*",I7+AB8,IF(AC8&gt;6,DQ7+AB8,$V$3-2+ROUND(($V$4-$V$3)/COUNTIF(A7:A10,"KBD*")*(AC8),0))))</f>
        <v>44473</v>
      </c>
      <c r="BC8" s="405">
        <f>BB8+IF(WEEKDAY(BB8)=1,1,IF(WEEKDAY(BB8)=7,2,0))+COUNTIF(ClosedDays!$B$4:$B$32,IF(WEEKDAY(BB8)=1,BB8+1,IF(WEEKDAY(BB8)=7,BB8+2,BB8)))+COUNTIF(ClosedDays!$F$4:$F$32,IF(WEEKDAY(BB8)=1,BB8+1,IF(WEEKDAY(BB8)=7,BB8+2,BB8)))+COUNTIF(ClosedDays!$J$4:$J$32,IF(WEEKDAY(BB8)=1,BB8+1,IF(WEEKDAY(BB8)=7,BB8+2,BB8)))+COUNTIF(ClosedDays!$N$4:$N$32,IF(WEEKDAY(BB8)=1,BB8+1,IF(WEEKDAY(BB8)=7,BB8+2,BB8)))</f>
        <v>44473</v>
      </c>
      <c r="BD8" s="405">
        <f>BC8+IF(WEEKDAY(BC8)=1,1,IF(WEEKDAY(BC8)=7,2,0))+COUNTIF(ClosedDays!$B$4:$B$32,IF(WEEKDAY(BC8)=1,BC8+1,IF(WEEKDAY(BC8)=7,BC8+2,BC8)))+COUNTIF(ClosedDays!$F$4:$F$32,IF(WEEKDAY(BC8)=1,BC8+1,IF(WEEKDAY(BC8)=7,BC8+2,BC8)))+COUNTIF(ClosedDays!$J$4:$J$32,IF(WEEKDAY(BC8)=1,BC8+1,IF(WEEKDAY(BC8)=7,BC8+2,BC8)))+COUNTIF(ClosedDays!$N$4:$N$32,IF(WEEKDAY(BC8)=1,BC8+1,IF(WEEKDAY(BC8)=7,BC8+2,BC8)))</f>
        <v>44473</v>
      </c>
      <c r="BE8" s="405">
        <f>BD8+IF(WEEKDAY(BD8)=1,1,IF(WEEKDAY(BD8)=7,2,0))+COUNTIF(ClosedDays!$B$4:$B$32,IF(WEEKDAY(BD8)=1,BD8+1,IF(WEEKDAY(BD8)=7,BD8+2,BD8)))+COUNTIF(ClosedDays!$F$4:$F$32,IF(WEEKDAY(BD8)=1,BD8+1,IF(WEEKDAY(BD8)=7,BD8+2,BD8)))+COUNTIF(ClosedDays!$J$4:$J$32,IF(WEEKDAY(BD8)=1,BD8+1,IF(WEEKDAY(BD8)=7,BD8+2,BD8)))+COUNTIF(ClosedDays!$N$4:$N$32,IF(WEEKDAY(BD8)=1,BD8+1,IF(WEEKDAY(BD8)=7,BD8+2,BD8)))</f>
        <v>44473</v>
      </c>
      <c r="BF8" s="405">
        <f>BE8+IF(WEEKDAY(BE8)=1,1,IF(WEEKDAY(BE8)=7,2,0))+COUNTIF(ClosedDays!$B$4:$B$32,IF(WEEKDAY(BE8)=1,BE8+1,IF(WEEKDAY(BE8)=7,BE8+2,BE8)))+COUNTIF(ClosedDays!$F$4:$F$32,IF(WEEKDAY(BE8)=1,BE8+1,IF(WEEKDAY(BE8)=7,BE8+2,BE8)))+COUNTIF(ClosedDays!$J$4:$J$32,IF(WEEKDAY(BE8)=1,BE8+1,IF(WEEKDAY(BE8)=7,BE8+2,BE8)))+COUNTIF(ClosedDays!$N$4:$N$32,IF(WEEKDAY(BE8)=1,BE8+1,IF(WEEKDAY(BE8)=7,BE8+2,BE8)))</f>
        <v>44473</v>
      </c>
      <c r="BG8" s="405">
        <f>BF8+IF(WEEKDAY(BF8)=1,1,IF(WEEKDAY(BF8)=7,2,0))+COUNTIF(ClosedDays!$B$4:$B$32,IF(WEEKDAY(BF8)=1,BF8+1,IF(WEEKDAY(BF8)=7,BF8+2,BF8)))+COUNTIF(ClosedDays!$F$4:$F$32,IF(WEEKDAY(BF8)=1,BF8+1,IF(WEEKDAY(BF8)=7,BF8+2,BF8)))+COUNTIF(ClosedDays!$J$4:$J$32,IF(WEEKDAY(BF8)=1,BF8+1,IF(WEEKDAY(BF8)=7,BF8+2,BF8)))+COUNTIF(ClosedDays!$N$4:$N$32,IF(WEEKDAY(BF8)=1,BF8+1,IF(WEEKDAY(BF8)=7,BF8+2,BF8)))</f>
        <v>44473</v>
      </c>
      <c r="BH8" s="405">
        <f>BG8+IF(WEEKDAY(BG8)=1,1,IF(WEEKDAY(BG8)=7,2,0))+COUNTIF(ClosedDays!$B$4:$B$32,IF(WEEKDAY(BG8)=1,BG8+1,IF(WEEKDAY(BG8)=7,BG8+2,BG8)))+COUNTIF(ClosedDays!$F$4:$F$32,IF(WEEKDAY(BG8)=1,BG8+1,IF(WEEKDAY(BG8)=7,BG8+2,BG8)))+COUNTIF(ClosedDays!$J$4:$J$32,IF(WEEKDAY(BG8)=1,BG8+1,IF(WEEKDAY(BG8)=7,BG8+2,BG8)))+COUNTIF(ClosedDays!$N$4:$N$32,IF(WEEKDAY(BG8)=1,BG8+1,IF(WEEKDAY(BG8)=7,BG8+2,BG8)))</f>
        <v>44473</v>
      </c>
      <c r="BI8" s="405">
        <f>BH8+IF(WEEKDAY(BH8)=1,1,IF(WEEKDAY(BH8)=7,2,0))+COUNTIF(ClosedDays!$B$4:$B$32,IF(WEEKDAY(BH8)=1,BH8+1,IF(WEEKDAY(BH8)=7,BH8+2,BH8)))+COUNTIF(ClosedDays!$F$4:$F$32,IF(WEEKDAY(BH8)=1,BH8+1,IF(WEEKDAY(BH8)=7,BH8+2,BH8)))+COUNTIF(ClosedDays!$J$4:$J$32,IF(WEEKDAY(BH8)=1,BH8+1,IF(WEEKDAY(BH8)=7,BH8+2,BH8)))+COUNTIF(ClosedDays!$N$4:$N$32,IF(WEEKDAY(BH8)=1,BH8+1,IF(WEEKDAY(BH8)=7,BH8+2,BH8)))</f>
        <v>44473</v>
      </c>
      <c r="BJ8" s="405">
        <f>BI8+IF(WEEKDAY(BI8)=1,1,IF(WEEKDAY(BI8)=7,2,0))+COUNTIF(ClosedDays!$B$4:$B$32,IF(WEEKDAY(BI8)=1,BI8+1,IF(WEEKDAY(BI8)=7,BI8+2,BI8)))+COUNTIF(ClosedDays!$F$4:$F$32,IF(WEEKDAY(BI8)=1,BI8+1,IF(WEEKDAY(BI8)=7,BI8+2,BI8)))+COUNTIF(ClosedDays!$J$4:$J$32,IF(WEEKDAY(BI8)=1,BI8+1,IF(WEEKDAY(BI8)=7,BI8+2,BI8)))+COUNTIF(ClosedDays!$N$4:$N$32,IF(WEEKDAY(BI8)=1,BI8+1,IF(WEEKDAY(BI8)=7,BI8+2,BI8)))</f>
        <v>44473</v>
      </c>
      <c r="BK8" s="405">
        <f>BJ8+IF(WEEKDAY(BJ8)=1,1,IF(WEEKDAY(BJ8)=7,2,0))+COUNTIF(ClosedDays!$B$4:$B$32,IF(WEEKDAY(BJ8)=1,BJ8+1,IF(WEEKDAY(BJ8)=7,BJ8+2,BJ8)))+COUNTIF(ClosedDays!$F$4:$F$32,IF(WEEKDAY(BJ8)=1,BJ8+1,IF(WEEKDAY(BJ8)=7,BJ8+2,BJ8)))+COUNTIF(ClosedDays!$J$4:$J$32,IF(WEEKDAY(BJ8)=1,BJ8+1,IF(WEEKDAY(BJ8)=7,BJ8+2,BJ8)))+COUNTIF(ClosedDays!$N$4:$N$32,IF(WEEKDAY(BJ8)=1,BJ8+1,IF(WEEKDAY(BJ8)=7,BJ8+2,BJ8)))</f>
        <v>44473</v>
      </c>
      <c r="BL8" s="405">
        <f>BK8+IF(WEEKDAY(BK8)=1,1,IF(WEEKDAY(BK8)=7,2,0))+COUNTIF(ClosedDays!$B$4:$B$32,IF(WEEKDAY(BK8)=1,BK8+1,IF(WEEKDAY(BK8)=7,BK8+2,BK8)))+COUNTIF(ClosedDays!$F$4:$F$32,IF(WEEKDAY(BK8)=1,BK8+1,IF(WEEKDAY(BK8)=7,BK8+2,BK8)))+COUNTIF(ClosedDays!$J$4:$J$32,IF(WEEKDAY(BK8)=1,BK8+1,IF(WEEKDAY(BK8)=7,BK8+2,BK8)))+COUNTIF(ClosedDays!$N$4:$N$32,IF(WEEKDAY(BK8)=1,BK8+1,IF(WEEKDAY(BK8)=7,BK8+2,BK8)))</f>
        <v>44473</v>
      </c>
      <c r="BM8" s="405">
        <f>BL8+IF(WEEKDAY(BL8)=1,1,IF(WEEKDAY(BL8)=7,2,0))+COUNTIF(ClosedDays!$B$4:$B$32,IF(WEEKDAY(BL8)=1,BL8+1,IF(WEEKDAY(BL8)=7,BL8+2,BL8)))+COUNTIF(ClosedDays!$F$4:$F$32,IF(WEEKDAY(BL8)=1,BL8+1,IF(WEEKDAY(BL8)=7,BL8+2,BL8)))+COUNTIF(ClosedDays!$J$4:$J$32,IF(WEEKDAY(BL8)=1,BL8+1,IF(WEEKDAY(BL8)=7,BL8+2,BL8)))+COUNTIF(ClosedDays!$N$4:$N$32,IF(WEEKDAY(BL8)=1,BL8+1,IF(WEEKDAY(BL8)=7,BL8+2,BL8)))</f>
        <v>44473</v>
      </c>
      <c r="BN8" s="405">
        <f>BM8+IF(WEEKDAY(BM8)=1,1,IF(WEEKDAY(BM8)=7,2,0))+COUNTIF(ClosedDays!$B$4:$B$32,IF(WEEKDAY(BM8)=1,BM8+1,IF(WEEKDAY(BM8)=7,BM8+2,BM8)))+COUNTIF(ClosedDays!$F$4:$F$32,IF(WEEKDAY(BM8)=1,BM8+1,IF(WEEKDAY(BM8)=7,BM8+2,BM8)))+COUNTIF(ClosedDays!$J$4:$J$32,IF(WEEKDAY(BM8)=1,BM8+1,IF(WEEKDAY(BM8)=7,BM8+2,BM8)))+COUNTIF(ClosedDays!$N$4:$N$32,IF(WEEKDAY(BM8)=1,BM8+1,IF(WEEKDAY(BM8)=7,BM8+2,BM8)))</f>
        <v>44473</v>
      </c>
      <c r="BO8" s="405">
        <f>BN8+IF(WEEKDAY(BN8)=1,1,IF(WEEKDAY(BN8)=7,2,0))+COUNTIF(ClosedDays!$B$4:$B$32,IF(WEEKDAY(BN8)=1,BN8+1,IF(WEEKDAY(BN8)=7,BN8+2,BN8)))+COUNTIF(ClosedDays!$F$4:$F$32,IF(WEEKDAY(BN8)=1,BN8+1,IF(WEEKDAY(BN8)=7,BN8+2,BN8)))+COUNTIF(ClosedDays!$J$4:$J$32,IF(WEEKDAY(BN8)=1,BN8+1,IF(WEEKDAY(BN8)=7,BN8+2,BN8)))+COUNTIF(ClosedDays!$N$4:$N$32,IF(WEEKDAY(BN8)=1,BN8+1,IF(WEEKDAY(BN8)=7,BN8+2,BN8)))</f>
        <v>44473</v>
      </c>
      <c r="BP8" s="405">
        <f>BO8+IF(WEEKDAY(BO8)=1,1,IF(WEEKDAY(BO8)=7,2,0))+COUNTIF(ClosedDays!$B$4:$B$32,IF(WEEKDAY(BO8)=1,BO8+1,IF(WEEKDAY(BO8)=7,BO8+2,BO8)))+COUNTIF(ClosedDays!$F$4:$F$32,IF(WEEKDAY(BO8)=1,BO8+1,IF(WEEKDAY(BO8)=7,BO8+2,BO8)))+COUNTIF(ClosedDays!$J$4:$J$32,IF(WEEKDAY(BO8)=1,BO8+1,IF(WEEKDAY(BO8)=7,BO8+2,BO8)))+COUNTIF(ClosedDays!$N$4:$N$32,IF(WEEKDAY(BO8)=1,BO8+1,IF(WEEKDAY(BO8)=7,BO8+2,BO8)))</f>
        <v>44473</v>
      </c>
      <c r="BQ8" s="405">
        <f t="shared" ref="BQ8:BQ47" si="16">IF(WEEKDAY(BP8)=1,BP8+1,IF(WEEKDAY(BP8)=7,BP8+2,BP8))</f>
        <v>44473</v>
      </c>
      <c r="BR8" s="446">
        <f>IF(AND($D8&lt;='Outline Info'!$H$31,BQ8&gt;='Outline Info'!$H$31,$BS$4=1,$AC8&gt;10,$AC8&lt;9997),1,0)</f>
        <v>0</v>
      </c>
      <c r="BS8" s="405">
        <f>IF(BR8=1,BQ8+'Outline Info'!$I$31-'Outline Info'!$H$31+1,BQ8)</f>
        <v>44473</v>
      </c>
      <c r="BT8" s="405">
        <f>BS8+IF(WEEKDAY(BS8)=1,1,IF(WEEKDAY(BS8)=7,2,0))+COUNTIF(ClosedDays!$B$4:$B$32,IF(WEEKDAY(BS8)=1,BS8+1,IF(WEEKDAY(BS8)=7,BS8+2,BS8)))+COUNTIF(ClosedDays!$F$4:$F$32,IF(WEEKDAY(BS8)=1,BS8+1,IF(WEEKDAY(BS8)=7,BS8+2,BS8)))+COUNTIF(ClosedDays!$J$4:$J$32,IF(WEEKDAY(BS8)=1,BS8+1,IF(WEEKDAY(BS8)=7,BS8+2,BS8)))+COUNTIF(ClosedDays!$N$4:$N$32,IF(WEEKDAY(BS8)=1,BS8+1,IF(WEEKDAY(BS8)=7,BS8+2,BS8)))</f>
        <v>44473</v>
      </c>
      <c r="BU8" s="405">
        <f>BT8+IF(WEEKDAY(BT8)=1,1,IF(WEEKDAY(BT8)=7,2,0))+COUNTIF(ClosedDays!$B$4:$B$32,IF(WEEKDAY(BT8)=1,BT8+1,IF(WEEKDAY(BT8)=7,BT8+2,BT8)))+COUNTIF(ClosedDays!$F$4:$F$32,IF(WEEKDAY(BT8)=1,BT8+1,IF(WEEKDAY(BT8)=7,BT8+2,BT8)))+COUNTIF(ClosedDays!$J$4:$J$32,IF(WEEKDAY(BT8)=1,BT8+1,IF(WEEKDAY(BT8)=7,BT8+2,BT8)))+COUNTIF(ClosedDays!$N$4:$N$32,IF(WEEKDAY(BT8)=1,BT8+1,IF(WEEKDAY(BT8)=7,BT8+2,BT8)))</f>
        <v>44473</v>
      </c>
      <c r="BV8" s="405">
        <f>BU8+IF(WEEKDAY(BU8)=1,1,IF(WEEKDAY(BU8)=7,2,0))+COUNTIF(ClosedDays!$B$4:$B$32,IF(WEEKDAY(BU8)=1,BU8+1,IF(WEEKDAY(BU8)=7,BU8+2,BU8)))+COUNTIF(ClosedDays!$F$4:$F$32,IF(WEEKDAY(BU8)=1,BU8+1,IF(WEEKDAY(BU8)=7,BU8+2,BU8)))+COUNTIF(ClosedDays!$J$4:$J$32,IF(WEEKDAY(BU8)=1,BU8+1,IF(WEEKDAY(BU8)=7,BU8+2,BU8)))+COUNTIF(ClosedDays!$N$4:$N$32,IF(WEEKDAY(BU8)=1,BU8+1,IF(WEEKDAY(BU8)=7,BU8+2,BU8)))</f>
        <v>44473</v>
      </c>
      <c r="BW8" s="405">
        <f>BV8+IF(WEEKDAY(BV8)=1,1,IF(WEEKDAY(BV8)=7,2,0))+COUNTIF(ClosedDays!$B$4:$B$32,IF(WEEKDAY(BV8)=1,BV8+1,IF(WEEKDAY(BV8)=7,BV8+2,BV8)))+COUNTIF(ClosedDays!$F$4:$F$32,IF(WEEKDAY(BV8)=1,BV8+1,IF(WEEKDAY(BV8)=7,BV8+2,BV8)))+COUNTIF(ClosedDays!$J$4:$J$32,IF(WEEKDAY(BV8)=1,BV8+1,IF(WEEKDAY(BV8)=7,BV8+2,BV8)))+COUNTIF(ClosedDays!$N$4:$N$32,IF(WEEKDAY(BV8)=1,BV8+1,IF(WEEKDAY(BV8)=7,BV8+2,BV8)))</f>
        <v>44473</v>
      </c>
      <c r="BX8" s="405">
        <f>BW8+IF(WEEKDAY(BW8)=1,1,IF(WEEKDAY(BW8)=7,2,0))+COUNTIF(ClosedDays!$B$4:$B$32,IF(WEEKDAY(BW8)=1,BW8+1,IF(WEEKDAY(BW8)=7,BW8+2,BW8)))+COUNTIF(ClosedDays!$F$4:$F$32,IF(WEEKDAY(BW8)=1,BW8+1,IF(WEEKDAY(BW8)=7,BW8+2,BW8)))+COUNTIF(ClosedDays!$J$4:$J$32,IF(WEEKDAY(BW8)=1,BW8+1,IF(WEEKDAY(BW8)=7,BW8+2,BW8)))+COUNTIF(ClosedDays!$N$4:$N$32,IF(WEEKDAY(BW8)=1,BW8+1,IF(WEEKDAY(BW8)=7,BW8+2,BW8)))</f>
        <v>44473</v>
      </c>
      <c r="BY8" s="405">
        <f>BX8+IF(WEEKDAY(BX8)=1,1,IF(WEEKDAY(BX8)=7,2,0))+COUNTIF(ClosedDays!$B$4:$B$32,IF(WEEKDAY(BX8)=1,BX8+1,IF(WEEKDAY(BX8)=7,BX8+2,BX8)))+COUNTIF(ClosedDays!$F$4:$F$32,IF(WEEKDAY(BX8)=1,BX8+1,IF(WEEKDAY(BX8)=7,BX8+2,BX8)))+COUNTIF(ClosedDays!$J$4:$J$32,IF(WEEKDAY(BX8)=1,BX8+1,IF(WEEKDAY(BX8)=7,BX8+2,BX8)))+COUNTIF(ClosedDays!$N$4:$N$32,IF(WEEKDAY(BX8)=1,BX8+1,IF(WEEKDAY(BX8)=7,BX8+2,BX8)))</f>
        <v>44473</v>
      </c>
      <c r="BZ8" s="405">
        <f>BY8+IF(WEEKDAY(BY8)=1,1,IF(WEEKDAY(BY8)=7,2,0))+COUNTIF(ClosedDays!$B$4:$B$32,IF(WEEKDAY(BY8)=1,BY8+1,IF(WEEKDAY(BY8)=7,BY8+2,BY8)))+COUNTIF(ClosedDays!$F$4:$F$32,IF(WEEKDAY(BY8)=1,BY8+1,IF(WEEKDAY(BY8)=7,BY8+2,BY8)))+COUNTIF(ClosedDays!$J$4:$J$32,IF(WEEKDAY(BY8)=1,BY8+1,IF(WEEKDAY(BY8)=7,BY8+2,BY8)))+COUNTIF(ClosedDays!$N$4:$N$32,IF(WEEKDAY(BY8)=1,BY8+1,IF(WEEKDAY(BY8)=7,BY8+2,BY8)))</f>
        <v>44473</v>
      </c>
      <c r="CA8" s="405">
        <f>BZ8+IF(WEEKDAY(BZ8)=1,1,IF(WEEKDAY(BZ8)=7,2,0))+COUNTIF(ClosedDays!$B$4:$B$32,IF(WEEKDAY(BZ8)=1,BZ8+1,IF(WEEKDAY(BZ8)=7,BZ8+2,BZ8)))+COUNTIF(ClosedDays!$F$4:$F$32,IF(WEEKDAY(BZ8)=1,BZ8+1,IF(WEEKDAY(BZ8)=7,BZ8+2,BZ8)))+COUNTIF(ClosedDays!$J$4:$J$32,IF(WEEKDAY(BZ8)=1,BZ8+1,IF(WEEKDAY(BZ8)=7,BZ8+2,BZ8)))+COUNTIF(ClosedDays!$N$4:$N$32,IF(WEEKDAY(BZ8)=1,BZ8+1,IF(WEEKDAY(BZ8)=7,BZ8+2,BZ8)))</f>
        <v>44473</v>
      </c>
      <c r="CB8" s="405">
        <f>CA8+IF(WEEKDAY(CA8)=1,1,IF(WEEKDAY(CA8)=7,2,0))+COUNTIF(ClosedDays!$B$4:$B$32,IF(WEEKDAY(CA8)=1,CA8+1,IF(WEEKDAY(CA8)=7,CA8+2,CA8)))+COUNTIF(ClosedDays!$F$4:$F$32,IF(WEEKDAY(CA8)=1,CA8+1,IF(WEEKDAY(CA8)=7,CA8+2,CA8)))+COUNTIF(ClosedDays!$J$4:$J$32,IF(WEEKDAY(CA8)=1,CA8+1,IF(WEEKDAY(CA8)=7,CA8+2,CA8)))+COUNTIF(ClosedDays!$N$4:$N$32,IF(WEEKDAY(CA8)=1,CA8+1,IF(WEEKDAY(CA8)=7,CA8+2,CA8)))</f>
        <v>44473</v>
      </c>
      <c r="CC8" s="405">
        <f>CB8+IF(WEEKDAY(CB8)=1,1,IF(WEEKDAY(CB8)=7,2,0))+COUNTIF(ClosedDays!$B$4:$B$32,IF(WEEKDAY(CB8)=1,CB8+1,IF(WEEKDAY(CB8)=7,CB8+2,CB8)))+COUNTIF(ClosedDays!$F$4:$F$32,IF(WEEKDAY(CB8)=1,CB8+1,IF(WEEKDAY(CB8)=7,CB8+2,CB8)))+COUNTIF(ClosedDays!$J$4:$J$32,IF(WEEKDAY(CB8)=1,CB8+1,IF(WEEKDAY(CB8)=7,CB8+2,CB8)))+COUNTIF(ClosedDays!$N$4:$N$32,IF(WEEKDAY(CB8)=1,CB8+1,IF(WEEKDAY(CB8)=7,CB8+2,CB8)))</f>
        <v>44473</v>
      </c>
      <c r="CD8" s="405">
        <f>CC8+IF(WEEKDAY(CC8)=1,1,IF(WEEKDAY(CC8)=7,2,0))+COUNTIF(ClosedDays!$B$4:$B$32,IF(WEEKDAY(CC8)=1,CC8+1,IF(WEEKDAY(CC8)=7,CC8+2,CC8)))+COUNTIF(ClosedDays!$F$4:$F$32,IF(WEEKDAY(CC8)=1,CC8+1,IF(WEEKDAY(CC8)=7,CC8+2,CC8)))+COUNTIF(ClosedDays!$J$4:$J$32,IF(WEEKDAY(CC8)=1,CC8+1,IF(WEEKDAY(CC8)=7,CC8+2,CC8)))+COUNTIF(ClosedDays!$N$4:$N$32,IF(WEEKDAY(CC8)=1,CC8+1,IF(WEEKDAY(CC8)=7,CC8+2,CC8)))</f>
        <v>44473</v>
      </c>
      <c r="CE8" s="405">
        <f>CD8+IF(WEEKDAY(CD8)=1,1,IF(WEEKDAY(CD8)=7,2,0))+COUNTIF(ClosedDays!$B$4:$B$32,IF(WEEKDAY(CD8)=1,CD8+1,IF(WEEKDAY(CD8)=7,CD8+2,CD8)))+COUNTIF(ClosedDays!$F$4:$F$32,IF(WEEKDAY(CD8)=1,CD8+1,IF(WEEKDAY(CD8)=7,CD8+2,CD8)))+COUNTIF(ClosedDays!$J$4:$J$32,IF(WEEKDAY(CD8)=1,CD8+1,IF(WEEKDAY(CD8)=7,CD8+2,CD8)))+COUNTIF(ClosedDays!$N$4:$N$32,IF(WEEKDAY(CD8)=1,CD8+1,IF(WEEKDAY(CD8)=7,CD8+2,CD8)))</f>
        <v>44473</v>
      </c>
      <c r="CF8" s="405">
        <f>CE8+IF(WEEKDAY(CE8)=1,1,IF(WEEKDAY(CE8)=7,2,0))+COUNTIF(ClosedDays!$B$4:$B$32,IF(WEEKDAY(CE8)=1,CE8+1,IF(WEEKDAY(CE8)=7,CE8+2,CE8)))+COUNTIF(ClosedDays!$F$4:$F$32,IF(WEEKDAY(CE8)=1,CE8+1,IF(WEEKDAY(CE8)=7,CE8+2,CE8)))+COUNTIF(ClosedDays!$J$4:$J$32,IF(WEEKDAY(CE8)=1,CE8+1,IF(WEEKDAY(CE8)=7,CE8+2,CE8)))+COUNTIF(ClosedDays!$N$4:$N$32,IF(WEEKDAY(CE8)=1,CE8+1,IF(WEEKDAY(CE8)=7,CE8+2,CE8)))</f>
        <v>44473</v>
      </c>
      <c r="CG8" s="405">
        <f>CF8+IF(WEEKDAY(CF8)=1,1,IF(WEEKDAY(CF8)=7,2,0))+COUNTIF(ClosedDays!$B$4:$B$32,IF(WEEKDAY(CF8)=1,CF8+1,IF(WEEKDAY(CF8)=7,CF8+2,CF8)))+COUNTIF(ClosedDays!$F$4:$F$32,IF(WEEKDAY(CF8)=1,CF8+1,IF(WEEKDAY(CF8)=7,CF8+2,CF8)))+COUNTIF(ClosedDays!$J$4:$J$32,IF(WEEKDAY(CF8)=1,CF8+1,IF(WEEKDAY(CF8)=7,CF8+2,CF8)))+COUNTIF(ClosedDays!$N$4:$N$32,IF(WEEKDAY(CF8)=1,CF8+1,IF(WEEKDAY(CF8)=7,CF8+2,CF8)))</f>
        <v>44473</v>
      </c>
      <c r="CH8" s="405">
        <f t="shared" ref="CH8:CH47" si="17">IF(WEEKDAY(CG8)=1,CG8+1,IF(WEEKDAY(CG8)=7,CG8+2,CG8))</f>
        <v>44473</v>
      </c>
      <c r="CI8" s="446">
        <f>IF(AND($D8&lt;='Outline Info'!$H$33,CH8&gt;='Outline Info'!$H$33,$CJ$4=1,$AC8&gt;10,$AC8&lt;9997),1,0)</f>
        <v>0</v>
      </c>
      <c r="CJ8" s="405">
        <f>IF(CI8=1,CH8+'Outline Info'!$I$33-'Outline Info'!$H$33+1,CH8)</f>
        <v>44473</v>
      </c>
      <c r="CK8" s="405">
        <f>CJ8+IF(WEEKDAY(CJ8)=1,1,IF(WEEKDAY(CJ8)=7,2,0))+COUNTIF(ClosedDays!$B$4:$B$32,IF(WEEKDAY(CJ8)=1,CJ8+1,IF(WEEKDAY(CJ8)=7,CJ8+2,CJ8)))+COUNTIF(ClosedDays!$F$4:$F$32,IF(WEEKDAY(CJ8)=1,CJ8+1,IF(WEEKDAY(CJ8)=7,CJ8+2,CJ8)))+COUNTIF(ClosedDays!$J$4:$J$32,IF(WEEKDAY(CJ8)=1,CJ8+1,IF(WEEKDAY(CJ8)=7,CJ8+2,CJ8)))+COUNTIF(ClosedDays!$N$4:$N$32,IF(WEEKDAY(CJ8)=1,CJ8+1,IF(WEEKDAY(CJ8)=7,CJ8+2,CJ8)))</f>
        <v>44473</v>
      </c>
      <c r="CL8" s="405">
        <f>CK8+IF(WEEKDAY(CK8)=1,1,IF(WEEKDAY(CK8)=7,2,0))+COUNTIF(ClosedDays!$B$4:$B$32,IF(WEEKDAY(CK8)=1,CK8+1,IF(WEEKDAY(CK8)=7,CK8+2,CK8)))+COUNTIF(ClosedDays!$F$4:$F$32,IF(WEEKDAY(CK8)=1,CK8+1,IF(WEEKDAY(CK8)=7,CK8+2,CK8)))+COUNTIF(ClosedDays!$J$4:$J$32,IF(WEEKDAY(CK8)=1,CK8+1,IF(WEEKDAY(CK8)=7,CK8+2,CK8)))+COUNTIF(ClosedDays!$N$4:$N$32,IF(WEEKDAY(CK8)=1,CK8+1,IF(WEEKDAY(CK8)=7,CK8+2,CK8)))</f>
        <v>44473</v>
      </c>
      <c r="CM8" s="405">
        <f>CL8+IF(WEEKDAY(CL8)=1,1,IF(WEEKDAY(CL8)=7,2,0))+COUNTIF(ClosedDays!$B$4:$B$32,IF(WEEKDAY(CL8)=1,CL8+1,IF(WEEKDAY(CL8)=7,CL8+2,CL8)))+COUNTIF(ClosedDays!$F$4:$F$32,IF(WEEKDAY(CL8)=1,CL8+1,IF(WEEKDAY(CL8)=7,CL8+2,CL8)))+COUNTIF(ClosedDays!$J$4:$J$32,IF(WEEKDAY(CL8)=1,CL8+1,IF(WEEKDAY(CL8)=7,CL8+2,CL8)))+COUNTIF(ClosedDays!$N$4:$N$32,IF(WEEKDAY(CL8)=1,CL8+1,IF(WEEKDAY(CL8)=7,CL8+2,CL8)))</f>
        <v>44473</v>
      </c>
      <c r="CN8" s="405">
        <f>CM8+IF(WEEKDAY(CM8)=1,1,IF(WEEKDAY(CM8)=7,2,0))+COUNTIF(ClosedDays!$B$4:$B$32,IF(WEEKDAY(CM8)=1,CM8+1,IF(WEEKDAY(CM8)=7,CM8+2,CM8)))+COUNTIF(ClosedDays!$F$4:$F$32,IF(WEEKDAY(CM8)=1,CM8+1,IF(WEEKDAY(CM8)=7,CM8+2,CM8)))+COUNTIF(ClosedDays!$J$4:$J$32,IF(WEEKDAY(CM8)=1,CM8+1,IF(WEEKDAY(CM8)=7,CM8+2,CM8)))+COUNTIF(ClosedDays!$N$4:$N$32,IF(WEEKDAY(CM8)=1,CM8+1,IF(WEEKDAY(CM8)=7,CM8+2,CM8)))</f>
        <v>44473</v>
      </c>
      <c r="CO8" s="405">
        <f>CN8+IF(WEEKDAY(CN8)=1,1,IF(WEEKDAY(CN8)=7,2,0))+COUNTIF(ClosedDays!$B$4:$B$32,IF(WEEKDAY(CN8)=1,CN8+1,IF(WEEKDAY(CN8)=7,CN8+2,CN8)))+COUNTIF(ClosedDays!$F$4:$F$32,IF(WEEKDAY(CN8)=1,CN8+1,IF(WEEKDAY(CN8)=7,CN8+2,CN8)))+COUNTIF(ClosedDays!$J$4:$J$32,IF(WEEKDAY(CN8)=1,CN8+1,IF(WEEKDAY(CN8)=7,CN8+2,CN8)))+COUNTIF(ClosedDays!$N$4:$N$32,IF(WEEKDAY(CN8)=1,CN8+1,IF(WEEKDAY(CN8)=7,CN8+2,CN8)))</f>
        <v>44473</v>
      </c>
      <c r="CP8" s="405">
        <f>CO8+IF(WEEKDAY(CO8)=1,1,IF(WEEKDAY(CO8)=7,2,0))+COUNTIF(ClosedDays!$B$4:$B$32,IF(WEEKDAY(CO8)=1,CO8+1,IF(WEEKDAY(CO8)=7,CO8+2,CO8)))+COUNTIF(ClosedDays!$F$4:$F$32,IF(WEEKDAY(CO8)=1,CO8+1,IF(WEEKDAY(CO8)=7,CO8+2,CO8)))+COUNTIF(ClosedDays!$J$4:$J$32,IF(WEEKDAY(CO8)=1,CO8+1,IF(WEEKDAY(CO8)=7,CO8+2,CO8)))+COUNTIF(ClosedDays!$N$4:$N$32,IF(WEEKDAY(CO8)=1,CO8+1,IF(WEEKDAY(CO8)=7,CO8+2,CO8)))</f>
        <v>44473</v>
      </c>
      <c r="CQ8" s="405">
        <f>CP8+IF(WEEKDAY(CP8)=1,1,IF(WEEKDAY(CP8)=7,2,0))+COUNTIF(ClosedDays!$B$4:$B$32,IF(WEEKDAY(CP8)=1,CP8+1,IF(WEEKDAY(CP8)=7,CP8+2,CP8)))+COUNTIF(ClosedDays!$F$4:$F$32,IF(WEEKDAY(CP8)=1,CP8+1,IF(WEEKDAY(CP8)=7,CP8+2,CP8)))+COUNTIF(ClosedDays!$J$4:$J$32,IF(WEEKDAY(CP8)=1,CP8+1,IF(WEEKDAY(CP8)=7,CP8+2,CP8)))+COUNTIF(ClosedDays!$N$4:$N$32,IF(WEEKDAY(CP8)=1,CP8+1,IF(WEEKDAY(CP8)=7,CP8+2,CP8)))</f>
        <v>44473</v>
      </c>
      <c r="CR8" s="405">
        <f>CQ8+IF(WEEKDAY(CQ8)=1,1,IF(WEEKDAY(CQ8)=7,2,0))+COUNTIF(ClosedDays!$B$4:$B$32,IF(WEEKDAY(CQ8)=1,CQ8+1,IF(WEEKDAY(CQ8)=7,CQ8+2,CQ8)))+COUNTIF(ClosedDays!$F$4:$F$32,IF(WEEKDAY(CQ8)=1,CQ8+1,IF(WEEKDAY(CQ8)=7,CQ8+2,CQ8)))+COUNTIF(ClosedDays!$J$4:$J$32,IF(WEEKDAY(CQ8)=1,CQ8+1,IF(WEEKDAY(CQ8)=7,CQ8+2,CQ8)))+COUNTIF(ClosedDays!$N$4:$N$32,IF(WEEKDAY(CQ8)=1,CQ8+1,IF(WEEKDAY(CQ8)=7,CQ8+2,CQ8)))</f>
        <v>44473</v>
      </c>
      <c r="CS8" s="405">
        <f>CR8+IF(WEEKDAY(CR8)=1,1,IF(WEEKDAY(CR8)=7,2,0))+COUNTIF(ClosedDays!$B$4:$B$32,IF(WEEKDAY(CR8)=1,CR8+1,IF(WEEKDAY(CR8)=7,CR8+2,CR8)))+COUNTIF(ClosedDays!$F$4:$F$32,IF(WEEKDAY(CR8)=1,CR8+1,IF(WEEKDAY(CR8)=7,CR8+2,CR8)))+COUNTIF(ClosedDays!$J$4:$J$32,IF(WEEKDAY(CR8)=1,CR8+1,IF(WEEKDAY(CR8)=7,CR8+2,CR8)))+COUNTIF(ClosedDays!$N$4:$N$32,IF(WEEKDAY(CR8)=1,CR8+1,IF(WEEKDAY(CR8)=7,CR8+2,CR8)))</f>
        <v>44473</v>
      </c>
      <c r="CT8" s="405">
        <f>CS8+IF(WEEKDAY(CS8)=1,1,IF(WEEKDAY(CS8)=7,2,0))+COUNTIF(ClosedDays!$B$4:$B$32,IF(WEEKDAY(CS8)=1,CS8+1,IF(WEEKDAY(CS8)=7,CS8+2,CS8)))+COUNTIF(ClosedDays!$F$4:$F$32,IF(WEEKDAY(CS8)=1,CS8+1,IF(WEEKDAY(CS8)=7,CS8+2,CS8)))+COUNTIF(ClosedDays!$J$4:$J$32,IF(WEEKDAY(CS8)=1,CS8+1,IF(WEEKDAY(CS8)=7,CS8+2,CS8)))+COUNTIF(ClosedDays!$N$4:$N$32,IF(WEEKDAY(CS8)=1,CS8+1,IF(WEEKDAY(CS8)=7,CS8+2,CS8)))</f>
        <v>44473</v>
      </c>
      <c r="CU8" s="405">
        <f>CT8+IF(WEEKDAY(CT8)=1,1,IF(WEEKDAY(CT8)=7,2,0))+COUNTIF(ClosedDays!$B$4:$B$32,IF(WEEKDAY(CT8)=1,CT8+1,IF(WEEKDAY(CT8)=7,CT8+2,CT8)))+COUNTIF(ClosedDays!$F$4:$F$32,IF(WEEKDAY(CT8)=1,CT8+1,IF(WEEKDAY(CT8)=7,CT8+2,CT8)))+COUNTIF(ClosedDays!$J$4:$J$32,IF(WEEKDAY(CT8)=1,CT8+1,IF(WEEKDAY(CT8)=7,CT8+2,CT8)))+COUNTIF(ClosedDays!$N$4:$N$32,IF(WEEKDAY(CT8)=1,CT8+1,IF(WEEKDAY(CT8)=7,CT8+2,CT8)))</f>
        <v>44473</v>
      </c>
      <c r="CV8" s="405">
        <f>CU8+IF(WEEKDAY(CU8)=1,1,IF(WEEKDAY(CU8)=7,2,0))+COUNTIF(ClosedDays!$B$4:$B$32,IF(WEEKDAY(CU8)=1,CU8+1,IF(WEEKDAY(CU8)=7,CU8+2,CU8)))+COUNTIF(ClosedDays!$F$4:$F$32,IF(WEEKDAY(CU8)=1,CU8+1,IF(WEEKDAY(CU8)=7,CU8+2,CU8)))+COUNTIF(ClosedDays!$J$4:$J$32,IF(WEEKDAY(CU8)=1,CU8+1,IF(WEEKDAY(CU8)=7,CU8+2,CU8)))+COUNTIF(ClosedDays!$N$4:$N$32,IF(WEEKDAY(CU8)=1,CU8+1,IF(WEEKDAY(CU8)=7,CU8+2,CU8)))</f>
        <v>44473</v>
      </c>
      <c r="CW8" s="405">
        <f>CV8+IF(WEEKDAY(CV8)=1,1,IF(WEEKDAY(CV8)=7,2,0))+COUNTIF(ClosedDays!$B$4:$B$32,IF(WEEKDAY(CV8)=1,CV8+1,IF(WEEKDAY(CV8)=7,CV8+2,CV8)))+COUNTIF(ClosedDays!$F$4:$F$32,IF(WEEKDAY(CV8)=1,CV8+1,IF(WEEKDAY(CV8)=7,CV8+2,CV8)))+COUNTIF(ClosedDays!$J$4:$J$32,IF(WEEKDAY(CV8)=1,CV8+1,IF(WEEKDAY(CV8)=7,CV8+2,CV8)))+COUNTIF(ClosedDays!$N$4:$N$32,IF(WEEKDAY(CV8)=1,CV8+1,IF(WEEKDAY(CV8)=7,CV8+2,CV8)))</f>
        <v>44473</v>
      </c>
      <c r="CX8" s="405">
        <f>CW8+IF(WEEKDAY(CW8)=1,1,IF(WEEKDAY(CW8)=7,2,0))+COUNTIF(ClosedDays!$B$4:$B$32,IF(WEEKDAY(CW8)=1,CW8+1,IF(WEEKDAY(CW8)=7,CW8+2,CW8)))+COUNTIF(ClosedDays!$F$4:$F$32,IF(WEEKDAY(CW8)=1,CW8+1,IF(WEEKDAY(CW8)=7,CW8+2,CW8)))+COUNTIF(ClosedDays!$J$4:$J$32,IF(WEEKDAY(CW8)=1,CW8+1,IF(WEEKDAY(CW8)=7,CW8+2,CW8)))+COUNTIF(ClosedDays!$N$4:$N$32,IF(WEEKDAY(CW8)=1,CW8+1,IF(WEEKDAY(CW8)=7,CW8+2,CW8)))</f>
        <v>44473</v>
      </c>
      <c r="CY8" s="405">
        <f t="shared" ref="CY8:CY47" si="18">IF(WEEKDAY(CX8)=1,CX8+1,IF(WEEKDAY(CX8)=7,CX8+2,CX8))</f>
        <v>44473</v>
      </c>
      <c r="CZ8" s="446">
        <f>IF(AND($D8&lt;='Outline Info'!$E$33,CY8&gt;='Outline Info'!$E$33,$AC8&gt;10,$AC8&lt;9997),1,0)</f>
        <v>0</v>
      </c>
      <c r="DA8" s="405">
        <f>IF(AND($D8&lt;='Outline Info'!$E$33,CY8&gt;='Outline Info'!$E$33),CY8+'Outline Info'!$F$33-'Outline Info'!$E$33+1,CY8)</f>
        <v>44473</v>
      </c>
      <c r="DB8" s="405">
        <f>DA8+IF(WEEKDAY(DA8)=1,1,IF(WEEKDAY(DA8)=7,2,0))+COUNTIF(ClosedDays!$B$4:$B$32,IF(WEEKDAY(DA8)=1,DA8+1,IF(WEEKDAY(DA8)=7,DA8+2,DA8)))+COUNTIF(ClosedDays!$F$4:$F$32,IF(WEEKDAY(DA8)=1,DA8+1,IF(WEEKDAY(DA8)=7,DA8+2,DA8)))+COUNTIF(ClosedDays!$J$4:$J$32,IF(WEEKDAY(DA8)=1,DA8+1,IF(WEEKDAY(DA8)=7,DA8+2,DA8)))+COUNTIF(ClosedDays!$N$4:$N$32,IF(WEEKDAY(DA8)=1,DA8+1,IF(WEEKDAY(DA8)=7,DA8+2,DA8)))</f>
        <v>44473</v>
      </c>
      <c r="DC8" s="405">
        <f>DB8+IF(WEEKDAY(DB8)=1,1,IF(WEEKDAY(DB8)=7,2,0))+COUNTIF(ClosedDays!$B$4:$B$32,IF(WEEKDAY(DB8)=1,DB8+1,IF(WEEKDAY(DB8)=7,DB8+2,DB8)))+COUNTIF(ClosedDays!$F$4:$F$32,IF(WEEKDAY(DB8)=1,DB8+1,IF(WEEKDAY(DB8)=7,DB8+2,DB8)))+COUNTIF(ClosedDays!$J$4:$J$32,IF(WEEKDAY(DB8)=1,DB8+1,IF(WEEKDAY(DB8)=7,DB8+2,DB8)))+COUNTIF(ClosedDays!$N$4:$N$32,IF(WEEKDAY(DB8)=1,DB8+1,IF(WEEKDAY(DB8)=7,DB8+2,DB8)))</f>
        <v>44473</v>
      </c>
      <c r="DD8" s="405">
        <f>DC8+IF(WEEKDAY(DC8)=1,1,IF(WEEKDAY(DC8)=7,2,0))+COUNTIF(ClosedDays!$B$4:$B$32,IF(WEEKDAY(DC8)=1,DC8+1,IF(WEEKDAY(DC8)=7,DC8+2,DC8)))+COUNTIF(ClosedDays!$F$4:$F$32,IF(WEEKDAY(DC8)=1,DC8+1,IF(WEEKDAY(DC8)=7,DC8+2,DC8)))+COUNTIF(ClosedDays!$J$4:$J$32,IF(WEEKDAY(DC8)=1,DC8+1,IF(WEEKDAY(DC8)=7,DC8+2,DC8)))+COUNTIF(ClosedDays!$N$4:$N$32,IF(WEEKDAY(DC8)=1,DC8+1,IF(WEEKDAY(DC8)=7,DC8+2,DC8)))</f>
        <v>44473</v>
      </c>
      <c r="DE8" s="405">
        <f>DD8+IF(WEEKDAY(DD8)=1,1,IF(WEEKDAY(DD8)=7,2,0))+COUNTIF(ClosedDays!$B$4:$B$32,IF(WEEKDAY(DD8)=1,DD8+1,IF(WEEKDAY(DD8)=7,DD8+2,DD8)))+COUNTIF(ClosedDays!$F$4:$F$32,IF(WEEKDAY(DD8)=1,DD8+1,IF(WEEKDAY(DD8)=7,DD8+2,DD8)))+COUNTIF(ClosedDays!$J$4:$J$32,IF(WEEKDAY(DD8)=1,DD8+1,IF(WEEKDAY(DD8)=7,DD8+2,DD8)))+COUNTIF(ClosedDays!$N$4:$N$32,IF(WEEKDAY(DD8)=1,DD8+1,IF(WEEKDAY(DD8)=7,DD8+2,DD8)))</f>
        <v>44473</v>
      </c>
      <c r="DF8" s="405">
        <f>DE8+IF(WEEKDAY(DE8)=1,1,IF(WEEKDAY(DE8)=7,2,0))+COUNTIF(ClosedDays!$B$4:$B$32,IF(WEEKDAY(DE8)=1,DE8+1,IF(WEEKDAY(DE8)=7,DE8+2,DE8)))+COUNTIF(ClosedDays!$F$4:$F$32,IF(WEEKDAY(DE8)=1,DE8+1,IF(WEEKDAY(DE8)=7,DE8+2,DE8)))+COUNTIF(ClosedDays!$J$4:$J$32,IF(WEEKDAY(DE8)=1,DE8+1,IF(WEEKDAY(DE8)=7,DE8+2,DE8)))+COUNTIF(ClosedDays!$N$4:$N$32,IF(WEEKDAY(DE8)=1,DE8+1,IF(WEEKDAY(DE8)=7,DE8+2,DE8)))</f>
        <v>44473</v>
      </c>
      <c r="DG8" s="405">
        <f>DF8+IF(WEEKDAY(DF8)=1,1,IF(WEEKDAY(DF8)=7,2,0))+COUNTIF(ClosedDays!$B$4:$B$32,IF(WEEKDAY(DF8)=1,DF8+1,IF(WEEKDAY(DF8)=7,DF8+2,DF8)))+COUNTIF(ClosedDays!$F$4:$F$32,IF(WEEKDAY(DF8)=1,DF8+1,IF(WEEKDAY(DF8)=7,DF8+2,DF8)))+COUNTIF(ClosedDays!$J$4:$J$32,IF(WEEKDAY(DF8)=1,DF8+1,IF(WEEKDAY(DF8)=7,DF8+2,DF8)))+COUNTIF(ClosedDays!$N$4:$N$32,IF(WEEKDAY(DF8)=1,DF8+1,IF(WEEKDAY(DF8)=7,DF8+2,DF8)))</f>
        <v>44473</v>
      </c>
      <c r="DH8" s="405">
        <f>DG8+IF(WEEKDAY(DG8)=1,1,IF(WEEKDAY(DG8)=7,2,0))+COUNTIF(ClosedDays!$B$4:$B$32,IF(WEEKDAY(DG8)=1,DG8+1,IF(WEEKDAY(DG8)=7,DG8+2,DG8)))+COUNTIF(ClosedDays!$F$4:$F$32,IF(WEEKDAY(DG8)=1,DG8+1,IF(WEEKDAY(DG8)=7,DG8+2,DG8)))+COUNTIF(ClosedDays!$J$4:$J$32,IF(WEEKDAY(DG8)=1,DG8+1,IF(WEEKDAY(DG8)=7,DG8+2,DG8)))+COUNTIF(ClosedDays!$N$4:$N$32,IF(WEEKDAY(DG8)=1,DG8+1,IF(WEEKDAY(DG8)=7,DG8+2,DG8)))</f>
        <v>44473</v>
      </c>
      <c r="DI8" s="405">
        <f>DH8+IF(WEEKDAY(DH8)=1,1,IF(WEEKDAY(DH8)=7,2,0))+COUNTIF(ClosedDays!$B$4:$B$32,IF(WEEKDAY(DH8)=1,DH8+1,IF(WEEKDAY(DH8)=7,DH8+2,DH8)))+COUNTIF(ClosedDays!$F$4:$F$32,IF(WEEKDAY(DH8)=1,DH8+1,IF(WEEKDAY(DH8)=7,DH8+2,DH8)))+COUNTIF(ClosedDays!$J$4:$J$32,IF(WEEKDAY(DH8)=1,DH8+1,IF(WEEKDAY(DH8)=7,DH8+2,DH8)))+COUNTIF(ClosedDays!$N$4:$N$32,IF(WEEKDAY(DH8)=1,DH8+1,IF(WEEKDAY(DH8)=7,DH8+2,DH8)))</f>
        <v>44473</v>
      </c>
      <c r="DJ8" s="405">
        <f>DI8+IF(WEEKDAY(DI8)=1,1,IF(WEEKDAY(DI8)=7,2,0))+COUNTIF(ClosedDays!$B$4:$B$32,IF(WEEKDAY(DI8)=1,DI8+1,IF(WEEKDAY(DI8)=7,DI8+2,DI8)))+COUNTIF(ClosedDays!$F$4:$F$32,IF(WEEKDAY(DI8)=1,DI8+1,IF(WEEKDAY(DI8)=7,DI8+2,DI8)))+COUNTIF(ClosedDays!$J$4:$J$32,IF(WEEKDAY(DI8)=1,DI8+1,IF(WEEKDAY(DI8)=7,DI8+2,DI8)))+COUNTIF(ClosedDays!$N$4:$N$32,IF(WEEKDAY(DI8)=1,DI8+1,IF(WEEKDAY(DI8)=7,DI8+2,DI8)))</f>
        <v>44473</v>
      </c>
      <c r="DK8" s="405">
        <f>DJ8+IF(WEEKDAY(DJ8)=1,1,IF(WEEKDAY(DJ8)=7,2,0))+COUNTIF(ClosedDays!$B$4:$B$32,IF(WEEKDAY(DJ8)=1,DJ8+1,IF(WEEKDAY(DJ8)=7,DJ8+2,DJ8)))+COUNTIF(ClosedDays!$F$4:$F$32,IF(WEEKDAY(DJ8)=1,DJ8+1,IF(WEEKDAY(DJ8)=7,DJ8+2,DJ8)))+COUNTIF(ClosedDays!$J$4:$J$32,IF(WEEKDAY(DJ8)=1,DJ8+1,IF(WEEKDAY(DJ8)=7,DJ8+2,DJ8)))+COUNTIF(ClosedDays!$N$4:$N$32,IF(WEEKDAY(DJ8)=1,DJ8+1,IF(WEEKDAY(DJ8)=7,DJ8+2,DJ8)))</f>
        <v>44473</v>
      </c>
      <c r="DL8" s="405">
        <f>DK8+IF(WEEKDAY(DK8)=1,1,IF(WEEKDAY(DK8)=7,2,0))+COUNTIF(ClosedDays!$B$4:$B$32,IF(WEEKDAY(DK8)=1,DK8+1,IF(WEEKDAY(DK8)=7,DK8+2,DK8)))+COUNTIF(ClosedDays!$F$4:$F$32,IF(WEEKDAY(DK8)=1,DK8+1,IF(WEEKDAY(DK8)=7,DK8+2,DK8)))+COUNTIF(ClosedDays!$J$4:$J$32,IF(WEEKDAY(DK8)=1,DK8+1,IF(WEEKDAY(DK8)=7,DK8+2,DK8)))+COUNTIF(ClosedDays!$N$4:$N$32,IF(WEEKDAY(DK8)=1,DK8+1,IF(WEEKDAY(DK8)=7,DK8+2,DK8)))</f>
        <v>44473</v>
      </c>
      <c r="DM8" s="405">
        <f>DL8+IF(WEEKDAY(DL8)=1,1,IF(WEEKDAY(DL8)=7,2,0))+COUNTIF(ClosedDays!$B$4:$B$32,IF(WEEKDAY(DL8)=1,DL8+1,IF(WEEKDAY(DL8)=7,DL8+2,DL8)))+COUNTIF(ClosedDays!$F$4:$F$32,IF(WEEKDAY(DL8)=1,DL8+1,IF(WEEKDAY(DL8)=7,DL8+2,DL8)))+COUNTIF(ClosedDays!$J$4:$J$32,IF(WEEKDAY(DL8)=1,DL8+1,IF(WEEKDAY(DL8)=7,DL8+2,DL8)))+COUNTIF(ClosedDays!$N$4:$N$32,IF(WEEKDAY(DL8)=1,DL8+1,IF(WEEKDAY(DL8)=7,DL8+2,DL8)))</f>
        <v>44473</v>
      </c>
      <c r="DN8" s="405">
        <f>DM8+IF(WEEKDAY(DM8)=1,1,IF(WEEKDAY(DM8)=7,2,0))+COUNTIF(ClosedDays!$B$4:$B$32,IF(WEEKDAY(DM8)=1,DM8+1,IF(WEEKDAY(DM8)=7,DM8+2,DM8)))+COUNTIF(ClosedDays!$F$4:$F$32,IF(WEEKDAY(DM8)=1,DM8+1,IF(WEEKDAY(DM8)=7,DM8+2,DM8)))+COUNTIF(ClosedDays!$J$4:$J$32,IF(WEEKDAY(DM8)=1,DM8+1,IF(WEEKDAY(DM8)=7,DM8+2,DM8)))+COUNTIF(ClosedDays!$N$4:$N$32,IF(WEEKDAY(DM8)=1,DM8+1,IF(WEEKDAY(DM8)=7,DM8+2,DM8)))</f>
        <v>44473</v>
      </c>
      <c r="DO8" s="405">
        <f>DN8+IF(WEEKDAY(DN8)=1,1,IF(WEEKDAY(DN8)=7,2,0))+COUNTIF(ClosedDays!$B$4:$B$32,IF(WEEKDAY(DN8)=1,DN8+1,IF(WEEKDAY(DN8)=7,DN8+2,DN8)))+COUNTIF(ClosedDays!$F$4:$F$32,IF(WEEKDAY(DN8)=1,DN8+1,IF(WEEKDAY(DN8)=7,DN8+2,DN8)))+COUNTIF(ClosedDays!$J$4:$J$32,IF(WEEKDAY(DN8)=1,DN8+1,IF(WEEKDAY(DN8)=7,DN8+2,DN8)))+COUNTIF(ClosedDays!$N$4:$N$32,IF(WEEKDAY(DN8)=1,DN8+1,IF(WEEKDAY(DN8)=7,DN8+2,DN8)))</f>
        <v>44473</v>
      </c>
      <c r="DP8" s="405">
        <f t="shared" si="5"/>
        <v>44473</v>
      </c>
      <c r="DQ8" s="405">
        <f>IF(OR(AE8="*",AE8="X",AE8="x",AC8&gt;6),DP8,DQ7)</f>
        <v>44473</v>
      </c>
      <c r="DR8" s="394">
        <f t="shared" ref="DR8:DR47" si="19">IF(OR(AE8="*",AC8&gt;6),1,0)</f>
        <v>1</v>
      </c>
      <c r="DS8" s="394">
        <f>IF(AND(DR8=1,COUNTIF(DS$7:DS7,1)&lt;12,VLOOKUP(COUNTIF(DS$7:DS7,1)+1,'Outline Info'!$A$21:$C$32,2)&lt;=I8),1,0)</f>
        <v>1</v>
      </c>
      <c r="DT8" s="405" t="str">
        <f>IF(DS8=1,IF(VLOOKUP(COUNTIF(DS$7:DS8,1),'Outline Info'!$A$21:$C$32,2)=0,"",VLOOKUP(COUNTIF(DS$7:DS8,1),'Outline Info'!$A$21:$C$32,2)),"")</f>
        <v/>
      </c>
      <c r="DU8" s="449">
        <f>IF(DS8=1,VLOOKUP(COUNTIF(DS$7:DS8,1),'Outline Info'!$A$21:$C$32,3),0)</f>
        <v>0</v>
      </c>
      <c r="DV8" s="445">
        <f>IF('Outline Info'!$B$8="Y",IF(B8="*",'Outline Info'!$B$19,IF(OR($A8="",B8="X",B8="x"),0,VLOOKUP($A8,'Course Table'!$A$2:$J$331,4,TRUE))),0)</f>
        <v>0</v>
      </c>
      <c r="DW8" s="447">
        <f t="shared" si="6"/>
        <v>0</v>
      </c>
      <c r="DX8" s="447">
        <f>IF('Outline Info'!$B$8="Y",$DV8,$DW8)</f>
        <v>0</v>
      </c>
      <c r="DY8" s="394"/>
      <c r="DZ8" s="934"/>
      <c r="EA8" s="934"/>
      <c r="EB8" s="394"/>
      <c r="EC8" s="394"/>
      <c r="ED8" s="394"/>
    </row>
    <row r="9" spans="1:134" s="400" customFormat="1" ht="20.100000000000001" customHeight="1">
      <c r="A9" s="874" t="str">
        <f t="shared" si="7"/>
        <v/>
      </c>
      <c r="B9" s="876" t="str">
        <f t="shared" si="8"/>
        <v/>
      </c>
      <c r="C9" s="878" t="str">
        <f t="shared" si="9"/>
        <v/>
      </c>
      <c r="D9" s="463">
        <f>IF(NOT(ISBLANK(DZ9)),DZ9,IF(AND($AC9=9998,'Outline Info'!$H$33&gt;='Outline Info'!$B$6,'Outline Info'!$H$33&lt;='Outline Info'!$C$6),'Outline Info'!$H$33,IF(AND($AC9=9997,'Outline Info'!$H$31&gt;='Outline Info'!$B$6,'Outline Info'!$H$31&lt;='Outline Info'!$C$6),'Outline Info'!$H$31,IF(AE9="*",DQ8,IF(OR(AE9="x",AE9="X"),I8,IF(AND(AC9&gt;6,AC8&lt;6),DQ8,IF(AND($AC9=9998,$AC8=9997),I7,I8)))))))</f>
        <v>44470</v>
      </c>
      <c r="E9" s="1286"/>
      <c r="F9" s="1287"/>
      <c r="G9" s="1282"/>
      <c r="H9" s="1283"/>
      <c r="I9" s="464">
        <f>IF(AND($AC9=9998,'Outline Info'!$I$33&gt;='Outline Info'!$B$6,'Outline Info'!$I$33&lt;='Outline Info'!$C$6),'Outline Info'!$I$33,IF(AND($AC9=9997,'Outline Info'!$I$31&gt;='Outline Info'!$B$6,'Outline Info'!$I$31&lt;='Outline Info'!$C$6),'Outline Info'!$I$31,IF(DP9&gt;$V$4,$V$4,DP9)))</f>
        <v>44470</v>
      </c>
      <c r="J9" s="436"/>
      <c r="K9" s="437"/>
      <c r="L9" s="438"/>
      <c r="M9" s="438"/>
      <c r="N9" s="435"/>
      <c r="O9" s="435"/>
      <c r="P9" s="438"/>
      <c r="Q9" s="438"/>
      <c r="R9" s="439"/>
      <c r="S9" s="872">
        <f>IF($V$5-SUM($DX$7:$DX9)&lt;0,IF($V$5-SUM($DX$7:$DX8)&lt;0,0,$V$5-SUM($DX$7:$DX8)),DX9)</f>
        <v>0</v>
      </c>
      <c r="T9" s="440" t="str">
        <f>IF(S9&gt;0,IF('Outline Info'!$B$8="Y",D9,DT9),"")</f>
        <v/>
      </c>
      <c r="U9" s="441"/>
      <c r="V9" s="442"/>
      <c r="W9" s="870" t="str">
        <f>IF('Outline Info'!$C$33&gt;0,ROUND(IF('Outline Info'!$B$8="Y",SUM(S$7:S9)-SUM(AJ$7:AJ9)-'Outline Info'!$B$14-'Outline Info'!$B$15-'Outline Info'!$B$17,IF(AL9=0,SUM(S$7:S9)-SUM(AK$7:AK9)-SUM(AP9:AS9)-'Outline Info'!$B$14-'Outline Info'!$B$15-'Outline Info'!$B$17,0)),0),IF('Outline Info'!$T$4&lt;&gt;1,"",IF(OR(AD9="",AL9=1),"",SUM(AK$7:AK9)+SUM(AP9:AS9)+'Outline Info'!$B$14+'Outline Info'!$B$15+'Outline Info'!$B$17)))</f>
        <v/>
      </c>
      <c r="X9" s="448"/>
      <c r="Y9" s="443">
        <f>IF(OR(AE9="X",AE9="x",AE9="*",AC9=99999),0,IF(AC9&lt;50,0,IF($S$4-SUM($Y$7:$Y8)&gt;0,1,0)))</f>
        <v>0</v>
      </c>
      <c r="Z9" s="444">
        <f>IF(AC9&lt;99999,IF(AE9="*",AH9,IF(OR(AE9="x",AE9="X",AC9&lt;10),0,IF(AND(AC9&lt;&gt;9998,AC9&lt;&gt;9997),IF(AM9=1,(AH9+$AM$5)*(1+('Outline Info'!$B$16)),IF(AN9=1,(AH9+$AN$5)*(1+('Outline Info'!$B$16)),0)),AH9))),0)</f>
        <v>0</v>
      </c>
      <c r="AA9" s="395">
        <f>Z9/'Outline Info'!$C$11+Y9</f>
        <v>0</v>
      </c>
      <c r="AB9" s="395">
        <f>ROUND(AA9/'Outline Info'!$B$11*7,0)</f>
        <v>0</v>
      </c>
      <c r="AC9" s="445">
        <f>IF($AD9&lt;&gt;"",VLOOKUP($AD9,'Course Table'!$A$2:$J$331,10,TRUE),99999)</f>
        <v>99999</v>
      </c>
      <c r="AD9" s="394"/>
      <c r="AE9" s="394"/>
      <c r="AF9" s="394"/>
      <c r="AG9" s="394"/>
      <c r="AH9" s="394"/>
      <c r="AI9" s="394">
        <v>389</v>
      </c>
      <c r="AJ9" s="394">
        <v>389</v>
      </c>
      <c r="AK9" s="394">
        <f t="shared" si="10"/>
        <v>389</v>
      </c>
      <c r="AL9" s="394">
        <f t="shared" si="11"/>
        <v>0</v>
      </c>
      <c r="AM9" s="394">
        <f t="shared" si="12"/>
        <v>0</v>
      </c>
      <c r="AN9" s="394">
        <f t="shared" si="13"/>
        <v>0</v>
      </c>
      <c r="AO9" s="394">
        <f>IF(AN9=1,SUMPRODUCT($AJ$7:$AJ9,$AN$7:$AN9),0)</f>
        <v>0</v>
      </c>
      <c r="AP9" s="394">
        <f t="shared" si="14"/>
        <v>0</v>
      </c>
      <c r="AQ9" s="394">
        <f t="shared" si="14"/>
        <v>0</v>
      </c>
      <c r="AR9" s="394">
        <f t="shared" si="14"/>
        <v>0</v>
      </c>
      <c r="AS9" s="394">
        <f t="shared" si="14"/>
        <v>0</v>
      </c>
      <c r="AT9" s="394">
        <f t="shared" si="15"/>
        <v>0</v>
      </c>
      <c r="AU9" s="394">
        <f t="shared" si="15"/>
        <v>0</v>
      </c>
      <c r="AV9" s="394">
        <f t="shared" si="15"/>
        <v>0</v>
      </c>
      <c r="AW9" s="394">
        <f t="shared" si="15"/>
        <v>0</v>
      </c>
      <c r="AX9" s="394">
        <f t="shared" si="1"/>
        <v>0</v>
      </c>
      <c r="AY9" s="394">
        <f t="shared" si="2"/>
        <v>0</v>
      </c>
      <c r="AZ9" s="394">
        <f t="shared" si="3"/>
        <v>0</v>
      </c>
      <c r="BA9" s="394">
        <f t="shared" si="4"/>
        <v>0</v>
      </c>
      <c r="BB9" s="405">
        <f>IF(OR(AE9="X",AE9="x"),I8,IF(AE9="*",I8+AB9,IF(AC9&gt;6,DQ8+AB9,$V$3-2+ROUND(($V$4-$V$3)/COUNTIF(A7:A10,"KBD*")*(AC9),0))))</f>
        <v>44473</v>
      </c>
      <c r="BC9" s="405">
        <f>BB9+IF(WEEKDAY(BB9)=1,1,IF(WEEKDAY(BB9)=7,2,0))+COUNTIF(ClosedDays!$B$4:$B$32,IF(WEEKDAY(BB9)=1,BB9+1,IF(WEEKDAY(BB9)=7,BB9+2,BB9)))+COUNTIF(ClosedDays!$F$4:$F$32,IF(WEEKDAY(BB9)=1,BB9+1,IF(WEEKDAY(BB9)=7,BB9+2,BB9)))+COUNTIF(ClosedDays!$J$4:$J$32,IF(WEEKDAY(BB9)=1,BB9+1,IF(WEEKDAY(BB9)=7,BB9+2,BB9)))+COUNTIF(ClosedDays!$N$4:$N$32,IF(WEEKDAY(BB9)=1,BB9+1,IF(WEEKDAY(BB9)=7,BB9+2,BB9)))</f>
        <v>44473</v>
      </c>
      <c r="BD9" s="405">
        <f>BC9+IF(WEEKDAY(BC9)=1,1,IF(WEEKDAY(BC9)=7,2,0))+COUNTIF(ClosedDays!$B$4:$B$32,IF(WEEKDAY(BC9)=1,BC9+1,IF(WEEKDAY(BC9)=7,BC9+2,BC9)))+COUNTIF(ClosedDays!$F$4:$F$32,IF(WEEKDAY(BC9)=1,BC9+1,IF(WEEKDAY(BC9)=7,BC9+2,BC9)))+COUNTIF(ClosedDays!$J$4:$J$32,IF(WEEKDAY(BC9)=1,BC9+1,IF(WEEKDAY(BC9)=7,BC9+2,BC9)))+COUNTIF(ClosedDays!$N$4:$N$32,IF(WEEKDAY(BC9)=1,BC9+1,IF(WEEKDAY(BC9)=7,BC9+2,BC9)))</f>
        <v>44473</v>
      </c>
      <c r="BE9" s="405">
        <f>BD9+IF(WEEKDAY(BD9)=1,1,IF(WEEKDAY(BD9)=7,2,0))+COUNTIF(ClosedDays!$B$4:$B$32,IF(WEEKDAY(BD9)=1,BD9+1,IF(WEEKDAY(BD9)=7,BD9+2,BD9)))+COUNTIF(ClosedDays!$F$4:$F$32,IF(WEEKDAY(BD9)=1,BD9+1,IF(WEEKDAY(BD9)=7,BD9+2,BD9)))+COUNTIF(ClosedDays!$J$4:$J$32,IF(WEEKDAY(BD9)=1,BD9+1,IF(WEEKDAY(BD9)=7,BD9+2,BD9)))+COUNTIF(ClosedDays!$N$4:$N$32,IF(WEEKDAY(BD9)=1,BD9+1,IF(WEEKDAY(BD9)=7,BD9+2,BD9)))</f>
        <v>44473</v>
      </c>
      <c r="BF9" s="405">
        <f>BE9+IF(WEEKDAY(BE9)=1,1,IF(WEEKDAY(BE9)=7,2,0))+COUNTIF(ClosedDays!$B$4:$B$32,IF(WEEKDAY(BE9)=1,BE9+1,IF(WEEKDAY(BE9)=7,BE9+2,BE9)))+COUNTIF(ClosedDays!$F$4:$F$32,IF(WEEKDAY(BE9)=1,BE9+1,IF(WEEKDAY(BE9)=7,BE9+2,BE9)))+COUNTIF(ClosedDays!$J$4:$J$32,IF(WEEKDAY(BE9)=1,BE9+1,IF(WEEKDAY(BE9)=7,BE9+2,BE9)))+COUNTIF(ClosedDays!$N$4:$N$32,IF(WEEKDAY(BE9)=1,BE9+1,IF(WEEKDAY(BE9)=7,BE9+2,BE9)))</f>
        <v>44473</v>
      </c>
      <c r="BG9" s="405">
        <f>BF9+IF(WEEKDAY(BF9)=1,1,IF(WEEKDAY(BF9)=7,2,0))+COUNTIF(ClosedDays!$B$4:$B$32,IF(WEEKDAY(BF9)=1,BF9+1,IF(WEEKDAY(BF9)=7,BF9+2,BF9)))+COUNTIF(ClosedDays!$F$4:$F$32,IF(WEEKDAY(BF9)=1,BF9+1,IF(WEEKDAY(BF9)=7,BF9+2,BF9)))+COUNTIF(ClosedDays!$J$4:$J$32,IF(WEEKDAY(BF9)=1,BF9+1,IF(WEEKDAY(BF9)=7,BF9+2,BF9)))+COUNTIF(ClosedDays!$N$4:$N$32,IF(WEEKDAY(BF9)=1,BF9+1,IF(WEEKDAY(BF9)=7,BF9+2,BF9)))</f>
        <v>44473</v>
      </c>
      <c r="BH9" s="405">
        <f>BG9+IF(WEEKDAY(BG9)=1,1,IF(WEEKDAY(BG9)=7,2,0))+COUNTIF(ClosedDays!$B$4:$B$32,IF(WEEKDAY(BG9)=1,BG9+1,IF(WEEKDAY(BG9)=7,BG9+2,BG9)))+COUNTIF(ClosedDays!$F$4:$F$32,IF(WEEKDAY(BG9)=1,BG9+1,IF(WEEKDAY(BG9)=7,BG9+2,BG9)))+COUNTIF(ClosedDays!$J$4:$J$32,IF(WEEKDAY(BG9)=1,BG9+1,IF(WEEKDAY(BG9)=7,BG9+2,BG9)))+COUNTIF(ClosedDays!$N$4:$N$32,IF(WEEKDAY(BG9)=1,BG9+1,IF(WEEKDAY(BG9)=7,BG9+2,BG9)))</f>
        <v>44473</v>
      </c>
      <c r="BI9" s="405">
        <f>BH9+IF(WEEKDAY(BH9)=1,1,IF(WEEKDAY(BH9)=7,2,0))+COUNTIF(ClosedDays!$B$4:$B$32,IF(WEEKDAY(BH9)=1,BH9+1,IF(WEEKDAY(BH9)=7,BH9+2,BH9)))+COUNTIF(ClosedDays!$F$4:$F$32,IF(WEEKDAY(BH9)=1,BH9+1,IF(WEEKDAY(BH9)=7,BH9+2,BH9)))+COUNTIF(ClosedDays!$J$4:$J$32,IF(WEEKDAY(BH9)=1,BH9+1,IF(WEEKDAY(BH9)=7,BH9+2,BH9)))+COUNTIF(ClosedDays!$N$4:$N$32,IF(WEEKDAY(BH9)=1,BH9+1,IF(WEEKDAY(BH9)=7,BH9+2,BH9)))</f>
        <v>44473</v>
      </c>
      <c r="BJ9" s="405">
        <f>BI9+IF(WEEKDAY(BI9)=1,1,IF(WEEKDAY(BI9)=7,2,0))+COUNTIF(ClosedDays!$B$4:$B$32,IF(WEEKDAY(BI9)=1,BI9+1,IF(WEEKDAY(BI9)=7,BI9+2,BI9)))+COUNTIF(ClosedDays!$F$4:$F$32,IF(WEEKDAY(BI9)=1,BI9+1,IF(WEEKDAY(BI9)=7,BI9+2,BI9)))+COUNTIF(ClosedDays!$J$4:$J$32,IF(WEEKDAY(BI9)=1,BI9+1,IF(WEEKDAY(BI9)=7,BI9+2,BI9)))+COUNTIF(ClosedDays!$N$4:$N$32,IF(WEEKDAY(BI9)=1,BI9+1,IF(WEEKDAY(BI9)=7,BI9+2,BI9)))</f>
        <v>44473</v>
      </c>
      <c r="BK9" s="405">
        <f>BJ9+IF(WEEKDAY(BJ9)=1,1,IF(WEEKDAY(BJ9)=7,2,0))+COUNTIF(ClosedDays!$B$4:$B$32,IF(WEEKDAY(BJ9)=1,BJ9+1,IF(WEEKDAY(BJ9)=7,BJ9+2,BJ9)))+COUNTIF(ClosedDays!$F$4:$F$32,IF(WEEKDAY(BJ9)=1,BJ9+1,IF(WEEKDAY(BJ9)=7,BJ9+2,BJ9)))+COUNTIF(ClosedDays!$J$4:$J$32,IF(WEEKDAY(BJ9)=1,BJ9+1,IF(WEEKDAY(BJ9)=7,BJ9+2,BJ9)))+COUNTIF(ClosedDays!$N$4:$N$32,IF(WEEKDAY(BJ9)=1,BJ9+1,IF(WEEKDAY(BJ9)=7,BJ9+2,BJ9)))</f>
        <v>44473</v>
      </c>
      <c r="BL9" s="405">
        <f>BK9+IF(WEEKDAY(BK9)=1,1,IF(WEEKDAY(BK9)=7,2,0))+COUNTIF(ClosedDays!$B$4:$B$32,IF(WEEKDAY(BK9)=1,BK9+1,IF(WEEKDAY(BK9)=7,BK9+2,BK9)))+COUNTIF(ClosedDays!$F$4:$F$32,IF(WEEKDAY(BK9)=1,BK9+1,IF(WEEKDAY(BK9)=7,BK9+2,BK9)))+COUNTIF(ClosedDays!$J$4:$J$32,IF(WEEKDAY(BK9)=1,BK9+1,IF(WEEKDAY(BK9)=7,BK9+2,BK9)))+COUNTIF(ClosedDays!$N$4:$N$32,IF(WEEKDAY(BK9)=1,BK9+1,IF(WEEKDAY(BK9)=7,BK9+2,BK9)))</f>
        <v>44473</v>
      </c>
      <c r="BM9" s="405">
        <f>BL9+IF(WEEKDAY(BL9)=1,1,IF(WEEKDAY(BL9)=7,2,0))+COUNTIF(ClosedDays!$B$4:$B$32,IF(WEEKDAY(BL9)=1,BL9+1,IF(WEEKDAY(BL9)=7,BL9+2,BL9)))+COUNTIF(ClosedDays!$F$4:$F$32,IF(WEEKDAY(BL9)=1,BL9+1,IF(WEEKDAY(BL9)=7,BL9+2,BL9)))+COUNTIF(ClosedDays!$J$4:$J$32,IF(WEEKDAY(BL9)=1,BL9+1,IF(WEEKDAY(BL9)=7,BL9+2,BL9)))+COUNTIF(ClosedDays!$N$4:$N$32,IF(WEEKDAY(BL9)=1,BL9+1,IF(WEEKDAY(BL9)=7,BL9+2,BL9)))</f>
        <v>44473</v>
      </c>
      <c r="BN9" s="405">
        <f>BM9+IF(WEEKDAY(BM9)=1,1,IF(WEEKDAY(BM9)=7,2,0))+COUNTIF(ClosedDays!$B$4:$B$32,IF(WEEKDAY(BM9)=1,BM9+1,IF(WEEKDAY(BM9)=7,BM9+2,BM9)))+COUNTIF(ClosedDays!$F$4:$F$32,IF(WEEKDAY(BM9)=1,BM9+1,IF(WEEKDAY(BM9)=7,BM9+2,BM9)))+COUNTIF(ClosedDays!$J$4:$J$32,IF(WEEKDAY(BM9)=1,BM9+1,IF(WEEKDAY(BM9)=7,BM9+2,BM9)))+COUNTIF(ClosedDays!$N$4:$N$32,IF(WEEKDAY(BM9)=1,BM9+1,IF(WEEKDAY(BM9)=7,BM9+2,BM9)))</f>
        <v>44473</v>
      </c>
      <c r="BO9" s="405">
        <f>BN9+IF(WEEKDAY(BN9)=1,1,IF(WEEKDAY(BN9)=7,2,0))+COUNTIF(ClosedDays!$B$4:$B$32,IF(WEEKDAY(BN9)=1,BN9+1,IF(WEEKDAY(BN9)=7,BN9+2,BN9)))+COUNTIF(ClosedDays!$F$4:$F$32,IF(WEEKDAY(BN9)=1,BN9+1,IF(WEEKDAY(BN9)=7,BN9+2,BN9)))+COUNTIF(ClosedDays!$J$4:$J$32,IF(WEEKDAY(BN9)=1,BN9+1,IF(WEEKDAY(BN9)=7,BN9+2,BN9)))+COUNTIF(ClosedDays!$N$4:$N$32,IF(WEEKDAY(BN9)=1,BN9+1,IF(WEEKDAY(BN9)=7,BN9+2,BN9)))</f>
        <v>44473</v>
      </c>
      <c r="BP9" s="405">
        <f>BO9+IF(WEEKDAY(BO9)=1,1,IF(WEEKDAY(BO9)=7,2,0))+COUNTIF(ClosedDays!$B$4:$B$32,IF(WEEKDAY(BO9)=1,BO9+1,IF(WEEKDAY(BO9)=7,BO9+2,BO9)))+COUNTIF(ClosedDays!$F$4:$F$32,IF(WEEKDAY(BO9)=1,BO9+1,IF(WEEKDAY(BO9)=7,BO9+2,BO9)))+COUNTIF(ClosedDays!$J$4:$J$32,IF(WEEKDAY(BO9)=1,BO9+1,IF(WEEKDAY(BO9)=7,BO9+2,BO9)))+COUNTIF(ClosedDays!$N$4:$N$32,IF(WEEKDAY(BO9)=1,BO9+1,IF(WEEKDAY(BO9)=7,BO9+2,BO9)))</f>
        <v>44473</v>
      </c>
      <c r="BQ9" s="405">
        <f t="shared" si="16"/>
        <v>44473</v>
      </c>
      <c r="BR9" s="446">
        <f>IF(AND($D9&lt;='Outline Info'!$H$31,BQ9&gt;='Outline Info'!$H$31,$BS$4=1,$AC9&gt;10,$AC9&lt;9997),1,0)</f>
        <v>0</v>
      </c>
      <c r="BS9" s="405">
        <f>IF(BR9=1,BQ9+'Outline Info'!$I$31-'Outline Info'!$H$31+1,BQ9)</f>
        <v>44473</v>
      </c>
      <c r="BT9" s="405">
        <f>BS9+IF(WEEKDAY(BS9)=1,1,IF(WEEKDAY(BS9)=7,2,0))+COUNTIF(ClosedDays!$B$4:$B$32,IF(WEEKDAY(BS9)=1,BS9+1,IF(WEEKDAY(BS9)=7,BS9+2,BS9)))+COUNTIF(ClosedDays!$F$4:$F$32,IF(WEEKDAY(BS9)=1,BS9+1,IF(WEEKDAY(BS9)=7,BS9+2,BS9)))+COUNTIF(ClosedDays!$J$4:$J$32,IF(WEEKDAY(BS9)=1,BS9+1,IF(WEEKDAY(BS9)=7,BS9+2,BS9)))+COUNTIF(ClosedDays!$N$4:$N$32,IF(WEEKDAY(BS9)=1,BS9+1,IF(WEEKDAY(BS9)=7,BS9+2,BS9)))</f>
        <v>44473</v>
      </c>
      <c r="BU9" s="405">
        <f>BT9+IF(WEEKDAY(BT9)=1,1,IF(WEEKDAY(BT9)=7,2,0))+COUNTIF(ClosedDays!$B$4:$B$32,IF(WEEKDAY(BT9)=1,BT9+1,IF(WEEKDAY(BT9)=7,BT9+2,BT9)))+COUNTIF(ClosedDays!$F$4:$F$32,IF(WEEKDAY(BT9)=1,BT9+1,IF(WEEKDAY(BT9)=7,BT9+2,BT9)))+COUNTIF(ClosedDays!$J$4:$J$32,IF(WEEKDAY(BT9)=1,BT9+1,IF(WEEKDAY(BT9)=7,BT9+2,BT9)))+COUNTIF(ClosedDays!$N$4:$N$32,IF(WEEKDAY(BT9)=1,BT9+1,IF(WEEKDAY(BT9)=7,BT9+2,BT9)))</f>
        <v>44473</v>
      </c>
      <c r="BV9" s="405">
        <f>BU9+IF(WEEKDAY(BU9)=1,1,IF(WEEKDAY(BU9)=7,2,0))+COUNTIF(ClosedDays!$B$4:$B$32,IF(WEEKDAY(BU9)=1,BU9+1,IF(WEEKDAY(BU9)=7,BU9+2,BU9)))+COUNTIF(ClosedDays!$F$4:$F$32,IF(WEEKDAY(BU9)=1,BU9+1,IF(WEEKDAY(BU9)=7,BU9+2,BU9)))+COUNTIF(ClosedDays!$J$4:$J$32,IF(WEEKDAY(BU9)=1,BU9+1,IF(WEEKDAY(BU9)=7,BU9+2,BU9)))+COUNTIF(ClosedDays!$N$4:$N$32,IF(WEEKDAY(BU9)=1,BU9+1,IF(WEEKDAY(BU9)=7,BU9+2,BU9)))</f>
        <v>44473</v>
      </c>
      <c r="BW9" s="405">
        <f>BV9+IF(WEEKDAY(BV9)=1,1,IF(WEEKDAY(BV9)=7,2,0))+COUNTIF(ClosedDays!$B$4:$B$32,IF(WEEKDAY(BV9)=1,BV9+1,IF(WEEKDAY(BV9)=7,BV9+2,BV9)))+COUNTIF(ClosedDays!$F$4:$F$32,IF(WEEKDAY(BV9)=1,BV9+1,IF(WEEKDAY(BV9)=7,BV9+2,BV9)))+COUNTIF(ClosedDays!$J$4:$J$32,IF(WEEKDAY(BV9)=1,BV9+1,IF(WEEKDAY(BV9)=7,BV9+2,BV9)))+COUNTIF(ClosedDays!$N$4:$N$32,IF(WEEKDAY(BV9)=1,BV9+1,IF(WEEKDAY(BV9)=7,BV9+2,BV9)))</f>
        <v>44473</v>
      </c>
      <c r="BX9" s="405">
        <f>BW9+IF(WEEKDAY(BW9)=1,1,IF(WEEKDAY(BW9)=7,2,0))+COUNTIF(ClosedDays!$B$4:$B$32,IF(WEEKDAY(BW9)=1,BW9+1,IF(WEEKDAY(BW9)=7,BW9+2,BW9)))+COUNTIF(ClosedDays!$F$4:$F$32,IF(WEEKDAY(BW9)=1,BW9+1,IF(WEEKDAY(BW9)=7,BW9+2,BW9)))+COUNTIF(ClosedDays!$J$4:$J$32,IF(WEEKDAY(BW9)=1,BW9+1,IF(WEEKDAY(BW9)=7,BW9+2,BW9)))+COUNTIF(ClosedDays!$N$4:$N$32,IF(WEEKDAY(BW9)=1,BW9+1,IF(WEEKDAY(BW9)=7,BW9+2,BW9)))</f>
        <v>44473</v>
      </c>
      <c r="BY9" s="405">
        <f>BX9+IF(WEEKDAY(BX9)=1,1,IF(WEEKDAY(BX9)=7,2,0))+COUNTIF(ClosedDays!$B$4:$B$32,IF(WEEKDAY(BX9)=1,BX9+1,IF(WEEKDAY(BX9)=7,BX9+2,BX9)))+COUNTIF(ClosedDays!$F$4:$F$32,IF(WEEKDAY(BX9)=1,BX9+1,IF(WEEKDAY(BX9)=7,BX9+2,BX9)))+COUNTIF(ClosedDays!$J$4:$J$32,IF(WEEKDAY(BX9)=1,BX9+1,IF(WEEKDAY(BX9)=7,BX9+2,BX9)))+COUNTIF(ClosedDays!$N$4:$N$32,IF(WEEKDAY(BX9)=1,BX9+1,IF(WEEKDAY(BX9)=7,BX9+2,BX9)))</f>
        <v>44473</v>
      </c>
      <c r="BZ9" s="405">
        <f>BY9+IF(WEEKDAY(BY9)=1,1,IF(WEEKDAY(BY9)=7,2,0))+COUNTIF(ClosedDays!$B$4:$B$32,IF(WEEKDAY(BY9)=1,BY9+1,IF(WEEKDAY(BY9)=7,BY9+2,BY9)))+COUNTIF(ClosedDays!$F$4:$F$32,IF(WEEKDAY(BY9)=1,BY9+1,IF(WEEKDAY(BY9)=7,BY9+2,BY9)))+COUNTIF(ClosedDays!$J$4:$J$32,IF(WEEKDAY(BY9)=1,BY9+1,IF(WEEKDAY(BY9)=7,BY9+2,BY9)))+COUNTIF(ClosedDays!$N$4:$N$32,IF(WEEKDAY(BY9)=1,BY9+1,IF(WEEKDAY(BY9)=7,BY9+2,BY9)))</f>
        <v>44473</v>
      </c>
      <c r="CA9" s="405">
        <f>BZ9+IF(WEEKDAY(BZ9)=1,1,IF(WEEKDAY(BZ9)=7,2,0))+COUNTIF(ClosedDays!$B$4:$B$32,IF(WEEKDAY(BZ9)=1,BZ9+1,IF(WEEKDAY(BZ9)=7,BZ9+2,BZ9)))+COUNTIF(ClosedDays!$F$4:$F$32,IF(WEEKDAY(BZ9)=1,BZ9+1,IF(WEEKDAY(BZ9)=7,BZ9+2,BZ9)))+COUNTIF(ClosedDays!$J$4:$J$32,IF(WEEKDAY(BZ9)=1,BZ9+1,IF(WEEKDAY(BZ9)=7,BZ9+2,BZ9)))+COUNTIF(ClosedDays!$N$4:$N$32,IF(WEEKDAY(BZ9)=1,BZ9+1,IF(WEEKDAY(BZ9)=7,BZ9+2,BZ9)))</f>
        <v>44473</v>
      </c>
      <c r="CB9" s="405">
        <f>CA9+IF(WEEKDAY(CA9)=1,1,IF(WEEKDAY(CA9)=7,2,0))+COUNTIF(ClosedDays!$B$4:$B$32,IF(WEEKDAY(CA9)=1,CA9+1,IF(WEEKDAY(CA9)=7,CA9+2,CA9)))+COUNTIF(ClosedDays!$F$4:$F$32,IF(WEEKDAY(CA9)=1,CA9+1,IF(WEEKDAY(CA9)=7,CA9+2,CA9)))+COUNTIF(ClosedDays!$J$4:$J$32,IF(WEEKDAY(CA9)=1,CA9+1,IF(WEEKDAY(CA9)=7,CA9+2,CA9)))+COUNTIF(ClosedDays!$N$4:$N$32,IF(WEEKDAY(CA9)=1,CA9+1,IF(WEEKDAY(CA9)=7,CA9+2,CA9)))</f>
        <v>44473</v>
      </c>
      <c r="CC9" s="405">
        <f>CB9+IF(WEEKDAY(CB9)=1,1,IF(WEEKDAY(CB9)=7,2,0))+COUNTIF(ClosedDays!$B$4:$B$32,IF(WEEKDAY(CB9)=1,CB9+1,IF(WEEKDAY(CB9)=7,CB9+2,CB9)))+COUNTIF(ClosedDays!$F$4:$F$32,IF(WEEKDAY(CB9)=1,CB9+1,IF(WEEKDAY(CB9)=7,CB9+2,CB9)))+COUNTIF(ClosedDays!$J$4:$J$32,IF(WEEKDAY(CB9)=1,CB9+1,IF(WEEKDAY(CB9)=7,CB9+2,CB9)))+COUNTIF(ClosedDays!$N$4:$N$32,IF(WEEKDAY(CB9)=1,CB9+1,IF(WEEKDAY(CB9)=7,CB9+2,CB9)))</f>
        <v>44473</v>
      </c>
      <c r="CD9" s="405">
        <f>CC9+IF(WEEKDAY(CC9)=1,1,IF(WEEKDAY(CC9)=7,2,0))+COUNTIF(ClosedDays!$B$4:$B$32,IF(WEEKDAY(CC9)=1,CC9+1,IF(WEEKDAY(CC9)=7,CC9+2,CC9)))+COUNTIF(ClosedDays!$F$4:$F$32,IF(WEEKDAY(CC9)=1,CC9+1,IF(WEEKDAY(CC9)=7,CC9+2,CC9)))+COUNTIF(ClosedDays!$J$4:$J$32,IF(WEEKDAY(CC9)=1,CC9+1,IF(WEEKDAY(CC9)=7,CC9+2,CC9)))+COUNTIF(ClosedDays!$N$4:$N$32,IF(WEEKDAY(CC9)=1,CC9+1,IF(WEEKDAY(CC9)=7,CC9+2,CC9)))</f>
        <v>44473</v>
      </c>
      <c r="CE9" s="405">
        <f>CD9+IF(WEEKDAY(CD9)=1,1,IF(WEEKDAY(CD9)=7,2,0))+COUNTIF(ClosedDays!$B$4:$B$32,IF(WEEKDAY(CD9)=1,CD9+1,IF(WEEKDAY(CD9)=7,CD9+2,CD9)))+COUNTIF(ClosedDays!$F$4:$F$32,IF(WEEKDAY(CD9)=1,CD9+1,IF(WEEKDAY(CD9)=7,CD9+2,CD9)))+COUNTIF(ClosedDays!$J$4:$J$32,IF(WEEKDAY(CD9)=1,CD9+1,IF(WEEKDAY(CD9)=7,CD9+2,CD9)))+COUNTIF(ClosedDays!$N$4:$N$32,IF(WEEKDAY(CD9)=1,CD9+1,IF(WEEKDAY(CD9)=7,CD9+2,CD9)))</f>
        <v>44473</v>
      </c>
      <c r="CF9" s="405">
        <f>CE9+IF(WEEKDAY(CE9)=1,1,IF(WEEKDAY(CE9)=7,2,0))+COUNTIF(ClosedDays!$B$4:$B$32,IF(WEEKDAY(CE9)=1,CE9+1,IF(WEEKDAY(CE9)=7,CE9+2,CE9)))+COUNTIF(ClosedDays!$F$4:$F$32,IF(WEEKDAY(CE9)=1,CE9+1,IF(WEEKDAY(CE9)=7,CE9+2,CE9)))+COUNTIF(ClosedDays!$J$4:$J$32,IF(WEEKDAY(CE9)=1,CE9+1,IF(WEEKDAY(CE9)=7,CE9+2,CE9)))+COUNTIF(ClosedDays!$N$4:$N$32,IF(WEEKDAY(CE9)=1,CE9+1,IF(WEEKDAY(CE9)=7,CE9+2,CE9)))</f>
        <v>44473</v>
      </c>
      <c r="CG9" s="405">
        <f>CF9+IF(WEEKDAY(CF9)=1,1,IF(WEEKDAY(CF9)=7,2,0))+COUNTIF(ClosedDays!$B$4:$B$32,IF(WEEKDAY(CF9)=1,CF9+1,IF(WEEKDAY(CF9)=7,CF9+2,CF9)))+COUNTIF(ClosedDays!$F$4:$F$32,IF(WEEKDAY(CF9)=1,CF9+1,IF(WEEKDAY(CF9)=7,CF9+2,CF9)))+COUNTIF(ClosedDays!$J$4:$J$32,IF(WEEKDAY(CF9)=1,CF9+1,IF(WEEKDAY(CF9)=7,CF9+2,CF9)))+COUNTIF(ClosedDays!$N$4:$N$32,IF(WEEKDAY(CF9)=1,CF9+1,IF(WEEKDAY(CF9)=7,CF9+2,CF9)))</f>
        <v>44473</v>
      </c>
      <c r="CH9" s="405">
        <f t="shared" si="17"/>
        <v>44473</v>
      </c>
      <c r="CI9" s="446">
        <f>IF(AND($D9&lt;='Outline Info'!$H$33,CH9&gt;='Outline Info'!$H$33,$CJ$4=1,$AC9&gt;10,$AC9&lt;9997),1,0)</f>
        <v>0</v>
      </c>
      <c r="CJ9" s="405">
        <f>IF(CI9=1,CH9+'Outline Info'!$I$33-'Outline Info'!$H$33+1,CH9)</f>
        <v>44473</v>
      </c>
      <c r="CK9" s="405">
        <f>CJ9+IF(WEEKDAY(CJ9)=1,1,IF(WEEKDAY(CJ9)=7,2,0))+COUNTIF(ClosedDays!$B$4:$B$32,IF(WEEKDAY(CJ9)=1,CJ9+1,IF(WEEKDAY(CJ9)=7,CJ9+2,CJ9)))+COUNTIF(ClosedDays!$F$4:$F$32,IF(WEEKDAY(CJ9)=1,CJ9+1,IF(WEEKDAY(CJ9)=7,CJ9+2,CJ9)))+COUNTIF(ClosedDays!$J$4:$J$32,IF(WEEKDAY(CJ9)=1,CJ9+1,IF(WEEKDAY(CJ9)=7,CJ9+2,CJ9)))+COUNTIF(ClosedDays!$N$4:$N$32,IF(WEEKDAY(CJ9)=1,CJ9+1,IF(WEEKDAY(CJ9)=7,CJ9+2,CJ9)))</f>
        <v>44473</v>
      </c>
      <c r="CL9" s="405">
        <f>CK9+IF(WEEKDAY(CK9)=1,1,IF(WEEKDAY(CK9)=7,2,0))+COUNTIF(ClosedDays!$B$4:$B$32,IF(WEEKDAY(CK9)=1,CK9+1,IF(WEEKDAY(CK9)=7,CK9+2,CK9)))+COUNTIF(ClosedDays!$F$4:$F$32,IF(WEEKDAY(CK9)=1,CK9+1,IF(WEEKDAY(CK9)=7,CK9+2,CK9)))+COUNTIF(ClosedDays!$J$4:$J$32,IF(WEEKDAY(CK9)=1,CK9+1,IF(WEEKDAY(CK9)=7,CK9+2,CK9)))+COUNTIF(ClosedDays!$N$4:$N$32,IF(WEEKDAY(CK9)=1,CK9+1,IF(WEEKDAY(CK9)=7,CK9+2,CK9)))</f>
        <v>44473</v>
      </c>
      <c r="CM9" s="405">
        <f>CL9+IF(WEEKDAY(CL9)=1,1,IF(WEEKDAY(CL9)=7,2,0))+COUNTIF(ClosedDays!$B$4:$B$32,IF(WEEKDAY(CL9)=1,CL9+1,IF(WEEKDAY(CL9)=7,CL9+2,CL9)))+COUNTIF(ClosedDays!$F$4:$F$32,IF(WEEKDAY(CL9)=1,CL9+1,IF(WEEKDAY(CL9)=7,CL9+2,CL9)))+COUNTIF(ClosedDays!$J$4:$J$32,IF(WEEKDAY(CL9)=1,CL9+1,IF(WEEKDAY(CL9)=7,CL9+2,CL9)))+COUNTIF(ClosedDays!$N$4:$N$32,IF(WEEKDAY(CL9)=1,CL9+1,IF(WEEKDAY(CL9)=7,CL9+2,CL9)))</f>
        <v>44473</v>
      </c>
      <c r="CN9" s="405">
        <f>CM9+IF(WEEKDAY(CM9)=1,1,IF(WEEKDAY(CM9)=7,2,0))+COUNTIF(ClosedDays!$B$4:$B$32,IF(WEEKDAY(CM9)=1,CM9+1,IF(WEEKDAY(CM9)=7,CM9+2,CM9)))+COUNTIF(ClosedDays!$F$4:$F$32,IF(WEEKDAY(CM9)=1,CM9+1,IF(WEEKDAY(CM9)=7,CM9+2,CM9)))+COUNTIF(ClosedDays!$J$4:$J$32,IF(WEEKDAY(CM9)=1,CM9+1,IF(WEEKDAY(CM9)=7,CM9+2,CM9)))+COUNTIF(ClosedDays!$N$4:$N$32,IF(WEEKDAY(CM9)=1,CM9+1,IF(WEEKDAY(CM9)=7,CM9+2,CM9)))</f>
        <v>44473</v>
      </c>
      <c r="CO9" s="405">
        <f>CN9+IF(WEEKDAY(CN9)=1,1,IF(WEEKDAY(CN9)=7,2,0))+COUNTIF(ClosedDays!$B$4:$B$32,IF(WEEKDAY(CN9)=1,CN9+1,IF(WEEKDAY(CN9)=7,CN9+2,CN9)))+COUNTIF(ClosedDays!$F$4:$F$32,IF(WEEKDAY(CN9)=1,CN9+1,IF(WEEKDAY(CN9)=7,CN9+2,CN9)))+COUNTIF(ClosedDays!$J$4:$J$32,IF(WEEKDAY(CN9)=1,CN9+1,IF(WEEKDAY(CN9)=7,CN9+2,CN9)))+COUNTIF(ClosedDays!$N$4:$N$32,IF(WEEKDAY(CN9)=1,CN9+1,IF(WEEKDAY(CN9)=7,CN9+2,CN9)))</f>
        <v>44473</v>
      </c>
      <c r="CP9" s="405">
        <f>CO9+IF(WEEKDAY(CO9)=1,1,IF(WEEKDAY(CO9)=7,2,0))+COUNTIF(ClosedDays!$B$4:$B$32,IF(WEEKDAY(CO9)=1,CO9+1,IF(WEEKDAY(CO9)=7,CO9+2,CO9)))+COUNTIF(ClosedDays!$F$4:$F$32,IF(WEEKDAY(CO9)=1,CO9+1,IF(WEEKDAY(CO9)=7,CO9+2,CO9)))+COUNTIF(ClosedDays!$J$4:$J$32,IF(WEEKDAY(CO9)=1,CO9+1,IF(WEEKDAY(CO9)=7,CO9+2,CO9)))+COUNTIF(ClosedDays!$N$4:$N$32,IF(WEEKDAY(CO9)=1,CO9+1,IF(WEEKDAY(CO9)=7,CO9+2,CO9)))</f>
        <v>44473</v>
      </c>
      <c r="CQ9" s="405">
        <f>CP9+IF(WEEKDAY(CP9)=1,1,IF(WEEKDAY(CP9)=7,2,0))+COUNTIF(ClosedDays!$B$4:$B$32,IF(WEEKDAY(CP9)=1,CP9+1,IF(WEEKDAY(CP9)=7,CP9+2,CP9)))+COUNTIF(ClosedDays!$F$4:$F$32,IF(WEEKDAY(CP9)=1,CP9+1,IF(WEEKDAY(CP9)=7,CP9+2,CP9)))+COUNTIF(ClosedDays!$J$4:$J$32,IF(WEEKDAY(CP9)=1,CP9+1,IF(WEEKDAY(CP9)=7,CP9+2,CP9)))+COUNTIF(ClosedDays!$N$4:$N$32,IF(WEEKDAY(CP9)=1,CP9+1,IF(WEEKDAY(CP9)=7,CP9+2,CP9)))</f>
        <v>44473</v>
      </c>
      <c r="CR9" s="405">
        <f>CQ9+IF(WEEKDAY(CQ9)=1,1,IF(WEEKDAY(CQ9)=7,2,0))+COUNTIF(ClosedDays!$B$4:$B$32,IF(WEEKDAY(CQ9)=1,CQ9+1,IF(WEEKDAY(CQ9)=7,CQ9+2,CQ9)))+COUNTIF(ClosedDays!$F$4:$F$32,IF(WEEKDAY(CQ9)=1,CQ9+1,IF(WEEKDAY(CQ9)=7,CQ9+2,CQ9)))+COUNTIF(ClosedDays!$J$4:$J$32,IF(WEEKDAY(CQ9)=1,CQ9+1,IF(WEEKDAY(CQ9)=7,CQ9+2,CQ9)))+COUNTIF(ClosedDays!$N$4:$N$32,IF(WEEKDAY(CQ9)=1,CQ9+1,IF(WEEKDAY(CQ9)=7,CQ9+2,CQ9)))</f>
        <v>44473</v>
      </c>
      <c r="CS9" s="405">
        <f>CR9+IF(WEEKDAY(CR9)=1,1,IF(WEEKDAY(CR9)=7,2,0))+COUNTIF(ClosedDays!$B$4:$B$32,IF(WEEKDAY(CR9)=1,CR9+1,IF(WEEKDAY(CR9)=7,CR9+2,CR9)))+COUNTIF(ClosedDays!$F$4:$F$32,IF(WEEKDAY(CR9)=1,CR9+1,IF(WEEKDAY(CR9)=7,CR9+2,CR9)))+COUNTIF(ClosedDays!$J$4:$J$32,IF(WEEKDAY(CR9)=1,CR9+1,IF(WEEKDAY(CR9)=7,CR9+2,CR9)))+COUNTIF(ClosedDays!$N$4:$N$32,IF(WEEKDAY(CR9)=1,CR9+1,IF(WEEKDAY(CR9)=7,CR9+2,CR9)))</f>
        <v>44473</v>
      </c>
      <c r="CT9" s="405">
        <f>CS9+IF(WEEKDAY(CS9)=1,1,IF(WEEKDAY(CS9)=7,2,0))+COUNTIF(ClosedDays!$B$4:$B$32,IF(WEEKDAY(CS9)=1,CS9+1,IF(WEEKDAY(CS9)=7,CS9+2,CS9)))+COUNTIF(ClosedDays!$F$4:$F$32,IF(WEEKDAY(CS9)=1,CS9+1,IF(WEEKDAY(CS9)=7,CS9+2,CS9)))+COUNTIF(ClosedDays!$J$4:$J$32,IF(WEEKDAY(CS9)=1,CS9+1,IF(WEEKDAY(CS9)=7,CS9+2,CS9)))+COUNTIF(ClosedDays!$N$4:$N$32,IF(WEEKDAY(CS9)=1,CS9+1,IF(WEEKDAY(CS9)=7,CS9+2,CS9)))</f>
        <v>44473</v>
      </c>
      <c r="CU9" s="405">
        <f>CT9+IF(WEEKDAY(CT9)=1,1,IF(WEEKDAY(CT9)=7,2,0))+COUNTIF(ClosedDays!$B$4:$B$32,IF(WEEKDAY(CT9)=1,CT9+1,IF(WEEKDAY(CT9)=7,CT9+2,CT9)))+COUNTIF(ClosedDays!$F$4:$F$32,IF(WEEKDAY(CT9)=1,CT9+1,IF(WEEKDAY(CT9)=7,CT9+2,CT9)))+COUNTIF(ClosedDays!$J$4:$J$32,IF(WEEKDAY(CT9)=1,CT9+1,IF(WEEKDAY(CT9)=7,CT9+2,CT9)))+COUNTIF(ClosedDays!$N$4:$N$32,IF(WEEKDAY(CT9)=1,CT9+1,IF(WEEKDAY(CT9)=7,CT9+2,CT9)))</f>
        <v>44473</v>
      </c>
      <c r="CV9" s="405">
        <f>CU9+IF(WEEKDAY(CU9)=1,1,IF(WEEKDAY(CU9)=7,2,0))+COUNTIF(ClosedDays!$B$4:$B$32,IF(WEEKDAY(CU9)=1,CU9+1,IF(WEEKDAY(CU9)=7,CU9+2,CU9)))+COUNTIF(ClosedDays!$F$4:$F$32,IF(WEEKDAY(CU9)=1,CU9+1,IF(WEEKDAY(CU9)=7,CU9+2,CU9)))+COUNTIF(ClosedDays!$J$4:$J$32,IF(WEEKDAY(CU9)=1,CU9+1,IF(WEEKDAY(CU9)=7,CU9+2,CU9)))+COUNTIF(ClosedDays!$N$4:$N$32,IF(WEEKDAY(CU9)=1,CU9+1,IF(WEEKDAY(CU9)=7,CU9+2,CU9)))</f>
        <v>44473</v>
      </c>
      <c r="CW9" s="405">
        <f>CV9+IF(WEEKDAY(CV9)=1,1,IF(WEEKDAY(CV9)=7,2,0))+COUNTIF(ClosedDays!$B$4:$B$32,IF(WEEKDAY(CV9)=1,CV9+1,IF(WEEKDAY(CV9)=7,CV9+2,CV9)))+COUNTIF(ClosedDays!$F$4:$F$32,IF(WEEKDAY(CV9)=1,CV9+1,IF(WEEKDAY(CV9)=7,CV9+2,CV9)))+COUNTIF(ClosedDays!$J$4:$J$32,IF(WEEKDAY(CV9)=1,CV9+1,IF(WEEKDAY(CV9)=7,CV9+2,CV9)))+COUNTIF(ClosedDays!$N$4:$N$32,IF(WEEKDAY(CV9)=1,CV9+1,IF(WEEKDAY(CV9)=7,CV9+2,CV9)))</f>
        <v>44473</v>
      </c>
      <c r="CX9" s="405">
        <f>CW9+IF(WEEKDAY(CW9)=1,1,IF(WEEKDAY(CW9)=7,2,0))+COUNTIF(ClosedDays!$B$4:$B$32,IF(WEEKDAY(CW9)=1,CW9+1,IF(WEEKDAY(CW9)=7,CW9+2,CW9)))+COUNTIF(ClosedDays!$F$4:$F$32,IF(WEEKDAY(CW9)=1,CW9+1,IF(WEEKDAY(CW9)=7,CW9+2,CW9)))+COUNTIF(ClosedDays!$J$4:$J$32,IF(WEEKDAY(CW9)=1,CW9+1,IF(WEEKDAY(CW9)=7,CW9+2,CW9)))+COUNTIF(ClosedDays!$N$4:$N$32,IF(WEEKDAY(CW9)=1,CW9+1,IF(WEEKDAY(CW9)=7,CW9+2,CW9)))</f>
        <v>44473</v>
      </c>
      <c r="CY9" s="405">
        <f t="shared" si="18"/>
        <v>44473</v>
      </c>
      <c r="CZ9" s="446">
        <f>IF(AND($D9&lt;='Outline Info'!$E$33,CY9&gt;='Outline Info'!$E$33,$AC9&gt;10,$AC9&lt;9997),1,0)</f>
        <v>0</v>
      </c>
      <c r="DA9" s="405">
        <f>IF(AND($D9&lt;='Outline Info'!$E$33,CY9&gt;='Outline Info'!$E$33),CY9+'Outline Info'!$F$33-'Outline Info'!$E$33+1,CY9)</f>
        <v>44473</v>
      </c>
      <c r="DB9" s="405">
        <f>DA9+IF(WEEKDAY(DA9)=1,1,IF(WEEKDAY(DA9)=7,2,0))+COUNTIF(ClosedDays!$B$4:$B$32,IF(WEEKDAY(DA9)=1,DA9+1,IF(WEEKDAY(DA9)=7,DA9+2,DA9)))+COUNTIF(ClosedDays!$F$4:$F$32,IF(WEEKDAY(DA9)=1,DA9+1,IF(WEEKDAY(DA9)=7,DA9+2,DA9)))+COUNTIF(ClosedDays!$J$4:$J$32,IF(WEEKDAY(DA9)=1,DA9+1,IF(WEEKDAY(DA9)=7,DA9+2,DA9)))+COUNTIF(ClosedDays!$N$4:$N$32,IF(WEEKDAY(DA9)=1,DA9+1,IF(WEEKDAY(DA9)=7,DA9+2,DA9)))</f>
        <v>44473</v>
      </c>
      <c r="DC9" s="405">
        <f>DB9+IF(WEEKDAY(DB9)=1,1,IF(WEEKDAY(DB9)=7,2,0))+COUNTIF(ClosedDays!$B$4:$B$32,IF(WEEKDAY(DB9)=1,DB9+1,IF(WEEKDAY(DB9)=7,DB9+2,DB9)))+COUNTIF(ClosedDays!$F$4:$F$32,IF(WEEKDAY(DB9)=1,DB9+1,IF(WEEKDAY(DB9)=7,DB9+2,DB9)))+COUNTIF(ClosedDays!$J$4:$J$32,IF(WEEKDAY(DB9)=1,DB9+1,IF(WEEKDAY(DB9)=7,DB9+2,DB9)))+COUNTIF(ClosedDays!$N$4:$N$32,IF(WEEKDAY(DB9)=1,DB9+1,IF(WEEKDAY(DB9)=7,DB9+2,DB9)))</f>
        <v>44473</v>
      </c>
      <c r="DD9" s="405">
        <f>DC9+IF(WEEKDAY(DC9)=1,1,IF(WEEKDAY(DC9)=7,2,0))+COUNTIF(ClosedDays!$B$4:$B$32,IF(WEEKDAY(DC9)=1,DC9+1,IF(WEEKDAY(DC9)=7,DC9+2,DC9)))+COUNTIF(ClosedDays!$F$4:$F$32,IF(WEEKDAY(DC9)=1,DC9+1,IF(WEEKDAY(DC9)=7,DC9+2,DC9)))+COUNTIF(ClosedDays!$J$4:$J$32,IF(WEEKDAY(DC9)=1,DC9+1,IF(WEEKDAY(DC9)=7,DC9+2,DC9)))+COUNTIF(ClosedDays!$N$4:$N$32,IF(WEEKDAY(DC9)=1,DC9+1,IF(WEEKDAY(DC9)=7,DC9+2,DC9)))</f>
        <v>44473</v>
      </c>
      <c r="DE9" s="405">
        <f>DD9+IF(WEEKDAY(DD9)=1,1,IF(WEEKDAY(DD9)=7,2,0))+COUNTIF(ClosedDays!$B$4:$B$32,IF(WEEKDAY(DD9)=1,DD9+1,IF(WEEKDAY(DD9)=7,DD9+2,DD9)))+COUNTIF(ClosedDays!$F$4:$F$32,IF(WEEKDAY(DD9)=1,DD9+1,IF(WEEKDAY(DD9)=7,DD9+2,DD9)))+COUNTIF(ClosedDays!$J$4:$J$32,IF(WEEKDAY(DD9)=1,DD9+1,IF(WEEKDAY(DD9)=7,DD9+2,DD9)))+COUNTIF(ClosedDays!$N$4:$N$32,IF(WEEKDAY(DD9)=1,DD9+1,IF(WEEKDAY(DD9)=7,DD9+2,DD9)))</f>
        <v>44473</v>
      </c>
      <c r="DF9" s="405">
        <f>DE9+IF(WEEKDAY(DE9)=1,1,IF(WEEKDAY(DE9)=7,2,0))+COUNTIF(ClosedDays!$B$4:$B$32,IF(WEEKDAY(DE9)=1,DE9+1,IF(WEEKDAY(DE9)=7,DE9+2,DE9)))+COUNTIF(ClosedDays!$F$4:$F$32,IF(WEEKDAY(DE9)=1,DE9+1,IF(WEEKDAY(DE9)=7,DE9+2,DE9)))+COUNTIF(ClosedDays!$J$4:$J$32,IF(WEEKDAY(DE9)=1,DE9+1,IF(WEEKDAY(DE9)=7,DE9+2,DE9)))+COUNTIF(ClosedDays!$N$4:$N$32,IF(WEEKDAY(DE9)=1,DE9+1,IF(WEEKDAY(DE9)=7,DE9+2,DE9)))</f>
        <v>44473</v>
      </c>
      <c r="DG9" s="405">
        <f>DF9+IF(WEEKDAY(DF9)=1,1,IF(WEEKDAY(DF9)=7,2,0))+COUNTIF(ClosedDays!$B$4:$B$32,IF(WEEKDAY(DF9)=1,DF9+1,IF(WEEKDAY(DF9)=7,DF9+2,DF9)))+COUNTIF(ClosedDays!$F$4:$F$32,IF(WEEKDAY(DF9)=1,DF9+1,IF(WEEKDAY(DF9)=7,DF9+2,DF9)))+COUNTIF(ClosedDays!$J$4:$J$32,IF(WEEKDAY(DF9)=1,DF9+1,IF(WEEKDAY(DF9)=7,DF9+2,DF9)))+COUNTIF(ClosedDays!$N$4:$N$32,IF(WEEKDAY(DF9)=1,DF9+1,IF(WEEKDAY(DF9)=7,DF9+2,DF9)))</f>
        <v>44473</v>
      </c>
      <c r="DH9" s="405">
        <f>DG9+IF(WEEKDAY(DG9)=1,1,IF(WEEKDAY(DG9)=7,2,0))+COUNTIF(ClosedDays!$B$4:$B$32,IF(WEEKDAY(DG9)=1,DG9+1,IF(WEEKDAY(DG9)=7,DG9+2,DG9)))+COUNTIF(ClosedDays!$F$4:$F$32,IF(WEEKDAY(DG9)=1,DG9+1,IF(WEEKDAY(DG9)=7,DG9+2,DG9)))+COUNTIF(ClosedDays!$J$4:$J$32,IF(WEEKDAY(DG9)=1,DG9+1,IF(WEEKDAY(DG9)=7,DG9+2,DG9)))+COUNTIF(ClosedDays!$N$4:$N$32,IF(WEEKDAY(DG9)=1,DG9+1,IF(WEEKDAY(DG9)=7,DG9+2,DG9)))</f>
        <v>44473</v>
      </c>
      <c r="DI9" s="405">
        <f>DH9+IF(WEEKDAY(DH9)=1,1,IF(WEEKDAY(DH9)=7,2,0))+COUNTIF(ClosedDays!$B$4:$B$32,IF(WEEKDAY(DH9)=1,DH9+1,IF(WEEKDAY(DH9)=7,DH9+2,DH9)))+COUNTIF(ClosedDays!$F$4:$F$32,IF(WEEKDAY(DH9)=1,DH9+1,IF(WEEKDAY(DH9)=7,DH9+2,DH9)))+COUNTIF(ClosedDays!$J$4:$J$32,IF(WEEKDAY(DH9)=1,DH9+1,IF(WEEKDAY(DH9)=7,DH9+2,DH9)))+COUNTIF(ClosedDays!$N$4:$N$32,IF(WEEKDAY(DH9)=1,DH9+1,IF(WEEKDAY(DH9)=7,DH9+2,DH9)))</f>
        <v>44473</v>
      </c>
      <c r="DJ9" s="405">
        <f>DI9+IF(WEEKDAY(DI9)=1,1,IF(WEEKDAY(DI9)=7,2,0))+COUNTIF(ClosedDays!$B$4:$B$32,IF(WEEKDAY(DI9)=1,DI9+1,IF(WEEKDAY(DI9)=7,DI9+2,DI9)))+COUNTIF(ClosedDays!$F$4:$F$32,IF(WEEKDAY(DI9)=1,DI9+1,IF(WEEKDAY(DI9)=7,DI9+2,DI9)))+COUNTIF(ClosedDays!$J$4:$J$32,IF(WEEKDAY(DI9)=1,DI9+1,IF(WEEKDAY(DI9)=7,DI9+2,DI9)))+COUNTIF(ClosedDays!$N$4:$N$32,IF(WEEKDAY(DI9)=1,DI9+1,IF(WEEKDAY(DI9)=7,DI9+2,DI9)))</f>
        <v>44473</v>
      </c>
      <c r="DK9" s="405">
        <f>DJ9+IF(WEEKDAY(DJ9)=1,1,IF(WEEKDAY(DJ9)=7,2,0))+COUNTIF(ClosedDays!$B$4:$B$32,IF(WEEKDAY(DJ9)=1,DJ9+1,IF(WEEKDAY(DJ9)=7,DJ9+2,DJ9)))+COUNTIF(ClosedDays!$F$4:$F$32,IF(WEEKDAY(DJ9)=1,DJ9+1,IF(WEEKDAY(DJ9)=7,DJ9+2,DJ9)))+COUNTIF(ClosedDays!$J$4:$J$32,IF(WEEKDAY(DJ9)=1,DJ9+1,IF(WEEKDAY(DJ9)=7,DJ9+2,DJ9)))+COUNTIF(ClosedDays!$N$4:$N$32,IF(WEEKDAY(DJ9)=1,DJ9+1,IF(WEEKDAY(DJ9)=7,DJ9+2,DJ9)))</f>
        <v>44473</v>
      </c>
      <c r="DL9" s="405">
        <f>DK9+IF(WEEKDAY(DK9)=1,1,IF(WEEKDAY(DK9)=7,2,0))+COUNTIF(ClosedDays!$B$4:$B$32,IF(WEEKDAY(DK9)=1,DK9+1,IF(WEEKDAY(DK9)=7,DK9+2,DK9)))+COUNTIF(ClosedDays!$F$4:$F$32,IF(WEEKDAY(DK9)=1,DK9+1,IF(WEEKDAY(DK9)=7,DK9+2,DK9)))+COUNTIF(ClosedDays!$J$4:$J$32,IF(WEEKDAY(DK9)=1,DK9+1,IF(WEEKDAY(DK9)=7,DK9+2,DK9)))+COUNTIF(ClosedDays!$N$4:$N$32,IF(WEEKDAY(DK9)=1,DK9+1,IF(WEEKDAY(DK9)=7,DK9+2,DK9)))</f>
        <v>44473</v>
      </c>
      <c r="DM9" s="405">
        <f>DL9+IF(WEEKDAY(DL9)=1,1,IF(WEEKDAY(DL9)=7,2,0))+COUNTIF(ClosedDays!$B$4:$B$32,IF(WEEKDAY(DL9)=1,DL9+1,IF(WEEKDAY(DL9)=7,DL9+2,DL9)))+COUNTIF(ClosedDays!$F$4:$F$32,IF(WEEKDAY(DL9)=1,DL9+1,IF(WEEKDAY(DL9)=7,DL9+2,DL9)))+COUNTIF(ClosedDays!$J$4:$J$32,IF(WEEKDAY(DL9)=1,DL9+1,IF(WEEKDAY(DL9)=7,DL9+2,DL9)))+COUNTIF(ClosedDays!$N$4:$N$32,IF(WEEKDAY(DL9)=1,DL9+1,IF(WEEKDAY(DL9)=7,DL9+2,DL9)))</f>
        <v>44473</v>
      </c>
      <c r="DN9" s="405">
        <f>DM9+IF(WEEKDAY(DM9)=1,1,IF(WEEKDAY(DM9)=7,2,0))+COUNTIF(ClosedDays!$B$4:$B$32,IF(WEEKDAY(DM9)=1,DM9+1,IF(WEEKDAY(DM9)=7,DM9+2,DM9)))+COUNTIF(ClosedDays!$F$4:$F$32,IF(WEEKDAY(DM9)=1,DM9+1,IF(WEEKDAY(DM9)=7,DM9+2,DM9)))+COUNTIF(ClosedDays!$J$4:$J$32,IF(WEEKDAY(DM9)=1,DM9+1,IF(WEEKDAY(DM9)=7,DM9+2,DM9)))+COUNTIF(ClosedDays!$N$4:$N$32,IF(WEEKDAY(DM9)=1,DM9+1,IF(WEEKDAY(DM9)=7,DM9+2,DM9)))</f>
        <v>44473</v>
      </c>
      <c r="DO9" s="405">
        <f>DN9+IF(WEEKDAY(DN9)=1,1,IF(WEEKDAY(DN9)=7,2,0))+COUNTIF(ClosedDays!$B$4:$B$32,IF(WEEKDAY(DN9)=1,DN9+1,IF(WEEKDAY(DN9)=7,DN9+2,DN9)))+COUNTIF(ClosedDays!$F$4:$F$32,IF(WEEKDAY(DN9)=1,DN9+1,IF(WEEKDAY(DN9)=7,DN9+2,DN9)))+COUNTIF(ClosedDays!$J$4:$J$32,IF(WEEKDAY(DN9)=1,DN9+1,IF(WEEKDAY(DN9)=7,DN9+2,DN9)))+COUNTIF(ClosedDays!$N$4:$N$32,IF(WEEKDAY(DN9)=1,DN9+1,IF(WEEKDAY(DN9)=7,DN9+2,DN9)))</f>
        <v>44473</v>
      </c>
      <c r="DP9" s="405">
        <f t="shared" si="5"/>
        <v>44473</v>
      </c>
      <c r="DQ9" s="405">
        <f t="shared" ref="DQ9:DQ47" si="20">IF(OR(AE9="*",AE9="X",AE9="x",AC9&gt;6),DP9,DQ8)</f>
        <v>44473</v>
      </c>
      <c r="DR9" s="394">
        <f t="shared" si="19"/>
        <v>1</v>
      </c>
      <c r="DS9" s="394">
        <f>IF(AND(DR9=1,COUNTIF(DS$7:DS8,1)&lt;12,VLOOKUP(COUNTIF(DS$7:DS8,1)+1,'Outline Info'!$A$21:$C$32,2)&lt;=I9),1,0)</f>
        <v>1</v>
      </c>
      <c r="DT9" s="405" t="str">
        <f>IF(DS9=1,IF(VLOOKUP(COUNTIF(DS$7:DS9,1),'Outline Info'!$A$21:$C$32,2)=0,"",VLOOKUP(COUNTIF(DS$7:DS9,1),'Outline Info'!$A$21:$C$32,2)),"")</f>
        <v/>
      </c>
      <c r="DU9" s="447">
        <f>IF(DS9=1,VLOOKUP(COUNTIF(DS$7:DS9,1),'Outline Info'!$A$21:$C$32,3),0)</f>
        <v>0</v>
      </c>
      <c r="DV9" s="445">
        <f>IF('Outline Info'!$B$8="Y",IF(B9="*",'Outline Info'!$B$19,IF(OR($A9="",B9="X",B9="x"),0,VLOOKUP($A9,'Course Table'!$A$2:$J$331,4,TRUE))),0)</f>
        <v>0</v>
      </c>
      <c r="DW9" s="447">
        <f t="shared" si="6"/>
        <v>0</v>
      </c>
      <c r="DX9" s="447">
        <f>IF('Outline Info'!$B$8="Y",$DV9,$DW9)</f>
        <v>0</v>
      </c>
      <c r="DY9" s="394"/>
      <c r="DZ9" s="934"/>
      <c r="EA9" s="934"/>
      <c r="EB9" s="394"/>
      <c r="EC9" s="394"/>
      <c r="ED9" s="394"/>
    </row>
    <row r="10" spans="1:134" s="400" customFormat="1" ht="20.100000000000001" customHeight="1">
      <c r="A10" s="874" t="str">
        <f t="shared" si="7"/>
        <v/>
      </c>
      <c r="B10" s="876" t="str">
        <f t="shared" si="8"/>
        <v/>
      </c>
      <c r="C10" s="878" t="str">
        <f t="shared" si="9"/>
        <v/>
      </c>
      <c r="D10" s="463">
        <f>IF(NOT(ISBLANK(DZ10)),DZ10,IF(AND($AC10=9998,'Outline Info'!$H$33&gt;='Outline Info'!$B$6,'Outline Info'!$H$33&lt;='Outline Info'!$C$6),'Outline Info'!$H$33,IF(AND($AC10=9997,'Outline Info'!$H$31&gt;='Outline Info'!$B$6,'Outline Info'!$H$31&lt;='Outline Info'!$C$6),'Outline Info'!$H$31,IF(AE10="*",DQ9,IF(OR(AE10="x",AE10="X"),I9,IF(AND(AC10&gt;6,AC9&lt;6),DQ9,IF(AND($AC10=9998,$AC9=9997),I8,I9)))))))</f>
        <v>44470</v>
      </c>
      <c r="E10" s="1286"/>
      <c r="F10" s="1287"/>
      <c r="G10" s="1282"/>
      <c r="H10" s="1283"/>
      <c r="I10" s="464">
        <f>IF(AND($AC10=9998,'Outline Info'!$I$33&gt;='Outline Info'!$B$6,'Outline Info'!$I$33&lt;='Outline Info'!$C$6),'Outline Info'!$I$33,IF(AND($AC10=9997,'Outline Info'!$I$31&gt;='Outline Info'!$B$6,'Outline Info'!$I$31&lt;='Outline Info'!$C$6),'Outline Info'!$I$31,IF(DP10&gt;$V$4,$V$4,DP10)))</f>
        <v>44470</v>
      </c>
      <c r="J10" s="436"/>
      <c r="K10" s="437"/>
      <c r="L10" s="438"/>
      <c r="M10" s="438"/>
      <c r="N10" s="435"/>
      <c r="O10" s="435"/>
      <c r="P10" s="438"/>
      <c r="Q10" s="438"/>
      <c r="R10" s="439"/>
      <c r="S10" s="872">
        <f>IF($V$5-SUM($DX$7:$DX10)&lt;0,IF($V$5-SUM($DX$7:$DX9)&lt;0,0,$V$5-SUM($DX$7:$DX9)),DX10)</f>
        <v>0</v>
      </c>
      <c r="T10" s="440" t="str">
        <f>IF(S10&gt;0,IF('Outline Info'!$B$8="Y",D10,DT10),"")</f>
        <v/>
      </c>
      <c r="U10" s="441"/>
      <c r="V10" s="442"/>
      <c r="W10" s="870" t="str">
        <f>IF('Outline Info'!$C$33&gt;0,ROUND(IF('Outline Info'!$B$8="Y",SUM(S$7:S10)-SUM(AJ$7:AJ10)-'Outline Info'!$B$14-'Outline Info'!$B$15-'Outline Info'!$B$17,IF(AL10=0,SUM(S$7:S10)-SUM(AK$7:AK10)-SUM(AP10:AS10)-'Outline Info'!$B$14-'Outline Info'!$B$15-'Outline Info'!$B$17,0)),0),IF('Outline Info'!$T$4&lt;&gt;1,"",IF(OR(AD10="",AL10=1),"",SUM(AK$7:AK10)+SUM(AP10:AS10)+'Outline Info'!$B$14+'Outline Info'!$B$15+'Outline Info'!$B$17)))</f>
        <v/>
      </c>
      <c r="X10" s="448"/>
      <c r="Y10" s="443">
        <f>IF(OR(AE10="X",AE10="x",AE10="*",AC10=99999),0,IF(AC10&lt;50,0,IF($S$4-SUM($Y$7:$Y9)&gt;0,1,0)))</f>
        <v>0</v>
      </c>
      <c r="Z10" s="444">
        <f>IF(AC10&lt;99999,IF(AE10="*",AH10,IF(OR(AE10="x",AE10="X",AC10&lt;10),0,IF(AND(AC10&lt;&gt;9998,AC10&lt;&gt;9997),IF(AM10=1,(AH10+$AM$5)*(1+('Outline Info'!$B$16)),IF(AN10=1,(AH10+$AN$5)*(1+('Outline Info'!$B$16)),0)),AH10))),0)</f>
        <v>0</v>
      </c>
      <c r="AA10" s="395">
        <f>Z10/'Outline Info'!$C$11+Y10</f>
        <v>0</v>
      </c>
      <c r="AB10" s="395">
        <f>ROUND(AA10/'Outline Info'!$B$11*7,0)</f>
        <v>0</v>
      </c>
      <c r="AC10" s="445">
        <f>IF($AD10&lt;&gt;"",VLOOKUP($AD10,'Course Table'!$A$2:$J$331,10,TRUE),99999)</f>
        <v>99999</v>
      </c>
      <c r="AD10" s="394"/>
      <c r="AE10" s="394"/>
      <c r="AF10" s="394"/>
      <c r="AG10" s="394"/>
      <c r="AH10" s="394"/>
      <c r="AI10" s="394">
        <v>389</v>
      </c>
      <c r="AJ10" s="394">
        <v>389</v>
      </c>
      <c r="AK10" s="394">
        <f t="shared" si="10"/>
        <v>389</v>
      </c>
      <c r="AL10" s="394">
        <f t="shared" si="11"/>
        <v>0</v>
      </c>
      <c r="AM10" s="394">
        <f t="shared" si="12"/>
        <v>0</v>
      </c>
      <c r="AN10" s="394">
        <f t="shared" si="13"/>
        <v>0</v>
      </c>
      <c r="AO10" s="394">
        <f>IF(AN10=1,SUMPRODUCT($AJ$7:$AJ10,$AN$7:$AN10),0)</f>
        <v>0</v>
      </c>
      <c r="AP10" s="394">
        <f t="shared" si="14"/>
        <v>0</v>
      </c>
      <c r="AQ10" s="394">
        <f t="shared" si="14"/>
        <v>0</v>
      </c>
      <c r="AR10" s="394">
        <f t="shared" si="14"/>
        <v>0</v>
      </c>
      <c r="AS10" s="394">
        <f t="shared" si="14"/>
        <v>0</v>
      </c>
      <c r="AT10" s="394">
        <f t="shared" si="15"/>
        <v>0</v>
      </c>
      <c r="AU10" s="394">
        <f t="shared" si="15"/>
        <v>0</v>
      </c>
      <c r="AV10" s="394">
        <f t="shared" si="15"/>
        <v>0</v>
      </c>
      <c r="AW10" s="394">
        <f t="shared" si="15"/>
        <v>0</v>
      </c>
      <c r="AX10" s="394">
        <f t="shared" si="1"/>
        <v>0</v>
      </c>
      <c r="AY10" s="394">
        <f t="shared" si="2"/>
        <v>0</v>
      </c>
      <c r="AZ10" s="394">
        <f t="shared" si="3"/>
        <v>0</v>
      </c>
      <c r="BA10" s="394">
        <f t="shared" si="4"/>
        <v>0</v>
      </c>
      <c r="BB10" s="405">
        <f t="shared" ref="BB10:BB20" si="21">IF(OR(AE10="X",AE10="x"),I9,IF(AE10="*",I9+AB10,IF(AC10&gt;6,IF(NOT(ISBLANK(DZ10)),DZ10+AB10,DQ9+AB10),$V$3-7+ROUND(($V$4-$V$3)/4*(AC10),0))))</f>
        <v>44473</v>
      </c>
      <c r="BC10" s="405">
        <f>BB10+IF(WEEKDAY(BB10)=1,1,IF(WEEKDAY(BB10)=7,2,0))+COUNTIF(ClosedDays!$B$4:$B$32,IF(WEEKDAY(BB10)=1,BB10+1,IF(WEEKDAY(BB10)=7,BB10+2,BB10)))+COUNTIF(ClosedDays!$F$4:$F$32,IF(WEEKDAY(BB10)=1,BB10+1,IF(WEEKDAY(BB10)=7,BB10+2,BB10)))+COUNTIF(ClosedDays!$J$4:$J$32,IF(WEEKDAY(BB10)=1,BB10+1,IF(WEEKDAY(BB10)=7,BB10+2,BB10)))+COUNTIF(ClosedDays!$N$4:$N$32,IF(WEEKDAY(BB10)=1,BB10+1,IF(WEEKDAY(BB10)=7,BB10+2,BB10)))</f>
        <v>44473</v>
      </c>
      <c r="BD10" s="405">
        <f>BC10+IF(WEEKDAY(BC10)=1,1,IF(WEEKDAY(BC10)=7,2,0))+COUNTIF(ClosedDays!$B$4:$B$32,IF(WEEKDAY(BC10)=1,BC10+1,IF(WEEKDAY(BC10)=7,BC10+2,BC10)))+COUNTIF(ClosedDays!$F$4:$F$32,IF(WEEKDAY(BC10)=1,BC10+1,IF(WEEKDAY(BC10)=7,BC10+2,BC10)))+COUNTIF(ClosedDays!$J$4:$J$32,IF(WEEKDAY(BC10)=1,BC10+1,IF(WEEKDAY(BC10)=7,BC10+2,BC10)))+COUNTIF(ClosedDays!$N$4:$N$32,IF(WEEKDAY(BC10)=1,BC10+1,IF(WEEKDAY(BC10)=7,BC10+2,BC10)))</f>
        <v>44473</v>
      </c>
      <c r="BE10" s="405">
        <f>BD10+IF(WEEKDAY(BD10)=1,1,IF(WEEKDAY(BD10)=7,2,0))+COUNTIF(ClosedDays!$B$4:$B$32,IF(WEEKDAY(BD10)=1,BD10+1,IF(WEEKDAY(BD10)=7,BD10+2,BD10)))+COUNTIF(ClosedDays!$F$4:$F$32,IF(WEEKDAY(BD10)=1,BD10+1,IF(WEEKDAY(BD10)=7,BD10+2,BD10)))+COUNTIF(ClosedDays!$J$4:$J$32,IF(WEEKDAY(BD10)=1,BD10+1,IF(WEEKDAY(BD10)=7,BD10+2,BD10)))+COUNTIF(ClosedDays!$N$4:$N$32,IF(WEEKDAY(BD10)=1,BD10+1,IF(WEEKDAY(BD10)=7,BD10+2,BD10)))</f>
        <v>44473</v>
      </c>
      <c r="BF10" s="405">
        <f>BE10+IF(WEEKDAY(BE10)=1,1,IF(WEEKDAY(BE10)=7,2,0))+COUNTIF(ClosedDays!$B$4:$B$32,IF(WEEKDAY(BE10)=1,BE10+1,IF(WEEKDAY(BE10)=7,BE10+2,BE10)))+COUNTIF(ClosedDays!$F$4:$F$32,IF(WEEKDAY(BE10)=1,BE10+1,IF(WEEKDAY(BE10)=7,BE10+2,BE10)))+COUNTIF(ClosedDays!$J$4:$J$32,IF(WEEKDAY(BE10)=1,BE10+1,IF(WEEKDAY(BE10)=7,BE10+2,BE10)))+COUNTIF(ClosedDays!$N$4:$N$32,IF(WEEKDAY(BE10)=1,BE10+1,IF(WEEKDAY(BE10)=7,BE10+2,BE10)))</f>
        <v>44473</v>
      </c>
      <c r="BG10" s="405">
        <f>BF10+IF(WEEKDAY(BF10)=1,1,IF(WEEKDAY(BF10)=7,2,0))+COUNTIF(ClosedDays!$B$4:$B$32,IF(WEEKDAY(BF10)=1,BF10+1,IF(WEEKDAY(BF10)=7,BF10+2,BF10)))+COUNTIF(ClosedDays!$F$4:$F$32,IF(WEEKDAY(BF10)=1,BF10+1,IF(WEEKDAY(BF10)=7,BF10+2,BF10)))+COUNTIF(ClosedDays!$J$4:$J$32,IF(WEEKDAY(BF10)=1,BF10+1,IF(WEEKDAY(BF10)=7,BF10+2,BF10)))+COUNTIF(ClosedDays!$N$4:$N$32,IF(WEEKDAY(BF10)=1,BF10+1,IF(WEEKDAY(BF10)=7,BF10+2,BF10)))</f>
        <v>44473</v>
      </c>
      <c r="BH10" s="405">
        <f>BG10+IF(WEEKDAY(BG10)=1,1,IF(WEEKDAY(BG10)=7,2,0))+COUNTIF(ClosedDays!$B$4:$B$32,IF(WEEKDAY(BG10)=1,BG10+1,IF(WEEKDAY(BG10)=7,BG10+2,BG10)))+COUNTIF(ClosedDays!$F$4:$F$32,IF(WEEKDAY(BG10)=1,BG10+1,IF(WEEKDAY(BG10)=7,BG10+2,BG10)))+COUNTIF(ClosedDays!$J$4:$J$32,IF(WEEKDAY(BG10)=1,BG10+1,IF(WEEKDAY(BG10)=7,BG10+2,BG10)))+COUNTIF(ClosedDays!$N$4:$N$32,IF(WEEKDAY(BG10)=1,BG10+1,IF(WEEKDAY(BG10)=7,BG10+2,BG10)))</f>
        <v>44473</v>
      </c>
      <c r="BI10" s="405">
        <f>BH10+IF(WEEKDAY(BH10)=1,1,IF(WEEKDAY(BH10)=7,2,0))+COUNTIF(ClosedDays!$B$4:$B$32,IF(WEEKDAY(BH10)=1,BH10+1,IF(WEEKDAY(BH10)=7,BH10+2,BH10)))+COUNTIF(ClosedDays!$F$4:$F$32,IF(WEEKDAY(BH10)=1,BH10+1,IF(WEEKDAY(BH10)=7,BH10+2,BH10)))+COUNTIF(ClosedDays!$J$4:$J$32,IF(WEEKDAY(BH10)=1,BH10+1,IF(WEEKDAY(BH10)=7,BH10+2,BH10)))+COUNTIF(ClosedDays!$N$4:$N$32,IF(WEEKDAY(BH10)=1,BH10+1,IF(WEEKDAY(BH10)=7,BH10+2,BH10)))</f>
        <v>44473</v>
      </c>
      <c r="BJ10" s="405">
        <f>BI10+IF(WEEKDAY(BI10)=1,1,IF(WEEKDAY(BI10)=7,2,0))+COUNTIF(ClosedDays!$B$4:$B$32,IF(WEEKDAY(BI10)=1,BI10+1,IF(WEEKDAY(BI10)=7,BI10+2,BI10)))+COUNTIF(ClosedDays!$F$4:$F$32,IF(WEEKDAY(BI10)=1,BI10+1,IF(WEEKDAY(BI10)=7,BI10+2,BI10)))+COUNTIF(ClosedDays!$J$4:$J$32,IF(WEEKDAY(BI10)=1,BI10+1,IF(WEEKDAY(BI10)=7,BI10+2,BI10)))+COUNTIF(ClosedDays!$N$4:$N$32,IF(WEEKDAY(BI10)=1,BI10+1,IF(WEEKDAY(BI10)=7,BI10+2,BI10)))</f>
        <v>44473</v>
      </c>
      <c r="BK10" s="405">
        <f>BJ10+IF(WEEKDAY(BJ10)=1,1,IF(WEEKDAY(BJ10)=7,2,0))+COUNTIF(ClosedDays!$B$4:$B$32,IF(WEEKDAY(BJ10)=1,BJ10+1,IF(WEEKDAY(BJ10)=7,BJ10+2,BJ10)))+COUNTIF(ClosedDays!$F$4:$F$32,IF(WEEKDAY(BJ10)=1,BJ10+1,IF(WEEKDAY(BJ10)=7,BJ10+2,BJ10)))+COUNTIF(ClosedDays!$J$4:$J$32,IF(WEEKDAY(BJ10)=1,BJ10+1,IF(WEEKDAY(BJ10)=7,BJ10+2,BJ10)))+COUNTIF(ClosedDays!$N$4:$N$32,IF(WEEKDAY(BJ10)=1,BJ10+1,IF(WEEKDAY(BJ10)=7,BJ10+2,BJ10)))</f>
        <v>44473</v>
      </c>
      <c r="BL10" s="405">
        <f>BK10+IF(WEEKDAY(BK10)=1,1,IF(WEEKDAY(BK10)=7,2,0))+COUNTIF(ClosedDays!$B$4:$B$32,IF(WEEKDAY(BK10)=1,BK10+1,IF(WEEKDAY(BK10)=7,BK10+2,BK10)))+COUNTIF(ClosedDays!$F$4:$F$32,IF(WEEKDAY(BK10)=1,BK10+1,IF(WEEKDAY(BK10)=7,BK10+2,BK10)))+COUNTIF(ClosedDays!$J$4:$J$32,IF(WEEKDAY(BK10)=1,BK10+1,IF(WEEKDAY(BK10)=7,BK10+2,BK10)))+COUNTIF(ClosedDays!$N$4:$N$32,IF(WEEKDAY(BK10)=1,BK10+1,IF(WEEKDAY(BK10)=7,BK10+2,BK10)))</f>
        <v>44473</v>
      </c>
      <c r="BM10" s="405">
        <f>BL10+IF(WEEKDAY(BL10)=1,1,IF(WEEKDAY(BL10)=7,2,0))+COUNTIF(ClosedDays!$B$4:$B$32,IF(WEEKDAY(BL10)=1,BL10+1,IF(WEEKDAY(BL10)=7,BL10+2,BL10)))+COUNTIF(ClosedDays!$F$4:$F$32,IF(WEEKDAY(BL10)=1,BL10+1,IF(WEEKDAY(BL10)=7,BL10+2,BL10)))+COUNTIF(ClosedDays!$J$4:$J$32,IF(WEEKDAY(BL10)=1,BL10+1,IF(WEEKDAY(BL10)=7,BL10+2,BL10)))+COUNTIF(ClosedDays!$N$4:$N$32,IF(WEEKDAY(BL10)=1,BL10+1,IF(WEEKDAY(BL10)=7,BL10+2,BL10)))</f>
        <v>44473</v>
      </c>
      <c r="BN10" s="405">
        <f>BM10+IF(WEEKDAY(BM10)=1,1,IF(WEEKDAY(BM10)=7,2,0))+COUNTIF(ClosedDays!$B$4:$B$32,IF(WEEKDAY(BM10)=1,BM10+1,IF(WEEKDAY(BM10)=7,BM10+2,BM10)))+COUNTIF(ClosedDays!$F$4:$F$32,IF(WEEKDAY(BM10)=1,BM10+1,IF(WEEKDAY(BM10)=7,BM10+2,BM10)))+COUNTIF(ClosedDays!$J$4:$J$32,IF(WEEKDAY(BM10)=1,BM10+1,IF(WEEKDAY(BM10)=7,BM10+2,BM10)))+COUNTIF(ClosedDays!$N$4:$N$32,IF(WEEKDAY(BM10)=1,BM10+1,IF(WEEKDAY(BM10)=7,BM10+2,BM10)))</f>
        <v>44473</v>
      </c>
      <c r="BO10" s="405">
        <f>BN10+IF(WEEKDAY(BN10)=1,1,IF(WEEKDAY(BN10)=7,2,0))+COUNTIF(ClosedDays!$B$4:$B$32,IF(WEEKDAY(BN10)=1,BN10+1,IF(WEEKDAY(BN10)=7,BN10+2,BN10)))+COUNTIF(ClosedDays!$F$4:$F$32,IF(WEEKDAY(BN10)=1,BN10+1,IF(WEEKDAY(BN10)=7,BN10+2,BN10)))+COUNTIF(ClosedDays!$J$4:$J$32,IF(WEEKDAY(BN10)=1,BN10+1,IF(WEEKDAY(BN10)=7,BN10+2,BN10)))+COUNTIF(ClosedDays!$N$4:$N$32,IF(WEEKDAY(BN10)=1,BN10+1,IF(WEEKDAY(BN10)=7,BN10+2,BN10)))</f>
        <v>44473</v>
      </c>
      <c r="BP10" s="405">
        <f>BO10+IF(WEEKDAY(BO10)=1,1,IF(WEEKDAY(BO10)=7,2,0))+COUNTIF(ClosedDays!$B$4:$B$32,IF(WEEKDAY(BO10)=1,BO10+1,IF(WEEKDAY(BO10)=7,BO10+2,BO10)))+COUNTIF(ClosedDays!$F$4:$F$32,IF(WEEKDAY(BO10)=1,BO10+1,IF(WEEKDAY(BO10)=7,BO10+2,BO10)))+COUNTIF(ClosedDays!$J$4:$J$32,IF(WEEKDAY(BO10)=1,BO10+1,IF(WEEKDAY(BO10)=7,BO10+2,BO10)))+COUNTIF(ClosedDays!$N$4:$N$32,IF(WEEKDAY(BO10)=1,BO10+1,IF(WEEKDAY(BO10)=7,BO10+2,BO10)))</f>
        <v>44473</v>
      </c>
      <c r="BQ10" s="405">
        <f t="shared" si="16"/>
        <v>44473</v>
      </c>
      <c r="BR10" s="446">
        <f>IF(AND($D10&lt;='Outline Info'!$H$31,BQ10&gt;='Outline Info'!$H$31,$BS$4=1,$AC10&gt;10,$AC10&lt;9997),1,0)</f>
        <v>0</v>
      </c>
      <c r="BS10" s="405">
        <f>IF(BR10=1,BQ10+'Outline Info'!$I$31-'Outline Info'!$H$31+1,BQ10)</f>
        <v>44473</v>
      </c>
      <c r="BT10" s="405">
        <f>BS10+IF(WEEKDAY(BS10)=1,1,IF(WEEKDAY(BS10)=7,2,0))+COUNTIF(ClosedDays!$B$4:$B$32,IF(WEEKDAY(BS10)=1,BS10+1,IF(WEEKDAY(BS10)=7,BS10+2,BS10)))+COUNTIF(ClosedDays!$F$4:$F$32,IF(WEEKDAY(BS10)=1,BS10+1,IF(WEEKDAY(BS10)=7,BS10+2,BS10)))+COUNTIF(ClosedDays!$J$4:$J$32,IF(WEEKDAY(BS10)=1,BS10+1,IF(WEEKDAY(BS10)=7,BS10+2,BS10)))+COUNTIF(ClosedDays!$N$4:$N$32,IF(WEEKDAY(BS10)=1,BS10+1,IF(WEEKDAY(BS10)=7,BS10+2,BS10)))</f>
        <v>44473</v>
      </c>
      <c r="BU10" s="405">
        <f>BT10+IF(WEEKDAY(BT10)=1,1,IF(WEEKDAY(BT10)=7,2,0))+COUNTIF(ClosedDays!$B$4:$B$32,IF(WEEKDAY(BT10)=1,BT10+1,IF(WEEKDAY(BT10)=7,BT10+2,BT10)))+COUNTIF(ClosedDays!$F$4:$F$32,IF(WEEKDAY(BT10)=1,BT10+1,IF(WEEKDAY(BT10)=7,BT10+2,BT10)))+COUNTIF(ClosedDays!$J$4:$J$32,IF(WEEKDAY(BT10)=1,BT10+1,IF(WEEKDAY(BT10)=7,BT10+2,BT10)))+COUNTIF(ClosedDays!$N$4:$N$32,IF(WEEKDAY(BT10)=1,BT10+1,IF(WEEKDAY(BT10)=7,BT10+2,BT10)))</f>
        <v>44473</v>
      </c>
      <c r="BV10" s="405">
        <f>BU10+IF(WEEKDAY(BU10)=1,1,IF(WEEKDAY(BU10)=7,2,0))+COUNTIF(ClosedDays!$B$4:$B$32,IF(WEEKDAY(BU10)=1,BU10+1,IF(WEEKDAY(BU10)=7,BU10+2,BU10)))+COUNTIF(ClosedDays!$F$4:$F$32,IF(WEEKDAY(BU10)=1,BU10+1,IF(WEEKDAY(BU10)=7,BU10+2,BU10)))+COUNTIF(ClosedDays!$J$4:$J$32,IF(WEEKDAY(BU10)=1,BU10+1,IF(WEEKDAY(BU10)=7,BU10+2,BU10)))+COUNTIF(ClosedDays!$N$4:$N$32,IF(WEEKDAY(BU10)=1,BU10+1,IF(WEEKDAY(BU10)=7,BU10+2,BU10)))</f>
        <v>44473</v>
      </c>
      <c r="BW10" s="405">
        <f>BV10+IF(WEEKDAY(BV10)=1,1,IF(WEEKDAY(BV10)=7,2,0))+COUNTIF(ClosedDays!$B$4:$B$32,IF(WEEKDAY(BV10)=1,BV10+1,IF(WEEKDAY(BV10)=7,BV10+2,BV10)))+COUNTIF(ClosedDays!$F$4:$F$32,IF(WEEKDAY(BV10)=1,BV10+1,IF(WEEKDAY(BV10)=7,BV10+2,BV10)))+COUNTIF(ClosedDays!$J$4:$J$32,IF(WEEKDAY(BV10)=1,BV10+1,IF(WEEKDAY(BV10)=7,BV10+2,BV10)))+COUNTIF(ClosedDays!$N$4:$N$32,IF(WEEKDAY(BV10)=1,BV10+1,IF(WEEKDAY(BV10)=7,BV10+2,BV10)))</f>
        <v>44473</v>
      </c>
      <c r="BX10" s="405">
        <f>BW10+IF(WEEKDAY(BW10)=1,1,IF(WEEKDAY(BW10)=7,2,0))+COUNTIF(ClosedDays!$B$4:$B$32,IF(WEEKDAY(BW10)=1,BW10+1,IF(WEEKDAY(BW10)=7,BW10+2,BW10)))+COUNTIF(ClosedDays!$F$4:$F$32,IF(WEEKDAY(BW10)=1,BW10+1,IF(WEEKDAY(BW10)=7,BW10+2,BW10)))+COUNTIF(ClosedDays!$J$4:$J$32,IF(WEEKDAY(BW10)=1,BW10+1,IF(WEEKDAY(BW10)=7,BW10+2,BW10)))+COUNTIF(ClosedDays!$N$4:$N$32,IF(WEEKDAY(BW10)=1,BW10+1,IF(WEEKDAY(BW10)=7,BW10+2,BW10)))</f>
        <v>44473</v>
      </c>
      <c r="BY10" s="405">
        <f>BX10+IF(WEEKDAY(BX10)=1,1,IF(WEEKDAY(BX10)=7,2,0))+COUNTIF(ClosedDays!$B$4:$B$32,IF(WEEKDAY(BX10)=1,BX10+1,IF(WEEKDAY(BX10)=7,BX10+2,BX10)))+COUNTIF(ClosedDays!$F$4:$F$32,IF(WEEKDAY(BX10)=1,BX10+1,IF(WEEKDAY(BX10)=7,BX10+2,BX10)))+COUNTIF(ClosedDays!$J$4:$J$32,IF(WEEKDAY(BX10)=1,BX10+1,IF(WEEKDAY(BX10)=7,BX10+2,BX10)))+COUNTIF(ClosedDays!$N$4:$N$32,IF(WEEKDAY(BX10)=1,BX10+1,IF(WEEKDAY(BX10)=7,BX10+2,BX10)))</f>
        <v>44473</v>
      </c>
      <c r="BZ10" s="405">
        <f>BY10+IF(WEEKDAY(BY10)=1,1,IF(WEEKDAY(BY10)=7,2,0))+COUNTIF(ClosedDays!$B$4:$B$32,IF(WEEKDAY(BY10)=1,BY10+1,IF(WEEKDAY(BY10)=7,BY10+2,BY10)))+COUNTIF(ClosedDays!$F$4:$F$32,IF(WEEKDAY(BY10)=1,BY10+1,IF(WEEKDAY(BY10)=7,BY10+2,BY10)))+COUNTIF(ClosedDays!$J$4:$J$32,IF(WEEKDAY(BY10)=1,BY10+1,IF(WEEKDAY(BY10)=7,BY10+2,BY10)))+COUNTIF(ClosedDays!$N$4:$N$32,IF(WEEKDAY(BY10)=1,BY10+1,IF(WEEKDAY(BY10)=7,BY10+2,BY10)))</f>
        <v>44473</v>
      </c>
      <c r="CA10" s="405">
        <f>BZ10+IF(WEEKDAY(BZ10)=1,1,IF(WEEKDAY(BZ10)=7,2,0))+COUNTIF(ClosedDays!$B$4:$B$32,IF(WEEKDAY(BZ10)=1,BZ10+1,IF(WEEKDAY(BZ10)=7,BZ10+2,BZ10)))+COUNTIF(ClosedDays!$F$4:$F$32,IF(WEEKDAY(BZ10)=1,BZ10+1,IF(WEEKDAY(BZ10)=7,BZ10+2,BZ10)))+COUNTIF(ClosedDays!$J$4:$J$32,IF(WEEKDAY(BZ10)=1,BZ10+1,IF(WEEKDAY(BZ10)=7,BZ10+2,BZ10)))+COUNTIF(ClosedDays!$N$4:$N$32,IF(WEEKDAY(BZ10)=1,BZ10+1,IF(WEEKDAY(BZ10)=7,BZ10+2,BZ10)))</f>
        <v>44473</v>
      </c>
      <c r="CB10" s="405">
        <f>CA10+IF(WEEKDAY(CA10)=1,1,IF(WEEKDAY(CA10)=7,2,0))+COUNTIF(ClosedDays!$B$4:$B$32,IF(WEEKDAY(CA10)=1,CA10+1,IF(WEEKDAY(CA10)=7,CA10+2,CA10)))+COUNTIF(ClosedDays!$F$4:$F$32,IF(WEEKDAY(CA10)=1,CA10+1,IF(WEEKDAY(CA10)=7,CA10+2,CA10)))+COUNTIF(ClosedDays!$J$4:$J$32,IF(WEEKDAY(CA10)=1,CA10+1,IF(WEEKDAY(CA10)=7,CA10+2,CA10)))+COUNTIF(ClosedDays!$N$4:$N$32,IF(WEEKDAY(CA10)=1,CA10+1,IF(WEEKDAY(CA10)=7,CA10+2,CA10)))</f>
        <v>44473</v>
      </c>
      <c r="CC10" s="405">
        <f>CB10+IF(WEEKDAY(CB10)=1,1,IF(WEEKDAY(CB10)=7,2,0))+COUNTIF(ClosedDays!$B$4:$B$32,IF(WEEKDAY(CB10)=1,CB10+1,IF(WEEKDAY(CB10)=7,CB10+2,CB10)))+COUNTIF(ClosedDays!$F$4:$F$32,IF(WEEKDAY(CB10)=1,CB10+1,IF(WEEKDAY(CB10)=7,CB10+2,CB10)))+COUNTIF(ClosedDays!$J$4:$J$32,IF(WEEKDAY(CB10)=1,CB10+1,IF(WEEKDAY(CB10)=7,CB10+2,CB10)))+COUNTIF(ClosedDays!$N$4:$N$32,IF(WEEKDAY(CB10)=1,CB10+1,IF(WEEKDAY(CB10)=7,CB10+2,CB10)))</f>
        <v>44473</v>
      </c>
      <c r="CD10" s="405">
        <f>CC10+IF(WEEKDAY(CC10)=1,1,IF(WEEKDAY(CC10)=7,2,0))+COUNTIF(ClosedDays!$B$4:$B$32,IF(WEEKDAY(CC10)=1,CC10+1,IF(WEEKDAY(CC10)=7,CC10+2,CC10)))+COUNTIF(ClosedDays!$F$4:$F$32,IF(WEEKDAY(CC10)=1,CC10+1,IF(WEEKDAY(CC10)=7,CC10+2,CC10)))+COUNTIF(ClosedDays!$J$4:$J$32,IF(WEEKDAY(CC10)=1,CC10+1,IF(WEEKDAY(CC10)=7,CC10+2,CC10)))+COUNTIF(ClosedDays!$N$4:$N$32,IF(WEEKDAY(CC10)=1,CC10+1,IF(WEEKDAY(CC10)=7,CC10+2,CC10)))</f>
        <v>44473</v>
      </c>
      <c r="CE10" s="405">
        <f>CD10+IF(WEEKDAY(CD10)=1,1,IF(WEEKDAY(CD10)=7,2,0))+COUNTIF(ClosedDays!$B$4:$B$32,IF(WEEKDAY(CD10)=1,CD10+1,IF(WEEKDAY(CD10)=7,CD10+2,CD10)))+COUNTIF(ClosedDays!$F$4:$F$32,IF(WEEKDAY(CD10)=1,CD10+1,IF(WEEKDAY(CD10)=7,CD10+2,CD10)))+COUNTIF(ClosedDays!$J$4:$J$32,IF(WEEKDAY(CD10)=1,CD10+1,IF(WEEKDAY(CD10)=7,CD10+2,CD10)))+COUNTIF(ClosedDays!$N$4:$N$32,IF(WEEKDAY(CD10)=1,CD10+1,IF(WEEKDAY(CD10)=7,CD10+2,CD10)))</f>
        <v>44473</v>
      </c>
      <c r="CF10" s="405">
        <f>CE10+IF(WEEKDAY(CE10)=1,1,IF(WEEKDAY(CE10)=7,2,0))+COUNTIF(ClosedDays!$B$4:$B$32,IF(WEEKDAY(CE10)=1,CE10+1,IF(WEEKDAY(CE10)=7,CE10+2,CE10)))+COUNTIF(ClosedDays!$F$4:$F$32,IF(WEEKDAY(CE10)=1,CE10+1,IF(WEEKDAY(CE10)=7,CE10+2,CE10)))+COUNTIF(ClosedDays!$J$4:$J$32,IF(WEEKDAY(CE10)=1,CE10+1,IF(WEEKDAY(CE10)=7,CE10+2,CE10)))+COUNTIF(ClosedDays!$N$4:$N$32,IF(WEEKDAY(CE10)=1,CE10+1,IF(WEEKDAY(CE10)=7,CE10+2,CE10)))</f>
        <v>44473</v>
      </c>
      <c r="CG10" s="405">
        <f>CF10+IF(WEEKDAY(CF10)=1,1,IF(WEEKDAY(CF10)=7,2,0))+COUNTIF(ClosedDays!$B$4:$B$32,IF(WEEKDAY(CF10)=1,CF10+1,IF(WEEKDAY(CF10)=7,CF10+2,CF10)))+COUNTIF(ClosedDays!$F$4:$F$32,IF(WEEKDAY(CF10)=1,CF10+1,IF(WEEKDAY(CF10)=7,CF10+2,CF10)))+COUNTIF(ClosedDays!$J$4:$J$32,IF(WEEKDAY(CF10)=1,CF10+1,IF(WEEKDAY(CF10)=7,CF10+2,CF10)))+COUNTIF(ClosedDays!$N$4:$N$32,IF(WEEKDAY(CF10)=1,CF10+1,IF(WEEKDAY(CF10)=7,CF10+2,CF10)))</f>
        <v>44473</v>
      </c>
      <c r="CH10" s="405">
        <f t="shared" si="17"/>
        <v>44473</v>
      </c>
      <c r="CI10" s="446">
        <f>IF(AND($D10&lt;='Outline Info'!$H$33,CH10&gt;='Outline Info'!$H$33,$CJ$4=1,$AC10&gt;10,$AC10&lt;9997),1,0)</f>
        <v>0</v>
      </c>
      <c r="CJ10" s="405">
        <f>IF(CI10=1,CH10+'Outline Info'!$I$33-'Outline Info'!$H$33+1,CH10)</f>
        <v>44473</v>
      </c>
      <c r="CK10" s="405">
        <f>CJ10+IF(WEEKDAY(CJ10)=1,1,IF(WEEKDAY(CJ10)=7,2,0))+COUNTIF(ClosedDays!$B$4:$B$32,IF(WEEKDAY(CJ10)=1,CJ10+1,IF(WEEKDAY(CJ10)=7,CJ10+2,CJ10)))+COUNTIF(ClosedDays!$F$4:$F$32,IF(WEEKDAY(CJ10)=1,CJ10+1,IF(WEEKDAY(CJ10)=7,CJ10+2,CJ10)))+COUNTIF(ClosedDays!$J$4:$J$32,IF(WEEKDAY(CJ10)=1,CJ10+1,IF(WEEKDAY(CJ10)=7,CJ10+2,CJ10)))+COUNTIF(ClosedDays!$N$4:$N$32,IF(WEEKDAY(CJ10)=1,CJ10+1,IF(WEEKDAY(CJ10)=7,CJ10+2,CJ10)))</f>
        <v>44473</v>
      </c>
      <c r="CL10" s="405">
        <f>CK10+IF(WEEKDAY(CK10)=1,1,IF(WEEKDAY(CK10)=7,2,0))+COUNTIF(ClosedDays!$B$4:$B$32,IF(WEEKDAY(CK10)=1,CK10+1,IF(WEEKDAY(CK10)=7,CK10+2,CK10)))+COUNTIF(ClosedDays!$F$4:$F$32,IF(WEEKDAY(CK10)=1,CK10+1,IF(WEEKDAY(CK10)=7,CK10+2,CK10)))+COUNTIF(ClosedDays!$J$4:$J$32,IF(WEEKDAY(CK10)=1,CK10+1,IF(WEEKDAY(CK10)=7,CK10+2,CK10)))+COUNTIF(ClosedDays!$N$4:$N$32,IF(WEEKDAY(CK10)=1,CK10+1,IF(WEEKDAY(CK10)=7,CK10+2,CK10)))</f>
        <v>44473</v>
      </c>
      <c r="CM10" s="405">
        <f>CL10+IF(WEEKDAY(CL10)=1,1,IF(WEEKDAY(CL10)=7,2,0))+COUNTIF(ClosedDays!$B$4:$B$32,IF(WEEKDAY(CL10)=1,CL10+1,IF(WEEKDAY(CL10)=7,CL10+2,CL10)))+COUNTIF(ClosedDays!$F$4:$F$32,IF(WEEKDAY(CL10)=1,CL10+1,IF(WEEKDAY(CL10)=7,CL10+2,CL10)))+COUNTIF(ClosedDays!$J$4:$J$32,IF(WEEKDAY(CL10)=1,CL10+1,IF(WEEKDAY(CL10)=7,CL10+2,CL10)))+COUNTIF(ClosedDays!$N$4:$N$32,IF(WEEKDAY(CL10)=1,CL10+1,IF(WEEKDAY(CL10)=7,CL10+2,CL10)))</f>
        <v>44473</v>
      </c>
      <c r="CN10" s="405">
        <f>CM10+IF(WEEKDAY(CM10)=1,1,IF(WEEKDAY(CM10)=7,2,0))+COUNTIF(ClosedDays!$B$4:$B$32,IF(WEEKDAY(CM10)=1,CM10+1,IF(WEEKDAY(CM10)=7,CM10+2,CM10)))+COUNTIF(ClosedDays!$F$4:$F$32,IF(WEEKDAY(CM10)=1,CM10+1,IF(WEEKDAY(CM10)=7,CM10+2,CM10)))+COUNTIF(ClosedDays!$J$4:$J$32,IF(WEEKDAY(CM10)=1,CM10+1,IF(WEEKDAY(CM10)=7,CM10+2,CM10)))+COUNTIF(ClosedDays!$N$4:$N$32,IF(WEEKDAY(CM10)=1,CM10+1,IF(WEEKDAY(CM10)=7,CM10+2,CM10)))</f>
        <v>44473</v>
      </c>
      <c r="CO10" s="405">
        <f>CN10+IF(WEEKDAY(CN10)=1,1,IF(WEEKDAY(CN10)=7,2,0))+COUNTIF(ClosedDays!$B$4:$B$32,IF(WEEKDAY(CN10)=1,CN10+1,IF(WEEKDAY(CN10)=7,CN10+2,CN10)))+COUNTIF(ClosedDays!$F$4:$F$32,IF(WEEKDAY(CN10)=1,CN10+1,IF(WEEKDAY(CN10)=7,CN10+2,CN10)))+COUNTIF(ClosedDays!$J$4:$J$32,IF(WEEKDAY(CN10)=1,CN10+1,IF(WEEKDAY(CN10)=7,CN10+2,CN10)))+COUNTIF(ClosedDays!$N$4:$N$32,IF(WEEKDAY(CN10)=1,CN10+1,IF(WEEKDAY(CN10)=7,CN10+2,CN10)))</f>
        <v>44473</v>
      </c>
      <c r="CP10" s="405">
        <f>CO10+IF(WEEKDAY(CO10)=1,1,IF(WEEKDAY(CO10)=7,2,0))+COUNTIF(ClosedDays!$B$4:$B$32,IF(WEEKDAY(CO10)=1,CO10+1,IF(WEEKDAY(CO10)=7,CO10+2,CO10)))+COUNTIF(ClosedDays!$F$4:$F$32,IF(WEEKDAY(CO10)=1,CO10+1,IF(WEEKDAY(CO10)=7,CO10+2,CO10)))+COUNTIF(ClosedDays!$J$4:$J$32,IF(WEEKDAY(CO10)=1,CO10+1,IF(WEEKDAY(CO10)=7,CO10+2,CO10)))+COUNTIF(ClosedDays!$N$4:$N$32,IF(WEEKDAY(CO10)=1,CO10+1,IF(WEEKDAY(CO10)=7,CO10+2,CO10)))</f>
        <v>44473</v>
      </c>
      <c r="CQ10" s="405">
        <f>CP10+IF(WEEKDAY(CP10)=1,1,IF(WEEKDAY(CP10)=7,2,0))+COUNTIF(ClosedDays!$B$4:$B$32,IF(WEEKDAY(CP10)=1,CP10+1,IF(WEEKDAY(CP10)=7,CP10+2,CP10)))+COUNTIF(ClosedDays!$F$4:$F$32,IF(WEEKDAY(CP10)=1,CP10+1,IF(WEEKDAY(CP10)=7,CP10+2,CP10)))+COUNTIF(ClosedDays!$J$4:$J$32,IF(WEEKDAY(CP10)=1,CP10+1,IF(WEEKDAY(CP10)=7,CP10+2,CP10)))+COUNTIF(ClosedDays!$N$4:$N$32,IF(WEEKDAY(CP10)=1,CP10+1,IF(WEEKDAY(CP10)=7,CP10+2,CP10)))</f>
        <v>44473</v>
      </c>
      <c r="CR10" s="405">
        <f>CQ10+IF(WEEKDAY(CQ10)=1,1,IF(WEEKDAY(CQ10)=7,2,0))+COUNTIF(ClosedDays!$B$4:$B$32,IF(WEEKDAY(CQ10)=1,CQ10+1,IF(WEEKDAY(CQ10)=7,CQ10+2,CQ10)))+COUNTIF(ClosedDays!$F$4:$F$32,IF(WEEKDAY(CQ10)=1,CQ10+1,IF(WEEKDAY(CQ10)=7,CQ10+2,CQ10)))+COUNTIF(ClosedDays!$J$4:$J$32,IF(WEEKDAY(CQ10)=1,CQ10+1,IF(WEEKDAY(CQ10)=7,CQ10+2,CQ10)))+COUNTIF(ClosedDays!$N$4:$N$32,IF(WEEKDAY(CQ10)=1,CQ10+1,IF(WEEKDAY(CQ10)=7,CQ10+2,CQ10)))</f>
        <v>44473</v>
      </c>
      <c r="CS10" s="405">
        <f>CR10+IF(WEEKDAY(CR10)=1,1,IF(WEEKDAY(CR10)=7,2,0))+COUNTIF(ClosedDays!$B$4:$B$32,IF(WEEKDAY(CR10)=1,CR10+1,IF(WEEKDAY(CR10)=7,CR10+2,CR10)))+COUNTIF(ClosedDays!$F$4:$F$32,IF(WEEKDAY(CR10)=1,CR10+1,IF(WEEKDAY(CR10)=7,CR10+2,CR10)))+COUNTIF(ClosedDays!$J$4:$J$32,IF(WEEKDAY(CR10)=1,CR10+1,IF(WEEKDAY(CR10)=7,CR10+2,CR10)))+COUNTIF(ClosedDays!$N$4:$N$32,IF(WEEKDAY(CR10)=1,CR10+1,IF(WEEKDAY(CR10)=7,CR10+2,CR10)))</f>
        <v>44473</v>
      </c>
      <c r="CT10" s="405">
        <f>CS10+IF(WEEKDAY(CS10)=1,1,IF(WEEKDAY(CS10)=7,2,0))+COUNTIF(ClosedDays!$B$4:$B$32,IF(WEEKDAY(CS10)=1,CS10+1,IF(WEEKDAY(CS10)=7,CS10+2,CS10)))+COUNTIF(ClosedDays!$F$4:$F$32,IF(WEEKDAY(CS10)=1,CS10+1,IF(WEEKDAY(CS10)=7,CS10+2,CS10)))+COUNTIF(ClosedDays!$J$4:$J$32,IF(WEEKDAY(CS10)=1,CS10+1,IF(WEEKDAY(CS10)=7,CS10+2,CS10)))+COUNTIF(ClosedDays!$N$4:$N$32,IF(WEEKDAY(CS10)=1,CS10+1,IF(WEEKDAY(CS10)=7,CS10+2,CS10)))</f>
        <v>44473</v>
      </c>
      <c r="CU10" s="405">
        <f>CT10+IF(WEEKDAY(CT10)=1,1,IF(WEEKDAY(CT10)=7,2,0))+COUNTIF(ClosedDays!$B$4:$B$32,IF(WEEKDAY(CT10)=1,CT10+1,IF(WEEKDAY(CT10)=7,CT10+2,CT10)))+COUNTIF(ClosedDays!$F$4:$F$32,IF(WEEKDAY(CT10)=1,CT10+1,IF(WEEKDAY(CT10)=7,CT10+2,CT10)))+COUNTIF(ClosedDays!$J$4:$J$32,IF(WEEKDAY(CT10)=1,CT10+1,IF(WEEKDAY(CT10)=7,CT10+2,CT10)))+COUNTIF(ClosedDays!$N$4:$N$32,IF(WEEKDAY(CT10)=1,CT10+1,IF(WEEKDAY(CT10)=7,CT10+2,CT10)))</f>
        <v>44473</v>
      </c>
      <c r="CV10" s="405">
        <f>CU10+IF(WEEKDAY(CU10)=1,1,IF(WEEKDAY(CU10)=7,2,0))+COUNTIF(ClosedDays!$B$4:$B$32,IF(WEEKDAY(CU10)=1,CU10+1,IF(WEEKDAY(CU10)=7,CU10+2,CU10)))+COUNTIF(ClosedDays!$F$4:$F$32,IF(WEEKDAY(CU10)=1,CU10+1,IF(WEEKDAY(CU10)=7,CU10+2,CU10)))+COUNTIF(ClosedDays!$J$4:$J$32,IF(WEEKDAY(CU10)=1,CU10+1,IF(WEEKDAY(CU10)=7,CU10+2,CU10)))+COUNTIF(ClosedDays!$N$4:$N$32,IF(WEEKDAY(CU10)=1,CU10+1,IF(WEEKDAY(CU10)=7,CU10+2,CU10)))</f>
        <v>44473</v>
      </c>
      <c r="CW10" s="405">
        <f>CV10+IF(WEEKDAY(CV10)=1,1,IF(WEEKDAY(CV10)=7,2,0))+COUNTIF(ClosedDays!$B$4:$B$32,IF(WEEKDAY(CV10)=1,CV10+1,IF(WEEKDAY(CV10)=7,CV10+2,CV10)))+COUNTIF(ClosedDays!$F$4:$F$32,IF(WEEKDAY(CV10)=1,CV10+1,IF(WEEKDAY(CV10)=7,CV10+2,CV10)))+COUNTIF(ClosedDays!$J$4:$J$32,IF(WEEKDAY(CV10)=1,CV10+1,IF(WEEKDAY(CV10)=7,CV10+2,CV10)))+COUNTIF(ClosedDays!$N$4:$N$32,IF(WEEKDAY(CV10)=1,CV10+1,IF(WEEKDAY(CV10)=7,CV10+2,CV10)))</f>
        <v>44473</v>
      </c>
      <c r="CX10" s="405">
        <f>CW10+IF(WEEKDAY(CW10)=1,1,IF(WEEKDAY(CW10)=7,2,0))+COUNTIF(ClosedDays!$B$4:$B$32,IF(WEEKDAY(CW10)=1,CW10+1,IF(WEEKDAY(CW10)=7,CW10+2,CW10)))+COUNTIF(ClosedDays!$F$4:$F$32,IF(WEEKDAY(CW10)=1,CW10+1,IF(WEEKDAY(CW10)=7,CW10+2,CW10)))+COUNTIF(ClosedDays!$J$4:$J$32,IF(WEEKDAY(CW10)=1,CW10+1,IF(WEEKDAY(CW10)=7,CW10+2,CW10)))+COUNTIF(ClosedDays!$N$4:$N$32,IF(WEEKDAY(CW10)=1,CW10+1,IF(WEEKDAY(CW10)=7,CW10+2,CW10)))</f>
        <v>44473</v>
      </c>
      <c r="CY10" s="405">
        <f t="shared" si="18"/>
        <v>44473</v>
      </c>
      <c r="CZ10" s="446">
        <f>IF(AND($D10&lt;='Outline Info'!$E$33,CY10&gt;='Outline Info'!$E$33,$AC10&gt;10,$AC10&lt;9997),1,0)</f>
        <v>0</v>
      </c>
      <c r="DA10" s="405">
        <f>IF(AND($D10&lt;='Outline Info'!$E$33,CY10&gt;='Outline Info'!$E$33),CY10+'Outline Info'!$F$33-'Outline Info'!$E$33+1,CY10)</f>
        <v>44473</v>
      </c>
      <c r="DB10" s="405">
        <f>DA10+IF(WEEKDAY(DA10)=1,1,IF(WEEKDAY(DA10)=7,2,0))+COUNTIF(ClosedDays!$B$4:$B$32,IF(WEEKDAY(DA10)=1,DA10+1,IF(WEEKDAY(DA10)=7,DA10+2,DA10)))+COUNTIF(ClosedDays!$F$4:$F$32,IF(WEEKDAY(DA10)=1,DA10+1,IF(WEEKDAY(DA10)=7,DA10+2,DA10)))+COUNTIF(ClosedDays!$J$4:$J$32,IF(WEEKDAY(DA10)=1,DA10+1,IF(WEEKDAY(DA10)=7,DA10+2,DA10)))+COUNTIF(ClosedDays!$N$4:$N$32,IF(WEEKDAY(DA10)=1,DA10+1,IF(WEEKDAY(DA10)=7,DA10+2,DA10)))</f>
        <v>44473</v>
      </c>
      <c r="DC10" s="405">
        <f>DB10+IF(WEEKDAY(DB10)=1,1,IF(WEEKDAY(DB10)=7,2,0))+COUNTIF(ClosedDays!$B$4:$B$32,IF(WEEKDAY(DB10)=1,DB10+1,IF(WEEKDAY(DB10)=7,DB10+2,DB10)))+COUNTIF(ClosedDays!$F$4:$F$32,IF(WEEKDAY(DB10)=1,DB10+1,IF(WEEKDAY(DB10)=7,DB10+2,DB10)))+COUNTIF(ClosedDays!$J$4:$J$32,IF(WEEKDAY(DB10)=1,DB10+1,IF(WEEKDAY(DB10)=7,DB10+2,DB10)))+COUNTIF(ClosedDays!$N$4:$N$32,IF(WEEKDAY(DB10)=1,DB10+1,IF(WEEKDAY(DB10)=7,DB10+2,DB10)))</f>
        <v>44473</v>
      </c>
      <c r="DD10" s="405">
        <f>DC10+IF(WEEKDAY(DC10)=1,1,IF(WEEKDAY(DC10)=7,2,0))+COUNTIF(ClosedDays!$B$4:$B$32,IF(WEEKDAY(DC10)=1,DC10+1,IF(WEEKDAY(DC10)=7,DC10+2,DC10)))+COUNTIF(ClosedDays!$F$4:$F$32,IF(WEEKDAY(DC10)=1,DC10+1,IF(WEEKDAY(DC10)=7,DC10+2,DC10)))+COUNTIF(ClosedDays!$J$4:$J$32,IF(WEEKDAY(DC10)=1,DC10+1,IF(WEEKDAY(DC10)=7,DC10+2,DC10)))+COUNTIF(ClosedDays!$N$4:$N$32,IF(WEEKDAY(DC10)=1,DC10+1,IF(WEEKDAY(DC10)=7,DC10+2,DC10)))</f>
        <v>44473</v>
      </c>
      <c r="DE10" s="405">
        <f>DD10+IF(WEEKDAY(DD10)=1,1,IF(WEEKDAY(DD10)=7,2,0))+COUNTIF(ClosedDays!$B$4:$B$32,IF(WEEKDAY(DD10)=1,DD10+1,IF(WEEKDAY(DD10)=7,DD10+2,DD10)))+COUNTIF(ClosedDays!$F$4:$F$32,IF(WEEKDAY(DD10)=1,DD10+1,IF(WEEKDAY(DD10)=7,DD10+2,DD10)))+COUNTIF(ClosedDays!$J$4:$J$32,IF(WEEKDAY(DD10)=1,DD10+1,IF(WEEKDAY(DD10)=7,DD10+2,DD10)))+COUNTIF(ClosedDays!$N$4:$N$32,IF(WEEKDAY(DD10)=1,DD10+1,IF(WEEKDAY(DD10)=7,DD10+2,DD10)))</f>
        <v>44473</v>
      </c>
      <c r="DF10" s="405">
        <f>DE10+IF(WEEKDAY(DE10)=1,1,IF(WEEKDAY(DE10)=7,2,0))+COUNTIF(ClosedDays!$B$4:$B$32,IF(WEEKDAY(DE10)=1,DE10+1,IF(WEEKDAY(DE10)=7,DE10+2,DE10)))+COUNTIF(ClosedDays!$F$4:$F$32,IF(WEEKDAY(DE10)=1,DE10+1,IF(WEEKDAY(DE10)=7,DE10+2,DE10)))+COUNTIF(ClosedDays!$J$4:$J$32,IF(WEEKDAY(DE10)=1,DE10+1,IF(WEEKDAY(DE10)=7,DE10+2,DE10)))+COUNTIF(ClosedDays!$N$4:$N$32,IF(WEEKDAY(DE10)=1,DE10+1,IF(WEEKDAY(DE10)=7,DE10+2,DE10)))</f>
        <v>44473</v>
      </c>
      <c r="DG10" s="405">
        <f>DF10+IF(WEEKDAY(DF10)=1,1,IF(WEEKDAY(DF10)=7,2,0))+COUNTIF(ClosedDays!$B$4:$B$32,IF(WEEKDAY(DF10)=1,DF10+1,IF(WEEKDAY(DF10)=7,DF10+2,DF10)))+COUNTIF(ClosedDays!$F$4:$F$32,IF(WEEKDAY(DF10)=1,DF10+1,IF(WEEKDAY(DF10)=7,DF10+2,DF10)))+COUNTIF(ClosedDays!$J$4:$J$32,IF(WEEKDAY(DF10)=1,DF10+1,IF(WEEKDAY(DF10)=7,DF10+2,DF10)))+COUNTIF(ClosedDays!$N$4:$N$32,IF(WEEKDAY(DF10)=1,DF10+1,IF(WEEKDAY(DF10)=7,DF10+2,DF10)))</f>
        <v>44473</v>
      </c>
      <c r="DH10" s="405">
        <f>DG10+IF(WEEKDAY(DG10)=1,1,IF(WEEKDAY(DG10)=7,2,0))+COUNTIF(ClosedDays!$B$4:$B$32,IF(WEEKDAY(DG10)=1,DG10+1,IF(WEEKDAY(DG10)=7,DG10+2,DG10)))+COUNTIF(ClosedDays!$F$4:$F$32,IF(WEEKDAY(DG10)=1,DG10+1,IF(WEEKDAY(DG10)=7,DG10+2,DG10)))+COUNTIF(ClosedDays!$J$4:$J$32,IF(WEEKDAY(DG10)=1,DG10+1,IF(WEEKDAY(DG10)=7,DG10+2,DG10)))+COUNTIF(ClosedDays!$N$4:$N$32,IF(WEEKDAY(DG10)=1,DG10+1,IF(WEEKDAY(DG10)=7,DG10+2,DG10)))</f>
        <v>44473</v>
      </c>
      <c r="DI10" s="405">
        <f>DH10+IF(WEEKDAY(DH10)=1,1,IF(WEEKDAY(DH10)=7,2,0))+COUNTIF(ClosedDays!$B$4:$B$32,IF(WEEKDAY(DH10)=1,DH10+1,IF(WEEKDAY(DH10)=7,DH10+2,DH10)))+COUNTIF(ClosedDays!$F$4:$F$32,IF(WEEKDAY(DH10)=1,DH10+1,IF(WEEKDAY(DH10)=7,DH10+2,DH10)))+COUNTIF(ClosedDays!$J$4:$J$32,IF(WEEKDAY(DH10)=1,DH10+1,IF(WEEKDAY(DH10)=7,DH10+2,DH10)))+COUNTIF(ClosedDays!$N$4:$N$32,IF(WEEKDAY(DH10)=1,DH10+1,IF(WEEKDAY(DH10)=7,DH10+2,DH10)))</f>
        <v>44473</v>
      </c>
      <c r="DJ10" s="405">
        <f>DI10+IF(WEEKDAY(DI10)=1,1,IF(WEEKDAY(DI10)=7,2,0))+COUNTIF(ClosedDays!$B$4:$B$32,IF(WEEKDAY(DI10)=1,DI10+1,IF(WEEKDAY(DI10)=7,DI10+2,DI10)))+COUNTIF(ClosedDays!$F$4:$F$32,IF(WEEKDAY(DI10)=1,DI10+1,IF(WEEKDAY(DI10)=7,DI10+2,DI10)))+COUNTIF(ClosedDays!$J$4:$J$32,IF(WEEKDAY(DI10)=1,DI10+1,IF(WEEKDAY(DI10)=7,DI10+2,DI10)))+COUNTIF(ClosedDays!$N$4:$N$32,IF(WEEKDAY(DI10)=1,DI10+1,IF(WEEKDAY(DI10)=7,DI10+2,DI10)))</f>
        <v>44473</v>
      </c>
      <c r="DK10" s="405">
        <f>DJ10+IF(WEEKDAY(DJ10)=1,1,IF(WEEKDAY(DJ10)=7,2,0))+COUNTIF(ClosedDays!$B$4:$B$32,IF(WEEKDAY(DJ10)=1,DJ10+1,IF(WEEKDAY(DJ10)=7,DJ10+2,DJ10)))+COUNTIF(ClosedDays!$F$4:$F$32,IF(WEEKDAY(DJ10)=1,DJ10+1,IF(WEEKDAY(DJ10)=7,DJ10+2,DJ10)))+COUNTIF(ClosedDays!$J$4:$J$32,IF(WEEKDAY(DJ10)=1,DJ10+1,IF(WEEKDAY(DJ10)=7,DJ10+2,DJ10)))+COUNTIF(ClosedDays!$N$4:$N$32,IF(WEEKDAY(DJ10)=1,DJ10+1,IF(WEEKDAY(DJ10)=7,DJ10+2,DJ10)))</f>
        <v>44473</v>
      </c>
      <c r="DL10" s="405">
        <f>DK10+IF(WEEKDAY(DK10)=1,1,IF(WEEKDAY(DK10)=7,2,0))+COUNTIF(ClosedDays!$B$4:$B$32,IF(WEEKDAY(DK10)=1,DK10+1,IF(WEEKDAY(DK10)=7,DK10+2,DK10)))+COUNTIF(ClosedDays!$F$4:$F$32,IF(WEEKDAY(DK10)=1,DK10+1,IF(WEEKDAY(DK10)=7,DK10+2,DK10)))+COUNTIF(ClosedDays!$J$4:$J$32,IF(WEEKDAY(DK10)=1,DK10+1,IF(WEEKDAY(DK10)=7,DK10+2,DK10)))+COUNTIF(ClosedDays!$N$4:$N$32,IF(WEEKDAY(DK10)=1,DK10+1,IF(WEEKDAY(DK10)=7,DK10+2,DK10)))</f>
        <v>44473</v>
      </c>
      <c r="DM10" s="405">
        <f>DL10+IF(WEEKDAY(DL10)=1,1,IF(WEEKDAY(DL10)=7,2,0))+COUNTIF(ClosedDays!$B$4:$B$32,IF(WEEKDAY(DL10)=1,DL10+1,IF(WEEKDAY(DL10)=7,DL10+2,DL10)))+COUNTIF(ClosedDays!$F$4:$F$32,IF(WEEKDAY(DL10)=1,DL10+1,IF(WEEKDAY(DL10)=7,DL10+2,DL10)))+COUNTIF(ClosedDays!$J$4:$J$32,IF(WEEKDAY(DL10)=1,DL10+1,IF(WEEKDAY(DL10)=7,DL10+2,DL10)))+COUNTIF(ClosedDays!$N$4:$N$32,IF(WEEKDAY(DL10)=1,DL10+1,IF(WEEKDAY(DL10)=7,DL10+2,DL10)))</f>
        <v>44473</v>
      </c>
      <c r="DN10" s="405">
        <f>DM10+IF(WEEKDAY(DM10)=1,1,IF(WEEKDAY(DM10)=7,2,0))+COUNTIF(ClosedDays!$B$4:$B$32,IF(WEEKDAY(DM10)=1,DM10+1,IF(WEEKDAY(DM10)=7,DM10+2,DM10)))+COUNTIF(ClosedDays!$F$4:$F$32,IF(WEEKDAY(DM10)=1,DM10+1,IF(WEEKDAY(DM10)=7,DM10+2,DM10)))+COUNTIF(ClosedDays!$J$4:$J$32,IF(WEEKDAY(DM10)=1,DM10+1,IF(WEEKDAY(DM10)=7,DM10+2,DM10)))+COUNTIF(ClosedDays!$N$4:$N$32,IF(WEEKDAY(DM10)=1,DM10+1,IF(WEEKDAY(DM10)=7,DM10+2,DM10)))</f>
        <v>44473</v>
      </c>
      <c r="DO10" s="405">
        <f>DN10+IF(WEEKDAY(DN10)=1,1,IF(WEEKDAY(DN10)=7,2,0))+COUNTIF(ClosedDays!$B$4:$B$32,IF(WEEKDAY(DN10)=1,DN10+1,IF(WEEKDAY(DN10)=7,DN10+2,DN10)))+COUNTIF(ClosedDays!$F$4:$F$32,IF(WEEKDAY(DN10)=1,DN10+1,IF(WEEKDAY(DN10)=7,DN10+2,DN10)))+COUNTIF(ClosedDays!$J$4:$J$32,IF(WEEKDAY(DN10)=1,DN10+1,IF(WEEKDAY(DN10)=7,DN10+2,DN10)))+COUNTIF(ClosedDays!$N$4:$N$32,IF(WEEKDAY(DN10)=1,DN10+1,IF(WEEKDAY(DN10)=7,DN10+2,DN10)))</f>
        <v>44473</v>
      </c>
      <c r="DP10" s="405">
        <f t="shared" si="5"/>
        <v>44473</v>
      </c>
      <c r="DQ10" s="405">
        <f t="shared" si="20"/>
        <v>44473</v>
      </c>
      <c r="DR10" s="394">
        <f t="shared" si="19"/>
        <v>1</v>
      </c>
      <c r="DS10" s="394">
        <f>IF(AND(DR10=1,COUNTIF(DS$7:DS9,1)&lt;12,VLOOKUP(COUNTIF(DS$7:DS9,1)+1,'Outline Info'!$A$21:$C$32,2)&lt;=I10),1,0)</f>
        <v>1</v>
      </c>
      <c r="DT10" s="405" t="str">
        <f>IF(DS10=1,IF(VLOOKUP(COUNTIF(DS$7:DS10,1),'Outline Info'!$A$21:$C$32,2)=0,"",VLOOKUP(COUNTIF(DS$7:DS10,1),'Outline Info'!$A$21:$C$32,2)),"")</f>
        <v/>
      </c>
      <c r="DU10" s="447">
        <f>IF(DS10=1,VLOOKUP(COUNTIF(DS$7:DS10,1),'Outline Info'!$A$21:$C$32,3),0)</f>
        <v>0</v>
      </c>
      <c r="DV10" s="445">
        <f>IF('Outline Info'!$B$8="Y",IF(B10="*",'Outline Info'!$B$19,IF(OR($A10="",B10="X",B10="x"),0,VLOOKUP($A10,'Course Table'!$A$2:$J$331,4,TRUE))),0)</f>
        <v>0</v>
      </c>
      <c r="DW10" s="447">
        <f t="shared" si="6"/>
        <v>0</v>
      </c>
      <c r="DX10" s="447">
        <f>IF('Outline Info'!$B$8="Y",$DV10,$DW10)</f>
        <v>0</v>
      </c>
      <c r="DY10" s="394"/>
      <c r="DZ10" s="934"/>
      <c r="EA10" s="934"/>
      <c r="EB10" s="394"/>
      <c r="EC10" s="394"/>
      <c r="ED10" s="394"/>
    </row>
    <row r="11" spans="1:134" s="400" customFormat="1" ht="20.100000000000001" customHeight="1">
      <c r="A11" s="874" t="str">
        <f t="shared" si="7"/>
        <v/>
      </c>
      <c r="B11" s="876" t="str">
        <f t="shared" si="8"/>
        <v/>
      </c>
      <c r="C11" s="878" t="str">
        <f t="shared" si="9"/>
        <v/>
      </c>
      <c r="D11" s="463">
        <f>IF(NOT(ISBLANK(DZ11)),DZ11,IF(AND($AC11=9998,'Outline Info'!$H$33&gt;='Outline Info'!$B$6,'Outline Info'!$H$33&lt;='Outline Info'!$C$6),'Outline Info'!$H$33,IF(AND($AC11=9997,'Outline Info'!$H$31&gt;='Outline Info'!$B$6,'Outline Info'!$H$31&lt;='Outline Info'!$C$6),'Outline Info'!$H$31,IF(AE11="*",DQ10,IF(OR(AE11="x",AE11="X"),I10,IF(AND(AC11&gt;6,AC10&lt;6),DQ10,IF(AND($AC11=9998,$AC10=9997),I9,I10)))))))</f>
        <v>44470</v>
      </c>
      <c r="E11" s="1286"/>
      <c r="F11" s="1287"/>
      <c r="G11" s="1282"/>
      <c r="H11" s="1283"/>
      <c r="I11" s="464">
        <f>IF(AND($AC11=9998,'Outline Info'!$I$33&gt;='Outline Info'!$B$6,'Outline Info'!$I$33&lt;='Outline Info'!$C$6),'Outline Info'!$I$33,IF(AND($AC11=9997,'Outline Info'!$I$31&gt;='Outline Info'!$B$6,'Outline Info'!$I$31&lt;='Outline Info'!$C$6),'Outline Info'!$I$31,IF(DP11&gt;$V$4,$V$4,DP11)))</f>
        <v>44470</v>
      </c>
      <c r="J11" s="436"/>
      <c r="K11" s="437"/>
      <c r="L11" s="438"/>
      <c r="M11" s="438"/>
      <c r="N11" s="435"/>
      <c r="O11" s="435"/>
      <c r="P11" s="438"/>
      <c r="Q11" s="438"/>
      <c r="R11" s="439"/>
      <c r="S11" s="872">
        <f>IF($V$5-SUM($DX$7:$DX11)&lt;0,IF($V$5-SUM($DX$7:$DX10)&lt;0,0,$V$5-SUM($DX$7:$DX10)),DX11)</f>
        <v>0</v>
      </c>
      <c r="T11" s="440" t="str">
        <f>IF(S11&gt;0,IF('Outline Info'!$B$8="Y",D11,DT11),"")</f>
        <v/>
      </c>
      <c r="U11" s="441"/>
      <c r="V11" s="442"/>
      <c r="W11" s="870" t="str">
        <f>IF('Outline Info'!$C$33&gt;0,ROUND(IF('Outline Info'!$B$8="Y",SUM(S$7:S11)-SUM(AJ$7:AJ11)-'Outline Info'!$B$14-'Outline Info'!$B$15-'Outline Info'!$B$17,IF(AL11=0,SUM(S$7:S11)-SUM(AK$7:AK11)-SUM(AP11:AS11)-'Outline Info'!$B$14-'Outline Info'!$B$15-'Outline Info'!$B$17,0)),0),IF('Outline Info'!$T$4&lt;&gt;1,"",IF(OR(AD11="",AL11=1),"",SUM(AK$7:AK11)+SUM(AP11:AS11)+'Outline Info'!$B$14+'Outline Info'!$B$15+'Outline Info'!$B$17)))</f>
        <v/>
      </c>
      <c r="X11" s="448"/>
      <c r="Y11" s="443">
        <f>IF(OR(AE11="X",AE11="x",AE11="*",AC11=99999),0,IF(AC11&lt;50,0,IF($S$4-SUM($Y$7:$Y10)&gt;0,1,0)))</f>
        <v>0</v>
      </c>
      <c r="Z11" s="444">
        <f>IF(AC11&lt;99999,IF(AE11="*",AH11,IF(OR(AE11="x",AE11="X",AC11&lt;10),0,IF(AND(AC11&lt;&gt;9998,AC11&lt;&gt;9997),IF(AM11=1,(AH11+$AM$5)*(1+('Outline Info'!$B$16)),IF(AN11=1,(AH11+$AN$5)*(1+('Outline Info'!$B$16)),0)),AH11))),0)</f>
        <v>0</v>
      </c>
      <c r="AA11" s="395">
        <f>Z11/'Outline Info'!$C$11+Y11</f>
        <v>0</v>
      </c>
      <c r="AB11" s="395">
        <f>ROUND(AA11/'Outline Info'!$B$11*7,0)</f>
        <v>0</v>
      </c>
      <c r="AC11" s="445">
        <f>IF($AD11&lt;&gt;"",VLOOKUP($AD11,'Course Table'!$A$2:$J$331,10,TRUE),99999)</f>
        <v>99999</v>
      </c>
      <c r="AD11" s="394"/>
      <c r="AE11" s="394"/>
      <c r="AF11" s="394"/>
      <c r="AG11" s="394"/>
      <c r="AH11" s="394"/>
      <c r="AI11" s="394">
        <v>389</v>
      </c>
      <c r="AJ11" s="394">
        <v>389</v>
      </c>
      <c r="AK11" s="394">
        <f t="shared" si="10"/>
        <v>389</v>
      </c>
      <c r="AL11" s="394">
        <f t="shared" si="11"/>
        <v>0</v>
      </c>
      <c r="AM11" s="394">
        <f t="shared" si="12"/>
        <v>0</v>
      </c>
      <c r="AN11" s="394">
        <f t="shared" si="13"/>
        <v>0</v>
      </c>
      <c r="AO11" s="394">
        <f>IF(AN11=1,SUMPRODUCT($AJ$7:$AJ11,$AN$7:$AN11),0)</f>
        <v>0</v>
      </c>
      <c r="AP11" s="394">
        <f t="shared" si="14"/>
        <v>0</v>
      </c>
      <c r="AQ11" s="394">
        <f t="shared" si="14"/>
        <v>0</v>
      </c>
      <c r="AR11" s="394">
        <f t="shared" si="14"/>
        <v>0</v>
      </c>
      <c r="AS11" s="394">
        <f t="shared" si="14"/>
        <v>0</v>
      </c>
      <c r="AT11" s="394">
        <f t="shared" si="15"/>
        <v>0</v>
      </c>
      <c r="AU11" s="394">
        <f t="shared" si="15"/>
        <v>0</v>
      </c>
      <c r="AV11" s="394">
        <f t="shared" si="15"/>
        <v>0</v>
      </c>
      <c r="AW11" s="394">
        <f t="shared" si="15"/>
        <v>0</v>
      </c>
      <c r="AX11" s="394">
        <f t="shared" si="1"/>
        <v>0</v>
      </c>
      <c r="AY11" s="394">
        <f t="shared" si="2"/>
        <v>0</v>
      </c>
      <c r="AZ11" s="394">
        <f t="shared" si="3"/>
        <v>0</v>
      </c>
      <c r="BA11" s="394">
        <f t="shared" si="4"/>
        <v>0</v>
      </c>
      <c r="BB11" s="405">
        <f t="shared" si="21"/>
        <v>44473</v>
      </c>
      <c r="BC11" s="405">
        <f>BB11+IF(WEEKDAY(BB11)=1,1,IF(WEEKDAY(BB11)=7,2,0))+COUNTIF(ClosedDays!$B$4:$B$32,IF(WEEKDAY(BB11)=1,BB11+1,IF(WEEKDAY(BB11)=7,BB11+2,BB11)))+COUNTIF(ClosedDays!$F$4:$F$32,IF(WEEKDAY(BB11)=1,BB11+1,IF(WEEKDAY(BB11)=7,BB11+2,BB11)))+COUNTIF(ClosedDays!$J$4:$J$32,IF(WEEKDAY(BB11)=1,BB11+1,IF(WEEKDAY(BB11)=7,BB11+2,BB11)))+COUNTIF(ClosedDays!$N$4:$N$32,IF(WEEKDAY(BB11)=1,BB11+1,IF(WEEKDAY(BB11)=7,BB11+2,BB11)))</f>
        <v>44473</v>
      </c>
      <c r="BD11" s="405">
        <f>BC11+IF(WEEKDAY(BC11)=1,1,IF(WEEKDAY(BC11)=7,2,0))+COUNTIF(ClosedDays!$B$4:$B$32,IF(WEEKDAY(BC11)=1,BC11+1,IF(WEEKDAY(BC11)=7,BC11+2,BC11)))+COUNTIF(ClosedDays!$F$4:$F$32,IF(WEEKDAY(BC11)=1,BC11+1,IF(WEEKDAY(BC11)=7,BC11+2,BC11)))+COUNTIF(ClosedDays!$J$4:$J$32,IF(WEEKDAY(BC11)=1,BC11+1,IF(WEEKDAY(BC11)=7,BC11+2,BC11)))+COUNTIF(ClosedDays!$N$4:$N$32,IF(WEEKDAY(BC11)=1,BC11+1,IF(WEEKDAY(BC11)=7,BC11+2,BC11)))</f>
        <v>44473</v>
      </c>
      <c r="BE11" s="405">
        <f>BD11+IF(WEEKDAY(BD11)=1,1,IF(WEEKDAY(BD11)=7,2,0))+COUNTIF(ClosedDays!$B$4:$B$32,IF(WEEKDAY(BD11)=1,BD11+1,IF(WEEKDAY(BD11)=7,BD11+2,BD11)))+COUNTIF(ClosedDays!$F$4:$F$32,IF(WEEKDAY(BD11)=1,BD11+1,IF(WEEKDAY(BD11)=7,BD11+2,BD11)))+COUNTIF(ClosedDays!$J$4:$J$32,IF(WEEKDAY(BD11)=1,BD11+1,IF(WEEKDAY(BD11)=7,BD11+2,BD11)))+COUNTIF(ClosedDays!$N$4:$N$32,IF(WEEKDAY(BD11)=1,BD11+1,IF(WEEKDAY(BD11)=7,BD11+2,BD11)))</f>
        <v>44473</v>
      </c>
      <c r="BF11" s="405">
        <f>BE11+IF(WEEKDAY(BE11)=1,1,IF(WEEKDAY(BE11)=7,2,0))+COUNTIF(ClosedDays!$B$4:$B$32,IF(WEEKDAY(BE11)=1,BE11+1,IF(WEEKDAY(BE11)=7,BE11+2,BE11)))+COUNTIF(ClosedDays!$F$4:$F$32,IF(WEEKDAY(BE11)=1,BE11+1,IF(WEEKDAY(BE11)=7,BE11+2,BE11)))+COUNTIF(ClosedDays!$J$4:$J$32,IF(WEEKDAY(BE11)=1,BE11+1,IF(WEEKDAY(BE11)=7,BE11+2,BE11)))+COUNTIF(ClosedDays!$N$4:$N$32,IF(WEEKDAY(BE11)=1,BE11+1,IF(WEEKDAY(BE11)=7,BE11+2,BE11)))</f>
        <v>44473</v>
      </c>
      <c r="BG11" s="405">
        <f>BF11+IF(WEEKDAY(BF11)=1,1,IF(WEEKDAY(BF11)=7,2,0))+COUNTIF(ClosedDays!$B$4:$B$32,IF(WEEKDAY(BF11)=1,BF11+1,IF(WEEKDAY(BF11)=7,BF11+2,BF11)))+COUNTIF(ClosedDays!$F$4:$F$32,IF(WEEKDAY(BF11)=1,BF11+1,IF(WEEKDAY(BF11)=7,BF11+2,BF11)))+COUNTIF(ClosedDays!$J$4:$J$32,IF(WEEKDAY(BF11)=1,BF11+1,IF(WEEKDAY(BF11)=7,BF11+2,BF11)))+COUNTIF(ClosedDays!$N$4:$N$32,IF(WEEKDAY(BF11)=1,BF11+1,IF(WEEKDAY(BF11)=7,BF11+2,BF11)))</f>
        <v>44473</v>
      </c>
      <c r="BH11" s="405">
        <f>BG11+IF(WEEKDAY(BG11)=1,1,IF(WEEKDAY(BG11)=7,2,0))+COUNTIF(ClosedDays!$B$4:$B$32,IF(WEEKDAY(BG11)=1,BG11+1,IF(WEEKDAY(BG11)=7,BG11+2,BG11)))+COUNTIF(ClosedDays!$F$4:$F$32,IF(WEEKDAY(BG11)=1,BG11+1,IF(WEEKDAY(BG11)=7,BG11+2,BG11)))+COUNTIF(ClosedDays!$J$4:$J$32,IF(WEEKDAY(BG11)=1,BG11+1,IF(WEEKDAY(BG11)=7,BG11+2,BG11)))+COUNTIF(ClosedDays!$N$4:$N$32,IF(WEEKDAY(BG11)=1,BG11+1,IF(WEEKDAY(BG11)=7,BG11+2,BG11)))</f>
        <v>44473</v>
      </c>
      <c r="BI11" s="405">
        <f>BH11+IF(WEEKDAY(BH11)=1,1,IF(WEEKDAY(BH11)=7,2,0))+COUNTIF(ClosedDays!$B$4:$B$32,IF(WEEKDAY(BH11)=1,BH11+1,IF(WEEKDAY(BH11)=7,BH11+2,BH11)))+COUNTIF(ClosedDays!$F$4:$F$32,IF(WEEKDAY(BH11)=1,BH11+1,IF(WEEKDAY(BH11)=7,BH11+2,BH11)))+COUNTIF(ClosedDays!$J$4:$J$32,IF(WEEKDAY(BH11)=1,BH11+1,IF(WEEKDAY(BH11)=7,BH11+2,BH11)))+COUNTIF(ClosedDays!$N$4:$N$32,IF(WEEKDAY(BH11)=1,BH11+1,IF(WEEKDAY(BH11)=7,BH11+2,BH11)))</f>
        <v>44473</v>
      </c>
      <c r="BJ11" s="405">
        <f>BI11+IF(WEEKDAY(BI11)=1,1,IF(WEEKDAY(BI11)=7,2,0))+COUNTIF(ClosedDays!$B$4:$B$32,IF(WEEKDAY(BI11)=1,BI11+1,IF(WEEKDAY(BI11)=7,BI11+2,BI11)))+COUNTIF(ClosedDays!$F$4:$F$32,IF(WEEKDAY(BI11)=1,BI11+1,IF(WEEKDAY(BI11)=7,BI11+2,BI11)))+COUNTIF(ClosedDays!$J$4:$J$32,IF(WEEKDAY(BI11)=1,BI11+1,IF(WEEKDAY(BI11)=7,BI11+2,BI11)))+COUNTIF(ClosedDays!$N$4:$N$32,IF(WEEKDAY(BI11)=1,BI11+1,IF(WEEKDAY(BI11)=7,BI11+2,BI11)))</f>
        <v>44473</v>
      </c>
      <c r="BK11" s="405">
        <f>BJ11+IF(WEEKDAY(BJ11)=1,1,IF(WEEKDAY(BJ11)=7,2,0))+COUNTIF(ClosedDays!$B$4:$B$32,IF(WEEKDAY(BJ11)=1,BJ11+1,IF(WEEKDAY(BJ11)=7,BJ11+2,BJ11)))+COUNTIF(ClosedDays!$F$4:$F$32,IF(WEEKDAY(BJ11)=1,BJ11+1,IF(WEEKDAY(BJ11)=7,BJ11+2,BJ11)))+COUNTIF(ClosedDays!$J$4:$J$32,IF(WEEKDAY(BJ11)=1,BJ11+1,IF(WEEKDAY(BJ11)=7,BJ11+2,BJ11)))+COUNTIF(ClosedDays!$N$4:$N$32,IF(WEEKDAY(BJ11)=1,BJ11+1,IF(WEEKDAY(BJ11)=7,BJ11+2,BJ11)))</f>
        <v>44473</v>
      </c>
      <c r="BL11" s="405">
        <f>BK11+IF(WEEKDAY(BK11)=1,1,IF(WEEKDAY(BK11)=7,2,0))+COUNTIF(ClosedDays!$B$4:$B$32,IF(WEEKDAY(BK11)=1,BK11+1,IF(WEEKDAY(BK11)=7,BK11+2,BK11)))+COUNTIF(ClosedDays!$F$4:$F$32,IF(WEEKDAY(BK11)=1,BK11+1,IF(WEEKDAY(BK11)=7,BK11+2,BK11)))+COUNTIF(ClosedDays!$J$4:$J$32,IF(WEEKDAY(BK11)=1,BK11+1,IF(WEEKDAY(BK11)=7,BK11+2,BK11)))+COUNTIF(ClosedDays!$N$4:$N$32,IF(WEEKDAY(BK11)=1,BK11+1,IF(WEEKDAY(BK11)=7,BK11+2,BK11)))</f>
        <v>44473</v>
      </c>
      <c r="BM11" s="405">
        <f>BL11+IF(WEEKDAY(BL11)=1,1,IF(WEEKDAY(BL11)=7,2,0))+COUNTIF(ClosedDays!$B$4:$B$32,IF(WEEKDAY(BL11)=1,BL11+1,IF(WEEKDAY(BL11)=7,BL11+2,BL11)))+COUNTIF(ClosedDays!$F$4:$F$32,IF(WEEKDAY(BL11)=1,BL11+1,IF(WEEKDAY(BL11)=7,BL11+2,BL11)))+COUNTIF(ClosedDays!$J$4:$J$32,IF(WEEKDAY(BL11)=1,BL11+1,IF(WEEKDAY(BL11)=7,BL11+2,BL11)))+COUNTIF(ClosedDays!$N$4:$N$32,IF(WEEKDAY(BL11)=1,BL11+1,IF(WEEKDAY(BL11)=7,BL11+2,BL11)))</f>
        <v>44473</v>
      </c>
      <c r="BN11" s="405">
        <f>BM11+IF(WEEKDAY(BM11)=1,1,IF(WEEKDAY(BM11)=7,2,0))+COUNTIF(ClosedDays!$B$4:$B$32,IF(WEEKDAY(BM11)=1,BM11+1,IF(WEEKDAY(BM11)=7,BM11+2,BM11)))+COUNTIF(ClosedDays!$F$4:$F$32,IF(WEEKDAY(BM11)=1,BM11+1,IF(WEEKDAY(BM11)=7,BM11+2,BM11)))+COUNTIF(ClosedDays!$J$4:$J$32,IF(WEEKDAY(BM11)=1,BM11+1,IF(WEEKDAY(BM11)=7,BM11+2,BM11)))+COUNTIF(ClosedDays!$N$4:$N$32,IF(WEEKDAY(BM11)=1,BM11+1,IF(WEEKDAY(BM11)=7,BM11+2,BM11)))</f>
        <v>44473</v>
      </c>
      <c r="BO11" s="405">
        <f>BN11+IF(WEEKDAY(BN11)=1,1,IF(WEEKDAY(BN11)=7,2,0))+COUNTIF(ClosedDays!$B$4:$B$32,IF(WEEKDAY(BN11)=1,BN11+1,IF(WEEKDAY(BN11)=7,BN11+2,BN11)))+COUNTIF(ClosedDays!$F$4:$F$32,IF(WEEKDAY(BN11)=1,BN11+1,IF(WEEKDAY(BN11)=7,BN11+2,BN11)))+COUNTIF(ClosedDays!$J$4:$J$32,IF(WEEKDAY(BN11)=1,BN11+1,IF(WEEKDAY(BN11)=7,BN11+2,BN11)))+COUNTIF(ClosedDays!$N$4:$N$32,IF(WEEKDAY(BN11)=1,BN11+1,IF(WEEKDAY(BN11)=7,BN11+2,BN11)))</f>
        <v>44473</v>
      </c>
      <c r="BP11" s="405">
        <f>BO11+IF(WEEKDAY(BO11)=1,1,IF(WEEKDAY(BO11)=7,2,0))+COUNTIF(ClosedDays!$B$4:$B$32,IF(WEEKDAY(BO11)=1,BO11+1,IF(WEEKDAY(BO11)=7,BO11+2,BO11)))+COUNTIF(ClosedDays!$F$4:$F$32,IF(WEEKDAY(BO11)=1,BO11+1,IF(WEEKDAY(BO11)=7,BO11+2,BO11)))+COUNTIF(ClosedDays!$J$4:$J$32,IF(WEEKDAY(BO11)=1,BO11+1,IF(WEEKDAY(BO11)=7,BO11+2,BO11)))+COUNTIF(ClosedDays!$N$4:$N$32,IF(WEEKDAY(BO11)=1,BO11+1,IF(WEEKDAY(BO11)=7,BO11+2,BO11)))</f>
        <v>44473</v>
      </c>
      <c r="BQ11" s="405">
        <f t="shared" si="16"/>
        <v>44473</v>
      </c>
      <c r="BR11" s="446">
        <f>IF(AND($D11&lt;='Outline Info'!$H$31,BQ11&gt;='Outline Info'!$H$31,$BS$4=1,$AC11&gt;10,$AC11&lt;9997),1,0)</f>
        <v>0</v>
      </c>
      <c r="BS11" s="405">
        <f>IF(BR11=1,BQ11+'Outline Info'!$I$31-'Outline Info'!$H$31+1,BQ11)</f>
        <v>44473</v>
      </c>
      <c r="BT11" s="405">
        <f>BS11+IF(WEEKDAY(BS11)=1,1,IF(WEEKDAY(BS11)=7,2,0))+COUNTIF(ClosedDays!$B$4:$B$32,IF(WEEKDAY(BS11)=1,BS11+1,IF(WEEKDAY(BS11)=7,BS11+2,BS11)))+COUNTIF(ClosedDays!$F$4:$F$32,IF(WEEKDAY(BS11)=1,BS11+1,IF(WEEKDAY(BS11)=7,BS11+2,BS11)))+COUNTIF(ClosedDays!$J$4:$J$32,IF(WEEKDAY(BS11)=1,BS11+1,IF(WEEKDAY(BS11)=7,BS11+2,BS11)))+COUNTIF(ClosedDays!$N$4:$N$32,IF(WEEKDAY(BS11)=1,BS11+1,IF(WEEKDAY(BS11)=7,BS11+2,BS11)))</f>
        <v>44473</v>
      </c>
      <c r="BU11" s="405">
        <f>BT11+IF(WEEKDAY(BT11)=1,1,IF(WEEKDAY(BT11)=7,2,0))+COUNTIF(ClosedDays!$B$4:$B$32,IF(WEEKDAY(BT11)=1,BT11+1,IF(WEEKDAY(BT11)=7,BT11+2,BT11)))+COUNTIF(ClosedDays!$F$4:$F$32,IF(WEEKDAY(BT11)=1,BT11+1,IF(WEEKDAY(BT11)=7,BT11+2,BT11)))+COUNTIF(ClosedDays!$J$4:$J$32,IF(WEEKDAY(BT11)=1,BT11+1,IF(WEEKDAY(BT11)=7,BT11+2,BT11)))+COUNTIF(ClosedDays!$N$4:$N$32,IF(WEEKDAY(BT11)=1,BT11+1,IF(WEEKDAY(BT11)=7,BT11+2,BT11)))</f>
        <v>44473</v>
      </c>
      <c r="BV11" s="405">
        <f>BU11+IF(WEEKDAY(BU11)=1,1,IF(WEEKDAY(BU11)=7,2,0))+COUNTIF(ClosedDays!$B$4:$B$32,IF(WEEKDAY(BU11)=1,BU11+1,IF(WEEKDAY(BU11)=7,BU11+2,BU11)))+COUNTIF(ClosedDays!$F$4:$F$32,IF(WEEKDAY(BU11)=1,BU11+1,IF(WEEKDAY(BU11)=7,BU11+2,BU11)))+COUNTIF(ClosedDays!$J$4:$J$32,IF(WEEKDAY(BU11)=1,BU11+1,IF(WEEKDAY(BU11)=7,BU11+2,BU11)))+COUNTIF(ClosedDays!$N$4:$N$32,IF(WEEKDAY(BU11)=1,BU11+1,IF(WEEKDAY(BU11)=7,BU11+2,BU11)))</f>
        <v>44473</v>
      </c>
      <c r="BW11" s="405">
        <f>BV11+IF(WEEKDAY(BV11)=1,1,IF(WEEKDAY(BV11)=7,2,0))+COUNTIF(ClosedDays!$B$4:$B$32,IF(WEEKDAY(BV11)=1,BV11+1,IF(WEEKDAY(BV11)=7,BV11+2,BV11)))+COUNTIF(ClosedDays!$F$4:$F$32,IF(WEEKDAY(BV11)=1,BV11+1,IF(WEEKDAY(BV11)=7,BV11+2,BV11)))+COUNTIF(ClosedDays!$J$4:$J$32,IF(WEEKDAY(BV11)=1,BV11+1,IF(WEEKDAY(BV11)=7,BV11+2,BV11)))+COUNTIF(ClosedDays!$N$4:$N$32,IF(WEEKDAY(BV11)=1,BV11+1,IF(WEEKDAY(BV11)=7,BV11+2,BV11)))</f>
        <v>44473</v>
      </c>
      <c r="BX11" s="405">
        <f>BW11+IF(WEEKDAY(BW11)=1,1,IF(WEEKDAY(BW11)=7,2,0))+COUNTIF(ClosedDays!$B$4:$B$32,IF(WEEKDAY(BW11)=1,BW11+1,IF(WEEKDAY(BW11)=7,BW11+2,BW11)))+COUNTIF(ClosedDays!$F$4:$F$32,IF(WEEKDAY(BW11)=1,BW11+1,IF(WEEKDAY(BW11)=7,BW11+2,BW11)))+COUNTIF(ClosedDays!$J$4:$J$32,IF(WEEKDAY(BW11)=1,BW11+1,IF(WEEKDAY(BW11)=7,BW11+2,BW11)))+COUNTIF(ClosedDays!$N$4:$N$32,IF(WEEKDAY(BW11)=1,BW11+1,IF(WEEKDAY(BW11)=7,BW11+2,BW11)))</f>
        <v>44473</v>
      </c>
      <c r="BY11" s="405">
        <f>BX11+IF(WEEKDAY(BX11)=1,1,IF(WEEKDAY(BX11)=7,2,0))+COUNTIF(ClosedDays!$B$4:$B$32,IF(WEEKDAY(BX11)=1,BX11+1,IF(WEEKDAY(BX11)=7,BX11+2,BX11)))+COUNTIF(ClosedDays!$F$4:$F$32,IF(WEEKDAY(BX11)=1,BX11+1,IF(WEEKDAY(BX11)=7,BX11+2,BX11)))+COUNTIF(ClosedDays!$J$4:$J$32,IF(WEEKDAY(BX11)=1,BX11+1,IF(WEEKDAY(BX11)=7,BX11+2,BX11)))+COUNTIF(ClosedDays!$N$4:$N$32,IF(WEEKDAY(BX11)=1,BX11+1,IF(WEEKDAY(BX11)=7,BX11+2,BX11)))</f>
        <v>44473</v>
      </c>
      <c r="BZ11" s="405">
        <f>BY11+IF(WEEKDAY(BY11)=1,1,IF(WEEKDAY(BY11)=7,2,0))+COUNTIF(ClosedDays!$B$4:$B$32,IF(WEEKDAY(BY11)=1,BY11+1,IF(WEEKDAY(BY11)=7,BY11+2,BY11)))+COUNTIF(ClosedDays!$F$4:$F$32,IF(WEEKDAY(BY11)=1,BY11+1,IF(WEEKDAY(BY11)=7,BY11+2,BY11)))+COUNTIF(ClosedDays!$J$4:$J$32,IF(WEEKDAY(BY11)=1,BY11+1,IF(WEEKDAY(BY11)=7,BY11+2,BY11)))+COUNTIF(ClosedDays!$N$4:$N$32,IF(WEEKDAY(BY11)=1,BY11+1,IF(WEEKDAY(BY11)=7,BY11+2,BY11)))</f>
        <v>44473</v>
      </c>
      <c r="CA11" s="405">
        <f>BZ11+IF(WEEKDAY(BZ11)=1,1,IF(WEEKDAY(BZ11)=7,2,0))+COUNTIF(ClosedDays!$B$4:$B$32,IF(WEEKDAY(BZ11)=1,BZ11+1,IF(WEEKDAY(BZ11)=7,BZ11+2,BZ11)))+COUNTIF(ClosedDays!$F$4:$F$32,IF(WEEKDAY(BZ11)=1,BZ11+1,IF(WEEKDAY(BZ11)=7,BZ11+2,BZ11)))+COUNTIF(ClosedDays!$J$4:$J$32,IF(WEEKDAY(BZ11)=1,BZ11+1,IF(WEEKDAY(BZ11)=7,BZ11+2,BZ11)))+COUNTIF(ClosedDays!$N$4:$N$32,IF(WEEKDAY(BZ11)=1,BZ11+1,IF(WEEKDAY(BZ11)=7,BZ11+2,BZ11)))</f>
        <v>44473</v>
      </c>
      <c r="CB11" s="405">
        <f>CA11+IF(WEEKDAY(CA11)=1,1,IF(WEEKDAY(CA11)=7,2,0))+COUNTIF(ClosedDays!$B$4:$B$32,IF(WEEKDAY(CA11)=1,CA11+1,IF(WEEKDAY(CA11)=7,CA11+2,CA11)))+COUNTIF(ClosedDays!$F$4:$F$32,IF(WEEKDAY(CA11)=1,CA11+1,IF(WEEKDAY(CA11)=7,CA11+2,CA11)))+COUNTIF(ClosedDays!$J$4:$J$32,IF(WEEKDAY(CA11)=1,CA11+1,IF(WEEKDAY(CA11)=7,CA11+2,CA11)))+COUNTIF(ClosedDays!$N$4:$N$32,IF(WEEKDAY(CA11)=1,CA11+1,IF(WEEKDAY(CA11)=7,CA11+2,CA11)))</f>
        <v>44473</v>
      </c>
      <c r="CC11" s="405">
        <f>CB11+IF(WEEKDAY(CB11)=1,1,IF(WEEKDAY(CB11)=7,2,0))+COUNTIF(ClosedDays!$B$4:$B$32,IF(WEEKDAY(CB11)=1,CB11+1,IF(WEEKDAY(CB11)=7,CB11+2,CB11)))+COUNTIF(ClosedDays!$F$4:$F$32,IF(WEEKDAY(CB11)=1,CB11+1,IF(WEEKDAY(CB11)=7,CB11+2,CB11)))+COUNTIF(ClosedDays!$J$4:$J$32,IF(WEEKDAY(CB11)=1,CB11+1,IF(WEEKDAY(CB11)=7,CB11+2,CB11)))+COUNTIF(ClosedDays!$N$4:$N$32,IF(WEEKDAY(CB11)=1,CB11+1,IF(WEEKDAY(CB11)=7,CB11+2,CB11)))</f>
        <v>44473</v>
      </c>
      <c r="CD11" s="405">
        <f>CC11+IF(WEEKDAY(CC11)=1,1,IF(WEEKDAY(CC11)=7,2,0))+COUNTIF(ClosedDays!$B$4:$B$32,IF(WEEKDAY(CC11)=1,CC11+1,IF(WEEKDAY(CC11)=7,CC11+2,CC11)))+COUNTIF(ClosedDays!$F$4:$F$32,IF(WEEKDAY(CC11)=1,CC11+1,IF(WEEKDAY(CC11)=7,CC11+2,CC11)))+COUNTIF(ClosedDays!$J$4:$J$32,IF(WEEKDAY(CC11)=1,CC11+1,IF(WEEKDAY(CC11)=7,CC11+2,CC11)))+COUNTIF(ClosedDays!$N$4:$N$32,IF(WEEKDAY(CC11)=1,CC11+1,IF(WEEKDAY(CC11)=7,CC11+2,CC11)))</f>
        <v>44473</v>
      </c>
      <c r="CE11" s="405">
        <f>CD11+IF(WEEKDAY(CD11)=1,1,IF(WEEKDAY(CD11)=7,2,0))+COUNTIF(ClosedDays!$B$4:$B$32,IF(WEEKDAY(CD11)=1,CD11+1,IF(WEEKDAY(CD11)=7,CD11+2,CD11)))+COUNTIF(ClosedDays!$F$4:$F$32,IF(WEEKDAY(CD11)=1,CD11+1,IF(WEEKDAY(CD11)=7,CD11+2,CD11)))+COUNTIF(ClosedDays!$J$4:$J$32,IF(WEEKDAY(CD11)=1,CD11+1,IF(WEEKDAY(CD11)=7,CD11+2,CD11)))+COUNTIF(ClosedDays!$N$4:$N$32,IF(WEEKDAY(CD11)=1,CD11+1,IF(WEEKDAY(CD11)=7,CD11+2,CD11)))</f>
        <v>44473</v>
      </c>
      <c r="CF11" s="405">
        <f>CE11+IF(WEEKDAY(CE11)=1,1,IF(WEEKDAY(CE11)=7,2,0))+COUNTIF(ClosedDays!$B$4:$B$32,IF(WEEKDAY(CE11)=1,CE11+1,IF(WEEKDAY(CE11)=7,CE11+2,CE11)))+COUNTIF(ClosedDays!$F$4:$F$32,IF(WEEKDAY(CE11)=1,CE11+1,IF(WEEKDAY(CE11)=7,CE11+2,CE11)))+COUNTIF(ClosedDays!$J$4:$J$32,IF(WEEKDAY(CE11)=1,CE11+1,IF(WEEKDAY(CE11)=7,CE11+2,CE11)))+COUNTIF(ClosedDays!$N$4:$N$32,IF(WEEKDAY(CE11)=1,CE11+1,IF(WEEKDAY(CE11)=7,CE11+2,CE11)))</f>
        <v>44473</v>
      </c>
      <c r="CG11" s="405">
        <f>CF11+IF(WEEKDAY(CF11)=1,1,IF(WEEKDAY(CF11)=7,2,0))+COUNTIF(ClosedDays!$B$4:$B$32,IF(WEEKDAY(CF11)=1,CF11+1,IF(WEEKDAY(CF11)=7,CF11+2,CF11)))+COUNTIF(ClosedDays!$F$4:$F$32,IF(WEEKDAY(CF11)=1,CF11+1,IF(WEEKDAY(CF11)=7,CF11+2,CF11)))+COUNTIF(ClosedDays!$J$4:$J$32,IF(WEEKDAY(CF11)=1,CF11+1,IF(WEEKDAY(CF11)=7,CF11+2,CF11)))+COUNTIF(ClosedDays!$N$4:$N$32,IF(WEEKDAY(CF11)=1,CF11+1,IF(WEEKDAY(CF11)=7,CF11+2,CF11)))</f>
        <v>44473</v>
      </c>
      <c r="CH11" s="405">
        <f t="shared" si="17"/>
        <v>44473</v>
      </c>
      <c r="CI11" s="446">
        <f>IF(AND($D11&lt;='Outline Info'!$H$33,CH11&gt;='Outline Info'!$H$33,$CJ$4=1,$AC11&gt;10,$AC11&lt;9997),1,0)</f>
        <v>0</v>
      </c>
      <c r="CJ11" s="405">
        <f>IF(CI11=1,CH11+'Outline Info'!$I$33-'Outline Info'!$H$33+1,CH11)</f>
        <v>44473</v>
      </c>
      <c r="CK11" s="405">
        <f>CJ11+IF(WEEKDAY(CJ11)=1,1,IF(WEEKDAY(CJ11)=7,2,0))+COUNTIF(ClosedDays!$B$4:$B$32,IF(WEEKDAY(CJ11)=1,CJ11+1,IF(WEEKDAY(CJ11)=7,CJ11+2,CJ11)))+COUNTIF(ClosedDays!$F$4:$F$32,IF(WEEKDAY(CJ11)=1,CJ11+1,IF(WEEKDAY(CJ11)=7,CJ11+2,CJ11)))+COUNTIF(ClosedDays!$J$4:$J$32,IF(WEEKDAY(CJ11)=1,CJ11+1,IF(WEEKDAY(CJ11)=7,CJ11+2,CJ11)))+COUNTIF(ClosedDays!$N$4:$N$32,IF(WEEKDAY(CJ11)=1,CJ11+1,IF(WEEKDAY(CJ11)=7,CJ11+2,CJ11)))</f>
        <v>44473</v>
      </c>
      <c r="CL11" s="405">
        <f>CK11+IF(WEEKDAY(CK11)=1,1,IF(WEEKDAY(CK11)=7,2,0))+COUNTIF(ClosedDays!$B$4:$B$32,IF(WEEKDAY(CK11)=1,CK11+1,IF(WEEKDAY(CK11)=7,CK11+2,CK11)))+COUNTIF(ClosedDays!$F$4:$F$32,IF(WEEKDAY(CK11)=1,CK11+1,IF(WEEKDAY(CK11)=7,CK11+2,CK11)))+COUNTIF(ClosedDays!$J$4:$J$32,IF(WEEKDAY(CK11)=1,CK11+1,IF(WEEKDAY(CK11)=7,CK11+2,CK11)))+COUNTIF(ClosedDays!$N$4:$N$32,IF(WEEKDAY(CK11)=1,CK11+1,IF(WEEKDAY(CK11)=7,CK11+2,CK11)))</f>
        <v>44473</v>
      </c>
      <c r="CM11" s="405">
        <f>CL11+IF(WEEKDAY(CL11)=1,1,IF(WEEKDAY(CL11)=7,2,0))+COUNTIF(ClosedDays!$B$4:$B$32,IF(WEEKDAY(CL11)=1,CL11+1,IF(WEEKDAY(CL11)=7,CL11+2,CL11)))+COUNTIF(ClosedDays!$F$4:$F$32,IF(WEEKDAY(CL11)=1,CL11+1,IF(WEEKDAY(CL11)=7,CL11+2,CL11)))+COUNTIF(ClosedDays!$J$4:$J$32,IF(WEEKDAY(CL11)=1,CL11+1,IF(WEEKDAY(CL11)=7,CL11+2,CL11)))+COUNTIF(ClosedDays!$N$4:$N$32,IF(WEEKDAY(CL11)=1,CL11+1,IF(WEEKDAY(CL11)=7,CL11+2,CL11)))</f>
        <v>44473</v>
      </c>
      <c r="CN11" s="405">
        <f>CM11+IF(WEEKDAY(CM11)=1,1,IF(WEEKDAY(CM11)=7,2,0))+COUNTIF(ClosedDays!$B$4:$B$32,IF(WEEKDAY(CM11)=1,CM11+1,IF(WEEKDAY(CM11)=7,CM11+2,CM11)))+COUNTIF(ClosedDays!$F$4:$F$32,IF(WEEKDAY(CM11)=1,CM11+1,IF(WEEKDAY(CM11)=7,CM11+2,CM11)))+COUNTIF(ClosedDays!$J$4:$J$32,IF(WEEKDAY(CM11)=1,CM11+1,IF(WEEKDAY(CM11)=7,CM11+2,CM11)))+COUNTIF(ClosedDays!$N$4:$N$32,IF(WEEKDAY(CM11)=1,CM11+1,IF(WEEKDAY(CM11)=7,CM11+2,CM11)))</f>
        <v>44473</v>
      </c>
      <c r="CO11" s="405">
        <f>CN11+IF(WEEKDAY(CN11)=1,1,IF(WEEKDAY(CN11)=7,2,0))+COUNTIF(ClosedDays!$B$4:$B$32,IF(WEEKDAY(CN11)=1,CN11+1,IF(WEEKDAY(CN11)=7,CN11+2,CN11)))+COUNTIF(ClosedDays!$F$4:$F$32,IF(WEEKDAY(CN11)=1,CN11+1,IF(WEEKDAY(CN11)=7,CN11+2,CN11)))+COUNTIF(ClosedDays!$J$4:$J$32,IF(WEEKDAY(CN11)=1,CN11+1,IF(WEEKDAY(CN11)=7,CN11+2,CN11)))+COUNTIF(ClosedDays!$N$4:$N$32,IF(WEEKDAY(CN11)=1,CN11+1,IF(WEEKDAY(CN11)=7,CN11+2,CN11)))</f>
        <v>44473</v>
      </c>
      <c r="CP11" s="405">
        <f>CO11+IF(WEEKDAY(CO11)=1,1,IF(WEEKDAY(CO11)=7,2,0))+COUNTIF(ClosedDays!$B$4:$B$32,IF(WEEKDAY(CO11)=1,CO11+1,IF(WEEKDAY(CO11)=7,CO11+2,CO11)))+COUNTIF(ClosedDays!$F$4:$F$32,IF(WEEKDAY(CO11)=1,CO11+1,IF(WEEKDAY(CO11)=7,CO11+2,CO11)))+COUNTIF(ClosedDays!$J$4:$J$32,IF(WEEKDAY(CO11)=1,CO11+1,IF(WEEKDAY(CO11)=7,CO11+2,CO11)))+COUNTIF(ClosedDays!$N$4:$N$32,IF(WEEKDAY(CO11)=1,CO11+1,IF(WEEKDAY(CO11)=7,CO11+2,CO11)))</f>
        <v>44473</v>
      </c>
      <c r="CQ11" s="405">
        <f>CP11+IF(WEEKDAY(CP11)=1,1,IF(WEEKDAY(CP11)=7,2,0))+COUNTIF(ClosedDays!$B$4:$B$32,IF(WEEKDAY(CP11)=1,CP11+1,IF(WEEKDAY(CP11)=7,CP11+2,CP11)))+COUNTIF(ClosedDays!$F$4:$F$32,IF(WEEKDAY(CP11)=1,CP11+1,IF(WEEKDAY(CP11)=7,CP11+2,CP11)))+COUNTIF(ClosedDays!$J$4:$J$32,IF(WEEKDAY(CP11)=1,CP11+1,IF(WEEKDAY(CP11)=7,CP11+2,CP11)))+COUNTIF(ClosedDays!$N$4:$N$32,IF(WEEKDAY(CP11)=1,CP11+1,IF(WEEKDAY(CP11)=7,CP11+2,CP11)))</f>
        <v>44473</v>
      </c>
      <c r="CR11" s="405">
        <f>CQ11+IF(WEEKDAY(CQ11)=1,1,IF(WEEKDAY(CQ11)=7,2,0))+COUNTIF(ClosedDays!$B$4:$B$32,IF(WEEKDAY(CQ11)=1,CQ11+1,IF(WEEKDAY(CQ11)=7,CQ11+2,CQ11)))+COUNTIF(ClosedDays!$F$4:$F$32,IF(WEEKDAY(CQ11)=1,CQ11+1,IF(WEEKDAY(CQ11)=7,CQ11+2,CQ11)))+COUNTIF(ClosedDays!$J$4:$J$32,IF(WEEKDAY(CQ11)=1,CQ11+1,IF(WEEKDAY(CQ11)=7,CQ11+2,CQ11)))+COUNTIF(ClosedDays!$N$4:$N$32,IF(WEEKDAY(CQ11)=1,CQ11+1,IF(WEEKDAY(CQ11)=7,CQ11+2,CQ11)))</f>
        <v>44473</v>
      </c>
      <c r="CS11" s="405">
        <f>CR11+IF(WEEKDAY(CR11)=1,1,IF(WEEKDAY(CR11)=7,2,0))+COUNTIF(ClosedDays!$B$4:$B$32,IF(WEEKDAY(CR11)=1,CR11+1,IF(WEEKDAY(CR11)=7,CR11+2,CR11)))+COUNTIF(ClosedDays!$F$4:$F$32,IF(WEEKDAY(CR11)=1,CR11+1,IF(WEEKDAY(CR11)=7,CR11+2,CR11)))+COUNTIF(ClosedDays!$J$4:$J$32,IF(WEEKDAY(CR11)=1,CR11+1,IF(WEEKDAY(CR11)=7,CR11+2,CR11)))+COUNTIF(ClosedDays!$N$4:$N$32,IF(WEEKDAY(CR11)=1,CR11+1,IF(WEEKDAY(CR11)=7,CR11+2,CR11)))</f>
        <v>44473</v>
      </c>
      <c r="CT11" s="405">
        <f>CS11+IF(WEEKDAY(CS11)=1,1,IF(WEEKDAY(CS11)=7,2,0))+COUNTIF(ClosedDays!$B$4:$B$32,IF(WEEKDAY(CS11)=1,CS11+1,IF(WEEKDAY(CS11)=7,CS11+2,CS11)))+COUNTIF(ClosedDays!$F$4:$F$32,IF(WEEKDAY(CS11)=1,CS11+1,IF(WEEKDAY(CS11)=7,CS11+2,CS11)))+COUNTIF(ClosedDays!$J$4:$J$32,IF(WEEKDAY(CS11)=1,CS11+1,IF(WEEKDAY(CS11)=7,CS11+2,CS11)))+COUNTIF(ClosedDays!$N$4:$N$32,IF(WEEKDAY(CS11)=1,CS11+1,IF(WEEKDAY(CS11)=7,CS11+2,CS11)))</f>
        <v>44473</v>
      </c>
      <c r="CU11" s="405">
        <f>CT11+IF(WEEKDAY(CT11)=1,1,IF(WEEKDAY(CT11)=7,2,0))+COUNTIF(ClosedDays!$B$4:$B$32,IF(WEEKDAY(CT11)=1,CT11+1,IF(WEEKDAY(CT11)=7,CT11+2,CT11)))+COUNTIF(ClosedDays!$F$4:$F$32,IF(WEEKDAY(CT11)=1,CT11+1,IF(WEEKDAY(CT11)=7,CT11+2,CT11)))+COUNTIF(ClosedDays!$J$4:$J$32,IF(WEEKDAY(CT11)=1,CT11+1,IF(WEEKDAY(CT11)=7,CT11+2,CT11)))+COUNTIF(ClosedDays!$N$4:$N$32,IF(WEEKDAY(CT11)=1,CT11+1,IF(WEEKDAY(CT11)=7,CT11+2,CT11)))</f>
        <v>44473</v>
      </c>
      <c r="CV11" s="405">
        <f>CU11+IF(WEEKDAY(CU11)=1,1,IF(WEEKDAY(CU11)=7,2,0))+COUNTIF(ClosedDays!$B$4:$B$32,IF(WEEKDAY(CU11)=1,CU11+1,IF(WEEKDAY(CU11)=7,CU11+2,CU11)))+COUNTIF(ClosedDays!$F$4:$F$32,IF(WEEKDAY(CU11)=1,CU11+1,IF(WEEKDAY(CU11)=7,CU11+2,CU11)))+COUNTIF(ClosedDays!$J$4:$J$32,IF(WEEKDAY(CU11)=1,CU11+1,IF(WEEKDAY(CU11)=7,CU11+2,CU11)))+COUNTIF(ClosedDays!$N$4:$N$32,IF(WEEKDAY(CU11)=1,CU11+1,IF(WEEKDAY(CU11)=7,CU11+2,CU11)))</f>
        <v>44473</v>
      </c>
      <c r="CW11" s="405">
        <f>CV11+IF(WEEKDAY(CV11)=1,1,IF(WEEKDAY(CV11)=7,2,0))+COUNTIF(ClosedDays!$B$4:$B$32,IF(WEEKDAY(CV11)=1,CV11+1,IF(WEEKDAY(CV11)=7,CV11+2,CV11)))+COUNTIF(ClosedDays!$F$4:$F$32,IF(WEEKDAY(CV11)=1,CV11+1,IF(WEEKDAY(CV11)=7,CV11+2,CV11)))+COUNTIF(ClosedDays!$J$4:$J$32,IF(WEEKDAY(CV11)=1,CV11+1,IF(WEEKDAY(CV11)=7,CV11+2,CV11)))+COUNTIF(ClosedDays!$N$4:$N$32,IF(WEEKDAY(CV11)=1,CV11+1,IF(WEEKDAY(CV11)=7,CV11+2,CV11)))</f>
        <v>44473</v>
      </c>
      <c r="CX11" s="405">
        <f>CW11+IF(WEEKDAY(CW11)=1,1,IF(WEEKDAY(CW11)=7,2,0))+COUNTIF(ClosedDays!$B$4:$B$32,IF(WEEKDAY(CW11)=1,CW11+1,IF(WEEKDAY(CW11)=7,CW11+2,CW11)))+COUNTIF(ClosedDays!$F$4:$F$32,IF(WEEKDAY(CW11)=1,CW11+1,IF(WEEKDAY(CW11)=7,CW11+2,CW11)))+COUNTIF(ClosedDays!$J$4:$J$32,IF(WEEKDAY(CW11)=1,CW11+1,IF(WEEKDAY(CW11)=7,CW11+2,CW11)))+COUNTIF(ClosedDays!$N$4:$N$32,IF(WEEKDAY(CW11)=1,CW11+1,IF(WEEKDAY(CW11)=7,CW11+2,CW11)))</f>
        <v>44473</v>
      </c>
      <c r="CY11" s="405">
        <f t="shared" si="18"/>
        <v>44473</v>
      </c>
      <c r="CZ11" s="446">
        <f>IF(AND($D11&lt;='Outline Info'!$E$33,CY11&gt;='Outline Info'!$E$33,$AC11&gt;10,$AC11&lt;9997),1,0)</f>
        <v>0</v>
      </c>
      <c r="DA11" s="405">
        <f>IF(AND($D11&lt;='Outline Info'!$E$33,CY11&gt;='Outline Info'!$E$33),CY11+'Outline Info'!$F$33-'Outline Info'!$E$33+1,CY11)</f>
        <v>44473</v>
      </c>
      <c r="DB11" s="405">
        <f>DA11+IF(WEEKDAY(DA11)=1,1,IF(WEEKDAY(DA11)=7,2,0))+COUNTIF(ClosedDays!$B$4:$B$32,IF(WEEKDAY(DA11)=1,DA11+1,IF(WEEKDAY(DA11)=7,DA11+2,DA11)))+COUNTIF(ClosedDays!$F$4:$F$32,IF(WEEKDAY(DA11)=1,DA11+1,IF(WEEKDAY(DA11)=7,DA11+2,DA11)))+COUNTIF(ClosedDays!$J$4:$J$32,IF(WEEKDAY(DA11)=1,DA11+1,IF(WEEKDAY(DA11)=7,DA11+2,DA11)))+COUNTIF(ClosedDays!$N$4:$N$32,IF(WEEKDAY(DA11)=1,DA11+1,IF(WEEKDAY(DA11)=7,DA11+2,DA11)))</f>
        <v>44473</v>
      </c>
      <c r="DC11" s="405">
        <f>DB11+IF(WEEKDAY(DB11)=1,1,IF(WEEKDAY(DB11)=7,2,0))+COUNTIF(ClosedDays!$B$4:$B$32,IF(WEEKDAY(DB11)=1,DB11+1,IF(WEEKDAY(DB11)=7,DB11+2,DB11)))+COUNTIF(ClosedDays!$F$4:$F$32,IF(WEEKDAY(DB11)=1,DB11+1,IF(WEEKDAY(DB11)=7,DB11+2,DB11)))+COUNTIF(ClosedDays!$J$4:$J$32,IF(WEEKDAY(DB11)=1,DB11+1,IF(WEEKDAY(DB11)=7,DB11+2,DB11)))+COUNTIF(ClosedDays!$N$4:$N$32,IF(WEEKDAY(DB11)=1,DB11+1,IF(WEEKDAY(DB11)=7,DB11+2,DB11)))</f>
        <v>44473</v>
      </c>
      <c r="DD11" s="405">
        <f>DC11+IF(WEEKDAY(DC11)=1,1,IF(WEEKDAY(DC11)=7,2,0))+COUNTIF(ClosedDays!$B$4:$B$32,IF(WEEKDAY(DC11)=1,DC11+1,IF(WEEKDAY(DC11)=7,DC11+2,DC11)))+COUNTIF(ClosedDays!$F$4:$F$32,IF(WEEKDAY(DC11)=1,DC11+1,IF(WEEKDAY(DC11)=7,DC11+2,DC11)))+COUNTIF(ClosedDays!$J$4:$J$32,IF(WEEKDAY(DC11)=1,DC11+1,IF(WEEKDAY(DC11)=7,DC11+2,DC11)))+COUNTIF(ClosedDays!$N$4:$N$32,IF(WEEKDAY(DC11)=1,DC11+1,IF(WEEKDAY(DC11)=7,DC11+2,DC11)))</f>
        <v>44473</v>
      </c>
      <c r="DE11" s="405">
        <f>DD11+IF(WEEKDAY(DD11)=1,1,IF(WEEKDAY(DD11)=7,2,0))+COUNTIF(ClosedDays!$B$4:$B$32,IF(WEEKDAY(DD11)=1,DD11+1,IF(WEEKDAY(DD11)=7,DD11+2,DD11)))+COUNTIF(ClosedDays!$F$4:$F$32,IF(WEEKDAY(DD11)=1,DD11+1,IF(WEEKDAY(DD11)=7,DD11+2,DD11)))+COUNTIF(ClosedDays!$J$4:$J$32,IF(WEEKDAY(DD11)=1,DD11+1,IF(WEEKDAY(DD11)=7,DD11+2,DD11)))+COUNTIF(ClosedDays!$N$4:$N$32,IF(WEEKDAY(DD11)=1,DD11+1,IF(WEEKDAY(DD11)=7,DD11+2,DD11)))</f>
        <v>44473</v>
      </c>
      <c r="DF11" s="405">
        <f>DE11+IF(WEEKDAY(DE11)=1,1,IF(WEEKDAY(DE11)=7,2,0))+COUNTIF(ClosedDays!$B$4:$B$32,IF(WEEKDAY(DE11)=1,DE11+1,IF(WEEKDAY(DE11)=7,DE11+2,DE11)))+COUNTIF(ClosedDays!$F$4:$F$32,IF(WEEKDAY(DE11)=1,DE11+1,IF(WEEKDAY(DE11)=7,DE11+2,DE11)))+COUNTIF(ClosedDays!$J$4:$J$32,IF(WEEKDAY(DE11)=1,DE11+1,IF(WEEKDAY(DE11)=7,DE11+2,DE11)))+COUNTIF(ClosedDays!$N$4:$N$32,IF(WEEKDAY(DE11)=1,DE11+1,IF(WEEKDAY(DE11)=7,DE11+2,DE11)))</f>
        <v>44473</v>
      </c>
      <c r="DG11" s="405">
        <f>DF11+IF(WEEKDAY(DF11)=1,1,IF(WEEKDAY(DF11)=7,2,0))+COUNTIF(ClosedDays!$B$4:$B$32,IF(WEEKDAY(DF11)=1,DF11+1,IF(WEEKDAY(DF11)=7,DF11+2,DF11)))+COUNTIF(ClosedDays!$F$4:$F$32,IF(WEEKDAY(DF11)=1,DF11+1,IF(WEEKDAY(DF11)=7,DF11+2,DF11)))+COUNTIF(ClosedDays!$J$4:$J$32,IF(WEEKDAY(DF11)=1,DF11+1,IF(WEEKDAY(DF11)=7,DF11+2,DF11)))+COUNTIF(ClosedDays!$N$4:$N$32,IF(WEEKDAY(DF11)=1,DF11+1,IF(WEEKDAY(DF11)=7,DF11+2,DF11)))</f>
        <v>44473</v>
      </c>
      <c r="DH11" s="405">
        <f>DG11+IF(WEEKDAY(DG11)=1,1,IF(WEEKDAY(DG11)=7,2,0))+COUNTIF(ClosedDays!$B$4:$B$32,IF(WEEKDAY(DG11)=1,DG11+1,IF(WEEKDAY(DG11)=7,DG11+2,DG11)))+COUNTIF(ClosedDays!$F$4:$F$32,IF(WEEKDAY(DG11)=1,DG11+1,IF(WEEKDAY(DG11)=7,DG11+2,DG11)))+COUNTIF(ClosedDays!$J$4:$J$32,IF(WEEKDAY(DG11)=1,DG11+1,IF(WEEKDAY(DG11)=7,DG11+2,DG11)))+COUNTIF(ClosedDays!$N$4:$N$32,IF(WEEKDAY(DG11)=1,DG11+1,IF(WEEKDAY(DG11)=7,DG11+2,DG11)))</f>
        <v>44473</v>
      </c>
      <c r="DI11" s="405">
        <f>DH11+IF(WEEKDAY(DH11)=1,1,IF(WEEKDAY(DH11)=7,2,0))+COUNTIF(ClosedDays!$B$4:$B$32,IF(WEEKDAY(DH11)=1,DH11+1,IF(WEEKDAY(DH11)=7,DH11+2,DH11)))+COUNTIF(ClosedDays!$F$4:$F$32,IF(WEEKDAY(DH11)=1,DH11+1,IF(WEEKDAY(DH11)=7,DH11+2,DH11)))+COUNTIF(ClosedDays!$J$4:$J$32,IF(WEEKDAY(DH11)=1,DH11+1,IF(WEEKDAY(DH11)=7,DH11+2,DH11)))+COUNTIF(ClosedDays!$N$4:$N$32,IF(WEEKDAY(DH11)=1,DH11+1,IF(WEEKDAY(DH11)=7,DH11+2,DH11)))</f>
        <v>44473</v>
      </c>
      <c r="DJ11" s="405">
        <f>DI11+IF(WEEKDAY(DI11)=1,1,IF(WEEKDAY(DI11)=7,2,0))+COUNTIF(ClosedDays!$B$4:$B$32,IF(WEEKDAY(DI11)=1,DI11+1,IF(WEEKDAY(DI11)=7,DI11+2,DI11)))+COUNTIF(ClosedDays!$F$4:$F$32,IF(WEEKDAY(DI11)=1,DI11+1,IF(WEEKDAY(DI11)=7,DI11+2,DI11)))+COUNTIF(ClosedDays!$J$4:$J$32,IF(WEEKDAY(DI11)=1,DI11+1,IF(WEEKDAY(DI11)=7,DI11+2,DI11)))+COUNTIF(ClosedDays!$N$4:$N$32,IF(WEEKDAY(DI11)=1,DI11+1,IF(WEEKDAY(DI11)=7,DI11+2,DI11)))</f>
        <v>44473</v>
      </c>
      <c r="DK11" s="405">
        <f>DJ11+IF(WEEKDAY(DJ11)=1,1,IF(WEEKDAY(DJ11)=7,2,0))+COUNTIF(ClosedDays!$B$4:$B$32,IF(WEEKDAY(DJ11)=1,DJ11+1,IF(WEEKDAY(DJ11)=7,DJ11+2,DJ11)))+COUNTIF(ClosedDays!$F$4:$F$32,IF(WEEKDAY(DJ11)=1,DJ11+1,IF(WEEKDAY(DJ11)=7,DJ11+2,DJ11)))+COUNTIF(ClosedDays!$J$4:$J$32,IF(WEEKDAY(DJ11)=1,DJ11+1,IF(WEEKDAY(DJ11)=7,DJ11+2,DJ11)))+COUNTIF(ClosedDays!$N$4:$N$32,IF(WEEKDAY(DJ11)=1,DJ11+1,IF(WEEKDAY(DJ11)=7,DJ11+2,DJ11)))</f>
        <v>44473</v>
      </c>
      <c r="DL11" s="405">
        <f>DK11+IF(WEEKDAY(DK11)=1,1,IF(WEEKDAY(DK11)=7,2,0))+COUNTIF(ClosedDays!$B$4:$B$32,IF(WEEKDAY(DK11)=1,DK11+1,IF(WEEKDAY(DK11)=7,DK11+2,DK11)))+COUNTIF(ClosedDays!$F$4:$F$32,IF(WEEKDAY(DK11)=1,DK11+1,IF(WEEKDAY(DK11)=7,DK11+2,DK11)))+COUNTIF(ClosedDays!$J$4:$J$32,IF(WEEKDAY(DK11)=1,DK11+1,IF(WEEKDAY(DK11)=7,DK11+2,DK11)))+COUNTIF(ClosedDays!$N$4:$N$32,IF(WEEKDAY(DK11)=1,DK11+1,IF(WEEKDAY(DK11)=7,DK11+2,DK11)))</f>
        <v>44473</v>
      </c>
      <c r="DM11" s="405">
        <f>DL11+IF(WEEKDAY(DL11)=1,1,IF(WEEKDAY(DL11)=7,2,0))+COUNTIF(ClosedDays!$B$4:$B$32,IF(WEEKDAY(DL11)=1,DL11+1,IF(WEEKDAY(DL11)=7,DL11+2,DL11)))+COUNTIF(ClosedDays!$F$4:$F$32,IF(WEEKDAY(DL11)=1,DL11+1,IF(WEEKDAY(DL11)=7,DL11+2,DL11)))+COUNTIF(ClosedDays!$J$4:$J$32,IF(WEEKDAY(DL11)=1,DL11+1,IF(WEEKDAY(DL11)=7,DL11+2,DL11)))+COUNTIF(ClosedDays!$N$4:$N$32,IF(WEEKDAY(DL11)=1,DL11+1,IF(WEEKDAY(DL11)=7,DL11+2,DL11)))</f>
        <v>44473</v>
      </c>
      <c r="DN11" s="405">
        <f>DM11+IF(WEEKDAY(DM11)=1,1,IF(WEEKDAY(DM11)=7,2,0))+COUNTIF(ClosedDays!$B$4:$B$32,IF(WEEKDAY(DM11)=1,DM11+1,IF(WEEKDAY(DM11)=7,DM11+2,DM11)))+COUNTIF(ClosedDays!$F$4:$F$32,IF(WEEKDAY(DM11)=1,DM11+1,IF(WEEKDAY(DM11)=7,DM11+2,DM11)))+COUNTIF(ClosedDays!$J$4:$J$32,IF(WEEKDAY(DM11)=1,DM11+1,IF(WEEKDAY(DM11)=7,DM11+2,DM11)))+COUNTIF(ClosedDays!$N$4:$N$32,IF(WEEKDAY(DM11)=1,DM11+1,IF(WEEKDAY(DM11)=7,DM11+2,DM11)))</f>
        <v>44473</v>
      </c>
      <c r="DO11" s="405">
        <f>DN11+IF(WEEKDAY(DN11)=1,1,IF(WEEKDAY(DN11)=7,2,0))+COUNTIF(ClosedDays!$B$4:$B$32,IF(WEEKDAY(DN11)=1,DN11+1,IF(WEEKDAY(DN11)=7,DN11+2,DN11)))+COUNTIF(ClosedDays!$F$4:$F$32,IF(WEEKDAY(DN11)=1,DN11+1,IF(WEEKDAY(DN11)=7,DN11+2,DN11)))+COUNTIF(ClosedDays!$J$4:$J$32,IF(WEEKDAY(DN11)=1,DN11+1,IF(WEEKDAY(DN11)=7,DN11+2,DN11)))+COUNTIF(ClosedDays!$N$4:$N$32,IF(WEEKDAY(DN11)=1,DN11+1,IF(WEEKDAY(DN11)=7,DN11+2,DN11)))</f>
        <v>44473</v>
      </c>
      <c r="DP11" s="405">
        <f t="shared" si="5"/>
        <v>44473</v>
      </c>
      <c r="DQ11" s="405">
        <f t="shared" si="20"/>
        <v>44473</v>
      </c>
      <c r="DR11" s="394">
        <f t="shared" si="19"/>
        <v>1</v>
      </c>
      <c r="DS11" s="394">
        <f>IF(AND(DR11=1,COUNTIF(DS$7:DS10,1)&lt;12,VLOOKUP(COUNTIF(DS$7:DS10,1)+1,'Outline Info'!$A$21:$C$32,2)&lt;=I11),1,0)</f>
        <v>1</v>
      </c>
      <c r="DT11" s="405" t="str">
        <f>IF(DS11=1,IF(VLOOKUP(COUNTIF(DS$7:DS11,1),'Outline Info'!$A$21:$C$32,2)=0,"",VLOOKUP(COUNTIF(DS$7:DS11,1),'Outline Info'!$A$21:$C$32,2)),"")</f>
        <v/>
      </c>
      <c r="DU11" s="447">
        <f>IF(DS11=1,VLOOKUP(COUNTIF(DS$7:DS11,1),'Outline Info'!$A$21:$C$32,3),0)</f>
        <v>0</v>
      </c>
      <c r="DV11" s="445">
        <f>IF('Outline Info'!$B$8="Y",IF(B11="*",'Outline Info'!$B$19,IF(OR($A11="",B11="X",B11="x"),0,VLOOKUP($A11,'Course Table'!$A$2:$J$331,4,TRUE))),0)</f>
        <v>0</v>
      </c>
      <c r="DW11" s="447">
        <f t="shared" si="6"/>
        <v>0</v>
      </c>
      <c r="DX11" s="447">
        <f>IF('Outline Info'!$B$8="Y",$DV11,$DW11)</f>
        <v>0</v>
      </c>
      <c r="DY11" s="394"/>
      <c r="DZ11" s="934"/>
      <c r="EA11" s="934"/>
      <c r="EB11" s="394"/>
      <c r="EC11" s="394"/>
      <c r="ED11" s="394"/>
    </row>
    <row r="12" spans="1:134" s="400" customFormat="1" ht="20.100000000000001" customHeight="1">
      <c r="A12" s="874" t="str">
        <f t="shared" si="7"/>
        <v/>
      </c>
      <c r="B12" s="876" t="str">
        <f t="shared" si="8"/>
        <v/>
      </c>
      <c r="C12" s="878" t="str">
        <f t="shared" si="9"/>
        <v/>
      </c>
      <c r="D12" s="463">
        <f>IF(NOT(ISBLANK(DZ12)),DZ12,IF(AND($AC12=9998,'Outline Info'!$H$33&gt;='Outline Info'!$B$6,'Outline Info'!$H$33&lt;='Outline Info'!$C$6),'Outline Info'!$H$33,IF(AND($AC12=9997,'Outline Info'!$H$31&gt;='Outline Info'!$B$6,'Outline Info'!$H$31&lt;='Outline Info'!$C$6),'Outline Info'!$H$31,IF(AE12="*",DQ11,IF(OR(AE12="x",AE12="X"),I11,IF(AND(AC12&gt;6,AC11&lt;6),DQ11,IF(AND($AC12=9998,$AC11=9997),I10,I11)))))))</f>
        <v>44470</v>
      </c>
      <c r="E12" s="1286"/>
      <c r="F12" s="1287"/>
      <c r="G12" s="1282"/>
      <c r="H12" s="1283"/>
      <c r="I12" s="464">
        <f>IF(AND($AC12=9998,'Outline Info'!$I$33&gt;='Outline Info'!$B$6,'Outline Info'!$I$33&lt;='Outline Info'!$C$6),'Outline Info'!$I$33,IF(AND($AC12=9997,'Outline Info'!$I$31&gt;='Outline Info'!$B$6,'Outline Info'!$I$31&lt;='Outline Info'!$C$6),'Outline Info'!$I$31,IF(DP12&gt;$V$4,$V$4,DP12)))</f>
        <v>44470</v>
      </c>
      <c r="J12" s="436"/>
      <c r="K12" s="437"/>
      <c r="L12" s="438"/>
      <c r="M12" s="438"/>
      <c r="N12" s="435"/>
      <c r="O12" s="435"/>
      <c r="P12" s="438"/>
      <c r="Q12" s="438"/>
      <c r="R12" s="439"/>
      <c r="S12" s="872">
        <f>IF($V$5-SUM($DX$7:$DX12)&lt;0,IF($V$5-SUM($DX$7:$DX11)&lt;0,0,$V$5-SUM($DX$7:$DX11)),DX12)</f>
        <v>0</v>
      </c>
      <c r="T12" s="440" t="str">
        <f>IF(S12&gt;0,IF('Outline Info'!$B$8="Y",D12,DT12),"")</f>
        <v/>
      </c>
      <c r="U12" s="441"/>
      <c r="V12" s="442"/>
      <c r="W12" s="870" t="str">
        <f>IF('Outline Info'!$C$33&gt;0,ROUND(IF('Outline Info'!$B$8="Y",SUM(S$7:S12)-SUM(AJ$7:AJ12)-'Outline Info'!$B$14-'Outline Info'!$B$15-'Outline Info'!$B$17,IF(AL12=0,SUM(S$7:S12)-SUM(AK$7:AK12)-SUM(AP12:AS12)-'Outline Info'!$B$14-'Outline Info'!$B$15-'Outline Info'!$B$17,0)),0),IF('Outline Info'!$T$4&lt;&gt;1,"",IF(OR(AD12="",AL12=1),"",SUM(AK$7:AK12)+SUM(AP12:AS12)+'Outline Info'!$B$14+'Outline Info'!$B$15+'Outline Info'!$B$17)))</f>
        <v/>
      </c>
      <c r="X12" s="448"/>
      <c r="Y12" s="443">
        <f>IF(OR(AE12="X",AE12="x",AE12="*",AC12=99999),0,IF(AC12&lt;50,0,IF($S$4-SUM($Y$7:$Y11)&gt;0,1,0)))</f>
        <v>0</v>
      </c>
      <c r="Z12" s="444">
        <f>IF(AC12&lt;99999,IF(AE12="*",AH12,IF(OR(AE12="x",AE12="X",AC12&lt;10),0,IF(AND(AC12&lt;&gt;9998,AC12&lt;&gt;9997),IF(AM12=1,(AH12+$AM$5)*(1+('Outline Info'!$B$16)),IF(AN12=1,(AH12+$AN$5)*(1+('Outline Info'!$B$16)),0)),AH12))),0)</f>
        <v>0</v>
      </c>
      <c r="AA12" s="395">
        <f>Z12/'Outline Info'!$C$11+Y12</f>
        <v>0</v>
      </c>
      <c r="AB12" s="395">
        <f>ROUND(AA12/'Outline Info'!$B$11*7,0)</f>
        <v>0</v>
      </c>
      <c r="AC12" s="445">
        <f>IF($AD12&lt;&gt;"",VLOOKUP($AD12,'Course Table'!$A$2:$J$331,10,TRUE),99999)</f>
        <v>99999</v>
      </c>
      <c r="AD12" s="394"/>
      <c r="AE12" s="394"/>
      <c r="AF12" s="394"/>
      <c r="AG12" s="394"/>
      <c r="AH12" s="394"/>
      <c r="AI12" s="394">
        <v>389</v>
      </c>
      <c r="AJ12" s="394">
        <v>389</v>
      </c>
      <c r="AK12" s="394">
        <f t="shared" si="10"/>
        <v>389</v>
      </c>
      <c r="AL12" s="394">
        <f t="shared" si="11"/>
        <v>0</v>
      </c>
      <c r="AM12" s="394">
        <f t="shared" si="12"/>
        <v>0</v>
      </c>
      <c r="AN12" s="394">
        <f t="shared" si="13"/>
        <v>0</v>
      </c>
      <c r="AO12" s="394">
        <f>IF(AN12=1,SUMPRODUCT($AJ$7:$AJ12,$AN$7:$AN12),0)</f>
        <v>0</v>
      </c>
      <c r="AP12" s="394">
        <f t="shared" si="14"/>
        <v>0</v>
      </c>
      <c r="AQ12" s="394">
        <f t="shared" si="14"/>
        <v>0</v>
      </c>
      <c r="AR12" s="394">
        <f t="shared" si="14"/>
        <v>0</v>
      </c>
      <c r="AS12" s="394">
        <f t="shared" si="14"/>
        <v>0</v>
      </c>
      <c r="AT12" s="394">
        <f t="shared" si="15"/>
        <v>0</v>
      </c>
      <c r="AU12" s="394">
        <f t="shared" si="15"/>
        <v>0</v>
      </c>
      <c r="AV12" s="394">
        <f t="shared" si="15"/>
        <v>0</v>
      </c>
      <c r="AW12" s="394">
        <f t="shared" si="15"/>
        <v>0</v>
      </c>
      <c r="AX12" s="394">
        <f t="shared" si="1"/>
        <v>0</v>
      </c>
      <c r="AY12" s="394">
        <f t="shared" si="2"/>
        <v>0</v>
      </c>
      <c r="AZ12" s="394">
        <f t="shared" si="3"/>
        <v>0</v>
      </c>
      <c r="BA12" s="394">
        <f t="shared" si="4"/>
        <v>0</v>
      </c>
      <c r="BB12" s="405">
        <f t="shared" si="21"/>
        <v>44473</v>
      </c>
      <c r="BC12" s="405">
        <f>BB12+IF(WEEKDAY(BB12)=1,1,IF(WEEKDAY(BB12)=7,2,0))+COUNTIF(ClosedDays!$B$4:$B$32,IF(WEEKDAY(BB12)=1,BB12+1,IF(WEEKDAY(BB12)=7,BB12+2,BB12)))+COUNTIF(ClosedDays!$F$4:$F$32,IF(WEEKDAY(BB12)=1,BB12+1,IF(WEEKDAY(BB12)=7,BB12+2,BB12)))+COUNTIF(ClosedDays!$J$4:$J$32,IF(WEEKDAY(BB12)=1,BB12+1,IF(WEEKDAY(BB12)=7,BB12+2,BB12)))+COUNTIF(ClosedDays!$N$4:$N$32,IF(WEEKDAY(BB12)=1,BB12+1,IF(WEEKDAY(BB12)=7,BB12+2,BB12)))</f>
        <v>44473</v>
      </c>
      <c r="BD12" s="405">
        <f>BC12+IF(WEEKDAY(BC12)=1,1,IF(WEEKDAY(BC12)=7,2,0))+COUNTIF(ClosedDays!$B$4:$B$32,IF(WEEKDAY(BC12)=1,BC12+1,IF(WEEKDAY(BC12)=7,BC12+2,BC12)))+COUNTIF(ClosedDays!$F$4:$F$32,IF(WEEKDAY(BC12)=1,BC12+1,IF(WEEKDAY(BC12)=7,BC12+2,BC12)))+COUNTIF(ClosedDays!$J$4:$J$32,IF(WEEKDAY(BC12)=1,BC12+1,IF(WEEKDAY(BC12)=7,BC12+2,BC12)))+COUNTIF(ClosedDays!$N$4:$N$32,IF(WEEKDAY(BC12)=1,BC12+1,IF(WEEKDAY(BC12)=7,BC12+2,BC12)))</f>
        <v>44473</v>
      </c>
      <c r="BE12" s="405">
        <f>BD12+IF(WEEKDAY(BD12)=1,1,IF(WEEKDAY(BD12)=7,2,0))+COUNTIF(ClosedDays!$B$4:$B$32,IF(WEEKDAY(BD12)=1,BD12+1,IF(WEEKDAY(BD12)=7,BD12+2,BD12)))+COUNTIF(ClosedDays!$F$4:$F$32,IF(WEEKDAY(BD12)=1,BD12+1,IF(WEEKDAY(BD12)=7,BD12+2,BD12)))+COUNTIF(ClosedDays!$J$4:$J$32,IF(WEEKDAY(BD12)=1,BD12+1,IF(WEEKDAY(BD12)=7,BD12+2,BD12)))+COUNTIF(ClosedDays!$N$4:$N$32,IF(WEEKDAY(BD12)=1,BD12+1,IF(WEEKDAY(BD12)=7,BD12+2,BD12)))</f>
        <v>44473</v>
      </c>
      <c r="BF12" s="405">
        <f>BE12+IF(WEEKDAY(BE12)=1,1,IF(WEEKDAY(BE12)=7,2,0))+COUNTIF(ClosedDays!$B$4:$B$32,IF(WEEKDAY(BE12)=1,BE12+1,IF(WEEKDAY(BE12)=7,BE12+2,BE12)))+COUNTIF(ClosedDays!$F$4:$F$32,IF(WEEKDAY(BE12)=1,BE12+1,IF(WEEKDAY(BE12)=7,BE12+2,BE12)))+COUNTIF(ClosedDays!$J$4:$J$32,IF(WEEKDAY(BE12)=1,BE12+1,IF(WEEKDAY(BE12)=7,BE12+2,BE12)))+COUNTIF(ClosedDays!$N$4:$N$32,IF(WEEKDAY(BE12)=1,BE12+1,IF(WEEKDAY(BE12)=7,BE12+2,BE12)))</f>
        <v>44473</v>
      </c>
      <c r="BG12" s="405">
        <f>BF12+IF(WEEKDAY(BF12)=1,1,IF(WEEKDAY(BF12)=7,2,0))+COUNTIF(ClosedDays!$B$4:$B$32,IF(WEEKDAY(BF12)=1,BF12+1,IF(WEEKDAY(BF12)=7,BF12+2,BF12)))+COUNTIF(ClosedDays!$F$4:$F$32,IF(WEEKDAY(BF12)=1,BF12+1,IF(WEEKDAY(BF12)=7,BF12+2,BF12)))+COUNTIF(ClosedDays!$J$4:$J$32,IF(WEEKDAY(BF12)=1,BF12+1,IF(WEEKDAY(BF12)=7,BF12+2,BF12)))+COUNTIF(ClosedDays!$N$4:$N$32,IF(WEEKDAY(BF12)=1,BF12+1,IF(WEEKDAY(BF12)=7,BF12+2,BF12)))</f>
        <v>44473</v>
      </c>
      <c r="BH12" s="405">
        <f>BG12+IF(WEEKDAY(BG12)=1,1,IF(WEEKDAY(BG12)=7,2,0))+COUNTIF(ClosedDays!$B$4:$B$32,IF(WEEKDAY(BG12)=1,BG12+1,IF(WEEKDAY(BG12)=7,BG12+2,BG12)))+COUNTIF(ClosedDays!$F$4:$F$32,IF(WEEKDAY(BG12)=1,BG12+1,IF(WEEKDAY(BG12)=7,BG12+2,BG12)))+COUNTIF(ClosedDays!$J$4:$J$32,IF(WEEKDAY(BG12)=1,BG12+1,IF(WEEKDAY(BG12)=7,BG12+2,BG12)))+COUNTIF(ClosedDays!$N$4:$N$32,IF(WEEKDAY(BG12)=1,BG12+1,IF(WEEKDAY(BG12)=7,BG12+2,BG12)))</f>
        <v>44473</v>
      </c>
      <c r="BI12" s="405">
        <f>BH12+IF(WEEKDAY(BH12)=1,1,IF(WEEKDAY(BH12)=7,2,0))+COUNTIF(ClosedDays!$B$4:$B$32,IF(WEEKDAY(BH12)=1,BH12+1,IF(WEEKDAY(BH12)=7,BH12+2,BH12)))+COUNTIF(ClosedDays!$F$4:$F$32,IF(WEEKDAY(BH12)=1,BH12+1,IF(WEEKDAY(BH12)=7,BH12+2,BH12)))+COUNTIF(ClosedDays!$J$4:$J$32,IF(WEEKDAY(BH12)=1,BH12+1,IF(WEEKDAY(BH12)=7,BH12+2,BH12)))+COUNTIF(ClosedDays!$N$4:$N$32,IF(WEEKDAY(BH12)=1,BH12+1,IF(WEEKDAY(BH12)=7,BH12+2,BH12)))</f>
        <v>44473</v>
      </c>
      <c r="BJ12" s="405">
        <f>BI12+IF(WEEKDAY(BI12)=1,1,IF(WEEKDAY(BI12)=7,2,0))+COUNTIF(ClosedDays!$B$4:$B$32,IF(WEEKDAY(BI12)=1,BI12+1,IF(WEEKDAY(BI12)=7,BI12+2,BI12)))+COUNTIF(ClosedDays!$F$4:$F$32,IF(WEEKDAY(BI12)=1,BI12+1,IF(WEEKDAY(BI12)=7,BI12+2,BI12)))+COUNTIF(ClosedDays!$J$4:$J$32,IF(WEEKDAY(BI12)=1,BI12+1,IF(WEEKDAY(BI12)=7,BI12+2,BI12)))+COUNTIF(ClosedDays!$N$4:$N$32,IF(WEEKDAY(BI12)=1,BI12+1,IF(WEEKDAY(BI12)=7,BI12+2,BI12)))</f>
        <v>44473</v>
      </c>
      <c r="BK12" s="405">
        <f>BJ12+IF(WEEKDAY(BJ12)=1,1,IF(WEEKDAY(BJ12)=7,2,0))+COUNTIF(ClosedDays!$B$4:$B$32,IF(WEEKDAY(BJ12)=1,BJ12+1,IF(WEEKDAY(BJ12)=7,BJ12+2,BJ12)))+COUNTIF(ClosedDays!$F$4:$F$32,IF(WEEKDAY(BJ12)=1,BJ12+1,IF(WEEKDAY(BJ12)=7,BJ12+2,BJ12)))+COUNTIF(ClosedDays!$J$4:$J$32,IF(WEEKDAY(BJ12)=1,BJ12+1,IF(WEEKDAY(BJ12)=7,BJ12+2,BJ12)))+COUNTIF(ClosedDays!$N$4:$N$32,IF(WEEKDAY(BJ12)=1,BJ12+1,IF(WEEKDAY(BJ12)=7,BJ12+2,BJ12)))</f>
        <v>44473</v>
      </c>
      <c r="BL12" s="405">
        <f>BK12+IF(WEEKDAY(BK12)=1,1,IF(WEEKDAY(BK12)=7,2,0))+COUNTIF(ClosedDays!$B$4:$B$32,IF(WEEKDAY(BK12)=1,BK12+1,IF(WEEKDAY(BK12)=7,BK12+2,BK12)))+COUNTIF(ClosedDays!$F$4:$F$32,IF(WEEKDAY(BK12)=1,BK12+1,IF(WEEKDAY(BK12)=7,BK12+2,BK12)))+COUNTIF(ClosedDays!$J$4:$J$32,IF(WEEKDAY(BK12)=1,BK12+1,IF(WEEKDAY(BK12)=7,BK12+2,BK12)))+COUNTIF(ClosedDays!$N$4:$N$32,IF(WEEKDAY(BK12)=1,BK12+1,IF(WEEKDAY(BK12)=7,BK12+2,BK12)))</f>
        <v>44473</v>
      </c>
      <c r="BM12" s="405">
        <f>BL12+IF(WEEKDAY(BL12)=1,1,IF(WEEKDAY(BL12)=7,2,0))+COUNTIF(ClosedDays!$B$4:$B$32,IF(WEEKDAY(BL12)=1,BL12+1,IF(WEEKDAY(BL12)=7,BL12+2,BL12)))+COUNTIF(ClosedDays!$F$4:$F$32,IF(WEEKDAY(BL12)=1,BL12+1,IF(WEEKDAY(BL12)=7,BL12+2,BL12)))+COUNTIF(ClosedDays!$J$4:$J$32,IF(WEEKDAY(BL12)=1,BL12+1,IF(WEEKDAY(BL12)=7,BL12+2,BL12)))+COUNTIF(ClosedDays!$N$4:$N$32,IF(WEEKDAY(BL12)=1,BL12+1,IF(WEEKDAY(BL12)=7,BL12+2,BL12)))</f>
        <v>44473</v>
      </c>
      <c r="BN12" s="405">
        <f>BM12+IF(WEEKDAY(BM12)=1,1,IF(WEEKDAY(BM12)=7,2,0))+COUNTIF(ClosedDays!$B$4:$B$32,IF(WEEKDAY(BM12)=1,BM12+1,IF(WEEKDAY(BM12)=7,BM12+2,BM12)))+COUNTIF(ClosedDays!$F$4:$F$32,IF(WEEKDAY(BM12)=1,BM12+1,IF(WEEKDAY(BM12)=7,BM12+2,BM12)))+COUNTIF(ClosedDays!$J$4:$J$32,IF(WEEKDAY(BM12)=1,BM12+1,IF(WEEKDAY(BM12)=7,BM12+2,BM12)))+COUNTIF(ClosedDays!$N$4:$N$32,IF(WEEKDAY(BM12)=1,BM12+1,IF(WEEKDAY(BM12)=7,BM12+2,BM12)))</f>
        <v>44473</v>
      </c>
      <c r="BO12" s="405">
        <f>BN12+IF(WEEKDAY(BN12)=1,1,IF(WEEKDAY(BN12)=7,2,0))+COUNTIF(ClosedDays!$B$4:$B$32,IF(WEEKDAY(BN12)=1,BN12+1,IF(WEEKDAY(BN12)=7,BN12+2,BN12)))+COUNTIF(ClosedDays!$F$4:$F$32,IF(WEEKDAY(BN12)=1,BN12+1,IF(WEEKDAY(BN12)=7,BN12+2,BN12)))+COUNTIF(ClosedDays!$J$4:$J$32,IF(WEEKDAY(BN12)=1,BN12+1,IF(WEEKDAY(BN12)=7,BN12+2,BN12)))+COUNTIF(ClosedDays!$N$4:$N$32,IF(WEEKDAY(BN12)=1,BN12+1,IF(WEEKDAY(BN12)=7,BN12+2,BN12)))</f>
        <v>44473</v>
      </c>
      <c r="BP12" s="405">
        <f>BO12+IF(WEEKDAY(BO12)=1,1,IF(WEEKDAY(BO12)=7,2,0))+COUNTIF(ClosedDays!$B$4:$B$32,IF(WEEKDAY(BO12)=1,BO12+1,IF(WEEKDAY(BO12)=7,BO12+2,BO12)))+COUNTIF(ClosedDays!$F$4:$F$32,IF(WEEKDAY(BO12)=1,BO12+1,IF(WEEKDAY(BO12)=7,BO12+2,BO12)))+COUNTIF(ClosedDays!$J$4:$J$32,IF(WEEKDAY(BO12)=1,BO12+1,IF(WEEKDAY(BO12)=7,BO12+2,BO12)))+COUNTIF(ClosedDays!$N$4:$N$32,IF(WEEKDAY(BO12)=1,BO12+1,IF(WEEKDAY(BO12)=7,BO12+2,BO12)))</f>
        <v>44473</v>
      </c>
      <c r="BQ12" s="405">
        <f t="shared" si="16"/>
        <v>44473</v>
      </c>
      <c r="BR12" s="446">
        <f>IF(AND($D12&lt;='Outline Info'!$H$31,BQ12&gt;='Outline Info'!$H$31,$BS$4=1,$AC12&gt;10,$AC12&lt;9997),1,0)</f>
        <v>0</v>
      </c>
      <c r="BS12" s="405">
        <f>IF(BR12=1,BQ12+'Outline Info'!$I$31-'Outline Info'!$H$31+1,BQ12)</f>
        <v>44473</v>
      </c>
      <c r="BT12" s="405">
        <f>BS12+IF(WEEKDAY(BS12)=1,1,IF(WEEKDAY(BS12)=7,2,0))+COUNTIF(ClosedDays!$B$4:$B$32,IF(WEEKDAY(BS12)=1,BS12+1,IF(WEEKDAY(BS12)=7,BS12+2,BS12)))+COUNTIF(ClosedDays!$F$4:$F$32,IF(WEEKDAY(BS12)=1,BS12+1,IF(WEEKDAY(BS12)=7,BS12+2,BS12)))+COUNTIF(ClosedDays!$J$4:$J$32,IF(WEEKDAY(BS12)=1,BS12+1,IF(WEEKDAY(BS12)=7,BS12+2,BS12)))+COUNTIF(ClosedDays!$N$4:$N$32,IF(WEEKDAY(BS12)=1,BS12+1,IF(WEEKDAY(BS12)=7,BS12+2,BS12)))</f>
        <v>44473</v>
      </c>
      <c r="BU12" s="405">
        <f>BT12+IF(WEEKDAY(BT12)=1,1,IF(WEEKDAY(BT12)=7,2,0))+COUNTIF(ClosedDays!$B$4:$B$32,IF(WEEKDAY(BT12)=1,BT12+1,IF(WEEKDAY(BT12)=7,BT12+2,BT12)))+COUNTIF(ClosedDays!$F$4:$F$32,IF(WEEKDAY(BT12)=1,BT12+1,IF(WEEKDAY(BT12)=7,BT12+2,BT12)))+COUNTIF(ClosedDays!$J$4:$J$32,IF(WEEKDAY(BT12)=1,BT12+1,IF(WEEKDAY(BT12)=7,BT12+2,BT12)))+COUNTIF(ClosedDays!$N$4:$N$32,IF(WEEKDAY(BT12)=1,BT12+1,IF(WEEKDAY(BT12)=7,BT12+2,BT12)))</f>
        <v>44473</v>
      </c>
      <c r="BV12" s="405">
        <f>BU12+IF(WEEKDAY(BU12)=1,1,IF(WEEKDAY(BU12)=7,2,0))+COUNTIF(ClosedDays!$B$4:$B$32,IF(WEEKDAY(BU12)=1,BU12+1,IF(WEEKDAY(BU12)=7,BU12+2,BU12)))+COUNTIF(ClosedDays!$F$4:$F$32,IF(WEEKDAY(BU12)=1,BU12+1,IF(WEEKDAY(BU12)=7,BU12+2,BU12)))+COUNTIF(ClosedDays!$J$4:$J$32,IF(WEEKDAY(BU12)=1,BU12+1,IF(WEEKDAY(BU12)=7,BU12+2,BU12)))+COUNTIF(ClosedDays!$N$4:$N$32,IF(WEEKDAY(BU12)=1,BU12+1,IF(WEEKDAY(BU12)=7,BU12+2,BU12)))</f>
        <v>44473</v>
      </c>
      <c r="BW12" s="405">
        <f>BV12+IF(WEEKDAY(BV12)=1,1,IF(WEEKDAY(BV12)=7,2,0))+COUNTIF(ClosedDays!$B$4:$B$32,IF(WEEKDAY(BV12)=1,BV12+1,IF(WEEKDAY(BV12)=7,BV12+2,BV12)))+COUNTIF(ClosedDays!$F$4:$F$32,IF(WEEKDAY(BV12)=1,BV12+1,IF(WEEKDAY(BV12)=7,BV12+2,BV12)))+COUNTIF(ClosedDays!$J$4:$J$32,IF(WEEKDAY(BV12)=1,BV12+1,IF(WEEKDAY(BV12)=7,BV12+2,BV12)))+COUNTIF(ClosedDays!$N$4:$N$32,IF(WEEKDAY(BV12)=1,BV12+1,IF(WEEKDAY(BV12)=7,BV12+2,BV12)))</f>
        <v>44473</v>
      </c>
      <c r="BX12" s="405">
        <f>BW12+IF(WEEKDAY(BW12)=1,1,IF(WEEKDAY(BW12)=7,2,0))+COUNTIF(ClosedDays!$B$4:$B$32,IF(WEEKDAY(BW12)=1,BW12+1,IF(WEEKDAY(BW12)=7,BW12+2,BW12)))+COUNTIF(ClosedDays!$F$4:$F$32,IF(WEEKDAY(BW12)=1,BW12+1,IF(WEEKDAY(BW12)=7,BW12+2,BW12)))+COUNTIF(ClosedDays!$J$4:$J$32,IF(WEEKDAY(BW12)=1,BW12+1,IF(WEEKDAY(BW12)=7,BW12+2,BW12)))+COUNTIF(ClosedDays!$N$4:$N$32,IF(WEEKDAY(BW12)=1,BW12+1,IF(WEEKDAY(BW12)=7,BW12+2,BW12)))</f>
        <v>44473</v>
      </c>
      <c r="BY12" s="405">
        <f>BX12+IF(WEEKDAY(BX12)=1,1,IF(WEEKDAY(BX12)=7,2,0))+COUNTIF(ClosedDays!$B$4:$B$32,IF(WEEKDAY(BX12)=1,BX12+1,IF(WEEKDAY(BX12)=7,BX12+2,BX12)))+COUNTIF(ClosedDays!$F$4:$F$32,IF(WEEKDAY(BX12)=1,BX12+1,IF(WEEKDAY(BX12)=7,BX12+2,BX12)))+COUNTIF(ClosedDays!$J$4:$J$32,IF(WEEKDAY(BX12)=1,BX12+1,IF(WEEKDAY(BX12)=7,BX12+2,BX12)))+COUNTIF(ClosedDays!$N$4:$N$32,IF(WEEKDAY(BX12)=1,BX12+1,IF(WEEKDAY(BX12)=7,BX12+2,BX12)))</f>
        <v>44473</v>
      </c>
      <c r="BZ12" s="405">
        <f>BY12+IF(WEEKDAY(BY12)=1,1,IF(WEEKDAY(BY12)=7,2,0))+COUNTIF(ClosedDays!$B$4:$B$32,IF(WEEKDAY(BY12)=1,BY12+1,IF(WEEKDAY(BY12)=7,BY12+2,BY12)))+COUNTIF(ClosedDays!$F$4:$F$32,IF(WEEKDAY(BY12)=1,BY12+1,IF(WEEKDAY(BY12)=7,BY12+2,BY12)))+COUNTIF(ClosedDays!$J$4:$J$32,IF(WEEKDAY(BY12)=1,BY12+1,IF(WEEKDAY(BY12)=7,BY12+2,BY12)))+COUNTIF(ClosedDays!$N$4:$N$32,IF(WEEKDAY(BY12)=1,BY12+1,IF(WEEKDAY(BY12)=7,BY12+2,BY12)))</f>
        <v>44473</v>
      </c>
      <c r="CA12" s="405">
        <f>BZ12+IF(WEEKDAY(BZ12)=1,1,IF(WEEKDAY(BZ12)=7,2,0))+COUNTIF(ClosedDays!$B$4:$B$32,IF(WEEKDAY(BZ12)=1,BZ12+1,IF(WEEKDAY(BZ12)=7,BZ12+2,BZ12)))+COUNTIF(ClosedDays!$F$4:$F$32,IF(WEEKDAY(BZ12)=1,BZ12+1,IF(WEEKDAY(BZ12)=7,BZ12+2,BZ12)))+COUNTIF(ClosedDays!$J$4:$J$32,IF(WEEKDAY(BZ12)=1,BZ12+1,IF(WEEKDAY(BZ12)=7,BZ12+2,BZ12)))+COUNTIF(ClosedDays!$N$4:$N$32,IF(WEEKDAY(BZ12)=1,BZ12+1,IF(WEEKDAY(BZ12)=7,BZ12+2,BZ12)))</f>
        <v>44473</v>
      </c>
      <c r="CB12" s="405">
        <f>CA12+IF(WEEKDAY(CA12)=1,1,IF(WEEKDAY(CA12)=7,2,0))+COUNTIF(ClosedDays!$B$4:$B$32,IF(WEEKDAY(CA12)=1,CA12+1,IF(WEEKDAY(CA12)=7,CA12+2,CA12)))+COUNTIF(ClosedDays!$F$4:$F$32,IF(WEEKDAY(CA12)=1,CA12+1,IF(WEEKDAY(CA12)=7,CA12+2,CA12)))+COUNTIF(ClosedDays!$J$4:$J$32,IF(WEEKDAY(CA12)=1,CA12+1,IF(WEEKDAY(CA12)=7,CA12+2,CA12)))+COUNTIF(ClosedDays!$N$4:$N$32,IF(WEEKDAY(CA12)=1,CA12+1,IF(WEEKDAY(CA12)=7,CA12+2,CA12)))</f>
        <v>44473</v>
      </c>
      <c r="CC12" s="405">
        <f>CB12+IF(WEEKDAY(CB12)=1,1,IF(WEEKDAY(CB12)=7,2,0))+COUNTIF(ClosedDays!$B$4:$B$32,IF(WEEKDAY(CB12)=1,CB12+1,IF(WEEKDAY(CB12)=7,CB12+2,CB12)))+COUNTIF(ClosedDays!$F$4:$F$32,IF(WEEKDAY(CB12)=1,CB12+1,IF(WEEKDAY(CB12)=7,CB12+2,CB12)))+COUNTIF(ClosedDays!$J$4:$J$32,IF(WEEKDAY(CB12)=1,CB12+1,IF(WEEKDAY(CB12)=7,CB12+2,CB12)))+COUNTIF(ClosedDays!$N$4:$N$32,IF(WEEKDAY(CB12)=1,CB12+1,IF(WEEKDAY(CB12)=7,CB12+2,CB12)))</f>
        <v>44473</v>
      </c>
      <c r="CD12" s="405">
        <f>CC12+IF(WEEKDAY(CC12)=1,1,IF(WEEKDAY(CC12)=7,2,0))+COUNTIF(ClosedDays!$B$4:$B$32,IF(WEEKDAY(CC12)=1,CC12+1,IF(WEEKDAY(CC12)=7,CC12+2,CC12)))+COUNTIF(ClosedDays!$F$4:$F$32,IF(WEEKDAY(CC12)=1,CC12+1,IF(WEEKDAY(CC12)=7,CC12+2,CC12)))+COUNTIF(ClosedDays!$J$4:$J$32,IF(WEEKDAY(CC12)=1,CC12+1,IF(WEEKDAY(CC12)=7,CC12+2,CC12)))+COUNTIF(ClosedDays!$N$4:$N$32,IF(WEEKDAY(CC12)=1,CC12+1,IF(WEEKDAY(CC12)=7,CC12+2,CC12)))</f>
        <v>44473</v>
      </c>
      <c r="CE12" s="405">
        <f>CD12+IF(WEEKDAY(CD12)=1,1,IF(WEEKDAY(CD12)=7,2,0))+COUNTIF(ClosedDays!$B$4:$B$32,IF(WEEKDAY(CD12)=1,CD12+1,IF(WEEKDAY(CD12)=7,CD12+2,CD12)))+COUNTIF(ClosedDays!$F$4:$F$32,IF(WEEKDAY(CD12)=1,CD12+1,IF(WEEKDAY(CD12)=7,CD12+2,CD12)))+COUNTIF(ClosedDays!$J$4:$J$32,IF(WEEKDAY(CD12)=1,CD12+1,IF(WEEKDAY(CD12)=7,CD12+2,CD12)))+COUNTIF(ClosedDays!$N$4:$N$32,IF(WEEKDAY(CD12)=1,CD12+1,IF(WEEKDAY(CD12)=7,CD12+2,CD12)))</f>
        <v>44473</v>
      </c>
      <c r="CF12" s="405">
        <f>CE12+IF(WEEKDAY(CE12)=1,1,IF(WEEKDAY(CE12)=7,2,0))+COUNTIF(ClosedDays!$B$4:$B$32,IF(WEEKDAY(CE12)=1,CE12+1,IF(WEEKDAY(CE12)=7,CE12+2,CE12)))+COUNTIF(ClosedDays!$F$4:$F$32,IF(WEEKDAY(CE12)=1,CE12+1,IF(WEEKDAY(CE12)=7,CE12+2,CE12)))+COUNTIF(ClosedDays!$J$4:$J$32,IF(WEEKDAY(CE12)=1,CE12+1,IF(WEEKDAY(CE12)=7,CE12+2,CE12)))+COUNTIF(ClosedDays!$N$4:$N$32,IF(WEEKDAY(CE12)=1,CE12+1,IF(WEEKDAY(CE12)=7,CE12+2,CE12)))</f>
        <v>44473</v>
      </c>
      <c r="CG12" s="405">
        <f>CF12+IF(WEEKDAY(CF12)=1,1,IF(WEEKDAY(CF12)=7,2,0))+COUNTIF(ClosedDays!$B$4:$B$32,IF(WEEKDAY(CF12)=1,CF12+1,IF(WEEKDAY(CF12)=7,CF12+2,CF12)))+COUNTIF(ClosedDays!$F$4:$F$32,IF(WEEKDAY(CF12)=1,CF12+1,IF(WEEKDAY(CF12)=7,CF12+2,CF12)))+COUNTIF(ClosedDays!$J$4:$J$32,IF(WEEKDAY(CF12)=1,CF12+1,IF(WEEKDAY(CF12)=7,CF12+2,CF12)))+COUNTIF(ClosedDays!$N$4:$N$32,IF(WEEKDAY(CF12)=1,CF12+1,IF(WEEKDAY(CF12)=7,CF12+2,CF12)))</f>
        <v>44473</v>
      </c>
      <c r="CH12" s="405">
        <f t="shared" si="17"/>
        <v>44473</v>
      </c>
      <c r="CI12" s="446">
        <f>IF(AND($D12&lt;='Outline Info'!$H$33,CH12&gt;='Outline Info'!$H$33,$CJ$4=1,$AC12&gt;10,$AC12&lt;9997),1,0)</f>
        <v>0</v>
      </c>
      <c r="CJ12" s="405">
        <f>IF(CI12=1,CH12+'Outline Info'!$I$33-'Outline Info'!$H$33+1,CH12)</f>
        <v>44473</v>
      </c>
      <c r="CK12" s="405">
        <f>CJ12+IF(WEEKDAY(CJ12)=1,1,IF(WEEKDAY(CJ12)=7,2,0))+COUNTIF(ClosedDays!$B$4:$B$32,IF(WEEKDAY(CJ12)=1,CJ12+1,IF(WEEKDAY(CJ12)=7,CJ12+2,CJ12)))+COUNTIF(ClosedDays!$F$4:$F$32,IF(WEEKDAY(CJ12)=1,CJ12+1,IF(WEEKDAY(CJ12)=7,CJ12+2,CJ12)))+COUNTIF(ClosedDays!$J$4:$J$32,IF(WEEKDAY(CJ12)=1,CJ12+1,IF(WEEKDAY(CJ12)=7,CJ12+2,CJ12)))+COUNTIF(ClosedDays!$N$4:$N$32,IF(WEEKDAY(CJ12)=1,CJ12+1,IF(WEEKDAY(CJ12)=7,CJ12+2,CJ12)))</f>
        <v>44473</v>
      </c>
      <c r="CL12" s="405">
        <f>CK12+IF(WEEKDAY(CK12)=1,1,IF(WEEKDAY(CK12)=7,2,0))+COUNTIF(ClosedDays!$B$4:$B$32,IF(WEEKDAY(CK12)=1,CK12+1,IF(WEEKDAY(CK12)=7,CK12+2,CK12)))+COUNTIF(ClosedDays!$F$4:$F$32,IF(WEEKDAY(CK12)=1,CK12+1,IF(WEEKDAY(CK12)=7,CK12+2,CK12)))+COUNTIF(ClosedDays!$J$4:$J$32,IF(WEEKDAY(CK12)=1,CK12+1,IF(WEEKDAY(CK12)=7,CK12+2,CK12)))+COUNTIF(ClosedDays!$N$4:$N$32,IF(WEEKDAY(CK12)=1,CK12+1,IF(WEEKDAY(CK12)=7,CK12+2,CK12)))</f>
        <v>44473</v>
      </c>
      <c r="CM12" s="405">
        <f>CL12+IF(WEEKDAY(CL12)=1,1,IF(WEEKDAY(CL12)=7,2,0))+COUNTIF(ClosedDays!$B$4:$B$32,IF(WEEKDAY(CL12)=1,CL12+1,IF(WEEKDAY(CL12)=7,CL12+2,CL12)))+COUNTIF(ClosedDays!$F$4:$F$32,IF(WEEKDAY(CL12)=1,CL12+1,IF(WEEKDAY(CL12)=7,CL12+2,CL12)))+COUNTIF(ClosedDays!$J$4:$J$32,IF(WEEKDAY(CL12)=1,CL12+1,IF(WEEKDAY(CL12)=7,CL12+2,CL12)))+COUNTIF(ClosedDays!$N$4:$N$32,IF(WEEKDAY(CL12)=1,CL12+1,IF(WEEKDAY(CL12)=7,CL12+2,CL12)))</f>
        <v>44473</v>
      </c>
      <c r="CN12" s="405">
        <f>CM12+IF(WEEKDAY(CM12)=1,1,IF(WEEKDAY(CM12)=7,2,0))+COUNTIF(ClosedDays!$B$4:$B$32,IF(WEEKDAY(CM12)=1,CM12+1,IF(WEEKDAY(CM12)=7,CM12+2,CM12)))+COUNTIF(ClosedDays!$F$4:$F$32,IF(WEEKDAY(CM12)=1,CM12+1,IF(WEEKDAY(CM12)=7,CM12+2,CM12)))+COUNTIF(ClosedDays!$J$4:$J$32,IF(WEEKDAY(CM12)=1,CM12+1,IF(WEEKDAY(CM12)=7,CM12+2,CM12)))+COUNTIF(ClosedDays!$N$4:$N$32,IF(WEEKDAY(CM12)=1,CM12+1,IF(WEEKDAY(CM12)=7,CM12+2,CM12)))</f>
        <v>44473</v>
      </c>
      <c r="CO12" s="405">
        <f>CN12+IF(WEEKDAY(CN12)=1,1,IF(WEEKDAY(CN12)=7,2,0))+COUNTIF(ClosedDays!$B$4:$B$32,IF(WEEKDAY(CN12)=1,CN12+1,IF(WEEKDAY(CN12)=7,CN12+2,CN12)))+COUNTIF(ClosedDays!$F$4:$F$32,IF(WEEKDAY(CN12)=1,CN12+1,IF(WEEKDAY(CN12)=7,CN12+2,CN12)))+COUNTIF(ClosedDays!$J$4:$J$32,IF(WEEKDAY(CN12)=1,CN12+1,IF(WEEKDAY(CN12)=7,CN12+2,CN12)))+COUNTIF(ClosedDays!$N$4:$N$32,IF(WEEKDAY(CN12)=1,CN12+1,IF(WEEKDAY(CN12)=7,CN12+2,CN12)))</f>
        <v>44473</v>
      </c>
      <c r="CP12" s="405">
        <f>CO12+IF(WEEKDAY(CO12)=1,1,IF(WEEKDAY(CO12)=7,2,0))+COUNTIF(ClosedDays!$B$4:$B$32,IF(WEEKDAY(CO12)=1,CO12+1,IF(WEEKDAY(CO12)=7,CO12+2,CO12)))+COUNTIF(ClosedDays!$F$4:$F$32,IF(WEEKDAY(CO12)=1,CO12+1,IF(WEEKDAY(CO12)=7,CO12+2,CO12)))+COUNTIF(ClosedDays!$J$4:$J$32,IF(WEEKDAY(CO12)=1,CO12+1,IF(WEEKDAY(CO12)=7,CO12+2,CO12)))+COUNTIF(ClosedDays!$N$4:$N$32,IF(WEEKDAY(CO12)=1,CO12+1,IF(WEEKDAY(CO12)=7,CO12+2,CO12)))</f>
        <v>44473</v>
      </c>
      <c r="CQ12" s="405">
        <f>CP12+IF(WEEKDAY(CP12)=1,1,IF(WEEKDAY(CP12)=7,2,0))+COUNTIF(ClosedDays!$B$4:$B$32,IF(WEEKDAY(CP12)=1,CP12+1,IF(WEEKDAY(CP12)=7,CP12+2,CP12)))+COUNTIF(ClosedDays!$F$4:$F$32,IF(WEEKDAY(CP12)=1,CP12+1,IF(WEEKDAY(CP12)=7,CP12+2,CP12)))+COUNTIF(ClosedDays!$J$4:$J$32,IF(WEEKDAY(CP12)=1,CP12+1,IF(WEEKDAY(CP12)=7,CP12+2,CP12)))+COUNTIF(ClosedDays!$N$4:$N$32,IF(WEEKDAY(CP12)=1,CP12+1,IF(WEEKDAY(CP12)=7,CP12+2,CP12)))</f>
        <v>44473</v>
      </c>
      <c r="CR12" s="405">
        <f>CQ12+IF(WEEKDAY(CQ12)=1,1,IF(WEEKDAY(CQ12)=7,2,0))+COUNTIF(ClosedDays!$B$4:$B$32,IF(WEEKDAY(CQ12)=1,CQ12+1,IF(WEEKDAY(CQ12)=7,CQ12+2,CQ12)))+COUNTIF(ClosedDays!$F$4:$F$32,IF(WEEKDAY(CQ12)=1,CQ12+1,IF(WEEKDAY(CQ12)=7,CQ12+2,CQ12)))+COUNTIF(ClosedDays!$J$4:$J$32,IF(WEEKDAY(CQ12)=1,CQ12+1,IF(WEEKDAY(CQ12)=7,CQ12+2,CQ12)))+COUNTIF(ClosedDays!$N$4:$N$32,IF(WEEKDAY(CQ12)=1,CQ12+1,IF(WEEKDAY(CQ12)=7,CQ12+2,CQ12)))</f>
        <v>44473</v>
      </c>
      <c r="CS12" s="405">
        <f>CR12+IF(WEEKDAY(CR12)=1,1,IF(WEEKDAY(CR12)=7,2,0))+COUNTIF(ClosedDays!$B$4:$B$32,IF(WEEKDAY(CR12)=1,CR12+1,IF(WEEKDAY(CR12)=7,CR12+2,CR12)))+COUNTIF(ClosedDays!$F$4:$F$32,IF(WEEKDAY(CR12)=1,CR12+1,IF(WEEKDAY(CR12)=7,CR12+2,CR12)))+COUNTIF(ClosedDays!$J$4:$J$32,IF(WEEKDAY(CR12)=1,CR12+1,IF(WEEKDAY(CR12)=7,CR12+2,CR12)))+COUNTIF(ClosedDays!$N$4:$N$32,IF(WEEKDAY(CR12)=1,CR12+1,IF(WEEKDAY(CR12)=7,CR12+2,CR12)))</f>
        <v>44473</v>
      </c>
      <c r="CT12" s="405">
        <f>CS12+IF(WEEKDAY(CS12)=1,1,IF(WEEKDAY(CS12)=7,2,0))+COUNTIF(ClosedDays!$B$4:$B$32,IF(WEEKDAY(CS12)=1,CS12+1,IF(WEEKDAY(CS12)=7,CS12+2,CS12)))+COUNTIF(ClosedDays!$F$4:$F$32,IF(WEEKDAY(CS12)=1,CS12+1,IF(WEEKDAY(CS12)=7,CS12+2,CS12)))+COUNTIF(ClosedDays!$J$4:$J$32,IF(WEEKDAY(CS12)=1,CS12+1,IF(WEEKDAY(CS12)=7,CS12+2,CS12)))+COUNTIF(ClosedDays!$N$4:$N$32,IF(WEEKDAY(CS12)=1,CS12+1,IF(WEEKDAY(CS12)=7,CS12+2,CS12)))</f>
        <v>44473</v>
      </c>
      <c r="CU12" s="405">
        <f>CT12+IF(WEEKDAY(CT12)=1,1,IF(WEEKDAY(CT12)=7,2,0))+COUNTIF(ClosedDays!$B$4:$B$32,IF(WEEKDAY(CT12)=1,CT12+1,IF(WEEKDAY(CT12)=7,CT12+2,CT12)))+COUNTIF(ClosedDays!$F$4:$F$32,IF(WEEKDAY(CT12)=1,CT12+1,IF(WEEKDAY(CT12)=7,CT12+2,CT12)))+COUNTIF(ClosedDays!$J$4:$J$32,IF(WEEKDAY(CT12)=1,CT12+1,IF(WEEKDAY(CT12)=7,CT12+2,CT12)))+COUNTIF(ClosedDays!$N$4:$N$32,IF(WEEKDAY(CT12)=1,CT12+1,IF(WEEKDAY(CT12)=7,CT12+2,CT12)))</f>
        <v>44473</v>
      </c>
      <c r="CV12" s="405">
        <f>CU12+IF(WEEKDAY(CU12)=1,1,IF(WEEKDAY(CU12)=7,2,0))+COUNTIF(ClosedDays!$B$4:$B$32,IF(WEEKDAY(CU12)=1,CU12+1,IF(WEEKDAY(CU12)=7,CU12+2,CU12)))+COUNTIF(ClosedDays!$F$4:$F$32,IF(WEEKDAY(CU12)=1,CU12+1,IF(WEEKDAY(CU12)=7,CU12+2,CU12)))+COUNTIF(ClosedDays!$J$4:$J$32,IF(WEEKDAY(CU12)=1,CU12+1,IF(WEEKDAY(CU12)=7,CU12+2,CU12)))+COUNTIF(ClosedDays!$N$4:$N$32,IF(WEEKDAY(CU12)=1,CU12+1,IF(WEEKDAY(CU12)=7,CU12+2,CU12)))</f>
        <v>44473</v>
      </c>
      <c r="CW12" s="405">
        <f>CV12+IF(WEEKDAY(CV12)=1,1,IF(WEEKDAY(CV12)=7,2,0))+COUNTIF(ClosedDays!$B$4:$B$32,IF(WEEKDAY(CV12)=1,CV12+1,IF(WEEKDAY(CV12)=7,CV12+2,CV12)))+COUNTIF(ClosedDays!$F$4:$F$32,IF(WEEKDAY(CV12)=1,CV12+1,IF(WEEKDAY(CV12)=7,CV12+2,CV12)))+COUNTIF(ClosedDays!$J$4:$J$32,IF(WEEKDAY(CV12)=1,CV12+1,IF(WEEKDAY(CV12)=7,CV12+2,CV12)))+COUNTIF(ClosedDays!$N$4:$N$32,IF(WEEKDAY(CV12)=1,CV12+1,IF(WEEKDAY(CV12)=7,CV12+2,CV12)))</f>
        <v>44473</v>
      </c>
      <c r="CX12" s="405">
        <f>CW12+IF(WEEKDAY(CW12)=1,1,IF(WEEKDAY(CW12)=7,2,0))+COUNTIF(ClosedDays!$B$4:$B$32,IF(WEEKDAY(CW12)=1,CW12+1,IF(WEEKDAY(CW12)=7,CW12+2,CW12)))+COUNTIF(ClosedDays!$F$4:$F$32,IF(WEEKDAY(CW12)=1,CW12+1,IF(WEEKDAY(CW12)=7,CW12+2,CW12)))+COUNTIF(ClosedDays!$J$4:$J$32,IF(WEEKDAY(CW12)=1,CW12+1,IF(WEEKDAY(CW12)=7,CW12+2,CW12)))+COUNTIF(ClosedDays!$N$4:$N$32,IF(WEEKDAY(CW12)=1,CW12+1,IF(WEEKDAY(CW12)=7,CW12+2,CW12)))</f>
        <v>44473</v>
      </c>
      <c r="CY12" s="405">
        <f t="shared" si="18"/>
        <v>44473</v>
      </c>
      <c r="CZ12" s="446">
        <f>IF(AND($D12&lt;='Outline Info'!$E$33,CY12&gt;='Outline Info'!$E$33,$AC12&gt;10,$AC12&lt;9997),1,0)</f>
        <v>0</v>
      </c>
      <c r="DA12" s="405">
        <f>IF(AND($D12&lt;='Outline Info'!$E$33,CY12&gt;='Outline Info'!$E$33),CY12+'Outline Info'!$F$33-'Outline Info'!$E$33+1,CY12)</f>
        <v>44473</v>
      </c>
      <c r="DB12" s="405">
        <f>DA12+IF(WEEKDAY(DA12)=1,1,IF(WEEKDAY(DA12)=7,2,0))+COUNTIF(ClosedDays!$B$4:$B$32,IF(WEEKDAY(DA12)=1,DA12+1,IF(WEEKDAY(DA12)=7,DA12+2,DA12)))+COUNTIF(ClosedDays!$F$4:$F$32,IF(WEEKDAY(DA12)=1,DA12+1,IF(WEEKDAY(DA12)=7,DA12+2,DA12)))+COUNTIF(ClosedDays!$J$4:$J$32,IF(WEEKDAY(DA12)=1,DA12+1,IF(WEEKDAY(DA12)=7,DA12+2,DA12)))+COUNTIF(ClosedDays!$N$4:$N$32,IF(WEEKDAY(DA12)=1,DA12+1,IF(WEEKDAY(DA12)=7,DA12+2,DA12)))</f>
        <v>44473</v>
      </c>
      <c r="DC12" s="405">
        <f>DB12+IF(WEEKDAY(DB12)=1,1,IF(WEEKDAY(DB12)=7,2,0))+COUNTIF(ClosedDays!$B$4:$B$32,IF(WEEKDAY(DB12)=1,DB12+1,IF(WEEKDAY(DB12)=7,DB12+2,DB12)))+COUNTIF(ClosedDays!$F$4:$F$32,IF(WEEKDAY(DB12)=1,DB12+1,IF(WEEKDAY(DB12)=7,DB12+2,DB12)))+COUNTIF(ClosedDays!$J$4:$J$32,IF(WEEKDAY(DB12)=1,DB12+1,IF(WEEKDAY(DB12)=7,DB12+2,DB12)))+COUNTIF(ClosedDays!$N$4:$N$32,IF(WEEKDAY(DB12)=1,DB12+1,IF(WEEKDAY(DB12)=7,DB12+2,DB12)))</f>
        <v>44473</v>
      </c>
      <c r="DD12" s="405">
        <f>DC12+IF(WEEKDAY(DC12)=1,1,IF(WEEKDAY(DC12)=7,2,0))+COUNTIF(ClosedDays!$B$4:$B$32,IF(WEEKDAY(DC12)=1,DC12+1,IF(WEEKDAY(DC12)=7,DC12+2,DC12)))+COUNTIF(ClosedDays!$F$4:$F$32,IF(WEEKDAY(DC12)=1,DC12+1,IF(WEEKDAY(DC12)=7,DC12+2,DC12)))+COUNTIF(ClosedDays!$J$4:$J$32,IF(WEEKDAY(DC12)=1,DC12+1,IF(WEEKDAY(DC12)=7,DC12+2,DC12)))+COUNTIF(ClosedDays!$N$4:$N$32,IF(WEEKDAY(DC12)=1,DC12+1,IF(WEEKDAY(DC12)=7,DC12+2,DC12)))</f>
        <v>44473</v>
      </c>
      <c r="DE12" s="405">
        <f>DD12+IF(WEEKDAY(DD12)=1,1,IF(WEEKDAY(DD12)=7,2,0))+COUNTIF(ClosedDays!$B$4:$B$32,IF(WEEKDAY(DD12)=1,DD12+1,IF(WEEKDAY(DD12)=7,DD12+2,DD12)))+COUNTIF(ClosedDays!$F$4:$F$32,IF(WEEKDAY(DD12)=1,DD12+1,IF(WEEKDAY(DD12)=7,DD12+2,DD12)))+COUNTIF(ClosedDays!$J$4:$J$32,IF(WEEKDAY(DD12)=1,DD12+1,IF(WEEKDAY(DD12)=7,DD12+2,DD12)))+COUNTIF(ClosedDays!$N$4:$N$32,IF(WEEKDAY(DD12)=1,DD12+1,IF(WEEKDAY(DD12)=7,DD12+2,DD12)))</f>
        <v>44473</v>
      </c>
      <c r="DF12" s="405">
        <f>DE12+IF(WEEKDAY(DE12)=1,1,IF(WEEKDAY(DE12)=7,2,0))+COUNTIF(ClosedDays!$B$4:$B$32,IF(WEEKDAY(DE12)=1,DE12+1,IF(WEEKDAY(DE12)=7,DE12+2,DE12)))+COUNTIF(ClosedDays!$F$4:$F$32,IF(WEEKDAY(DE12)=1,DE12+1,IF(WEEKDAY(DE12)=7,DE12+2,DE12)))+COUNTIF(ClosedDays!$J$4:$J$32,IF(WEEKDAY(DE12)=1,DE12+1,IF(WEEKDAY(DE12)=7,DE12+2,DE12)))+COUNTIF(ClosedDays!$N$4:$N$32,IF(WEEKDAY(DE12)=1,DE12+1,IF(WEEKDAY(DE12)=7,DE12+2,DE12)))</f>
        <v>44473</v>
      </c>
      <c r="DG12" s="405">
        <f>DF12+IF(WEEKDAY(DF12)=1,1,IF(WEEKDAY(DF12)=7,2,0))+COUNTIF(ClosedDays!$B$4:$B$32,IF(WEEKDAY(DF12)=1,DF12+1,IF(WEEKDAY(DF12)=7,DF12+2,DF12)))+COUNTIF(ClosedDays!$F$4:$F$32,IF(WEEKDAY(DF12)=1,DF12+1,IF(WEEKDAY(DF12)=7,DF12+2,DF12)))+COUNTIF(ClosedDays!$J$4:$J$32,IF(WEEKDAY(DF12)=1,DF12+1,IF(WEEKDAY(DF12)=7,DF12+2,DF12)))+COUNTIF(ClosedDays!$N$4:$N$32,IF(WEEKDAY(DF12)=1,DF12+1,IF(WEEKDAY(DF12)=7,DF12+2,DF12)))</f>
        <v>44473</v>
      </c>
      <c r="DH12" s="405">
        <f>DG12+IF(WEEKDAY(DG12)=1,1,IF(WEEKDAY(DG12)=7,2,0))+COUNTIF(ClosedDays!$B$4:$B$32,IF(WEEKDAY(DG12)=1,DG12+1,IF(WEEKDAY(DG12)=7,DG12+2,DG12)))+COUNTIF(ClosedDays!$F$4:$F$32,IF(WEEKDAY(DG12)=1,DG12+1,IF(WEEKDAY(DG12)=7,DG12+2,DG12)))+COUNTIF(ClosedDays!$J$4:$J$32,IF(WEEKDAY(DG12)=1,DG12+1,IF(WEEKDAY(DG12)=7,DG12+2,DG12)))+COUNTIF(ClosedDays!$N$4:$N$32,IF(WEEKDAY(DG12)=1,DG12+1,IF(WEEKDAY(DG12)=7,DG12+2,DG12)))</f>
        <v>44473</v>
      </c>
      <c r="DI12" s="405">
        <f>DH12+IF(WEEKDAY(DH12)=1,1,IF(WEEKDAY(DH12)=7,2,0))+COUNTIF(ClosedDays!$B$4:$B$32,IF(WEEKDAY(DH12)=1,DH12+1,IF(WEEKDAY(DH12)=7,DH12+2,DH12)))+COUNTIF(ClosedDays!$F$4:$F$32,IF(WEEKDAY(DH12)=1,DH12+1,IF(WEEKDAY(DH12)=7,DH12+2,DH12)))+COUNTIF(ClosedDays!$J$4:$J$32,IF(WEEKDAY(DH12)=1,DH12+1,IF(WEEKDAY(DH12)=7,DH12+2,DH12)))+COUNTIF(ClosedDays!$N$4:$N$32,IF(WEEKDAY(DH12)=1,DH12+1,IF(WEEKDAY(DH12)=7,DH12+2,DH12)))</f>
        <v>44473</v>
      </c>
      <c r="DJ12" s="405">
        <f>DI12+IF(WEEKDAY(DI12)=1,1,IF(WEEKDAY(DI12)=7,2,0))+COUNTIF(ClosedDays!$B$4:$B$32,IF(WEEKDAY(DI12)=1,DI12+1,IF(WEEKDAY(DI12)=7,DI12+2,DI12)))+COUNTIF(ClosedDays!$F$4:$F$32,IF(WEEKDAY(DI12)=1,DI12+1,IF(WEEKDAY(DI12)=7,DI12+2,DI12)))+COUNTIF(ClosedDays!$J$4:$J$32,IF(WEEKDAY(DI12)=1,DI12+1,IF(WEEKDAY(DI12)=7,DI12+2,DI12)))+COUNTIF(ClosedDays!$N$4:$N$32,IF(WEEKDAY(DI12)=1,DI12+1,IF(WEEKDAY(DI12)=7,DI12+2,DI12)))</f>
        <v>44473</v>
      </c>
      <c r="DK12" s="405">
        <f>DJ12+IF(WEEKDAY(DJ12)=1,1,IF(WEEKDAY(DJ12)=7,2,0))+COUNTIF(ClosedDays!$B$4:$B$32,IF(WEEKDAY(DJ12)=1,DJ12+1,IF(WEEKDAY(DJ12)=7,DJ12+2,DJ12)))+COUNTIF(ClosedDays!$F$4:$F$32,IF(WEEKDAY(DJ12)=1,DJ12+1,IF(WEEKDAY(DJ12)=7,DJ12+2,DJ12)))+COUNTIF(ClosedDays!$J$4:$J$32,IF(WEEKDAY(DJ12)=1,DJ12+1,IF(WEEKDAY(DJ12)=7,DJ12+2,DJ12)))+COUNTIF(ClosedDays!$N$4:$N$32,IF(WEEKDAY(DJ12)=1,DJ12+1,IF(WEEKDAY(DJ12)=7,DJ12+2,DJ12)))</f>
        <v>44473</v>
      </c>
      <c r="DL12" s="405">
        <f>DK12+IF(WEEKDAY(DK12)=1,1,IF(WEEKDAY(DK12)=7,2,0))+COUNTIF(ClosedDays!$B$4:$B$32,IF(WEEKDAY(DK12)=1,DK12+1,IF(WEEKDAY(DK12)=7,DK12+2,DK12)))+COUNTIF(ClosedDays!$F$4:$F$32,IF(WEEKDAY(DK12)=1,DK12+1,IF(WEEKDAY(DK12)=7,DK12+2,DK12)))+COUNTIF(ClosedDays!$J$4:$J$32,IF(WEEKDAY(DK12)=1,DK12+1,IF(WEEKDAY(DK12)=7,DK12+2,DK12)))+COUNTIF(ClosedDays!$N$4:$N$32,IF(WEEKDAY(DK12)=1,DK12+1,IF(WEEKDAY(DK12)=7,DK12+2,DK12)))</f>
        <v>44473</v>
      </c>
      <c r="DM12" s="405">
        <f>DL12+IF(WEEKDAY(DL12)=1,1,IF(WEEKDAY(DL12)=7,2,0))+COUNTIF(ClosedDays!$B$4:$B$32,IF(WEEKDAY(DL12)=1,DL12+1,IF(WEEKDAY(DL12)=7,DL12+2,DL12)))+COUNTIF(ClosedDays!$F$4:$F$32,IF(WEEKDAY(DL12)=1,DL12+1,IF(WEEKDAY(DL12)=7,DL12+2,DL12)))+COUNTIF(ClosedDays!$J$4:$J$32,IF(WEEKDAY(DL12)=1,DL12+1,IF(WEEKDAY(DL12)=7,DL12+2,DL12)))+COUNTIF(ClosedDays!$N$4:$N$32,IF(WEEKDAY(DL12)=1,DL12+1,IF(WEEKDAY(DL12)=7,DL12+2,DL12)))</f>
        <v>44473</v>
      </c>
      <c r="DN12" s="405">
        <f>DM12+IF(WEEKDAY(DM12)=1,1,IF(WEEKDAY(DM12)=7,2,0))+COUNTIF(ClosedDays!$B$4:$B$32,IF(WEEKDAY(DM12)=1,DM12+1,IF(WEEKDAY(DM12)=7,DM12+2,DM12)))+COUNTIF(ClosedDays!$F$4:$F$32,IF(WEEKDAY(DM12)=1,DM12+1,IF(WEEKDAY(DM12)=7,DM12+2,DM12)))+COUNTIF(ClosedDays!$J$4:$J$32,IF(WEEKDAY(DM12)=1,DM12+1,IF(WEEKDAY(DM12)=7,DM12+2,DM12)))+COUNTIF(ClosedDays!$N$4:$N$32,IF(WEEKDAY(DM12)=1,DM12+1,IF(WEEKDAY(DM12)=7,DM12+2,DM12)))</f>
        <v>44473</v>
      </c>
      <c r="DO12" s="405">
        <f>DN12+IF(WEEKDAY(DN12)=1,1,IF(WEEKDAY(DN12)=7,2,0))+COUNTIF(ClosedDays!$B$4:$B$32,IF(WEEKDAY(DN12)=1,DN12+1,IF(WEEKDAY(DN12)=7,DN12+2,DN12)))+COUNTIF(ClosedDays!$F$4:$F$32,IF(WEEKDAY(DN12)=1,DN12+1,IF(WEEKDAY(DN12)=7,DN12+2,DN12)))+COUNTIF(ClosedDays!$J$4:$J$32,IF(WEEKDAY(DN12)=1,DN12+1,IF(WEEKDAY(DN12)=7,DN12+2,DN12)))+COUNTIF(ClosedDays!$N$4:$N$32,IF(WEEKDAY(DN12)=1,DN12+1,IF(WEEKDAY(DN12)=7,DN12+2,DN12)))</f>
        <v>44473</v>
      </c>
      <c r="DP12" s="405">
        <f t="shared" si="5"/>
        <v>44473</v>
      </c>
      <c r="DQ12" s="405">
        <f t="shared" si="20"/>
        <v>44473</v>
      </c>
      <c r="DR12" s="394">
        <f t="shared" si="19"/>
        <v>1</v>
      </c>
      <c r="DS12" s="394">
        <f>IF(AND(DR12=1,COUNTIF(DS$7:DS11,1)&lt;12,VLOOKUP(COUNTIF(DS$7:DS11,1)+1,'Outline Info'!$A$21:$C$32,2)&lt;=I12),1,0)</f>
        <v>1</v>
      </c>
      <c r="DT12" s="405" t="str">
        <f>IF(DS12=1,IF(VLOOKUP(COUNTIF(DS$7:DS12,1),'Outline Info'!$A$21:$C$32,2)=0,"",VLOOKUP(COUNTIF(DS$7:DS12,1),'Outline Info'!$A$21:$C$32,2)),"")</f>
        <v/>
      </c>
      <c r="DU12" s="447">
        <f>IF(DS12=1,VLOOKUP(COUNTIF(DS$7:DS12,1),'Outline Info'!$A$21:$C$32,3),0)</f>
        <v>0</v>
      </c>
      <c r="DV12" s="445">
        <f>IF('Outline Info'!$B$8="Y",IF(B12="*",'Outline Info'!$B$19,IF(OR($A12="",B12="X",B12="x"),0,VLOOKUP($A12,'Course Table'!$A$2:$J$331,4,TRUE))),0)</f>
        <v>0</v>
      </c>
      <c r="DW12" s="447">
        <f t="shared" si="6"/>
        <v>0</v>
      </c>
      <c r="DX12" s="447">
        <f>IF('Outline Info'!$B$8="Y",$DV12,$DW12)</f>
        <v>0</v>
      </c>
      <c r="DY12" s="394"/>
      <c r="DZ12" s="934"/>
      <c r="EA12" s="934"/>
      <c r="EB12" s="394"/>
      <c r="EC12" s="394"/>
      <c r="ED12" s="394"/>
    </row>
    <row r="13" spans="1:134" s="400" customFormat="1" ht="20.100000000000001" customHeight="1">
      <c r="A13" s="874" t="str">
        <f t="shared" si="7"/>
        <v/>
      </c>
      <c r="B13" s="876" t="str">
        <f t="shared" si="8"/>
        <v/>
      </c>
      <c r="C13" s="878" t="str">
        <f t="shared" si="9"/>
        <v/>
      </c>
      <c r="D13" s="463">
        <f>IF(NOT(ISBLANK(DZ13)),DZ13,IF(AND($AC13=9998,'Outline Info'!$H$33&gt;='Outline Info'!$B$6,'Outline Info'!$H$33&lt;='Outline Info'!$C$6),'Outline Info'!$H$33,IF(AND($AC13=9997,'Outline Info'!$H$31&gt;='Outline Info'!$B$6,'Outline Info'!$H$31&lt;='Outline Info'!$C$6),'Outline Info'!$H$31,IF(AE13="*",DQ12,IF(OR(AE13="x",AE13="X"),I12,IF(AND(AC13&gt;6,AC12&lt;6),DQ12,IF(AND($AC13=9998,$AC12=9997),I11,I12)))))))</f>
        <v>44470</v>
      </c>
      <c r="E13" s="1286"/>
      <c r="F13" s="1287"/>
      <c r="G13" s="1282"/>
      <c r="H13" s="1283"/>
      <c r="I13" s="464">
        <f>IF(AND($AC13=9998,'Outline Info'!$I$33&gt;='Outline Info'!$B$6,'Outline Info'!$I$33&lt;='Outline Info'!$C$6),'Outline Info'!$I$33,IF(AND($AC13=9997,'Outline Info'!$I$31&gt;='Outline Info'!$B$6,'Outline Info'!$I$31&lt;='Outline Info'!$C$6),'Outline Info'!$I$31,IF(DP13&gt;$V$4,$V$4,DP13)))</f>
        <v>44470</v>
      </c>
      <c r="J13" s="436"/>
      <c r="K13" s="437"/>
      <c r="L13" s="438"/>
      <c r="M13" s="438"/>
      <c r="N13" s="435"/>
      <c r="O13" s="435"/>
      <c r="P13" s="438"/>
      <c r="Q13" s="438"/>
      <c r="R13" s="439"/>
      <c r="S13" s="872">
        <f>IF($V$5-SUM($DX$7:$DX13)&lt;0,IF($V$5-SUM($DX$7:$DX12)&lt;0,0,$V$5-SUM($DX$7:$DX12)),DX13)</f>
        <v>0</v>
      </c>
      <c r="T13" s="440" t="str">
        <f>IF(S13&gt;0,IF('Outline Info'!$B$8="Y",D13,DT13),"")</f>
        <v/>
      </c>
      <c r="U13" s="441"/>
      <c r="V13" s="442"/>
      <c r="W13" s="870" t="str">
        <f>IF('Outline Info'!$C$33&gt;0,ROUND(IF('Outline Info'!$B$8="Y",SUM(S$7:S13)-SUM(AJ$7:AJ13)-'Outline Info'!$B$14-'Outline Info'!$B$15-'Outline Info'!$B$17,IF(AL13=0,SUM(S$7:S13)-SUM(AK$7:AK13)-SUM(AP13:AS13)-'Outline Info'!$B$14-'Outline Info'!$B$15-'Outline Info'!$B$17,0)),0),IF('Outline Info'!$T$4&lt;&gt;1,"",IF(OR(AD13="",AL13=1),"",SUM(AK$7:AK13)+SUM(AP13:AS13)+'Outline Info'!$B$14+'Outline Info'!$B$15+'Outline Info'!$B$17)))</f>
        <v/>
      </c>
      <c r="X13" s="448"/>
      <c r="Y13" s="443">
        <f>IF(OR(AE13="X",AE13="x",AE13="*",AC13=99999),0,IF(AC13&lt;50,0,IF($S$4-SUM($Y$7:$Y12)&gt;0,1,0)))</f>
        <v>0</v>
      </c>
      <c r="Z13" s="444">
        <f>IF(AC13&lt;99999,IF(AE13="*",AH13,IF(OR(AE13="x",AE13="X",AC13&lt;10),0,IF(AND(AC13&lt;&gt;9998,AC13&lt;&gt;9997),IF(AM13=1,(AH13+$AM$5)*(1+('Outline Info'!$B$16)),IF(AN13=1,(AH13+$AN$5)*(1+('Outline Info'!$B$16)),0)),AH13))),0)</f>
        <v>0</v>
      </c>
      <c r="AA13" s="395">
        <f>Z13/'Outline Info'!$C$11+Y13</f>
        <v>0</v>
      </c>
      <c r="AB13" s="395">
        <f>ROUND(AA13/'Outline Info'!$B$11*7,0)</f>
        <v>0</v>
      </c>
      <c r="AC13" s="445">
        <f>IF($AD13&lt;&gt;"",VLOOKUP($AD13,'Course Table'!$A$2:$J$331,10,TRUE),99999)</f>
        <v>99999</v>
      </c>
      <c r="AD13" s="394"/>
      <c r="AE13" s="394"/>
      <c r="AF13" s="394"/>
      <c r="AG13" s="394"/>
      <c r="AH13" s="394"/>
      <c r="AI13" s="394">
        <v>389</v>
      </c>
      <c r="AJ13" s="394">
        <v>389</v>
      </c>
      <c r="AK13" s="394">
        <f t="shared" si="10"/>
        <v>389</v>
      </c>
      <c r="AL13" s="394">
        <f t="shared" si="11"/>
        <v>0</v>
      </c>
      <c r="AM13" s="394">
        <f t="shared" si="12"/>
        <v>0</v>
      </c>
      <c r="AN13" s="394">
        <f t="shared" si="13"/>
        <v>0</v>
      </c>
      <c r="AO13" s="394">
        <f>IF(AN13=1,SUMPRODUCT($AJ$7:$AJ13,$AN$7:$AN13),0)</f>
        <v>0</v>
      </c>
      <c r="AP13" s="394">
        <f t="shared" si="14"/>
        <v>0</v>
      </c>
      <c r="AQ13" s="394">
        <f t="shared" si="14"/>
        <v>0</v>
      </c>
      <c r="AR13" s="394">
        <f t="shared" si="14"/>
        <v>0</v>
      </c>
      <c r="AS13" s="394">
        <f t="shared" si="14"/>
        <v>0</v>
      </c>
      <c r="AT13" s="394">
        <f t="shared" si="15"/>
        <v>0</v>
      </c>
      <c r="AU13" s="394">
        <f t="shared" si="15"/>
        <v>0</v>
      </c>
      <c r="AV13" s="394">
        <f t="shared" si="15"/>
        <v>0</v>
      </c>
      <c r="AW13" s="394">
        <f t="shared" si="15"/>
        <v>0</v>
      </c>
      <c r="AX13" s="394">
        <f t="shared" si="1"/>
        <v>0</v>
      </c>
      <c r="AY13" s="394">
        <f t="shared" si="2"/>
        <v>0</v>
      </c>
      <c r="AZ13" s="394">
        <f t="shared" si="3"/>
        <v>0</v>
      </c>
      <c r="BA13" s="394">
        <f t="shared" si="4"/>
        <v>0</v>
      </c>
      <c r="BB13" s="405">
        <f t="shared" si="21"/>
        <v>44473</v>
      </c>
      <c r="BC13" s="405">
        <f>BB13+IF(WEEKDAY(BB13)=1,1,IF(WEEKDAY(BB13)=7,2,0))+COUNTIF(ClosedDays!$B$4:$B$32,IF(WEEKDAY(BB13)=1,BB13+1,IF(WEEKDAY(BB13)=7,BB13+2,BB13)))+COUNTIF(ClosedDays!$F$4:$F$32,IF(WEEKDAY(BB13)=1,BB13+1,IF(WEEKDAY(BB13)=7,BB13+2,BB13)))+COUNTIF(ClosedDays!$J$4:$J$32,IF(WEEKDAY(BB13)=1,BB13+1,IF(WEEKDAY(BB13)=7,BB13+2,BB13)))+COUNTIF(ClosedDays!$N$4:$N$32,IF(WEEKDAY(BB13)=1,BB13+1,IF(WEEKDAY(BB13)=7,BB13+2,BB13)))</f>
        <v>44473</v>
      </c>
      <c r="BD13" s="405">
        <f>BC13+IF(WEEKDAY(BC13)=1,1,IF(WEEKDAY(BC13)=7,2,0))+COUNTIF(ClosedDays!$B$4:$B$32,IF(WEEKDAY(BC13)=1,BC13+1,IF(WEEKDAY(BC13)=7,BC13+2,BC13)))+COUNTIF(ClosedDays!$F$4:$F$32,IF(WEEKDAY(BC13)=1,BC13+1,IF(WEEKDAY(BC13)=7,BC13+2,BC13)))+COUNTIF(ClosedDays!$J$4:$J$32,IF(WEEKDAY(BC13)=1,BC13+1,IF(WEEKDAY(BC13)=7,BC13+2,BC13)))+COUNTIF(ClosedDays!$N$4:$N$32,IF(WEEKDAY(BC13)=1,BC13+1,IF(WEEKDAY(BC13)=7,BC13+2,BC13)))</f>
        <v>44473</v>
      </c>
      <c r="BE13" s="405">
        <f>BD13+IF(WEEKDAY(BD13)=1,1,IF(WEEKDAY(BD13)=7,2,0))+COUNTIF(ClosedDays!$B$4:$B$32,IF(WEEKDAY(BD13)=1,BD13+1,IF(WEEKDAY(BD13)=7,BD13+2,BD13)))+COUNTIF(ClosedDays!$F$4:$F$32,IF(WEEKDAY(BD13)=1,BD13+1,IF(WEEKDAY(BD13)=7,BD13+2,BD13)))+COUNTIF(ClosedDays!$J$4:$J$32,IF(WEEKDAY(BD13)=1,BD13+1,IF(WEEKDAY(BD13)=7,BD13+2,BD13)))+COUNTIF(ClosedDays!$N$4:$N$32,IF(WEEKDAY(BD13)=1,BD13+1,IF(WEEKDAY(BD13)=7,BD13+2,BD13)))</f>
        <v>44473</v>
      </c>
      <c r="BF13" s="405">
        <f>BE13+IF(WEEKDAY(BE13)=1,1,IF(WEEKDAY(BE13)=7,2,0))+COUNTIF(ClosedDays!$B$4:$B$32,IF(WEEKDAY(BE13)=1,BE13+1,IF(WEEKDAY(BE13)=7,BE13+2,BE13)))+COUNTIF(ClosedDays!$F$4:$F$32,IF(WEEKDAY(BE13)=1,BE13+1,IF(WEEKDAY(BE13)=7,BE13+2,BE13)))+COUNTIF(ClosedDays!$J$4:$J$32,IF(WEEKDAY(BE13)=1,BE13+1,IF(WEEKDAY(BE13)=7,BE13+2,BE13)))+COUNTIF(ClosedDays!$N$4:$N$32,IF(WEEKDAY(BE13)=1,BE13+1,IF(WEEKDAY(BE13)=7,BE13+2,BE13)))</f>
        <v>44473</v>
      </c>
      <c r="BG13" s="405">
        <f>BF13+IF(WEEKDAY(BF13)=1,1,IF(WEEKDAY(BF13)=7,2,0))+COUNTIF(ClosedDays!$B$4:$B$32,IF(WEEKDAY(BF13)=1,BF13+1,IF(WEEKDAY(BF13)=7,BF13+2,BF13)))+COUNTIF(ClosedDays!$F$4:$F$32,IF(WEEKDAY(BF13)=1,BF13+1,IF(WEEKDAY(BF13)=7,BF13+2,BF13)))+COUNTIF(ClosedDays!$J$4:$J$32,IF(WEEKDAY(BF13)=1,BF13+1,IF(WEEKDAY(BF13)=7,BF13+2,BF13)))+COUNTIF(ClosedDays!$N$4:$N$32,IF(WEEKDAY(BF13)=1,BF13+1,IF(WEEKDAY(BF13)=7,BF13+2,BF13)))</f>
        <v>44473</v>
      </c>
      <c r="BH13" s="405">
        <f>BG13+IF(WEEKDAY(BG13)=1,1,IF(WEEKDAY(BG13)=7,2,0))+COUNTIF(ClosedDays!$B$4:$B$32,IF(WEEKDAY(BG13)=1,BG13+1,IF(WEEKDAY(BG13)=7,BG13+2,BG13)))+COUNTIF(ClosedDays!$F$4:$F$32,IF(WEEKDAY(BG13)=1,BG13+1,IF(WEEKDAY(BG13)=7,BG13+2,BG13)))+COUNTIF(ClosedDays!$J$4:$J$32,IF(WEEKDAY(BG13)=1,BG13+1,IF(WEEKDAY(BG13)=7,BG13+2,BG13)))+COUNTIF(ClosedDays!$N$4:$N$32,IF(WEEKDAY(BG13)=1,BG13+1,IF(WEEKDAY(BG13)=7,BG13+2,BG13)))</f>
        <v>44473</v>
      </c>
      <c r="BI13" s="405">
        <f>BH13+IF(WEEKDAY(BH13)=1,1,IF(WEEKDAY(BH13)=7,2,0))+COUNTIF(ClosedDays!$B$4:$B$32,IF(WEEKDAY(BH13)=1,BH13+1,IF(WEEKDAY(BH13)=7,BH13+2,BH13)))+COUNTIF(ClosedDays!$F$4:$F$32,IF(WEEKDAY(BH13)=1,BH13+1,IF(WEEKDAY(BH13)=7,BH13+2,BH13)))+COUNTIF(ClosedDays!$J$4:$J$32,IF(WEEKDAY(BH13)=1,BH13+1,IF(WEEKDAY(BH13)=7,BH13+2,BH13)))+COUNTIF(ClosedDays!$N$4:$N$32,IF(WEEKDAY(BH13)=1,BH13+1,IF(WEEKDAY(BH13)=7,BH13+2,BH13)))</f>
        <v>44473</v>
      </c>
      <c r="BJ13" s="405">
        <f>BI13+IF(WEEKDAY(BI13)=1,1,IF(WEEKDAY(BI13)=7,2,0))+COUNTIF(ClosedDays!$B$4:$B$32,IF(WEEKDAY(BI13)=1,BI13+1,IF(WEEKDAY(BI13)=7,BI13+2,BI13)))+COUNTIF(ClosedDays!$F$4:$F$32,IF(WEEKDAY(BI13)=1,BI13+1,IF(WEEKDAY(BI13)=7,BI13+2,BI13)))+COUNTIF(ClosedDays!$J$4:$J$32,IF(WEEKDAY(BI13)=1,BI13+1,IF(WEEKDAY(BI13)=7,BI13+2,BI13)))+COUNTIF(ClosedDays!$N$4:$N$32,IF(WEEKDAY(BI13)=1,BI13+1,IF(WEEKDAY(BI13)=7,BI13+2,BI13)))</f>
        <v>44473</v>
      </c>
      <c r="BK13" s="405">
        <f>BJ13+IF(WEEKDAY(BJ13)=1,1,IF(WEEKDAY(BJ13)=7,2,0))+COUNTIF(ClosedDays!$B$4:$B$32,IF(WEEKDAY(BJ13)=1,BJ13+1,IF(WEEKDAY(BJ13)=7,BJ13+2,BJ13)))+COUNTIF(ClosedDays!$F$4:$F$32,IF(WEEKDAY(BJ13)=1,BJ13+1,IF(WEEKDAY(BJ13)=7,BJ13+2,BJ13)))+COUNTIF(ClosedDays!$J$4:$J$32,IF(WEEKDAY(BJ13)=1,BJ13+1,IF(WEEKDAY(BJ13)=7,BJ13+2,BJ13)))+COUNTIF(ClosedDays!$N$4:$N$32,IF(WEEKDAY(BJ13)=1,BJ13+1,IF(WEEKDAY(BJ13)=7,BJ13+2,BJ13)))</f>
        <v>44473</v>
      </c>
      <c r="BL13" s="405">
        <f>BK13+IF(WEEKDAY(BK13)=1,1,IF(WEEKDAY(BK13)=7,2,0))+COUNTIF(ClosedDays!$B$4:$B$32,IF(WEEKDAY(BK13)=1,BK13+1,IF(WEEKDAY(BK13)=7,BK13+2,BK13)))+COUNTIF(ClosedDays!$F$4:$F$32,IF(WEEKDAY(BK13)=1,BK13+1,IF(WEEKDAY(BK13)=7,BK13+2,BK13)))+COUNTIF(ClosedDays!$J$4:$J$32,IF(WEEKDAY(BK13)=1,BK13+1,IF(WEEKDAY(BK13)=7,BK13+2,BK13)))+COUNTIF(ClosedDays!$N$4:$N$32,IF(WEEKDAY(BK13)=1,BK13+1,IF(WEEKDAY(BK13)=7,BK13+2,BK13)))</f>
        <v>44473</v>
      </c>
      <c r="BM13" s="405">
        <f>BL13+IF(WEEKDAY(BL13)=1,1,IF(WEEKDAY(BL13)=7,2,0))+COUNTIF(ClosedDays!$B$4:$B$32,IF(WEEKDAY(BL13)=1,BL13+1,IF(WEEKDAY(BL13)=7,BL13+2,BL13)))+COUNTIF(ClosedDays!$F$4:$F$32,IF(WEEKDAY(BL13)=1,BL13+1,IF(WEEKDAY(BL13)=7,BL13+2,BL13)))+COUNTIF(ClosedDays!$J$4:$J$32,IF(WEEKDAY(BL13)=1,BL13+1,IF(WEEKDAY(BL13)=7,BL13+2,BL13)))+COUNTIF(ClosedDays!$N$4:$N$32,IF(WEEKDAY(BL13)=1,BL13+1,IF(WEEKDAY(BL13)=7,BL13+2,BL13)))</f>
        <v>44473</v>
      </c>
      <c r="BN13" s="405">
        <f>BM13+IF(WEEKDAY(BM13)=1,1,IF(WEEKDAY(BM13)=7,2,0))+COUNTIF(ClosedDays!$B$4:$B$32,IF(WEEKDAY(BM13)=1,BM13+1,IF(WEEKDAY(BM13)=7,BM13+2,BM13)))+COUNTIF(ClosedDays!$F$4:$F$32,IF(WEEKDAY(BM13)=1,BM13+1,IF(WEEKDAY(BM13)=7,BM13+2,BM13)))+COUNTIF(ClosedDays!$J$4:$J$32,IF(WEEKDAY(BM13)=1,BM13+1,IF(WEEKDAY(BM13)=7,BM13+2,BM13)))+COUNTIF(ClosedDays!$N$4:$N$32,IF(WEEKDAY(BM13)=1,BM13+1,IF(WEEKDAY(BM13)=7,BM13+2,BM13)))</f>
        <v>44473</v>
      </c>
      <c r="BO13" s="405">
        <f>BN13+IF(WEEKDAY(BN13)=1,1,IF(WEEKDAY(BN13)=7,2,0))+COUNTIF(ClosedDays!$B$4:$B$32,IF(WEEKDAY(BN13)=1,BN13+1,IF(WEEKDAY(BN13)=7,BN13+2,BN13)))+COUNTIF(ClosedDays!$F$4:$F$32,IF(WEEKDAY(BN13)=1,BN13+1,IF(WEEKDAY(BN13)=7,BN13+2,BN13)))+COUNTIF(ClosedDays!$J$4:$J$32,IF(WEEKDAY(BN13)=1,BN13+1,IF(WEEKDAY(BN13)=7,BN13+2,BN13)))+COUNTIF(ClosedDays!$N$4:$N$32,IF(WEEKDAY(BN13)=1,BN13+1,IF(WEEKDAY(BN13)=7,BN13+2,BN13)))</f>
        <v>44473</v>
      </c>
      <c r="BP13" s="405">
        <f>BO13+IF(WEEKDAY(BO13)=1,1,IF(WEEKDAY(BO13)=7,2,0))+COUNTIF(ClosedDays!$B$4:$B$32,IF(WEEKDAY(BO13)=1,BO13+1,IF(WEEKDAY(BO13)=7,BO13+2,BO13)))+COUNTIF(ClosedDays!$F$4:$F$32,IF(WEEKDAY(BO13)=1,BO13+1,IF(WEEKDAY(BO13)=7,BO13+2,BO13)))+COUNTIF(ClosedDays!$J$4:$J$32,IF(WEEKDAY(BO13)=1,BO13+1,IF(WEEKDAY(BO13)=7,BO13+2,BO13)))+COUNTIF(ClosedDays!$N$4:$N$32,IF(WEEKDAY(BO13)=1,BO13+1,IF(WEEKDAY(BO13)=7,BO13+2,BO13)))</f>
        <v>44473</v>
      </c>
      <c r="BQ13" s="405">
        <f t="shared" si="16"/>
        <v>44473</v>
      </c>
      <c r="BR13" s="446">
        <f>IF(AND($D13&lt;='Outline Info'!$H$31,BQ13&gt;='Outline Info'!$H$31,$BS$4=1,$AC13&gt;10,$AC13&lt;9997),1,0)</f>
        <v>0</v>
      </c>
      <c r="BS13" s="405">
        <f>IF(BR13=1,BQ13+'Outline Info'!$I$31-'Outline Info'!$H$31+1,BQ13)</f>
        <v>44473</v>
      </c>
      <c r="BT13" s="405">
        <f>BS13+IF(WEEKDAY(BS13)=1,1,IF(WEEKDAY(BS13)=7,2,0))+COUNTIF(ClosedDays!$B$4:$B$32,IF(WEEKDAY(BS13)=1,BS13+1,IF(WEEKDAY(BS13)=7,BS13+2,BS13)))+COUNTIF(ClosedDays!$F$4:$F$32,IF(WEEKDAY(BS13)=1,BS13+1,IF(WEEKDAY(BS13)=7,BS13+2,BS13)))+COUNTIF(ClosedDays!$J$4:$J$32,IF(WEEKDAY(BS13)=1,BS13+1,IF(WEEKDAY(BS13)=7,BS13+2,BS13)))+COUNTIF(ClosedDays!$N$4:$N$32,IF(WEEKDAY(BS13)=1,BS13+1,IF(WEEKDAY(BS13)=7,BS13+2,BS13)))</f>
        <v>44473</v>
      </c>
      <c r="BU13" s="405">
        <f>BT13+IF(WEEKDAY(BT13)=1,1,IF(WEEKDAY(BT13)=7,2,0))+COUNTIF(ClosedDays!$B$4:$B$32,IF(WEEKDAY(BT13)=1,BT13+1,IF(WEEKDAY(BT13)=7,BT13+2,BT13)))+COUNTIF(ClosedDays!$F$4:$F$32,IF(WEEKDAY(BT13)=1,BT13+1,IF(WEEKDAY(BT13)=7,BT13+2,BT13)))+COUNTIF(ClosedDays!$J$4:$J$32,IF(WEEKDAY(BT13)=1,BT13+1,IF(WEEKDAY(BT13)=7,BT13+2,BT13)))+COUNTIF(ClosedDays!$N$4:$N$32,IF(WEEKDAY(BT13)=1,BT13+1,IF(WEEKDAY(BT13)=7,BT13+2,BT13)))</f>
        <v>44473</v>
      </c>
      <c r="BV13" s="405">
        <f>BU13+IF(WEEKDAY(BU13)=1,1,IF(WEEKDAY(BU13)=7,2,0))+COUNTIF(ClosedDays!$B$4:$B$32,IF(WEEKDAY(BU13)=1,BU13+1,IF(WEEKDAY(BU13)=7,BU13+2,BU13)))+COUNTIF(ClosedDays!$F$4:$F$32,IF(WEEKDAY(BU13)=1,BU13+1,IF(WEEKDAY(BU13)=7,BU13+2,BU13)))+COUNTIF(ClosedDays!$J$4:$J$32,IF(WEEKDAY(BU13)=1,BU13+1,IF(WEEKDAY(BU13)=7,BU13+2,BU13)))+COUNTIF(ClosedDays!$N$4:$N$32,IF(WEEKDAY(BU13)=1,BU13+1,IF(WEEKDAY(BU13)=7,BU13+2,BU13)))</f>
        <v>44473</v>
      </c>
      <c r="BW13" s="405">
        <f>BV13+IF(WEEKDAY(BV13)=1,1,IF(WEEKDAY(BV13)=7,2,0))+COUNTIF(ClosedDays!$B$4:$B$32,IF(WEEKDAY(BV13)=1,BV13+1,IF(WEEKDAY(BV13)=7,BV13+2,BV13)))+COUNTIF(ClosedDays!$F$4:$F$32,IF(WEEKDAY(BV13)=1,BV13+1,IF(WEEKDAY(BV13)=7,BV13+2,BV13)))+COUNTIF(ClosedDays!$J$4:$J$32,IF(WEEKDAY(BV13)=1,BV13+1,IF(WEEKDAY(BV13)=7,BV13+2,BV13)))+COUNTIF(ClosedDays!$N$4:$N$32,IF(WEEKDAY(BV13)=1,BV13+1,IF(WEEKDAY(BV13)=7,BV13+2,BV13)))</f>
        <v>44473</v>
      </c>
      <c r="BX13" s="405">
        <f>BW13+IF(WEEKDAY(BW13)=1,1,IF(WEEKDAY(BW13)=7,2,0))+COUNTIF(ClosedDays!$B$4:$B$32,IF(WEEKDAY(BW13)=1,BW13+1,IF(WEEKDAY(BW13)=7,BW13+2,BW13)))+COUNTIF(ClosedDays!$F$4:$F$32,IF(WEEKDAY(BW13)=1,BW13+1,IF(WEEKDAY(BW13)=7,BW13+2,BW13)))+COUNTIF(ClosedDays!$J$4:$J$32,IF(WEEKDAY(BW13)=1,BW13+1,IF(WEEKDAY(BW13)=7,BW13+2,BW13)))+COUNTIF(ClosedDays!$N$4:$N$32,IF(WEEKDAY(BW13)=1,BW13+1,IF(WEEKDAY(BW13)=7,BW13+2,BW13)))</f>
        <v>44473</v>
      </c>
      <c r="BY13" s="405">
        <f>BX13+IF(WEEKDAY(BX13)=1,1,IF(WEEKDAY(BX13)=7,2,0))+COUNTIF(ClosedDays!$B$4:$B$32,IF(WEEKDAY(BX13)=1,BX13+1,IF(WEEKDAY(BX13)=7,BX13+2,BX13)))+COUNTIF(ClosedDays!$F$4:$F$32,IF(WEEKDAY(BX13)=1,BX13+1,IF(WEEKDAY(BX13)=7,BX13+2,BX13)))+COUNTIF(ClosedDays!$J$4:$J$32,IF(WEEKDAY(BX13)=1,BX13+1,IF(WEEKDAY(BX13)=7,BX13+2,BX13)))+COUNTIF(ClosedDays!$N$4:$N$32,IF(WEEKDAY(BX13)=1,BX13+1,IF(WEEKDAY(BX13)=7,BX13+2,BX13)))</f>
        <v>44473</v>
      </c>
      <c r="BZ13" s="405">
        <f>BY13+IF(WEEKDAY(BY13)=1,1,IF(WEEKDAY(BY13)=7,2,0))+COUNTIF(ClosedDays!$B$4:$B$32,IF(WEEKDAY(BY13)=1,BY13+1,IF(WEEKDAY(BY13)=7,BY13+2,BY13)))+COUNTIF(ClosedDays!$F$4:$F$32,IF(WEEKDAY(BY13)=1,BY13+1,IF(WEEKDAY(BY13)=7,BY13+2,BY13)))+COUNTIF(ClosedDays!$J$4:$J$32,IF(WEEKDAY(BY13)=1,BY13+1,IF(WEEKDAY(BY13)=7,BY13+2,BY13)))+COUNTIF(ClosedDays!$N$4:$N$32,IF(WEEKDAY(BY13)=1,BY13+1,IF(WEEKDAY(BY13)=7,BY13+2,BY13)))</f>
        <v>44473</v>
      </c>
      <c r="CA13" s="405">
        <f>BZ13+IF(WEEKDAY(BZ13)=1,1,IF(WEEKDAY(BZ13)=7,2,0))+COUNTIF(ClosedDays!$B$4:$B$32,IF(WEEKDAY(BZ13)=1,BZ13+1,IF(WEEKDAY(BZ13)=7,BZ13+2,BZ13)))+COUNTIF(ClosedDays!$F$4:$F$32,IF(WEEKDAY(BZ13)=1,BZ13+1,IF(WEEKDAY(BZ13)=7,BZ13+2,BZ13)))+COUNTIF(ClosedDays!$J$4:$J$32,IF(WEEKDAY(BZ13)=1,BZ13+1,IF(WEEKDAY(BZ13)=7,BZ13+2,BZ13)))+COUNTIF(ClosedDays!$N$4:$N$32,IF(WEEKDAY(BZ13)=1,BZ13+1,IF(WEEKDAY(BZ13)=7,BZ13+2,BZ13)))</f>
        <v>44473</v>
      </c>
      <c r="CB13" s="405">
        <f>CA13+IF(WEEKDAY(CA13)=1,1,IF(WEEKDAY(CA13)=7,2,0))+COUNTIF(ClosedDays!$B$4:$B$32,IF(WEEKDAY(CA13)=1,CA13+1,IF(WEEKDAY(CA13)=7,CA13+2,CA13)))+COUNTIF(ClosedDays!$F$4:$F$32,IF(WEEKDAY(CA13)=1,CA13+1,IF(WEEKDAY(CA13)=7,CA13+2,CA13)))+COUNTIF(ClosedDays!$J$4:$J$32,IF(WEEKDAY(CA13)=1,CA13+1,IF(WEEKDAY(CA13)=7,CA13+2,CA13)))+COUNTIF(ClosedDays!$N$4:$N$32,IF(WEEKDAY(CA13)=1,CA13+1,IF(WEEKDAY(CA13)=7,CA13+2,CA13)))</f>
        <v>44473</v>
      </c>
      <c r="CC13" s="405">
        <f>CB13+IF(WEEKDAY(CB13)=1,1,IF(WEEKDAY(CB13)=7,2,0))+COUNTIF(ClosedDays!$B$4:$B$32,IF(WEEKDAY(CB13)=1,CB13+1,IF(WEEKDAY(CB13)=7,CB13+2,CB13)))+COUNTIF(ClosedDays!$F$4:$F$32,IF(WEEKDAY(CB13)=1,CB13+1,IF(WEEKDAY(CB13)=7,CB13+2,CB13)))+COUNTIF(ClosedDays!$J$4:$J$32,IF(WEEKDAY(CB13)=1,CB13+1,IF(WEEKDAY(CB13)=7,CB13+2,CB13)))+COUNTIF(ClosedDays!$N$4:$N$32,IF(WEEKDAY(CB13)=1,CB13+1,IF(WEEKDAY(CB13)=7,CB13+2,CB13)))</f>
        <v>44473</v>
      </c>
      <c r="CD13" s="405">
        <f>CC13+IF(WEEKDAY(CC13)=1,1,IF(WEEKDAY(CC13)=7,2,0))+COUNTIF(ClosedDays!$B$4:$B$32,IF(WEEKDAY(CC13)=1,CC13+1,IF(WEEKDAY(CC13)=7,CC13+2,CC13)))+COUNTIF(ClosedDays!$F$4:$F$32,IF(WEEKDAY(CC13)=1,CC13+1,IF(WEEKDAY(CC13)=7,CC13+2,CC13)))+COUNTIF(ClosedDays!$J$4:$J$32,IF(WEEKDAY(CC13)=1,CC13+1,IF(WEEKDAY(CC13)=7,CC13+2,CC13)))+COUNTIF(ClosedDays!$N$4:$N$32,IF(WEEKDAY(CC13)=1,CC13+1,IF(WEEKDAY(CC13)=7,CC13+2,CC13)))</f>
        <v>44473</v>
      </c>
      <c r="CE13" s="405">
        <f>CD13+IF(WEEKDAY(CD13)=1,1,IF(WEEKDAY(CD13)=7,2,0))+COUNTIF(ClosedDays!$B$4:$B$32,IF(WEEKDAY(CD13)=1,CD13+1,IF(WEEKDAY(CD13)=7,CD13+2,CD13)))+COUNTIF(ClosedDays!$F$4:$F$32,IF(WEEKDAY(CD13)=1,CD13+1,IF(WEEKDAY(CD13)=7,CD13+2,CD13)))+COUNTIF(ClosedDays!$J$4:$J$32,IF(WEEKDAY(CD13)=1,CD13+1,IF(WEEKDAY(CD13)=7,CD13+2,CD13)))+COUNTIF(ClosedDays!$N$4:$N$32,IF(WEEKDAY(CD13)=1,CD13+1,IF(WEEKDAY(CD13)=7,CD13+2,CD13)))</f>
        <v>44473</v>
      </c>
      <c r="CF13" s="405">
        <f>CE13+IF(WEEKDAY(CE13)=1,1,IF(WEEKDAY(CE13)=7,2,0))+COUNTIF(ClosedDays!$B$4:$B$32,IF(WEEKDAY(CE13)=1,CE13+1,IF(WEEKDAY(CE13)=7,CE13+2,CE13)))+COUNTIF(ClosedDays!$F$4:$F$32,IF(WEEKDAY(CE13)=1,CE13+1,IF(WEEKDAY(CE13)=7,CE13+2,CE13)))+COUNTIF(ClosedDays!$J$4:$J$32,IF(WEEKDAY(CE13)=1,CE13+1,IF(WEEKDAY(CE13)=7,CE13+2,CE13)))+COUNTIF(ClosedDays!$N$4:$N$32,IF(WEEKDAY(CE13)=1,CE13+1,IF(WEEKDAY(CE13)=7,CE13+2,CE13)))</f>
        <v>44473</v>
      </c>
      <c r="CG13" s="405">
        <f>CF13+IF(WEEKDAY(CF13)=1,1,IF(WEEKDAY(CF13)=7,2,0))+COUNTIF(ClosedDays!$B$4:$B$32,IF(WEEKDAY(CF13)=1,CF13+1,IF(WEEKDAY(CF13)=7,CF13+2,CF13)))+COUNTIF(ClosedDays!$F$4:$F$32,IF(WEEKDAY(CF13)=1,CF13+1,IF(WEEKDAY(CF13)=7,CF13+2,CF13)))+COUNTIF(ClosedDays!$J$4:$J$32,IF(WEEKDAY(CF13)=1,CF13+1,IF(WEEKDAY(CF13)=7,CF13+2,CF13)))+COUNTIF(ClosedDays!$N$4:$N$32,IF(WEEKDAY(CF13)=1,CF13+1,IF(WEEKDAY(CF13)=7,CF13+2,CF13)))</f>
        <v>44473</v>
      </c>
      <c r="CH13" s="405">
        <f t="shared" si="17"/>
        <v>44473</v>
      </c>
      <c r="CI13" s="446">
        <f>IF(AND($D13&lt;='Outline Info'!$H$33,CH13&gt;='Outline Info'!$H$33,$CJ$4=1,$AC13&gt;10,$AC13&lt;9997),1,0)</f>
        <v>0</v>
      </c>
      <c r="CJ13" s="405">
        <f>IF(CI13=1,CH13+'Outline Info'!$I$33-'Outline Info'!$H$33+1,CH13)</f>
        <v>44473</v>
      </c>
      <c r="CK13" s="405">
        <f>CJ13+IF(WEEKDAY(CJ13)=1,1,IF(WEEKDAY(CJ13)=7,2,0))+COUNTIF(ClosedDays!$B$4:$B$32,IF(WEEKDAY(CJ13)=1,CJ13+1,IF(WEEKDAY(CJ13)=7,CJ13+2,CJ13)))+COUNTIF(ClosedDays!$F$4:$F$32,IF(WEEKDAY(CJ13)=1,CJ13+1,IF(WEEKDAY(CJ13)=7,CJ13+2,CJ13)))+COUNTIF(ClosedDays!$J$4:$J$32,IF(WEEKDAY(CJ13)=1,CJ13+1,IF(WEEKDAY(CJ13)=7,CJ13+2,CJ13)))+COUNTIF(ClosedDays!$N$4:$N$32,IF(WEEKDAY(CJ13)=1,CJ13+1,IF(WEEKDAY(CJ13)=7,CJ13+2,CJ13)))</f>
        <v>44473</v>
      </c>
      <c r="CL13" s="405">
        <f>CK13+IF(WEEKDAY(CK13)=1,1,IF(WEEKDAY(CK13)=7,2,0))+COUNTIF(ClosedDays!$B$4:$B$32,IF(WEEKDAY(CK13)=1,CK13+1,IF(WEEKDAY(CK13)=7,CK13+2,CK13)))+COUNTIF(ClosedDays!$F$4:$F$32,IF(WEEKDAY(CK13)=1,CK13+1,IF(WEEKDAY(CK13)=7,CK13+2,CK13)))+COUNTIF(ClosedDays!$J$4:$J$32,IF(WEEKDAY(CK13)=1,CK13+1,IF(WEEKDAY(CK13)=7,CK13+2,CK13)))+COUNTIF(ClosedDays!$N$4:$N$32,IF(WEEKDAY(CK13)=1,CK13+1,IF(WEEKDAY(CK13)=7,CK13+2,CK13)))</f>
        <v>44473</v>
      </c>
      <c r="CM13" s="405">
        <f>CL13+IF(WEEKDAY(CL13)=1,1,IF(WEEKDAY(CL13)=7,2,0))+COUNTIF(ClosedDays!$B$4:$B$32,IF(WEEKDAY(CL13)=1,CL13+1,IF(WEEKDAY(CL13)=7,CL13+2,CL13)))+COUNTIF(ClosedDays!$F$4:$F$32,IF(WEEKDAY(CL13)=1,CL13+1,IF(WEEKDAY(CL13)=7,CL13+2,CL13)))+COUNTIF(ClosedDays!$J$4:$J$32,IF(WEEKDAY(CL13)=1,CL13+1,IF(WEEKDAY(CL13)=7,CL13+2,CL13)))+COUNTIF(ClosedDays!$N$4:$N$32,IF(WEEKDAY(CL13)=1,CL13+1,IF(WEEKDAY(CL13)=7,CL13+2,CL13)))</f>
        <v>44473</v>
      </c>
      <c r="CN13" s="405">
        <f>CM13+IF(WEEKDAY(CM13)=1,1,IF(WEEKDAY(CM13)=7,2,0))+COUNTIF(ClosedDays!$B$4:$B$32,IF(WEEKDAY(CM13)=1,CM13+1,IF(WEEKDAY(CM13)=7,CM13+2,CM13)))+COUNTIF(ClosedDays!$F$4:$F$32,IF(WEEKDAY(CM13)=1,CM13+1,IF(WEEKDAY(CM13)=7,CM13+2,CM13)))+COUNTIF(ClosedDays!$J$4:$J$32,IF(WEEKDAY(CM13)=1,CM13+1,IF(WEEKDAY(CM13)=7,CM13+2,CM13)))+COUNTIF(ClosedDays!$N$4:$N$32,IF(WEEKDAY(CM13)=1,CM13+1,IF(WEEKDAY(CM13)=7,CM13+2,CM13)))</f>
        <v>44473</v>
      </c>
      <c r="CO13" s="405">
        <f>CN13+IF(WEEKDAY(CN13)=1,1,IF(WEEKDAY(CN13)=7,2,0))+COUNTIF(ClosedDays!$B$4:$B$32,IF(WEEKDAY(CN13)=1,CN13+1,IF(WEEKDAY(CN13)=7,CN13+2,CN13)))+COUNTIF(ClosedDays!$F$4:$F$32,IF(WEEKDAY(CN13)=1,CN13+1,IF(WEEKDAY(CN13)=7,CN13+2,CN13)))+COUNTIF(ClosedDays!$J$4:$J$32,IF(WEEKDAY(CN13)=1,CN13+1,IF(WEEKDAY(CN13)=7,CN13+2,CN13)))+COUNTIF(ClosedDays!$N$4:$N$32,IF(WEEKDAY(CN13)=1,CN13+1,IF(WEEKDAY(CN13)=7,CN13+2,CN13)))</f>
        <v>44473</v>
      </c>
      <c r="CP13" s="405">
        <f>CO13+IF(WEEKDAY(CO13)=1,1,IF(WEEKDAY(CO13)=7,2,0))+COUNTIF(ClosedDays!$B$4:$B$32,IF(WEEKDAY(CO13)=1,CO13+1,IF(WEEKDAY(CO13)=7,CO13+2,CO13)))+COUNTIF(ClosedDays!$F$4:$F$32,IF(WEEKDAY(CO13)=1,CO13+1,IF(WEEKDAY(CO13)=7,CO13+2,CO13)))+COUNTIF(ClosedDays!$J$4:$J$32,IF(WEEKDAY(CO13)=1,CO13+1,IF(WEEKDAY(CO13)=7,CO13+2,CO13)))+COUNTIF(ClosedDays!$N$4:$N$32,IF(WEEKDAY(CO13)=1,CO13+1,IF(WEEKDAY(CO13)=7,CO13+2,CO13)))</f>
        <v>44473</v>
      </c>
      <c r="CQ13" s="405">
        <f>CP13+IF(WEEKDAY(CP13)=1,1,IF(WEEKDAY(CP13)=7,2,0))+COUNTIF(ClosedDays!$B$4:$B$32,IF(WEEKDAY(CP13)=1,CP13+1,IF(WEEKDAY(CP13)=7,CP13+2,CP13)))+COUNTIF(ClosedDays!$F$4:$F$32,IF(WEEKDAY(CP13)=1,CP13+1,IF(WEEKDAY(CP13)=7,CP13+2,CP13)))+COUNTIF(ClosedDays!$J$4:$J$32,IF(WEEKDAY(CP13)=1,CP13+1,IF(WEEKDAY(CP13)=7,CP13+2,CP13)))+COUNTIF(ClosedDays!$N$4:$N$32,IF(WEEKDAY(CP13)=1,CP13+1,IF(WEEKDAY(CP13)=7,CP13+2,CP13)))</f>
        <v>44473</v>
      </c>
      <c r="CR13" s="405">
        <f>CQ13+IF(WEEKDAY(CQ13)=1,1,IF(WEEKDAY(CQ13)=7,2,0))+COUNTIF(ClosedDays!$B$4:$B$32,IF(WEEKDAY(CQ13)=1,CQ13+1,IF(WEEKDAY(CQ13)=7,CQ13+2,CQ13)))+COUNTIF(ClosedDays!$F$4:$F$32,IF(WEEKDAY(CQ13)=1,CQ13+1,IF(WEEKDAY(CQ13)=7,CQ13+2,CQ13)))+COUNTIF(ClosedDays!$J$4:$J$32,IF(WEEKDAY(CQ13)=1,CQ13+1,IF(WEEKDAY(CQ13)=7,CQ13+2,CQ13)))+COUNTIF(ClosedDays!$N$4:$N$32,IF(WEEKDAY(CQ13)=1,CQ13+1,IF(WEEKDAY(CQ13)=7,CQ13+2,CQ13)))</f>
        <v>44473</v>
      </c>
      <c r="CS13" s="405">
        <f>CR13+IF(WEEKDAY(CR13)=1,1,IF(WEEKDAY(CR13)=7,2,0))+COUNTIF(ClosedDays!$B$4:$B$32,IF(WEEKDAY(CR13)=1,CR13+1,IF(WEEKDAY(CR13)=7,CR13+2,CR13)))+COUNTIF(ClosedDays!$F$4:$F$32,IF(WEEKDAY(CR13)=1,CR13+1,IF(WEEKDAY(CR13)=7,CR13+2,CR13)))+COUNTIF(ClosedDays!$J$4:$J$32,IF(WEEKDAY(CR13)=1,CR13+1,IF(WEEKDAY(CR13)=7,CR13+2,CR13)))+COUNTIF(ClosedDays!$N$4:$N$32,IF(WEEKDAY(CR13)=1,CR13+1,IF(WEEKDAY(CR13)=7,CR13+2,CR13)))</f>
        <v>44473</v>
      </c>
      <c r="CT13" s="405">
        <f>CS13+IF(WEEKDAY(CS13)=1,1,IF(WEEKDAY(CS13)=7,2,0))+COUNTIF(ClosedDays!$B$4:$B$32,IF(WEEKDAY(CS13)=1,CS13+1,IF(WEEKDAY(CS13)=7,CS13+2,CS13)))+COUNTIF(ClosedDays!$F$4:$F$32,IF(WEEKDAY(CS13)=1,CS13+1,IF(WEEKDAY(CS13)=7,CS13+2,CS13)))+COUNTIF(ClosedDays!$J$4:$J$32,IF(WEEKDAY(CS13)=1,CS13+1,IF(WEEKDAY(CS13)=7,CS13+2,CS13)))+COUNTIF(ClosedDays!$N$4:$N$32,IF(WEEKDAY(CS13)=1,CS13+1,IF(WEEKDAY(CS13)=7,CS13+2,CS13)))</f>
        <v>44473</v>
      </c>
      <c r="CU13" s="405">
        <f>CT13+IF(WEEKDAY(CT13)=1,1,IF(WEEKDAY(CT13)=7,2,0))+COUNTIF(ClosedDays!$B$4:$B$32,IF(WEEKDAY(CT13)=1,CT13+1,IF(WEEKDAY(CT13)=7,CT13+2,CT13)))+COUNTIF(ClosedDays!$F$4:$F$32,IF(WEEKDAY(CT13)=1,CT13+1,IF(WEEKDAY(CT13)=7,CT13+2,CT13)))+COUNTIF(ClosedDays!$J$4:$J$32,IF(WEEKDAY(CT13)=1,CT13+1,IF(WEEKDAY(CT13)=7,CT13+2,CT13)))+COUNTIF(ClosedDays!$N$4:$N$32,IF(WEEKDAY(CT13)=1,CT13+1,IF(WEEKDAY(CT13)=7,CT13+2,CT13)))</f>
        <v>44473</v>
      </c>
      <c r="CV13" s="405">
        <f>CU13+IF(WEEKDAY(CU13)=1,1,IF(WEEKDAY(CU13)=7,2,0))+COUNTIF(ClosedDays!$B$4:$B$32,IF(WEEKDAY(CU13)=1,CU13+1,IF(WEEKDAY(CU13)=7,CU13+2,CU13)))+COUNTIF(ClosedDays!$F$4:$F$32,IF(WEEKDAY(CU13)=1,CU13+1,IF(WEEKDAY(CU13)=7,CU13+2,CU13)))+COUNTIF(ClosedDays!$J$4:$J$32,IF(WEEKDAY(CU13)=1,CU13+1,IF(WEEKDAY(CU13)=7,CU13+2,CU13)))+COUNTIF(ClosedDays!$N$4:$N$32,IF(WEEKDAY(CU13)=1,CU13+1,IF(WEEKDAY(CU13)=7,CU13+2,CU13)))</f>
        <v>44473</v>
      </c>
      <c r="CW13" s="405">
        <f>CV13+IF(WEEKDAY(CV13)=1,1,IF(WEEKDAY(CV13)=7,2,0))+COUNTIF(ClosedDays!$B$4:$B$32,IF(WEEKDAY(CV13)=1,CV13+1,IF(WEEKDAY(CV13)=7,CV13+2,CV13)))+COUNTIF(ClosedDays!$F$4:$F$32,IF(WEEKDAY(CV13)=1,CV13+1,IF(WEEKDAY(CV13)=7,CV13+2,CV13)))+COUNTIF(ClosedDays!$J$4:$J$32,IF(WEEKDAY(CV13)=1,CV13+1,IF(WEEKDAY(CV13)=7,CV13+2,CV13)))+COUNTIF(ClosedDays!$N$4:$N$32,IF(WEEKDAY(CV13)=1,CV13+1,IF(WEEKDAY(CV13)=7,CV13+2,CV13)))</f>
        <v>44473</v>
      </c>
      <c r="CX13" s="405">
        <f>CW13+IF(WEEKDAY(CW13)=1,1,IF(WEEKDAY(CW13)=7,2,0))+COUNTIF(ClosedDays!$B$4:$B$32,IF(WEEKDAY(CW13)=1,CW13+1,IF(WEEKDAY(CW13)=7,CW13+2,CW13)))+COUNTIF(ClosedDays!$F$4:$F$32,IF(WEEKDAY(CW13)=1,CW13+1,IF(WEEKDAY(CW13)=7,CW13+2,CW13)))+COUNTIF(ClosedDays!$J$4:$J$32,IF(WEEKDAY(CW13)=1,CW13+1,IF(WEEKDAY(CW13)=7,CW13+2,CW13)))+COUNTIF(ClosedDays!$N$4:$N$32,IF(WEEKDAY(CW13)=1,CW13+1,IF(WEEKDAY(CW13)=7,CW13+2,CW13)))</f>
        <v>44473</v>
      </c>
      <c r="CY13" s="405">
        <f t="shared" si="18"/>
        <v>44473</v>
      </c>
      <c r="CZ13" s="446">
        <f>IF(AND($D13&lt;='Outline Info'!$E$33,CY13&gt;='Outline Info'!$E$33,$AC13&gt;10,$AC13&lt;9997),1,0)</f>
        <v>0</v>
      </c>
      <c r="DA13" s="405">
        <f>IF(AND($D13&lt;='Outline Info'!$E$33,CY13&gt;='Outline Info'!$E$33),CY13+'Outline Info'!$F$33-'Outline Info'!$E$33+1,CY13)</f>
        <v>44473</v>
      </c>
      <c r="DB13" s="405">
        <f>DA13+IF(WEEKDAY(DA13)=1,1,IF(WEEKDAY(DA13)=7,2,0))+COUNTIF(ClosedDays!$B$4:$B$32,IF(WEEKDAY(DA13)=1,DA13+1,IF(WEEKDAY(DA13)=7,DA13+2,DA13)))+COUNTIF(ClosedDays!$F$4:$F$32,IF(WEEKDAY(DA13)=1,DA13+1,IF(WEEKDAY(DA13)=7,DA13+2,DA13)))+COUNTIF(ClosedDays!$J$4:$J$32,IF(WEEKDAY(DA13)=1,DA13+1,IF(WEEKDAY(DA13)=7,DA13+2,DA13)))+COUNTIF(ClosedDays!$N$4:$N$32,IF(WEEKDAY(DA13)=1,DA13+1,IF(WEEKDAY(DA13)=7,DA13+2,DA13)))</f>
        <v>44473</v>
      </c>
      <c r="DC13" s="405">
        <f>DB13+IF(WEEKDAY(DB13)=1,1,IF(WEEKDAY(DB13)=7,2,0))+COUNTIF(ClosedDays!$B$4:$B$32,IF(WEEKDAY(DB13)=1,DB13+1,IF(WEEKDAY(DB13)=7,DB13+2,DB13)))+COUNTIF(ClosedDays!$F$4:$F$32,IF(WEEKDAY(DB13)=1,DB13+1,IF(WEEKDAY(DB13)=7,DB13+2,DB13)))+COUNTIF(ClosedDays!$J$4:$J$32,IF(WEEKDAY(DB13)=1,DB13+1,IF(WEEKDAY(DB13)=7,DB13+2,DB13)))+COUNTIF(ClosedDays!$N$4:$N$32,IF(WEEKDAY(DB13)=1,DB13+1,IF(WEEKDAY(DB13)=7,DB13+2,DB13)))</f>
        <v>44473</v>
      </c>
      <c r="DD13" s="405">
        <f>DC13+IF(WEEKDAY(DC13)=1,1,IF(WEEKDAY(DC13)=7,2,0))+COUNTIF(ClosedDays!$B$4:$B$32,IF(WEEKDAY(DC13)=1,DC13+1,IF(WEEKDAY(DC13)=7,DC13+2,DC13)))+COUNTIF(ClosedDays!$F$4:$F$32,IF(WEEKDAY(DC13)=1,DC13+1,IF(WEEKDAY(DC13)=7,DC13+2,DC13)))+COUNTIF(ClosedDays!$J$4:$J$32,IF(WEEKDAY(DC13)=1,DC13+1,IF(WEEKDAY(DC13)=7,DC13+2,DC13)))+COUNTIF(ClosedDays!$N$4:$N$32,IF(WEEKDAY(DC13)=1,DC13+1,IF(WEEKDAY(DC13)=7,DC13+2,DC13)))</f>
        <v>44473</v>
      </c>
      <c r="DE13" s="405">
        <f>DD13+IF(WEEKDAY(DD13)=1,1,IF(WEEKDAY(DD13)=7,2,0))+COUNTIF(ClosedDays!$B$4:$B$32,IF(WEEKDAY(DD13)=1,DD13+1,IF(WEEKDAY(DD13)=7,DD13+2,DD13)))+COUNTIF(ClosedDays!$F$4:$F$32,IF(WEEKDAY(DD13)=1,DD13+1,IF(WEEKDAY(DD13)=7,DD13+2,DD13)))+COUNTIF(ClosedDays!$J$4:$J$32,IF(WEEKDAY(DD13)=1,DD13+1,IF(WEEKDAY(DD13)=7,DD13+2,DD13)))+COUNTIF(ClosedDays!$N$4:$N$32,IF(WEEKDAY(DD13)=1,DD13+1,IF(WEEKDAY(DD13)=7,DD13+2,DD13)))</f>
        <v>44473</v>
      </c>
      <c r="DF13" s="405">
        <f>DE13+IF(WEEKDAY(DE13)=1,1,IF(WEEKDAY(DE13)=7,2,0))+COUNTIF(ClosedDays!$B$4:$B$32,IF(WEEKDAY(DE13)=1,DE13+1,IF(WEEKDAY(DE13)=7,DE13+2,DE13)))+COUNTIF(ClosedDays!$F$4:$F$32,IF(WEEKDAY(DE13)=1,DE13+1,IF(WEEKDAY(DE13)=7,DE13+2,DE13)))+COUNTIF(ClosedDays!$J$4:$J$32,IF(WEEKDAY(DE13)=1,DE13+1,IF(WEEKDAY(DE13)=7,DE13+2,DE13)))+COUNTIF(ClosedDays!$N$4:$N$32,IF(WEEKDAY(DE13)=1,DE13+1,IF(WEEKDAY(DE13)=7,DE13+2,DE13)))</f>
        <v>44473</v>
      </c>
      <c r="DG13" s="405">
        <f>DF13+IF(WEEKDAY(DF13)=1,1,IF(WEEKDAY(DF13)=7,2,0))+COUNTIF(ClosedDays!$B$4:$B$32,IF(WEEKDAY(DF13)=1,DF13+1,IF(WEEKDAY(DF13)=7,DF13+2,DF13)))+COUNTIF(ClosedDays!$F$4:$F$32,IF(WEEKDAY(DF13)=1,DF13+1,IF(WEEKDAY(DF13)=7,DF13+2,DF13)))+COUNTIF(ClosedDays!$J$4:$J$32,IF(WEEKDAY(DF13)=1,DF13+1,IF(WEEKDAY(DF13)=7,DF13+2,DF13)))+COUNTIF(ClosedDays!$N$4:$N$32,IF(WEEKDAY(DF13)=1,DF13+1,IF(WEEKDAY(DF13)=7,DF13+2,DF13)))</f>
        <v>44473</v>
      </c>
      <c r="DH13" s="405">
        <f>DG13+IF(WEEKDAY(DG13)=1,1,IF(WEEKDAY(DG13)=7,2,0))+COUNTIF(ClosedDays!$B$4:$B$32,IF(WEEKDAY(DG13)=1,DG13+1,IF(WEEKDAY(DG13)=7,DG13+2,DG13)))+COUNTIF(ClosedDays!$F$4:$F$32,IF(WEEKDAY(DG13)=1,DG13+1,IF(WEEKDAY(DG13)=7,DG13+2,DG13)))+COUNTIF(ClosedDays!$J$4:$J$32,IF(WEEKDAY(DG13)=1,DG13+1,IF(WEEKDAY(DG13)=7,DG13+2,DG13)))+COUNTIF(ClosedDays!$N$4:$N$32,IF(WEEKDAY(DG13)=1,DG13+1,IF(WEEKDAY(DG13)=7,DG13+2,DG13)))</f>
        <v>44473</v>
      </c>
      <c r="DI13" s="405">
        <f>DH13+IF(WEEKDAY(DH13)=1,1,IF(WEEKDAY(DH13)=7,2,0))+COUNTIF(ClosedDays!$B$4:$B$32,IF(WEEKDAY(DH13)=1,DH13+1,IF(WEEKDAY(DH13)=7,DH13+2,DH13)))+COUNTIF(ClosedDays!$F$4:$F$32,IF(WEEKDAY(DH13)=1,DH13+1,IF(WEEKDAY(DH13)=7,DH13+2,DH13)))+COUNTIF(ClosedDays!$J$4:$J$32,IF(WEEKDAY(DH13)=1,DH13+1,IF(WEEKDAY(DH13)=7,DH13+2,DH13)))+COUNTIF(ClosedDays!$N$4:$N$32,IF(WEEKDAY(DH13)=1,DH13+1,IF(WEEKDAY(DH13)=7,DH13+2,DH13)))</f>
        <v>44473</v>
      </c>
      <c r="DJ13" s="405">
        <f>DI13+IF(WEEKDAY(DI13)=1,1,IF(WEEKDAY(DI13)=7,2,0))+COUNTIF(ClosedDays!$B$4:$B$32,IF(WEEKDAY(DI13)=1,DI13+1,IF(WEEKDAY(DI13)=7,DI13+2,DI13)))+COUNTIF(ClosedDays!$F$4:$F$32,IF(WEEKDAY(DI13)=1,DI13+1,IF(WEEKDAY(DI13)=7,DI13+2,DI13)))+COUNTIF(ClosedDays!$J$4:$J$32,IF(WEEKDAY(DI13)=1,DI13+1,IF(WEEKDAY(DI13)=7,DI13+2,DI13)))+COUNTIF(ClosedDays!$N$4:$N$32,IF(WEEKDAY(DI13)=1,DI13+1,IF(WEEKDAY(DI13)=7,DI13+2,DI13)))</f>
        <v>44473</v>
      </c>
      <c r="DK13" s="405">
        <f>DJ13+IF(WEEKDAY(DJ13)=1,1,IF(WEEKDAY(DJ13)=7,2,0))+COUNTIF(ClosedDays!$B$4:$B$32,IF(WEEKDAY(DJ13)=1,DJ13+1,IF(WEEKDAY(DJ13)=7,DJ13+2,DJ13)))+COUNTIF(ClosedDays!$F$4:$F$32,IF(WEEKDAY(DJ13)=1,DJ13+1,IF(WEEKDAY(DJ13)=7,DJ13+2,DJ13)))+COUNTIF(ClosedDays!$J$4:$J$32,IF(WEEKDAY(DJ13)=1,DJ13+1,IF(WEEKDAY(DJ13)=7,DJ13+2,DJ13)))+COUNTIF(ClosedDays!$N$4:$N$32,IF(WEEKDAY(DJ13)=1,DJ13+1,IF(WEEKDAY(DJ13)=7,DJ13+2,DJ13)))</f>
        <v>44473</v>
      </c>
      <c r="DL13" s="405">
        <f>DK13+IF(WEEKDAY(DK13)=1,1,IF(WEEKDAY(DK13)=7,2,0))+COUNTIF(ClosedDays!$B$4:$B$32,IF(WEEKDAY(DK13)=1,DK13+1,IF(WEEKDAY(DK13)=7,DK13+2,DK13)))+COUNTIF(ClosedDays!$F$4:$F$32,IF(WEEKDAY(DK13)=1,DK13+1,IF(WEEKDAY(DK13)=7,DK13+2,DK13)))+COUNTIF(ClosedDays!$J$4:$J$32,IF(WEEKDAY(DK13)=1,DK13+1,IF(WEEKDAY(DK13)=7,DK13+2,DK13)))+COUNTIF(ClosedDays!$N$4:$N$32,IF(WEEKDAY(DK13)=1,DK13+1,IF(WEEKDAY(DK13)=7,DK13+2,DK13)))</f>
        <v>44473</v>
      </c>
      <c r="DM13" s="405">
        <f>DL13+IF(WEEKDAY(DL13)=1,1,IF(WEEKDAY(DL13)=7,2,0))+COUNTIF(ClosedDays!$B$4:$B$32,IF(WEEKDAY(DL13)=1,DL13+1,IF(WEEKDAY(DL13)=7,DL13+2,DL13)))+COUNTIF(ClosedDays!$F$4:$F$32,IF(WEEKDAY(DL13)=1,DL13+1,IF(WEEKDAY(DL13)=7,DL13+2,DL13)))+COUNTIF(ClosedDays!$J$4:$J$32,IF(WEEKDAY(DL13)=1,DL13+1,IF(WEEKDAY(DL13)=7,DL13+2,DL13)))+COUNTIF(ClosedDays!$N$4:$N$32,IF(WEEKDAY(DL13)=1,DL13+1,IF(WEEKDAY(DL13)=7,DL13+2,DL13)))</f>
        <v>44473</v>
      </c>
      <c r="DN13" s="405">
        <f>DM13+IF(WEEKDAY(DM13)=1,1,IF(WEEKDAY(DM13)=7,2,0))+COUNTIF(ClosedDays!$B$4:$B$32,IF(WEEKDAY(DM13)=1,DM13+1,IF(WEEKDAY(DM13)=7,DM13+2,DM13)))+COUNTIF(ClosedDays!$F$4:$F$32,IF(WEEKDAY(DM13)=1,DM13+1,IF(WEEKDAY(DM13)=7,DM13+2,DM13)))+COUNTIF(ClosedDays!$J$4:$J$32,IF(WEEKDAY(DM13)=1,DM13+1,IF(WEEKDAY(DM13)=7,DM13+2,DM13)))+COUNTIF(ClosedDays!$N$4:$N$32,IF(WEEKDAY(DM13)=1,DM13+1,IF(WEEKDAY(DM13)=7,DM13+2,DM13)))</f>
        <v>44473</v>
      </c>
      <c r="DO13" s="405">
        <f>DN13+IF(WEEKDAY(DN13)=1,1,IF(WEEKDAY(DN13)=7,2,0))+COUNTIF(ClosedDays!$B$4:$B$32,IF(WEEKDAY(DN13)=1,DN13+1,IF(WEEKDAY(DN13)=7,DN13+2,DN13)))+COUNTIF(ClosedDays!$F$4:$F$32,IF(WEEKDAY(DN13)=1,DN13+1,IF(WEEKDAY(DN13)=7,DN13+2,DN13)))+COUNTIF(ClosedDays!$J$4:$J$32,IF(WEEKDAY(DN13)=1,DN13+1,IF(WEEKDAY(DN13)=7,DN13+2,DN13)))+COUNTIF(ClosedDays!$N$4:$N$32,IF(WEEKDAY(DN13)=1,DN13+1,IF(WEEKDAY(DN13)=7,DN13+2,DN13)))</f>
        <v>44473</v>
      </c>
      <c r="DP13" s="405">
        <f t="shared" si="5"/>
        <v>44473</v>
      </c>
      <c r="DQ13" s="405">
        <f t="shared" si="20"/>
        <v>44473</v>
      </c>
      <c r="DR13" s="394">
        <f t="shared" si="19"/>
        <v>1</v>
      </c>
      <c r="DS13" s="394">
        <f>IF(AND(DR13=1,COUNTIF(DS$7:DS12,1)&lt;12,VLOOKUP(COUNTIF(DS$7:DS12,1)+1,'Outline Info'!$A$21:$C$32,2)&lt;=I13),1,0)</f>
        <v>1</v>
      </c>
      <c r="DT13" s="405" t="str">
        <f>IF(DS13=1,IF(VLOOKUP(COUNTIF(DS$7:DS13,1),'Outline Info'!$A$21:$C$32,2)=0,"",VLOOKUP(COUNTIF(DS$7:DS13,1),'Outline Info'!$A$21:$C$32,2)),"")</f>
        <v/>
      </c>
      <c r="DU13" s="447">
        <f>IF(DS13=1,VLOOKUP(COUNTIF(DS$7:DS13,1),'Outline Info'!$A$21:$C$32,3),0)</f>
        <v>0</v>
      </c>
      <c r="DV13" s="445">
        <f>IF('Outline Info'!$B$8="Y",IF(B13="*",'Outline Info'!$B$19,IF(OR($A13="",B13="X",B13="x"),0,VLOOKUP($A13,'Course Table'!$A$2:$J$331,4,TRUE))),0)</f>
        <v>0</v>
      </c>
      <c r="DW13" s="447">
        <f t="shared" si="6"/>
        <v>0</v>
      </c>
      <c r="DX13" s="447">
        <f>IF('Outline Info'!$B$8="Y",$DV13,$DW13)</f>
        <v>0</v>
      </c>
      <c r="DY13" s="394"/>
      <c r="DZ13" s="934"/>
      <c r="EA13" s="934"/>
      <c r="EB13" s="394"/>
      <c r="EC13" s="394"/>
      <c r="ED13" s="394"/>
    </row>
    <row r="14" spans="1:134" s="400" customFormat="1" ht="20.100000000000001" customHeight="1">
      <c r="A14" s="874" t="str">
        <f t="shared" si="7"/>
        <v/>
      </c>
      <c r="B14" s="876" t="str">
        <f t="shared" si="8"/>
        <v/>
      </c>
      <c r="C14" s="878" t="str">
        <f t="shared" si="9"/>
        <v/>
      </c>
      <c r="D14" s="463">
        <f>IF(NOT(ISBLANK(DZ14)),DZ14,IF(AND($AC14=9998,'Outline Info'!$H$33&gt;='Outline Info'!$B$6,'Outline Info'!$H$33&lt;='Outline Info'!$C$6),'Outline Info'!$H$33,IF(AND($AC14=9997,'Outline Info'!$H$31&gt;='Outline Info'!$B$6,'Outline Info'!$H$31&lt;='Outline Info'!$C$6),'Outline Info'!$H$31,IF(AE14="*",DQ13,IF(OR(AE14="x",AE14="X"),I13,IF(AND(AC14&gt;6,AC13&lt;6),DQ13,IF(AND($AC14=9998,$AC13=9997),I12,I13)))))))</f>
        <v>44470</v>
      </c>
      <c r="E14" s="1286"/>
      <c r="F14" s="1287"/>
      <c r="G14" s="1282"/>
      <c r="H14" s="1283"/>
      <c r="I14" s="464">
        <f>IF(AND($AC14=9998,'Outline Info'!$I$33&gt;='Outline Info'!$B$6,'Outline Info'!$I$33&lt;='Outline Info'!$C$6),'Outline Info'!$I$33,IF(AND($AC14=9997,'Outline Info'!$I$31&gt;='Outline Info'!$B$6,'Outline Info'!$I$31&lt;='Outline Info'!$C$6),'Outline Info'!$I$31,IF(DP14&gt;$V$4,$V$4,DP14)))</f>
        <v>44470</v>
      </c>
      <c r="J14" s="436"/>
      <c r="K14" s="437"/>
      <c r="L14" s="438"/>
      <c r="M14" s="438"/>
      <c r="N14" s="435"/>
      <c r="O14" s="435"/>
      <c r="P14" s="438"/>
      <c r="Q14" s="438"/>
      <c r="R14" s="439"/>
      <c r="S14" s="872">
        <f>IF($V$5-SUM($DX$7:$DX14)&lt;0,IF($V$5-SUM($DX$7:$DX13)&lt;0,0,$V$5-SUM($DX$7:$DX13)),DX14)</f>
        <v>0</v>
      </c>
      <c r="T14" s="440" t="str">
        <f>IF(S14&gt;0,IF('Outline Info'!$B$8="Y",D14,DT14),"")</f>
        <v/>
      </c>
      <c r="U14" s="441"/>
      <c r="V14" s="442"/>
      <c r="W14" s="870" t="str">
        <f>IF('Outline Info'!$C$33&gt;0,ROUND(IF('Outline Info'!$B$8="Y",SUM(S$7:S14)-SUM(AJ$7:AJ14)-'Outline Info'!$B$14-'Outline Info'!$B$15-'Outline Info'!$B$17,IF(AL14=0,SUM(S$7:S14)-SUM(AK$7:AK14)-SUM(AP14:AS14)-'Outline Info'!$B$14-'Outline Info'!$B$15-'Outline Info'!$B$17,0)),0),IF('Outline Info'!$T$4&lt;&gt;1,"",IF(OR(AD14="",AL14=1),"",SUM(AK$7:AK14)+SUM(AP14:AS14)+'Outline Info'!$B$14+'Outline Info'!$B$15+'Outline Info'!$B$17)))</f>
        <v/>
      </c>
      <c r="X14" s="448"/>
      <c r="Y14" s="443">
        <f>IF(OR(AE14="X",AE14="x",AE14="*",AC14=99999),0,IF(AC14&lt;50,0,IF($S$4-SUM($Y$7:$Y13)&gt;0,1,0)))</f>
        <v>0</v>
      </c>
      <c r="Z14" s="444">
        <f>IF(AC14&lt;99999,IF(AE14="*",AH14,IF(OR(AE14="x",AE14="X",AC14&lt;10),0,IF(AND(AC14&lt;&gt;9998,AC14&lt;&gt;9997),IF(AM14=1,(AH14+$AM$5)*(1+('Outline Info'!$B$16)),IF(AN14=1,(AH14+$AN$5)*(1+('Outline Info'!$B$16)),0)),AH14))),0)</f>
        <v>0</v>
      </c>
      <c r="AA14" s="395">
        <f>Z14/'Outline Info'!$C$11+Y14</f>
        <v>0</v>
      </c>
      <c r="AB14" s="395">
        <f>ROUND(AA14/'Outline Info'!$B$11*7,0)</f>
        <v>0</v>
      </c>
      <c r="AC14" s="445">
        <f>IF($AD14&lt;&gt;"",VLOOKUP($AD14,'Course Table'!$A$2:$J$331,10,TRUE),99999)</f>
        <v>99999</v>
      </c>
      <c r="AD14" s="394"/>
      <c r="AE14" s="394"/>
      <c r="AF14" s="394"/>
      <c r="AG14" s="394"/>
      <c r="AH14" s="394"/>
      <c r="AI14" s="394">
        <v>341</v>
      </c>
      <c r="AJ14" s="394">
        <v>341</v>
      </c>
      <c r="AK14" s="394">
        <f t="shared" si="10"/>
        <v>341</v>
      </c>
      <c r="AL14" s="394">
        <f t="shared" si="11"/>
        <v>0</v>
      </c>
      <c r="AM14" s="394">
        <f t="shared" si="12"/>
        <v>0</v>
      </c>
      <c r="AN14" s="394">
        <f t="shared" si="13"/>
        <v>0</v>
      </c>
      <c r="AO14" s="394">
        <f>IF(AN14=1,SUMPRODUCT($AJ$7:$AJ14,$AN$7:$AN14),0)</f>
        <v>0</v>
      </c>
      <c r="AP14" s="394">
        <f t="shared" si="14"/>
        <v>0</v>
      </c>
      <c r="AQ14" s="394">
        <f t="shared" si="14"/>
        <v>0</v>
      </c>
      <c r="AR14" s="394">
        <f t="shared" si="14"/>
        <v>0</v>
      </c>
      <c r="AS14" s="394">
        <f t="shared" si="14"/>
        <v>0</v>
      </c>
      <c r="AT14" s="394">
        <f t="shared" si="15"/>
        <v>0</v>
      </c>
      <c r="AU14" s="394">
        <f t="shared" si="15"/>
        <v>0</v>
      </c>
      <c r="AV14" s="394">
        <f t="shared" si="15"/>
        <v>0</v>
      </c>
      <c r="AW14" s="394">
        <f t="shared" si="15"/>
        <v>0</v>
      </c>
      <c r="AX14" s="394">
        <f t="shared" si="1"/>
        <v>0</v>
      </c>
      <c r="AY14" s="394">
        <f t="shared" si="2"/>
        <v>0</v>
      </c>
      <c r="AZ14" s="394">
        <f t="shared" si="3"/>
        <v>0</v>
      </c>
      <c r="BA14" s="394">
        <f t="shared" si="4"/>
        <v>0</v>
      </c>
      <c r="BB14" s="405">
        <f t="shared" si="21"/>
        <v>44473</v>
      </c>
      <c r="BC14" s="405">
        <f>BB14+IF(WEEKDAY(BB14)=1,1,IF(WEEKDAY(BB14)=7,2,0))+COUNTIF(ClosedDays!$B$4:$B$32,IF(WEEKDAY(BB14)=1,BB14+1,IF(WEEKDAY(BB14)=7,BB14+2,BB14)))+COUNTIF(ClosedDays!$F$4:$F$32,IF(WEEKDAY(BB14)=1,BB14+1,IF(WEEKDAY(BB14)=7,BB14+2,BB14)))+COUNTIF(ClosedDays!$J$4:$J$32,IF(WEEKDAY(BB14)=1,BB14+1,IF(WEEKDAY(BB14)=7,BB14+2,BB14)))+COUNTIF(ClosedDays!$N$4:$N$32,IF(WEEKDAY(BB14)=1,BB14+1,IF(WEEKDAY(BB14)=7,BB14+2,BB14)))</f>
        <v>44473</v>
      </c>
      <c r="BD14" s="405">
        <f>BC14+IF(WEEKDAY(BC14)=1,1,IF(WEEKDAY(BC14)=7,2,0))+COUNTIF(ClosedDays!$B$4:$B$32,IF(WEEKDAY(BC14)=1,BC14+1,IF(WEEKDAY(BC14)=7,BC14+2,BC14)))+COUNTIF(ClosedDays!$F$4:$F$32,IF(WEEKDAY(BC14)=1,BC14+1,IF(WEEKDAY(BC14)=7,BC14+2,BC14)))+COUNTIF(ClosedDays!$J$4:$J$32,IF(WEEKDAY(BC14)=1,BC14+1,IF(WEEKDAY(BC14)=7,BC14+2,BC14)))+COUNTIF(ClosedDays!$N$4:$N$32,IF(WEEKDAY(BC14)=1,BC14+1,IF(WEEKDAY(BC14)=7,BC14+2,BC14)))</f>
        <v>44473</v>
      </c>
      <c r="BE14" s="405">
        <f>BD14+IF(WEEKDAY(BD14)=1,1,IF(WEEKDAY(BD14)=7,2,0))+COUNTIF(ClosedDays!$B$4:$B$32,IF(WEEKDAY(BD14)=1,BD14+1,IF(WEEKDAY(BD14)=7,BD14+2,BD14)))+COUNTIF(ClosedDays!$F$4:$F$32,IF(WEEKDAY(BD14)=1,BD14+1,IF(WEEKDAY(BD14)=7,BD14+2,BD14)))+COUNTIF(ClosedDays!$J$4:$J$32,IF(WEEKDAY(BD14)=1,BD14+1,IF(WEEKDAY(BD14)=7,BD14+2,BD14)))+COUNTIF(ClosedDays!$N$4:$N$32,IF(WEEKDAY(BD14)=1,BD14+1,IF(WEEKDAY(BD14)=7,BD14+2,BD14)))</f>
        <v>44473</v>
      </c>
      <c r="BF14" s="405">
        <f>BE14+IF(WEEKDAY(BE14)=1,1,IF(WEEKDAY(BE14)=7,2,0))+COUNTIF(ClosedDays!$B$4:$B$32,IF(WEEKDAY(BE14)=1,BE14+1,IF(WEEKDAY(BE14)=7,BE14+2,BE14)))+COUNTIF(ClosedDays!$F$4:$F$32,IF(WEEKDAY(BE14)=1,BE14+1,IF(WEEKDAY(BE14)=7,BE14+2,BE14)))+COUNTIF(ClosedDays!$J$4:$J$32,IF(WEEKDAY(BE14)=1,BE14+1,IF(WEEKDAY(BE14)=7,BE14+2,BE14)))+COUNTIF(ClosedDays!$N$4:$N$32,IF(WEEKDAY(BE14)=1,BE14+1,IF(WEEKDAY(BE14)=7,BE14+2,BE14)))</f>
        <v>44473</v>
      </c>
      <c r="BG14" s="405">
        <f>BF14+IF(WEEKDAY(BF14)=1,1,IF(WEEKDAY(BF14)=7,2,0))+COUNTIF(ClosedDays!$B$4:$B$32,IF(WEEKDAY(BF14)=1,BF14+1,IF(WEEKDAY(BF14)=7,BF14+2,BF14)))+COUNTIF(ClosedDays!$F$4:$F$32,IF(WEEKDAY(BF14)=1,BF14+1,IF(WEEKDAY(BF14)=7,BF14+2,BF14)))+COUNTIF(ClosedDays!$J$4:$J$32,IF(WEEKDAY(BF14)=1,BF14+1,IF(WEEKDAY(BF14)=7,BF14+2,BF14)))+COUNTIF(ClosedDays!$N$4:$N$32,IF(WEEKDAY(BF14)=1,BF14+1,IF(WEEKDAY(BF14)=7,BF14+2,BF14)))</f>
        <v>44473</v>
      </c>
      <c r="BH14" s="405">
        <f>BG14+IF(WEEKDAY(BG14)=1,1,IF(WEEKDAY(BG14)=7,2,0))+COUNTIF(ClosedDays!$B$4:$B$32,IF(WEEKDAY(BG14)=1,BG14+1,IF(WEEKDAY(BG14)=7,BG14+2,BG14)))+COUNTIF(ClosedDays!$F$4:$F$32,IF(WEEKDAY(BG14)=1,BG14+1,IF(WEEKDAY(BG14)=7,BG14+2,BG14)))+COUNTIF(ClosedDays!$J$4:$J$32,IF(WEEKDAY(BG14)=1,BG14+1,IF(WEEKDAY(BG14)=7,BG14+2,BG14)))+COUNTIF(ClosedDays!$N$4:$N$32,IF(WEEKDAY(BG14)=1,BG14+1,IF(WEEKDAY(BG14)=7,BG14+2,BG14)))</f>
        <v>44473</v>
      </c>
      <c r="BI14" s="405">
        <f>BH14+IF(WEEKDAY(BH14)=1,1,IF(WEEKDAY(BH14)=7,2,0))+COUNTIF(ClosedDays!$B$4:$B$32,IF(WEEKDAY(BH14)=1,BH14+1,IF(WEEKDAY(BH14)=7,BH14+2,BH14)))+COUNTIF(ClosedDays!$F$4:$F$32,IF(WEEKDAY(BH14)=1,BH14+1,IF(WEEKDAY(BH14)=7,BH14+2,BH14)))+COUNTIF(ClosedDays!$J$4:$J$32,IF(WEEKDAY(BH14)=1,BH14+1,IF(WEEKDAY(BH14)=7,BH14+2,BH14)))+COUNTIF(ClosedDays!$N$4:$N$32,IF(WEEKDAY(BH14)=1,BH14+1,IF(WEEKDAY(BH14)=7,BH14+2,BH14)))</f>
        <v>44473</v>
      </c>
      <c r="BJ14" s="405">
        <f>BI14+IF(WEEKDAY(BI14)=1,1,IF(WEEKDAY(BI14)=7,2,0))+COUNTIF(ClosedDays!$B$4:$B$32,IF(WEEKDAY(BI14)=1,BI14+1,IF(WEEKDAY(BI14)=7,BI14+2,BI14)))+COUNTIF(ClosedDays!$F$4:$F$32,IF(WEEKDAY(BI14)=1,BI14+1,IF(WEEKDAY(BI14)=7,BI14+2,BI14)))+COUNTIF(ClosedDays!$J$4:$J$32,IF(WEEKDAY(BI14)=1,BI14+1,IF(WEEKDAY(BI14)=7,BI14+2,BI14)))+COUNTIF(ClosedDays!$N$4:$N$32,IF(WEEKDAY(BI14)=1,BI14+1,IF(WEEKDAY(BI14)=7,BI14+2,BI14)))</f>
        <v>44473</v>
      </c>
      <c r="BK14" s="405">
        <f>BJ14+IF(WEEKDAY(BJ14)=1,1,IF(WEEKDAY(BJ14)=7,2,0))+COUNTIF(ClosedDays!$B$4:$B$32,IF(WEEKDAY(BJ14)=1,BJ14+1,IF(WEEKDAY(BJ14)=7,BJ14+2,BJ14)))+COUNTIF(ClosedDays!$F$4:$F$32,IF(WEEKDAY(BJ14)=1,BJ14+1,IF(WEEKDAY(BJ14)=7,BJ14+2,BJ14)))+COUNTIF(ClosedDays!$J$4:$J$32,IF(WEEKDAY(BJ14)=1,BJ14+1,IF(WEEKDAY(BJ14)=7,BJ14+2,BJ14)))+COUNTIF(ClosedDays!$N$4:$N$32,IF(WEEKDAY(BJ14)=1,BJ14+1,IF(WEEKDAY(BJ14)=7,BJ14+2,BJ14)))</f>
        <v>44473</v>
      </c>
      <c r="BL14" s="405">
        <f>BK14+IF(WEEKDAY(BK14)=1,1,IF(WEEKDAY(BK14)=7,2,0))+COUNTIF(ClosedDays!$B$4:$B$32,IF(WEEKDAY(BK14)=1,BK14+1,IF(WEEKDAY(BK14)=7,BK14+2,BK14)))+COUNTIF(ClosedDays!$F$4:$F$32,IF(WEEKDAY(BK14)=1,BK14+1,IF(WEEKDAY(BK14)=7,BK14+2,BK14)))+COUNTIF(ClosedDays!$J$4:$J$32,IF(WEEKDAY(BK14)=1,BK14+1,IF(WEEKDAY(BK14)=7,BK14+2,BK14)))+COUNTIF(ClosedDays!$N$4:$N$32,IF(WEEKDAY(BK14)=1,BK14+1,IF(WEEKDAY(BK14)=7,BK14+2,BK14)))</f>
        <v>44473</v>
      </c>
      <c r="BM14" s="405">
        <f>BL14+IF(WEEKDAY(BL14)=1,1,IF(WEEKDAY(BL14)=7,2,0))+COUNTIF(ClosedDays!$B$4:$B$32,IF(WEEKDAY(BL14)=1,BL14+1,IF(WEEKDAY(BL14)=7,BL14+2,BL14)))+COUNTIF(ClosedDays!$F$4:$F$32,IF(WEEKDAY(BL14)=1,BL14+1,IF(WEEKDAY(BL14)=7,BL14+2,BL14)))+COUNTIF(ClosedDays!$J$4:$J$32,IF(WEEKDAY(BL14)=1,BL14+1,IF(WEEKDAY(BL14)=7,BL14+2,BL14)))+COUNTIF(ClosedDays!$N$4:$N$32,IF(WEEKDAY(BL14)=1,BL14+1,IF(WEEKDAY(BL14)=7,BL14+2,BL14)))</f>
        <v>44473</v>
      </c>
      <c r="BN14" s="405">
        <f>BM14+IF(WEEKDAY(BM14)=1,1,IF(WEEKDAY(BM14)=7,2,0))+COUNTIF(ClosedDays!$B$4:$B$32,IF(WEEKDAY(BM14)=1,BM14+1,IF(WEEKDAY(BM14)=7,BM14+2,BM14)))+COUNTIF(ClosedDays!$F$4:$F$32,IF(WEEKDAY(BM14)=1,BM14+1,IF(WEEKDAY(BM14)=7,BM14+2,BM14)))+COUNTIF(ClosedDays!$J$4:$J$32,IF(WEEKDAY(BM14)=1,BM14+1,IF(WEEKDAY(BM14)=7,BM14+2,BM14)))+COUNTIF(ClosedDays!$N$4:$N$32,IF(WEEKDAY(BM14)=1,BM14+1,IF(WEEKDAY(BM14)=7,BM14+2,BM14)))</f>
        <v>44473</v>
      </c>
      <c r="BO14" s="405">
        <f>BN14+IF(WEEKDAY(BN14)=1,1,IF(WEEKDAY(BN14)=7,2,0))+COUNTIF(ClosedDays!$B$4:$B$32,IF(WEEKDAY(BN14)=1,BN14+1,IF(WEEKDAY(BN14)=7,BN14+2,BN14)))+COUNTIF(ClosedDays!$F$4:$F$32,IF(WEEKDAY(BN14)=1,BN14+1,IF(WEEKDAY(BN14)=7,BN14+2,BN14)))+COUNTIF(ClosedDays!$J$4:$J$32,IF(WEEKDAY(BN14)=1,BN14+1,IF(WEEKDAY(BN14)=7,BN14+2,BN14)))+COUNTIF(ClosedDays!$N$4:$N$32,IF(WEEKDAY(BN14)=1,BN14+1,IF(WEEKDAY(BN14)=7,BN14+2,BN14)))</f>
        <v>44473</v>
      </c>
      <c r="BP14" s="405">
        <f>BO14+IF(WEEKDAY(BO14)=1,1,IF(WEEKDAY(BO14)=7,2,0))+COUNTIF(ClosedDays!$B$4:$B$32,IF(WEEKDAY(BO14)=1,BO14+1,IF(WEEKDAY(BO14)=7,BO14+2,BO14)))+COUNTIF(ClosedDays!$F$4:$F$32,IF(WEEKDAY(BO14)=1,BO14+1,IF(WEEKDAY(BO14)=7,BO14+2,BO14)))+COUNTIF(ClosedDays!$J$4:$J$32,IF(WEEKDAY(BO14)=1,BO14+1,IF(WEEKDAY(BO14)=7,BO14+2,BO14)))+COUNTIF(ClosedDays!$N$4:$N$32,IF(WEEKDAY(BO14)=1,BO14+1,IF(WEEKDAY(BO14)=7,BO14+2,BO14)))</f>
        <v>44473</v>
      </c>
      <c r="BQ14" s="405">
        <f t="shared" si="16"/>
        <v>44473</v>
      </c>
      <c r="BR14" s="446">
        <f>IF(AND($D14&lt;='Outline Info'!$H$31,BQ14&gt;='Outline Info'!$H$31,$BS$4=1,$AC14&gt;10,$AC14&lt;9997),1,0)</f>
        <v>0</v>
      </c>
      <c r="BS14" s="405">
        <f>IF(BR14=1,BQ14+'Outline Info'!$I$31-'Outline Info'!$H$31+1,BQ14)</f>
        <v>44473</v>
      </c>
      <c r="BT14" s="405">
        <f>BS14+IF(WEEKDAY(BS14)=1,1,IF(WEEKDAY(BS14)=7,2,0))+COUNTIF(ClosedDays!$B$4:$B$32,IF(WEEKDAY(BS14)=1,BS14+1,IF(WEEKDAY(BS14)=7,BS14+2,BS14)))+COUNTIF(ClosedDays!$F$4:$F$32,IF(WEEKDAY(BS14)=1,BS14+1,IF(WEEKDAY(BS14)=7,BS14+2,BS14)))+COUNTIF(ClosedDays!$J$4:$J$32,IF(WEEKDAY(BS14)=1,BS14+1,IF(WEEKDAY(BS14)=7,BS14+2,BS14)))+COUNTIF(ClosedDays!$N$4:$N$32,IF(WEEKDAY(BS14)=1,BS14+1,IF(WEEKDAY(BS14)=7,BS14+2,BS14)))</f>
        <v>44473</v>
      </c>
      <c r="BU14" s="405">
        <f>BT14+IF(WEEKDAY(BT14)=1,1,IF(WEEKDAY(BT14)=7,2,0))+COUNTIF(ClosedDays!$B$4:$B$32,IF(WEEKDAY(BT14)=1,BT14+1,IF(WEEKDAY(BT14)=7,BT14+2,BT14)))+COUNTIF(ClosedDays!$F$4:$F$32,IF(WEEKDAY(BT14)=1,BT14+1,IF(WEEKDAY(BT14)=7,BT14+2,BT14)))+COUNTIF(ClosedDays!$J$4:$J$32,IF(WEEKDAY(BT14)=1,BT14+1,IF(WEEKDAY(BT14)=7,BT14+2,BT14)))+COUNTIF(ClosedDays!$N$4:$N$32,IF(WEEKDAY(BT14)=1,BT14+1,IF(WEEKDAY(BT14)=7,BT14+2,BT14)))</f>
        <v>44473</v>
      </c>
      <c r="BV14" s="405">
        <f>BU14+IF(WEEKDAY(BU14)=1,1,IF(WEEKDAY(BU14)=7,2,0))+COUNTIF(ClosedDays!$B$4:$B$32,IF(WEEKDAY(BU14)=1,BU14+1,IF(WEEKDAY(BU14)=7,BU14+2,BU14)))+COUNTIF(ClosedDays!$F$4:$F$32,IF(WEEKDAY(BU14)=1,BU14+1,IF(WEEKDAY(BU14)=7,BU14+2,BU14)))+COUNTIF(ClosedDays!$J$4:$J$32,IF(WEEKDAY(BU14)=1,BU14+1,IF(WEEKDAY(BU14)=7,BU14+2,BU14)))+COUNTIF(ClosedDays!$N$4:$N$32,IF(WEEKDAY(BU14)=1,BU14+1,IF(WEEKDAY(BU14)=7,BU14+2,BU14)))</f>
        <v>44473</v>
      </c>
      <c r="BW14" s="405">
        <f>BV14+IF(WEEKDAY(BV14)=1,1,IF(WEEKDAY(BV14)=7,2,0))+COUNTIF(ClosedDays!$B$4:$B$32,IF(WEEKDAY(BV14)=1,BV14+1,IF(WEEKDAY(BV14)=7,BV14+2,BV14)))+COUNTIF(ClosedDays!$F$4:$F$32,IF(WEEKDAY(BV14)=1,BV14+1,IF(WEEKDAY(BV14)=7,BV14+2,BV14)))+COUNTIF(ClosedDays!$J$4:$J$32,IF(WEEKDAY(BV14)=1,BV14+1,IF(WEEKDAY(BV14)=7,BV14+2,BV14)))+COUNTIF(ClosedDays!$N$4:$N$32,IF(WEEKDAY(BV14)=1,BV14+1,IF(WEEKDAY(BV14)=7,BV14+2,BV14)))</f>
        <v>44473</v>
      </c>
      <c r="BX14" s="405">
        <f>BW14+IF(WEEKDAY(BW14)=1,1,IF(WEEKDAY(BW14)=7,2,0))+COUNTIF(ClosedDays!$B$4:$B$32,IF(WEEKDAY(BW14)=1,BW14+1,IF(WEEKDAY(BW14)=7,BW14+2,BW14)))+COUNTIF(ClosedDays!$F$4:$F$32,IF(WEEKDAY(BW14)=1,BW14+1,IF(WEEKDAY(BW14)=7,BW14+2,BW14)))+COUNTIF(ClosedDays!$J$4:$J$32,IF(WEEKDAY(BW14)=1,BW14+1,IF(WEEKDAY(BW14)=7,BW14+2,BW14)))+COUNTIF(ClosedDays!$N$4:$N$32,IF(WEEKDAY(BW14)=1,BW14+1,IF(WEEKDAY(BW14)=7,BW14+2,BW14)))</f>
        <v>44473</v>
      </c>
      <c r="BY14" s="405">
        <f>BX14+IF(WEEKDAY(BX14)=1,1,IF(WEEKDAY(BX14)=7,2,0))+COUNTIF(ClosedDays!$B$4:$B$32,IF(WEEKDAY(BX14)=1,BX14+1,IF(WEEKDAY(BX14)=7,BX14+2,BX14)))+COUNTIF(ClosedDays!$F$4:$F$32,IF(WEEKDAY(BX14)=1,BX14+1,IF(WEEKDAY(BX14)=7,BX14+2,BX14)))+COUNTIF(ClosedDays!$J$4:$J$32,IF(WEEKDAY(BX14)=1,BX14+1,IF(WEEKDAY(BX14)=7,BX14+2,BX14)))+COUNTIF(ClosedDays!$N$4:$N$32,IF(WEEKDAY(BX14)=1,BX14+1,IF(WEEKDAY(BX14)=7,BX14+2,BX14)))</f>
        <v>44473</v>
      </c>
      <c r="BZ14" s="405">
        <f>BY14+IF(WEEKDAY(BY14)=1,1,IF(WEEKDAY(BY14)=7,2,0))+COUNTIF(ClosedDays!$B$4:$B$32,IF(WEEKDAY(BY14)=1,BY14+1,IF(WEEKDAY(BY14)=7,BY14+2,BY14)))+COUNTIF(ClosedDays!$F$4:$F$32,IF(WEEKDAY(BY14)=1,BY14+1,IF(WEEKDAY(BY14)=7,BY14+2,BY14)))+COUNTIF(ClosedDays!$J$4:$J$32,IF(WEEKDAY(BY14)=1,BY14+1,IF(WEEKDAY(BY14)=7,BY14+2,BY14)))+COUNTIF(ClosedDays!$N$4:$N$32,IF(WEEKDAY(BY14)=1,BY14+1,IF(WEEKDAY(BY14)=7,BY14+2,BY14)))</f>
        <v>44473</v>
      </c>
      <c r="CA14" s="405">
        <f>BZ14+IF(WEEKDAY(BZ14)=1,1,IF(WEEKDAY(BZ14)=7,2,0))+COUNTIF(ClosedDays!$B$4:$B$32,IF(WEEKDAY(BZ14)=1,BZ14+1,IF(WEEKDAY(BZ14)=7,BZ14+2,BZ14)))+COUNTIF(ClosedDays!$F$4:$F$32,IF(WEEKDAY(BZ14)=1,BZ14+1,IF(WEEKDAY(BZ14)=7,BZ14+2,BZ14)))+COUNTIF(ClosedDays!$J$4:$J$32,IF(WEEKDAY(BZ14)=1,BZ14+1,IF(WEEKDAY(BZ14)=7,BZ14+2,BZ14)))+COUNTIF(ClosedDays!$N$4:$N$32,IF(WEEKDAY(BZ14)=1,BZ14+1,IF(WEEKDAY(BZ14)=7,BZ14+2,BZ14)))</f>
        <v>44473</v>
      </c>
      <c r="CB14" s="405">
        <f>CA14+IF(WEEKDAY(CA14)=1,1,IF(WEEKDAY(CA14)=7,2,0))+COUNTIF(ClosedDays!$B$4:$B$32,IF(WEEKDAY(CA14)=1,CA14+1,IF(WEEKDAY(CA14)=7,CA14+2,CA14)))+COUNTIF(ClosedDays!$F$4:$F$32,IF(WEEKDAY(CA14)=1,CA14+1,IF(WEEKDAY(CA14)=7,CA14+2,CA14)))+COUNTIF(ClosedDays!$J$4:$J$32,IF(WEEKDAY(CA14)=1,CA14+1,IF(WEEKDAY(CA14)=7,CA14+2,CA14)))+COUNTIF(ClosedDays!$N$4:$N$32,IF(WEEKDAY(CA14)=1,CA14+1,IF(WEEKDAY(CA14)=7,CA14+2,CA14)))</f>
        <v>44473</v>
      </c>
      <c r="CC14" s="405">
        <f>CB14+IF(WEEKDAY(CB14)=1,1,IF(WEEKDAY(CB14)=7,2,0))+COUNTIF(ClosedDays!$B$4:$B$32,IF(WEEKDAY(CB14)=1,CB14+1,IF(WEEKDAY(CB14)=7,CB14+2,CB14)))+COUNTIF(ClosedDays!$F$4:$F$32,IF(WEEKDAY(CB14)=1,CB14+1,IF(WEEKDAY(CB14)=7,CB14+2,CB14)))+COUNTIF(ClosedDays!$J$4:$J$32,IF(WEEKDAY(CB14)=1,CB14+1,IF(WEEKDAY(CB14)=7,CB14+2,CB14)))+COUNTIF(ClosedDays!$N$4:$N$32,IF(WEEKDAY(CB14)=1,CB14+1,IF(WEEKDAY(CB14)=7,CB14+2,CB14)))</f>
        <v>44473</v>
      </c>
      <c r="CD14" s="405">
        <f>CC14+IF(WEEKDAY(CC14)=1,1,IF(WEEKDAY(CC14)=7,2,0))+COUNTIF(ClosedDays!$B$4:$B$32,IF(WEEKDAY(CC14)=1,CC14+1,IF(WEEKDAY(CC14)=7,CC14+2,CC14)))+COUNTIF(ClosedDays!$F$4:$F$32,IF(WEEKDAY(CC14)=1,CC14+1,IF(WEEKDAY(CC14)=7,CC14+2,CC14)))+COUNTIF(ClosedDays!$J$4:$J$32,IF(WEEKDAY(CC14)=1,CC14+1,IF(WEEKDAY(CC14)=7,CC14+2,CC14)))+COUNTIF(ClosedDays!$N$4:$N$32,IF(WEEKDAY(CC14)=1,CC14+1,IF(WEEKDAY(CC14)=7,CC14+2,CC14)))</f>
        <v>44473</v>
      </c>
      <c r="CE14" s="405">
        <f>CD14+IF(WEEKDAY(CD14)=1,1,IF(WEEKDAY(CD14)=7,2,0))+COUNTIF(ClosedDays!$B$4:$B$32,IF(WEEKDAY(CD14)=1,CD14+1,IF(WEEKDAY(CD14)=7,CD14+2,CD14)))+COUNTIF(ClosedDays!$F$4:$F$32,IF(WEEKDAY(CD14)=1,CD14+1,IF(WEEKDAY(CD14)=7,CD14+2,CD14)))+COUNTIF(ClosedDays!$J$4:$J$32,IF(WEEKDAY(CD14)=1,CD14+1,IF(WEEKDAY(CD14)=7,CD14+2,CD14)))+COUNTIF(ClosedDays!$N$4:$N$32,IF(WEEKDAY(CD14)=1,CD14+1,IF(WEEKDAY(CD14)=7,CD14+2,CD14)))</f>
        <v>44473</v>
      </c>
      <c r="CF14" s="405">
        <f>CE14+IF(WEEKDAY(CE14)=1,1,IF(WEEKDAY(CE14)=7,2,0))+COUNTIF(ClosedDays!$B$4:$B$32,IF(WEEKDAY(CE14)=1,CE14+1,IF(WEEKDAY(CE14)=7,CE14+2,CE14)))+COUNTIF(ClosedDays!$F$4:$F$32,IF(WEEKDAY(CE14)=1,CE14+1,IF(WEEKDAY(CE14)=7,CE14+2,CE14)))+COUNTIF(ClosedDays!$J$4:$J$32,IF(WEEKDAY(CE14)=1,CE14+1,IF(WEEKDAY(CE14)=7,CE14+2,CE14)))+COUNTIF(ClosedDays!$N$4:$N$32,IF(WEEKDAY(CE14)=1,CE14+1,IF(WEEKDAY(CE14)=7,CE14+2,CE14)))</f>
        <v>44473</v>
      </c>
      <c r="CG14" s="405">
        <f>CF14+IF(WEEKDAY(CF14)=1,1,IF(WEEKDAY(CF14)=7,2,0))+COUNTIF(ClosedDays!$B$4:$B$32,IF(WEEKDAY(CF14)=1,CF14+1,IF(WEEKDAY(CF14)=7,CF14+2,CF14)))+COUNTIF(ClosedDays!$F$4:$F$32,IF(WEEKDAY(CF14)=1,CF14+1,IF(WEEKDAY(CF14)=7,CF14+2,CF14)))+COUNTIF(ClosedDays!$J$4:$J$32,IF(WEEKDAY(CF14)=1,CF14+1,IF(WEEKDAY(CF14)=7,CF14+2,CF14)))+COUNTIF(ClosedDays!$N$4:$N$32,IF(WEEKDAY(CF14)=1,CF14+1,IF(WEEKDAY(CF14)=7,CF14+2,CF14)))</f>
        <v>44473</v>
      </c>
      <c r="CH14" s="405">
        <f t="shared" si="17"/>
        <v>44473</v>
      </c>
      <c r="CI14" s="446">
        <f>IF(AND($D14&lt;='Outline Info'!$H$33,CH14&gt;='Outline Info'!$H$33,$CJ$4=1,$AC14&gt;10,$AC14&lt;9997),1,0)</f>
        <v>0</v>
      </c>
      <c r="CJ14" s="405">
        <f>IF(CI14=1,CH14+'Outline Info'!$I$33-'Outline Info'!$H$33+1,CH14)</f>
        <v>44473</v>
      </c>
      <c r="CK14" s="405">
        <f>CJ14+IF(WEEKDAY(CJ14)=1,1,IF(WEEKDAY(CJ14)=7,2,0))+COUNTIF(ClosedDays!$B$4:$B$32,IF(WEEKDAY(CJ14)=1,CJ14+1,IF(WEEKDAY(CJ14)=7,CJ14+2,CJ14)))+COUNTIF(ClosedDays!$F$4:$F$32,IF(WEEKDAY(CJ14)=1,CJ14+1,IF(WEEKDAY(CJ14)=7,CJ14+2,CJ14)))+COUNTIF(ClosedDays!$J$4:$J$32,IF(WEEKDAY(CJ14)=1,CJ14+1,IF(WEEKDAY(CJ14)=7,CJ14+2,CJ14)))+COUNTIF(ClosedDays!$N$4:$N$32,IF(WEEKDAY(CJ14)=1,CJ14+1,IF(WEEKDAY(CJ14)=7,CJ14+2,CJ14)))</f>
        <v>44473</v>
      </c>
      <c r="CL14" s="405">
        <f>CK14+IF(WEEKDAY(CK14)=1,1,IF(WEEKDAY(CK14)=7,2,0))+COUNTIF(ClosedDays!$B$4:$B$32,IF(WEEKDAY(CK14)=1,CK14+1,IF(WEEKDAY(CK14)=7,CK14+2,CK14)))+COUNTIF(ClosedDays!$F$4:$F$32,IF(WEEKDAY(CK14)=1,CK14+1,IF(WEEKDAY(CK14)=7,CK14+2,CK14)))+COUNTIF(ClosedDays!$J$4:$J$32,IF(WEEKDAY(CK14)=1,CK14+1,IF(WEEKDAY(CK14)=7,CK14+2,CK14)))+COUNTIF(ClosedDays!$N$4:$N$32,IF(WEEKDAY(CK14)=1,CK14+1,IF(WEEKDAY(CK14)=7,CK14+2,CK14)))</f>
        <v>44473</v>
      </c>
      <c r="CM14" s="405">
        <f>CL14+IF(WEEKDAY(CL14)=1,1,IF(WEEKDAY(CL14)=7,2,0))+COUNTIF(ClosedDays!$B$4:$B$32,IF(WEEKDAY(CL14)=1,CL14+1,IF(WEEKDAY(CL14)=7,CL14+2,CL14)))+COUNTIF(ClosedDays!$F$4:$F$32,IF(WEEKDAY(CL14)=1,CL14+1,IF(WEEKDAY(CL14)=7,CL14+2,CL14)))+COUNTIF(ClosedDays!$J$4:$J$32,IF(WEEKDAY(CL14)=1,CL14+1,IF(WEEKDAY(CL14)=7,CL14+2,CL14)))+COUNTIF(ClosedDays!$N$4:$N$32,IF(WEEKDAY(CL14)=1,CL14+1,IF(WEEKDAY(CL14)=7,CL14+2,CL14)))</f>
        <v>44473</v>
      </c>
      <c r="CN14" s="405">
        <f>CM14+IF(WEEKDAY(CM14)=1,1,IF(WEEKDAY(CM14)=7,2,0))+COUNTIF(ClosedDays!$B$4:$B$32,IF(WEEKDAY(CM14)=1,CM14+1,IF(WEEKDAY(CM14)=7,CM14+2,CM14)))+COUNTIF(ClosedDays!$F$4:$F$32,IF(WEEKDAY(CM14)=1,CM14+1,IF(WEEKDAY(CM14)=7,CM14+2,CM14)))+COUNTIF(ClosedDays!$J$4:$J$32,IF(WEEKDAY(CM14)=1,CM14+1,IF(WEEKDAY(CM14)=7,CM14+2,CM14)))+COUNTIF(ClosedDays!$N$4:$N$32,IF(WEEKDAY(CM14)=1,CM14+1,IF(WEEKDAY(CM14)=7,CM14+2,CM14)))</f>
        <v>44473</v>
      </c>
      <c r="CO14" s="405">
        <f>CN14+IF(WEEKDAY(CN14)=1,1,IF(WEEKDAY(CN14)=7,2,0))+COUNTIF(ClosedDays!$B$4:$B$32,IF(WEEKDAY(CN14)=1,CN14+1,IF(WEEKDAY(CN14)=7,CN14+2,CN14)))+COUNTIF(ClosedDays!$F$4:$F$32,IF(WEEKDAY(CN14)=1,CN14+1,IF(WEEKDAY(CN14)=7,CN14+2,CN14)))+COUNTIF(ClosedDays!$J$4:$J$32,IF(WEEKDAY(CN14)=1,CN14+1,IF(WEEKDAY(CN14)=7,CN14+2,CN14)))+COUNTIF(ClosedDays!$N$4:$N$32,IF(WEEKDAY(CN14)=1,CN14+1,IF(WEEKDAY(CN14)=7,CN14+2,CN14)))</f>
        <v>44473</v>
      </c>
      <c r="CP14" s="405">
        <f>CO14+IF(WEEKDAY(CO14)=1,1,IF(WEEKDAY(CO14)=7,2,0))+COUNTIF(ClosedDays!$B$4:$B$32,IF(WEEKDAY(CO14)=1,CO14+1,IF(WEEKDAY(CO14)=7,CO14+2,CO14)))+COUNTIF(ClosedDays!$F$4:$F$32,IF(WEEKDAY(CO14)=1,CO14+1,IF(WEEKDAY(CO14)=7,CO14+2,CO14)))+COUNTIF(ClosedDays!$J$4:$J$32,IF(WEEKDAY(CO14)=1,CO14+1,IF(WEEKDAY(CO14)=7,CO14+2,CO14)))+COUNTIF(ClosedDays!$N$4:$N$32,IF(WEEKDAY(CO14)=1,CO14+1,IF(WEEKDAY(CO14)=7,CO14+2,CO14)))</f>
        <v>44473</v>
      </c>
      <c r="CQ14" s="405">
        <f>CP14+IF(WEEKDAY(CP14)=1,1,IF(WEEKDAY(CP14)=7,2,0))+COUNTIF(ClosedDays!$B$4:$B$32,IF(WEEKDAY(CP14)=1,CP14+1,IF(WEEKDAY(CP14)=7,CP14+2,CP14)))+COUNTIF(ClosedDays!$F$4:$F$32,IF(WEEKDAY(CP14)=1,CP14+1,IF(WEEKDAY(CP14)=7,CP14+2,CP14)))+COUNTIF(ClosedDays!$J$4:$J$32,IF(WEEKDAY(CP14)=1,CP14+1,IF(WEEKDAY(CP14)=7,CP14+2,CP14)))+COUNTIF(ClosedDays!$N$4:$N$32,IF(WEEKDAY(CP14)=1,CP14+1,IF(WEEKDAY(CP14)=7,CP14+2,CP14)))</f>
        <v>44473</v>
      </c>
      <c r="CR14" s="405">
        <f>CQ14+IF(WEEKDAY(CQ14)=1,1,IF(WEEKDAY(CQ14)=7,2,0))+COUNTIF(ClosedDays!$B$4:$B$32,IF(WEEKDAY(CQ14)=1,CQ14+1,IF(WEEKDAY(CQ14)=7,CQ14+2,CQ14)))+COUNTIF(ClosedDays!$F$4:$F$32,IF(WEEKDAY(CQ14)=1,CQ14+1,IF(WEEKDAY(CQ14)=7,CQ14+2,CQ14)))+COUNTIF(ClosedDays!$J$4:$J$32,IF(WEEKDAY(CQ14)=1,CQ14+1,IF(WEEKDAY(CQ14)=7,CQ14+2,CQ14)))+COUNTIF(ClosedDays!$N$4:$N$32,IF(WEEKDAY(CQ14)=1,CQ14+1,IF(WEEKDAY(CQ14)=7,CQ14+2,CQ14)))</f>
        <v>44473</v>
      </c>
      <c r="CS14" s="405">
        <f>CR14+IF(WEEKDAY(CR14)=1,1,IF(WEEKDAY(CR14)=7,2,0))+COUNTIF(ClosedDays!$B$4:$B$32,IF(WEEKDAY(CR14)=1,CR14+1,IF(WEEKDAY(CR14)=7,CR14+2,CR14)))+COUNTIF(ClosedDays!$F$4:$F$32,IF(WEEKDAY(CR14)=1,CR14+1,IF(WEEKDAY(CR14)=7,CR14+2,CR14)))+COUNTIF(ClosedDays!$J$4:$J$32,IF(WEEKDAY(CR14)=1,CR14+1,IF(WEEKDAY(CR14)=7,CR14+2,CR14)))+COUNTIF(ClosedDays!$N$4:$N$32,IF(WEEKDAY(CR14)=1,CR14+1,IF(WEEKDAY(CR14)=7,CR14+2,CR14)))</f>
        <v>44473</v>
      </c>
      <c r="CT14" s="405">
        <f>CS14+IF(WEEKDAY(CS14)=1,1,IF(WEEKDAY(CS14)=7,2,0))+COUNTIF(ClosedDays!$B$4:$B$32,IF(WEEKDAY(CS14)=1,CS14+1,IF(WEEKDAY(CS14)=7,CS14+2,CS14)))+COUNTIF(ClosedDays!$F$4:$F$32,IF(WEEKDAY(CS14)=1,CS14+1,IF(WEEKDAY(CS14)=7,CS14+2,CS14)))+COUNTIF(ClosedDays!$J$4:$J$32,IF(WEEKDAY(CS14)=1,CS14+1,IF(WEEKDAY(CS14)=7,CS14+2,CS14)))+COUNTIF(ClosedDays!$N$4:$N$32,IF(WEEKDAY(CS14)=1,CS14+1,IF(WEEKDAY(CS14)=7,CS14+2,CS14)))</f>
        <v>44473</v>
      </c>
      <c r="CU14" s="405">
        <f>CT14+IF(WEEKDAY(CT14)=1,1,IF(WEEKDAY(CT14)=7,2,0))+COUNTIF(ClosedDays!$B$4:$B$32,IF(WEEKDAY(CT14)=1,CT14+1,IF(WEEKDAY(CT14)=7,CT14+2,CT14)))+COUNTIF(ClosedDays!$F$4:$F$32,IF(WEEKDAY(CT14)=1,CT14+1,IF(WEEKDAY(CT14)=7,CT14+2,CT14)))+COUNTIF(ClosedDays!$J$4:$J$32,IF(WEEKDAY(CT14)=1,CT14+1,IF(WEEKDAY(CT14)=7,CT14+2,CT14)))+COUNTIF(ClosedDays!$N$4:$N$32,IF(WEEKDAY(CT14)=1,CT14+1,IF(WEEKDAY(CT14)=7,CT14+2,CT14)))</f>
        <v>44473</v>
      </c>
      <c r="CV14" s="405">
        <f>CU14+IF(WEEKDAY(CU14)=1,1,IF(WEEKDAY(CU14)=7,2,0))+COUNTIF(ClosedDays!$B$4:$B$32,IF(WEEKDAY(CU14)=1,CU14+1,IF(WEEKDAY(CU14)=7,CU14+2,CU14)))+COUNTIF(ClosedDays!$F$4:$F$32,IF(WEEKDAY(CU14)=1,CU14+1,IF(WEEKDAY(CU14)=7,CU14+2,CU14)))+COUNTIF(ClosedDays!$J$4:$J$32,IF(WEEKDAY(CU14)=1,CU14+1,IF(WEEKDAY(CU14)=7,CU14+2,CU14)))+COUNTIF(ClosedDays!$N$4:$N$32,IF(WEEKDAY(CU14)=1,CU14+1,IF(WEEKDAY(CU14)=7,CU14+2,CU14)))</f>
        <v>44473</v>
      </c>
      <c r="CW14" s="405">
        <f>CV14+IF(WEEKDAY(CV14)=1,1,IF(WEEKDAY(CV14)=7,2,0))+COUNTIF(ClosedDays!$B$4:$B$32,IF(WEEKDAY(CV14)=1,CV14+1,IF(WEEKDAY(CV14)=7,CV14+2,CV14)))+COUNTIF(ClosedDays!$F$4:$F$32,IF(WEEKDAY(CV14)=1,CV14+1,IF(WEEKDAY(CV14)=7,CV14+2,CV14)))+COUNTIF(ClosedDays!$J$4:$J$32,IF(WEEKDAY(CV14)=1,CV14+1,IF(WEEKDAY(CV14)=7,CV14+2,CV14)))+COUNTIF(ClosedDays!$N$4:$N$32,IF(WEEKDAY(CV14)=1,CV14+1,IF(WEEKDAY(CV14)=7,CV14+2,CV14)))</f>
        <v>44473</v>
      </c>
      <c r="CX14" s="405">
        <f>CW14+IF(WEEKDAY(CW14)=1,1,IF(WEEKDAY(CW14)=7,2,0))+COUNTIF(ClosedDays!$B$4:$B$32,IF(WEEKDAY(CW14)=1,CW14+1,IF(WEEKDAY(CW14)=7,CW14+2,CW14)))+COUNTIF(ClosedDays!$F$4:$F$32,IF(WEEKDAY(CW14)=1,CW14+1,IF(WEEKDAY(CW14)=7,CW14+2,CW14)))+COUNTIF(ClosedDays!$J$4:$J$32,IF(WEEKDAY(CW14)=1,CW14+1,IF(WEEKDAY(CW14)=7,CW14+2,CW14)))+COUNTIF(ClosedDays!$N$4:$N$32,IF(WEEKDAY(CW14)=1,CW14+1,IF(WEEKDAY(CW14)=7,CW14+2,CW14)))</f>
        <v>44473</v>
      </c>
      <c r="CY14" s="405">
        <f t="shared" si="18"/>
        <v>44473</v>
      </c>
      <c r="CZ14" s="446">
        <f>IF(AND($D14&lt;='Outline Info'!$E$33,CY14&gt;='Outline Info'!$E$33,$AC14&gt;10,$AC14&lt;9997),1,0)</f>
        <v>0</v>
      </c>
      <c r="DA14" s="405">
        <f>IF(AND($D14&lt;='Outline Info'!$E$33,CY14&gt;='Outline Info'!$E$33),CY14+'Outline Info'!$F$33-'Outline Info'!$E$33+1,CY14)</f>
        <v>44473</v>
      </c>
      <c r="DB14" s="405">
        <f>DA14+IF(WEEKDAY(DA14)=1,1,IF(WEEKDAY(DA14)=7,2,0))+COUNTIF(ClosedDays!$B$4:$B$32,IF(WEEKDAY(DA14)=1,DA14+1,IF(WEEKDAY(DA14)=7,DA14+2,DA14)))+COUNTIF(ClosedDays!$F$4:$F$32,IF(WEEKDAY(DA14)=1,DA14+1,IF(WEEKDAY(DA14)=7,DA14+2,DA14)))+COUNTIF(ClosedDays!$J$4:$J$32,IF(WEEKDAY(DA14)=1,DA14+1,IF(WEEKDAY(DA14)=7,DA14+2,DA14)))+COUNTIF(ClosedDays!$N$4:$N$32,IF(WEEKDAY(DA14)=1,DA14+1,IF(WEEKDAY(DA14)=7,DA14+2,DA14)))</f>
        <v>44473</v>
      </c>
      <c r="DC14" s="405">
        <f>DB14+IF(WEEKDAY(DB14)=1,1,IF(WEEKDAY(DB14)=7,2,0))+COUNTIF(ClosedDays!$B$4:$B$32,IF(WEEKDAY(DB14)=1,DB14+1,IF(WEEKDAY(DB14)=7,DB14+2,DB14)))+COUNTIF(ClosedDays!$F$4:$F$32,IF(WEEKDAY(DB14)=1,DB14+1,IF(WEEKDAY(DB14)=7,DB14+2,DB14)))+COUNTIF(ClosedDays!$J$4:$J$32,IF(WEEKDAY(DB14)=1,DB14+1,IF(WEEKDAY(DB14)=7,DB14+2,DB14)))+COUNTIF(ClosedDays!$N$4:$N$32,IF(WEEKDAY(DB14)=1,DB14+1,IF(WEEKDAY(DB14)=7,DB14+2,DB14)))</f>
        <v>44473</v>
      </c>
      <c r="DD14" s="405">
        <f>DC14+IF(WEEKDAY(DC14)=1,1,IF(WEEKDAY(DC14)=7,2,0))+COUNTIF(ClosedDays!$B$4:$B$32,IF(WEEKDAY(DC14)=1,DC14+1,IF(WEEKDAY(DC14)=7,DC14+2,DC14)))+COUNTIF(ClosedDays!$F$4:$F$32,IF(WEEKDAY(DC14)=1,DC14+1,IF(WEEKDAY(DC14)=7,DC14+2,DC14)))+COUNTIF(ClosedDays!$J$4:$J$32,IF(WEEKDAY(DC14)=1,DC14+1,IF(WEEKDAY(DC14)=7,DC14+2,DC14)))+COUNTIF(ClosedDays!$N$4:$N$32,IF(WEEKDAY(DC14)=1,DC14+1,IF(WEEKDAY(DC14)=7,DC14+2,DC14)))</f>
        <v>44473</v>
      </c>
      <c r="DE14" s="405">
        <f>DD14+IF(WEEKDAY(DD14)=1,1,IF(WEEKDAY(DD14)=7,2,0))+COUNTIF(ClosedDays!$B$4:$B$32,IF(WEEKDAY(DD14)=1,DD14+1,IF(WEEKDAY(DD14)=7,DD14+2,DD14)))+COUNTIF(ClosedDays!$F$4:$F$32,IF(WEEKDAY(DD14)=1,DD14+1,IF(WEEKDAY(DD14)=7,DD14+2,DD14)))+COUNTIF(ClosedDays!$J$4:$J$32,IF(WEEKDAY(DD14)=1,DD14+1,IF(WEEKDAY(DD14)=7,DD14+2,DD14)))+COUNTIF(ClosedDays!$N$4:$N$32,IF(WEEKDAY(DD14)=1,DD14+1,IF(WEEKDAY(DD14)=7,DD14+2,DD14)))</f>
        <v>44473</v>
      </c>
      <c r="DF14" s="405">
        <f>DE14+IF(WEEKDAY(DE14)=1,1,IF(WEEKDAY(DE14)=7,2,0))+COUNTIF(ClosedDays!$B$4:$B$32,IF(WEEKDAY(DE14)=1,DE14+1,IF(WEEKDAY(DE14)=7,DE14+2,DE14)))+COUNTIF(ClosedDays!$F$4:$F$32,IF(WEEKDAY(DE14)=1,DE14+1,IF(WEEKDAY(DE14)=7,DE14+2,DE14)))+COUNTIF(ClosedDays!$J$4:$J$32,IF(WEEKDAY(DE14)=1,DE14+1,IF(WEEKDAY(DE14)=7,DE14+2,DE14)))+COUNTIF(ClosedDays!$N$4:$N$32,IF(WEEKDAY(DE14)=1,DE14+1,IF(WEEKDAY(DE14)=7,DE14+2,DE14)))</f>
        <v>44473</v>
      </c>
      <c r="DG14" s="405">
        <f>DF14+IF(WEEKDAY(DF14)=1,1,IF(WEEKDAY(DF14)=7,2,0))+COUNTIF(ClosedDays!$B$4:$B$32,IF(WEEKDAY(DF14)=1,DF14+1,IF(WEEKDAY(DF14)=7,DF14+2,DF14)))+COUNTIF(ClosedDays!$F$4:$F$32,IF(WEEKDAY(DF14)=1,DF14+1,IF(WEEKDAY(DF14)=7,DF14+2,DF14)))+COUNTIF(ClosedDays!$J$4:$J$32,IF(WEEKDAY(DF14)=1,DF14+1,IF(WEEKDAY(DF14)=7,DF14+2,DF14)))+COUNTIF(ClosedDays!$N$4:$N$32,IF(WEEKDAY(DF14)=1,DF14+1,IF(WEEKDAY(DF14)=7,DF14+2,DF14)))</f>
        <v>44473</v>
      </c>
      <c r="DH14" s="405">
        <f>DG14+IF(WEEKDAY(DG14)=1,1,IF(WEEKDAY(DG14)=7,2,0))+COUNTIF(ClosedDays!$B$4:$B$32,IF(WEEKDAY(DG14)=1,DG14+1,IF(WEEKDAY(DG14)=7,DG14+2,DG14)))+COUNTIF(ClosedDays!$F$4:$F$32,IF(WEEKDAY(DG14)=1,DG14+1,IF(WEEKDAY(DG14)=7,DG14+2,DG14)))+COUNTIF(ClosedDays!$J$4:$J$32,IF(WEEKDAY(DG14)=1,DG14+1,IF(WEEKDAY(DG14)=7,DG14+2,DG14)))+COUNTIF(ClosedDays!$N$4:$N$32,IF(WEEKDAY(DG14)=1,DG14+1,IF(WEEKDAY(DG14)=7,DG14+2,DG14)))</f>
        <v>44473</v>
      </c>
      <c r="DI14" s="405">
        <f>DH14+IF(WEEKDAY(DH14)=1,1,IF(WEEKDAY(DH14)=7,2,0))+COUNTIF(ClosedDays!$B$4:$B$32,IF(WEEKDAY(DH14)=1,DH14+1,IF(WEEKDAY(DH14)=7,DH14+2,DH14)))+COUNTIF(ClosedDays!$F$4:$F$32,IF(WEEKDAY(DH14)=1,DH14+1,IF(WEEKDAY(DH14)=7,DH14+2,DH14)))+COUNTIF(ClosedDays!$J$4:$J$32,IF(WEEKDAY(DH14)=1,DH14+1,IF(WEEKDAY(DH14)=7,DH14+2,DH14)))+COUNTIF(ClosedDays!$N$4:$N$32,IF(WEEKDAY(DH14)=1,DH14+1,IF(WEEKDAY(DH14)=7,DH14+2,DH14)))</f>
        <v>44473</v>
      </c>
      <c r="DJ14" s="405">
        <f>DI14+IF(WEEKDAY(DI14)=1,1,IF(WEEKDAY(DI14)=7,2,0))+COUNTIF(ClosedDays!$B$4:$B$32,IF(WEEKDAY(DI14)=1,DI14+1,IF(WEEKDAY(DI14)=7,DI14+2,DI14)))+COUNTIF(ClosedDays!$F$4:$F$32,IF(WEEKDAY(DI14)=1,DI14+1,IF(WEEKDAY(DI14)=7,DI14+2,DI14)))+COUNTIF(ClosedDays!$J$4:$J$32,IF(WEEKDAY(DI14)=1,DI14+1,IF(WEEKDAY(DI14)=7,DI14+2,DI14)))+COUNTIF(ClosedDays!$N$4:$N$32,IF(WEEKDAY(DI14)=1,DI14+1,IF(WEEKDAY(DI14)=7,DI14+2,DI14)))</f>
        <v>44473</v>
      </c>
      <c r="DK14" s="405">
        <f>DJ14+IF(WEEKDAY(DJ14)=1,1,IF(WEEKDAY(DJ14)=7,2,0))+COUNTIF(ClosedDays!$B$4:$B$32,IF(WEEKDAY(DJ14)=1,DJ14+1,IF(WEEKDAY(DJ14)=7,DJ14+2,DJ14)))+COUNTIF(ClosedDays!$F$4:$F$32,IF(WEEKDAY(DJ14)=1,DJ14+1,IF(WEEKDAY(DJ14)=7,DJ14+2,DJ14)))+COUNTIF(ClosedDays!$J$4:$J$32,IF(WEEKDAY(DJ14)=1,DJ14+1,IF(WEEKDAY(DJ14)=7,DJ14+2,DJ14)))+COUNTIF(ClosedDays!$N$4:$N$32,IF(WEEKDAY(DJ14)=1,DJ14+1,IF(WEEKDAY(DJ14)=7,DJ14+2,DJ14)))</f>
        <v>44473</v>
      </c>
      <c r="DL14" s="405">
        <f>DK14+IF(WEEKDAY(DK14)=1,1,IF(WEEKDAY(DK14)=7,2,0))+COUNTIF(ClosedDays!$B$4:$B$32,IF(WEEKDAY(DK14)=1,DK14+1,IF(WEEKDAY(DK14)=7,DK14+2,DK14)))+COUNTIF(ClosedDays!$F$4:$F$32,IF(WEEKDAY(DK14)=1,DK14+1,IF(WEEKDAY(DK14)=7,DK14+2,DK14)))+COUNTIF(ClosedDays!$J$4:$J$32,IF(WEEKDAY(DK14)=1,DK14+1,IF(WEEKDAY(DK14)=7,DK14+2,DK14)))+COUNTIF(ClosedDays!$N$4:$N$32,IF(WEEKDAY(DK14)=1,DK14+1,IF(WEEKDAY(DK14)=7,DK14+2,DK14)))</f>
        <v>44473</v>
      </c>
      <c r="DM14" s="405">
        <f>DL14+IF(WEEKDAY(DL14)=1,1,IF(WEEKDAY(DL14)=7,2,0))+COUNTIF(ClosedDays!$B$4:$B$32,IF(WEEKDAY(DL14)=1,DL14+1,IF(WEEKDAY(DL14)=7,DL14+2,DL14)))+COUNTIF(ClosedDays!$F$4:$F$32,IF(WEEKDAY(DL14)=1,DL14+1,IF(WEEKDAY(DL14)=7,DL14+2,DL14)))+COUNTIF(ClosedDays!$J$4:$J$32,IF(WEEKDAY(DL14)=1,DL14+1,IF(WEEKDAY(DL14)=7,DL14+2,DL14)))+COUNTIF(ClosedDays!$N$4:$N$32,IF(WEEKDAY(DL14)=1,DL14+1,IF(WEEKDAY(DL14)=7,DL14+2,DL14)))</f>
        <v>44473</v>
      </c>
      <c r="DN14" s="405">
        <f>DM14+IF(WEEKDAY(DM14)=1,1,IF(WEEKDAY(DM14)=7,2,0))+COUNTIF(ClosedDays!$B$4:$B$32,IF(WEEKDAY(DM14)=1,DM14+1,IF(WEEKDAY(DM14)=7,DM14+2,DM14)))+COUNTIF(ClosedDays!$F$4:$F$32,IF(WEEKDAY(DM14)=1,DM14+1,IF(WEEKDAY(DM14)=7,DM14+2,DM14)))+COUNTIF(ClosedDays!$J$4:$J$32,IF(WEEKDAY(DM14)=1,DM14+1,IF(WEEKDAY(DM14)=7,DM14+2,DM14)))+COUNTIF(ClosedDays!$N$4:$N$32,IF(WEEKDAY(DM14)=1,DM14+1,IF(WEEKDAY(DM14)=7,DM14+2,DM14)))</f>
        <v>44473</v>
      </c>
      <c r="DO14" s="405">
        <f>DN14+IF(WEEKDAY(DN14)=1,1,IF(WEEKDAY(DN14)=7,2,0))+COUNTIF(ClosedDays!$B$4:$B$32,IF(WEEKDAY(DN14)=1,DN14+1,IF(WEEKDAY(DN14)=7,DN14+2,DN14)))+COUNTIF(ClosedDays!$F$4:$F$32,IF(WEEKDAY(DN14)=1,DN14+1,IF(WEEKDAY(DN14)=7,DN14+2,DN14)))+COUNTIF(ClosedDays!$J$4:$J$32,IF(WEEKDAY(DN14)=1,DN14+1,IF(WEEKDAY(DN14)=7,DN14+2,DN14)))+COUNTIF(ClosedDays!$N$4:$N$32,IF(WEEKDAY(DN14)=1,DN14+1,IF(WEEKDAY(DN14)=7,DN14+2,DN14)))</f>
        <v>44473</v>
      </c>
      <c r="DP14" s="405">
        <f t="shared" si="5"/>
        <v>44473</v>
      </c>
      <c r="DQ14" s="405">
        <f t="shared" si="20"/>
        <v>44473</v>
      </c>
      <c r="DR14" s="394">
        <f t="shared" si="19"/>
        <v>1</v>
      </c>
      <c r="DS14" s="394">
        <f>IF(AND(DR14=1,COUNTIF(DS$7:DS13,1)&lt;12,VLOOKUP(COUNTIF(DS$7:DS13,1)+1,'Outline Info'!$A$21:$C$32,2)&lt;=I14),1,0)</f>
        <v>1</v>
      </c>
      <c r="DT14" s="405" t="str">
        <f>IF(DS14=1,IF(VLOOKUP(COUNTIF(DS$7:DS14,1),'Outline Info'!$A$21:$C$32,2)=0,"",VLOOKUP(COUNTIF(DS$7:DS14,1),'Outline Info'!$A$21:$C$32,2)),"")</f>
        <v/>
      </c>
      <c r="DU14" s="447">
        <f>IF(DS14=1,VLOOKUP(COUNTIF(DS$7:DS14,1),'Outline Info'!$A$21:$C$32,3),0)</f>
        <v>0</v>
      </c>
      <c r="DV14" s="445">
        <f>IF('Outline Info'!$B$8="Y",IF(B14="*",'Outline Info'!$B$19,IF(OR($A14="",B14="X",B14="x"),0,VLOOKUP($A14,'Course Table'!$A$2:$J$331,4,TRUE))),0)</f>
        <v>0</v>
      </c>
      <c r="DW14" s="447">
        <f t="shared" si="6"/>
        <v>0</v>
      </c>
      <c r="DX14" s="447">
        <f>IF('Outline Info'!$B$8="Y",$DV14,$DW14)</f>
        <v>0</v>
      </c>
      <c r="DY14" s="394"/>
      <c r="DZ14" s="934"/>
      <c r="EA14" s="934"/>
      <c r="EB14" s="394"/>
      <c r="EC14" s="394"/>
      <c r="ED14" s="394"/>
    </row>
    <row r="15" spans="1:134" s="400" customFormat="1" ht="20.100000000000001" customHeight="1">
      <c r="A15" s="874" t="str">
        <f t="shared" si="7"/>
        <v/>
      </c>
      <c r="B15" s="876" t="str">
        <f t="shared" si="8"/>
        <v/>
      </c>
      <c r="C15" s="878" t="str">
        <f t="shared" si="9"/>
        <v/>
      </c>
      <c r="D15" s="463">
        <f>IF(NOT(ISBLANK(DZ15)),DZ15,IF(AND($AC15=9998,'Outline Info'!$H$33&gt;='Outline Info'!$B$6,'Outline Info'!$H$33&lt;='Outline Info'!$C$6),'Outline Info'!$H$33,IF(AND($AC15=9997,'Outline Info'!$H$31&gt;='Outline Info'!$B$6,'Outline Info'!$H$31&lt;='Outline Info'!$C$6),'Outline Info'!$H$31,IF(AE15="*",DQ14,IF(OR(AE15="x",AE15="X"),I14,IF(AND(AC15&gt;6,AC14&lt;6),DQ14,IF(AND($AC15=9998,$AC14=9997),I13,I14)))))))</f>
        <v>44470</v>
      </c>
      <c r="E15" s="1286"/>
      <c r="F15" s="1287"/>
      <c r="G15" s="1282"/>
      <c r="H15" s="1283"/>
      <c r="I15" s="464">
        <f>IF(AND($AC15=9998,'Outline Info'!$I$33&gt;='Outline Info'!$B$6,'Outline Info'!$I$33&lt;='Outline Info'!$C$6),'Outline Info'!$I$33,IF(AND($AC15=9997,'Outline Info'!$I$31&gt;='Outline Info'!$B$6,'Outline Info'!$I$31&lt;='Outline Info'!$C$6),'Outline Info'!$I$31,IF(DP15&gt;$V$4,$V$4,DP15)))</f>
        <v>44470</v>
      </c>
      <c r="J15" s="436"/>
      <c r="K15" s="437"/>
      <c r="L15" s="438"/>
      <c r="M15" s="438"/>
      <c r="N15" s="435"/>
      <c r="O15" s="435"/>
      <c r="P15" s="438"/>
      <c r="Q15" s="438"/>
      <c r="R15" s="439"/>
      <c r="S15" s="872">
        <f>IF($V$5-SUM($DX$7:$DX15)&lt;0,IF($V$5-SUM($DX$7:$DX14)&lt;0,0,$V$5-SUM($DX$7:$DX14)),DX15)</f>
        <v>0</v>
      </c>
      <c r="T15" s="440" t="str">
        <f>IF(S15&gt;0,IF('Outline Info'!$B$8="Y",D15,DT15),"")</f>
        <v/>
      </c>
      <c r="U15" s="441"/>
      <c r="V15" s="442"/>
      <c r="W15" s="870" t="str">
        <f>IF('Outline Info'!$C$33&gt;0,ROUND(IF('Outline Info'!$B$8="Y",SUM(S$7:S15)-SUM(AJ$7:AJ15)-'Outline Info'!$B$14-'Outline Info'!$B$15-'Outline Info'!$B$17,IF(AL15=0,SUM(S$7:S15)-SUM(AK$7:AK15)-SUM(AP15:AS15)-'Outline Info'!$B$14-'Outline Info'!$B$15-'Outline Info'!$B$17,0)),0),IF('Outline Info'!$T$4&lt;&gt;1,"",IF(OR(AD15="",AL15=1),"",SUM(AK$7:AK15)+SUM(AP15:AS15)+'Outline Info'!$B$14+'Outline Info'!$B$15+'Outline Info'!$B$17)))</f>
        <v/>
      </c>
      <c r="X15" s="448"/>
      <c r="Y15" s="443">
        <f>IF(OR(AE15="X",AE15="x",AE15="*",AC15=99999),0,IF(AC15&lt;50,0,IF($S$4-SUM($Y$7:$Y14)&gt;0,1,0)))</f>
        <v>0</v>
      </c>
      <c r="Z15" s="444">
        <f>IF(AC15&lt;99999,IF(AE15="*",AH15,IF(OR(AE15="x",AE15="X",AC15&lt;10),0,IF(AND(AC15&lt;&gt;9998,AC15&lt;&gt;9997),IF(AM15=1,(AH15+$AM$5)*(1+('Outline Info'!$B$16)),IF(AN15=1,(AH15+$AN$5)*(1+('Outline Info'!$B$16)),0)),AH15))),0)</f>
        <v>0</v>
      </c>
      <c r="AA15" s="395">
        <f>Z15/'Outline Info'!$C$11+Y15</f>
        <v>0</v>
      </c>
      <c r="AB15" s="395">
        <f>ROUND(AA15/'Outline Info'!$B$11*7,0)</f>
        <v>0</v>
      </c>
      <c r="AC15" s="445">
        <f>IF($AD15&lt;&gt;"",VLOOKUP($AD15,'Course Table'!$A$2:$J$331,10,TRUE),99999)</f>
        <v>99999</v>
      </c>
      <c r="AD15" s="394"/>
      <c r="AE15" s="394"/>
      <c r="AF15" s="394"/>
      <c r="AG15" s="394"/>
      <c r="AH15" s="394"/>
      <c r="AI15" s="394">
        <v>389</v>
      </c>
      <c r="AJ15" s="394">
        <v>389</v>
      </c>
      <c r="AK15" s="394">
        <f t="shared" si="10"/>
        <v>389</v>
      </c>
      <c r="AL15" s="394">
        <f t="shared" si="11"/>
        <v>0</v>
      </c>
      <c r="AM15" s="394">
        <f t="shared" si="12"/>
        <v>0</v>
      </c>
      <c r="AN15" s="394">
        <f t="shared" si="13"/>
        <v>0</v>
      </c>
      <c r="AO15" s="394">
        <f>IF(AN15=1,SUMPRODUCT($AJ$7:$AJ15,$AN$7:$AN15),0)</f>
        <v>0</v>
      </c>
      <c r="AP15" s="394">
        <f t="shared" si="14"/>
        <v>0</v>
      </c>
      <c r="AQ15" s="394">
        <f t="shared" si="14"/>
        <v>0</v>
      </c>
      <c r="AR15" s="394">
        <f t="shared" si="14"/>
        <v>0</v>
      </c>
      <c r="AS15" s="394">
        <f t="shared" si="14"/>
        <v>0</v>
      </c>
      <c r="AT15" s="394">
        <f t="shared" si="15"/>
        <v>0</v>
      </c>
      <c r="AU15" s="394">
        <f t="shared" si="15"/>
        <v>0</v>
      </c>
      <c r="AV15" s="394">
        <f t="shared" si="15"/>
        <v>0</v>
      </c>
      <c r="AW15" s="394">
        <f t="shared" si="15"/>
        <v>0</v>
      </c>
      <c r="AX15" s="394">
        <f t="shared" si="1"/>
        <v>0</v>
      </c>
      <c r="AY15" s="394">
        <f t="shared" si="2"/>
        <v>0</v>
      </c>
      <c r="AZ15" s="394">
        <f t="shared" si="3"/>
        <v>0</v>
      </c>
      <c r="BA15" s="394">
        <f t="shared" si="4"/>
        <v>0</v>
      </c>
      <c r="BB15" s="405">
        <f t="shared" si="21"/>
        <v>44473</v>
      </c>
      <c r="BC15" s="405">
        <f>BB15+IF(WEEKDAY(BB15)=1,1,IF(WEEKDAY(BB15)=7,2,0))+COUNTIF(ClosedDays!$B$4:$B$32,IF(WEEKDAY(BB15)=1,BB15+1,IF(WEEKDAY(BB15)=7,BB15+2,BB15)))+COUNTIF(ClosedDays!$F$4:$F$32,IF(WEEKDAY(BB15)=1,BB15+1,IF(WEEKDAY(BB15)=7,BB15+2,BB15)))+COUNTIF(ClosedDays!$J$4:$J$32,IF(WEEKDAY(BB15)=1,BB15+1,IF(WEEKDAY(BB15)=7,BB15+2,BB15)))+COUNTIF(ClosedDays!$N$4:$N$32,IF(WEEKDAY(BB15)=1,BB15+1,IF(WEEKDAY(BB15)=7,BB15+2,BB15)))</f>
        <v>44473</v>
      </c>
      <c r="BD15" s="405">
        <f>BC15+IF(WEEKDAY(BC15)=1,1,IF(WEEKDAY(BC15)=7,2,0))+COUNTIF(ClosedDays!$B$4:$B$32,IF(WEEKDAY(BC15)=1,BC15+1,IF(WEEKDAY(BC15)=7,BC15+2,BC15)))+COUNTIF(ClosedDays!$F$4:$F$32,IF(WEEKDAY(BC15)=1,BC15+1,IF(WEEKDAY(BC15)=7,BC15+2,BC15)))+COUNTIF(ClosedDays!$J$4:$J$32,IF(WEEKDAY(BC15)=1,BC15+1,IF(WEEKDAY(BC15)=7,BC15+2,BC15)))+COUNTIF(ClosedDays!$N$4:$N$32,IF(WEEKDAY(BC15)=1,BC15+1,IF(WEEKDAY(BC15)=7,BC15+2,BC15)))</f>
        <v>44473</v>
      </c>
      <c r="BE15" s="405">
        <f>BD15+IF(WEEKDAY(BD15)=1,1,IF(WEEKDAY(BD15)=7,2,0))+COUNTIF(ClosedDays!$B$4:$B$32,IF(WEEKDAY(BD15)=1,BD15+1,IF(WEEKDAY(BD15)=7,BD15+2,BD15)))+COUNTIF(ClosedDays!$F$4:$F$32,IF(WEEKDAY(BD15)=1,BD15+1,IF(WEEKDAY(BD15)=7,BD15+2,BD15)))+COUNTIF(ClosedDays!$J$4:$J$32,IF(WEEKDAY(BD15)=1,BD15+1,IF(WEEKDAY(BD15)=7,BD15+2,BD15)))+COUNTIF(ClosedDays!$N$4:$N$32,IF(WEEKDAY(BD15)=1,BD15+1,IF(WEEKDAY(BD15)=7,BD15+2,BD15)))</f>
        <v>44473</v>
      </c>
      <c r="BF15" s="405">
        <f>BE15+IF(WEEKDAY(BE15)=1,1,IF(WEEKDAY(BE15)=7,2,0))+COUNTIF(ClosedDays!$B$4:$B$32,IF(WEEKDAY(BE15)=1,BE15+1,IF(WEEKDAY(BE15)=7,BE15+2,BE15)))+COUNTIF(ClosedDays!$F$4:$F$32,IF(WEEKDAY(BE15)=1,BE15+1,IF(WEEKDAY(BE15)=7,BE15+2,BE15)))+COUNTIF(ClosedDays!$J$4:$J$32,IF(WEEKDAY(BE15)=1,BE15+1,IF(WEEKDAY(BE15)=7,BE15+2,BE15)))+COUNTIF(ClosedDays!$N$4:$N$32,IF(WEEKDAY(BE15)=1,BE15+1,IF(WEEKDAY(BE15)=7,BE15+2,BE15)))</f>
        <v>44473</v>
      </c>
      <c r="BG15" s="405">
        <f>BF15+IF(WEEKDAY(BF15)=1,1,IF(WEEKDAY(BF15)=7,2,0))+COUNTIF(ClosedDays!$B$4:$B$32,IF(WEEKDAY(BF15)=1,BF15+1,IF(WEEKDAY(BF15)=7,BF15+2,BF15)))+COUNTIF(ClosedDays!$F$4:$F$32,IF(WEEKDAY(BF15)=1,BF15+1,IF(WEEKDAY(BF15)=7,BF15+2,BF15)))+COUNTIF(ClosedDays!$J$4:$J$32,IF(WEEKDAY(BF15)=1,BF15+1,IF(WEEKDAY(BF15)=7,BF15+2,BF15)))+COUNTIF(ClosedDays!$N$4:$N$32,IF(WEEKDAY(BF15)=1,BF15+1,IF(WEEKDAY(BF15)=7,BF15+2,BF15)))</f>
        <v>44473</v>
      </c>
      <c r="BH15" s="405">
        <f>BG15+IF(WEEKDAY(BG15)=1,1,IF(WEEKDAY(BG15)=7,2,0))+COUNTIF(ClosedDays!$B$4:$B$32,IF(WEEKDAY(BG15)=1,BG15+1,IF(WEEKDAY(BG15)=7,BG15+2,BG15)))+COUNTIF(ClosedDays!$F$4:$F$32,IF(WEEKDAY(BG15)=1,BG15+1,IF(WEEKDAY(BG15)=7,BG15+2,BG15)))+COUNTIF(ClosedDays!$J$4:$J$32,IF(WEEKDAY(BG15)=1,BG15+1,IF(WEEKDAY(BG15)=7,BG15+2,BG15)))+COUNTIF(ClosedDays!$N$4:$N$32,IF(WEEKDAY(BG15)=1,BG15+1,IF(WEEKDAY(BG15)=7,BG15+2,BG15)))</f>
        <v>44473</v>
      </c>
      <c r="BI15" s="405">
        <f>BH15+IF(WEEKDAY(BH15)=1,1,IF(WEEKDAY(BH15)=7,2,0))+COUNTIF(ClosedDays!$B$4:$B$32,IF(WEEKDAY(BH15)=1,BH15+1,IF(WEEKDAY(BH15)=7,BH15+2,BH15)))+COUNTIF(ClosedDays!$F$4:$F$32,IF(WEEKDAY(BH15)=1,BH15+1,IF(WEEKDAY(BH15)=7,BH15+2,BH15)))+COUNTIF(ClosedDays!$J$4:$J$32,IF(WEEKDAY(BH15)=1,BH15+1,IF(WEEKDAY(BH15)=7,BH15+2,BH15)))+COUNTIF(ClosedDays!$N$4:$N$32,IF(WEEKDAY(BH15)=1,BH15+1,IF(WEEKDAY(BH15)=7,BH15+2,BH15)))</f>
        <v>44473</v>
      </c>
      <c r="BJ15" s="405">
        <f>BI15+IF(WEEKDAY(BI15)=1,1,IF(WEEKDAY(BI15)=7,2,0))+COUNTIF(ClosedDays!$B$4:$B$32,IF(WEEKDAY(BI15)=1,BI15+1,IF(WEEKDAY(BI15)=7,BI15+2,BI15)))+COUNTIF(ClosedDays!$F$4:$F$32,IF(WEEKDAY(BI15)=1,BI15+1,IF(WEEKDAY(BI15)=7,BI15+2,BI15)))+COUNTIF(ClosedDays!$J$4:$J$32,IF(WEEKDAY(BI15)=1,BI15+1,IF(WEEKDAY(BI15)=7,BI15+2,BI15)))+COUNTIF(ClosedDays!$N$4:$N$32,IF(WEEKDAY(BI15)=1,BI15+1,IF(WEEKDAY(BI15)=7,BI15+2,BI15)))</f>
        <v>44473</v>
      </c>
      <c r="BK15" s="405">
        <f>BJ15+IF(WEEKDAY(BJ15)=1,1,IF(WEEKDAY(BJ15)=7,2,0))+COUNTIF(ClosedDays!$B$4:$B$32,IF(WEEKDAY(BJ15)=1,BJ15+1,IF(WEEKDAY(BJ15)=7,BJ15+2,BJ15)))+COUNTIF(ClosedDays!$F$4:$F$32,IF(WEEKDAY(BJ15)=1,BJ15+1,IF(WEEKDAY(BJ15)=7,BJ15+2,BJ15)))+COUNTIF(ClosedDays!$J$4:$J$32,IF(WEEKDAY(BJ15)=1,BJ15+1,IF(WEEKDAY(BJ15)=7,BJ15+2,BJ15)))+COUNTIF(ClosedDays!$N$4:$N$32,IF(WEEKDAY(BJ15)=1,BJ15+1,IF(WEEKDAY(BJ15)=7,BJ15+2,BJ15)))</f>
        <v>44473</v>
      </c>
      <c r="BL15" s="405">
        <f>BK15+IF(WEEKDAY(BK15)=1,1,IF(WEEKDAY(BK15)=7,2,0))+COUNTIF(ClosedDays!$B$4:$B$32,IF(WEEKDAY(BK15)=1,BK15+1,IF(WEEKDAY(BK15)=7,BK15+2,BK15)))+COUNTIF(ClosedDays!$F$4:$F$32,IF(WEEKDAY(BK15)=1,BK15+1,IF(WEEKDAY(BK15)=7,BK15+2,BK15)))+COUNTIF(ClosedDays!$J$4:$J$32,IF(WEEKDAY(BK15)=1,BK15+1,IF(WEEKDAY(BK15)=7,BK15+2,BK15)))+COUNTIF(ClosedDays!$N$4:$N$32,IF(WEEKDAY(BK15)=1,BK15+1,IF(WEEKDAY(BK15)=7,BK15+2,BK15)))</f>
        <v>44473</v>
      </c>
      <c r="BM15" s="405">
        <f>BL15+IF(WEEKDAY(BL15)=1,1,IF(WEEKDAY(BL15)=7,2,0))+COUNTIF(ClosedDays!$B$4:$B$32,IF(WEEKDAY(BL15)=1,BL15+1,IF(WEEKDAY(BL15)=7,BL15+2,BL15)))+COUNTIF(ClosedDays!$F$4:$F$32,IF(WEEKDAY(BL15)=1,BL15+1,IF(WEEKDAY(BL15)=7,BL15+2,BL15)))+COUNTIF(ClosedDays!$J$4:$J$32,IF(WEEKDAY(BL15)=1,BL15+1,IF(WEEKDAY(BL15)=7,BL15+2,BL15)))+COUNTIF(ClosedDays!$N$4:$N$32,IF(WEEKDAY(BL15)=1,BL15+1,IF(WEEKDAY(BL15)=7,BL15+2,BL15)))</f>
        <v>44473</v>
      </c>
      <c r="BN15" s="405">
        <f>BM15+IF(WEEKDAY(BM15)=1,1,IF(WEEKDAY(BM15)=7,2,0))+COUNTIF(ClosedDays!$B$4:$B$32,IF(WEEKDAY(BM15)=1,BM15+1,IF(WEEKDAY(BM15)=7,BM15+2,BM15)))+COUNTIF(ClosedDays!$F$4:$F$32,IF(WEEKDAY(BM15)=1,BM15+1,IF(WEEKDAY(BM15)=7,BM15+2,BM15)))+COUNTIF(ClosedDays!$J$4:$J$32,IF(WEEKDAY(BM15)=1,BM15+1,IF(WEEKDAY(BM15)=7,BM15+2,BM15)))+COUNTIF(ClosedDays!$N$4:$N$32,IF(WEEKDAY(BM15)=1,BM15+1,IF(WEEKDAY(BM15)=7,BM15+2,BM15)))</f>
        <v>44473</v>
      </c>
      <c r="BO15" s="405">
        <f>BN15+IF(WEEKDAY(BN15)=1,1,IF(WEEKDAY(BN15)=7,2,0))+COUNTIF(ClosedDays!$B$4:$B$32,IF(WEEKDAY(BN15)=1,BN15+1,IF(WEEKDAY(BN15)=7,BN15+2,BN15)))+COUNTIF(ClosedDays!$F$4:$F$32,IF(WEEKDAY(BN15)=1,BN15+1,IF(WEEKDAY(BN15)=7,BN15+2,BN15)))+COUNTIF(ClosedDays!$J$4:$J$32,IF(WEEKDAY(BN15)=1,BN15+1,IF(WEEKDAY(BN15)=7,BN15+2,BN15)))+COUNTIF(ClosedDays!$N$4:$N$32,IF(WEEKDAY(BN15)=1,BN15+1,IF(WEEKDAY(BN15)=7,BN15+2,BN15)))</f>
        <v>44473</v>
      </c>
      <c r="BP15" s="405">
        <f>BO15+IF(WEEKDAY(BO15)=1,1,IF(WEEKDAY(BO15)=7,2,0))+COUNTIF(ClosedDays!$B$4:$B$32,IF(WEEKDAY(BO15)=1,BO15+1,IF(WEEKDAY(BO15)=7,BO15+2,BO15)))+COUNTIF(ClosedDays!$F$4:$F$32,IF(WEEKDAY(BO15)=1,BO15+1,IF(WEEKDAY(BO15)=7,BO15+2,BO15)))+COUNTIF(ClosedDays!$J$4:$J$32,IF(WEEKDAY(BO15)=1,BO15+1,IF(WEEKDAY(BO15)=7,BO15+2,BO15)))+COUNTIF(ClosedDays!$N$4:$N$32,IF(WEEKDAY(BO15)=1,BO15+1,IF(WEEKDAY(BO15)=7,BO15+2,BO15)))</f>
        <v>44473</v>
      </c>
      <c r="BQ15" s="405">
        <f t="shared" si="16"/>
        <v>44473</v>
      </c>
      <c r="BR15" s="446">
        <f>IF(AND($D15&lt;='Outline Info'!$H$31,BQ15&gt;='Outline Info'!$H$31,$BS$4=1,$AC15&gt;10,$AC15&lt;9997),1,0)</f>
        <v>0</v>
      </c>
      <c r="BS15" s="405">
        <f>IF(BR15=1,BQ15+'Outline Info'!$I$31-'Outline Info'!$H$31+1,BQ15)</f>
        <v>44473</v>
      </c>
      <c r="BT15" s="405">
        <f>BS15+IF(WEEKDAY(BS15)=1,1,IF(WEEKDAY(BS15)=7,2,0))+COUNTIF(ClosedDays!$B$4:$B$32,IF(WEEKDAY(BS15)=1,BS15+1,IF(WEEKDAY(BS15)=7,BS15+2,BS15)))+COUNTIF(ClosedDays!$F$4:$F$32,IF(WEEKDAY(BS15)=1,BS15+1,IF(WEEKDAY(BS15)=7,BS15+2,BS15)))+COUNTIF(ClosedDays!$J$4:$J$32,IF(WEEKDAY(BS15)=1,BS15+1,IF(WEEKDAY(BS15)=7,BS15+2,BS15)))+COUNTIF(ClosedDays!$N$4:$N$32,IF(WEEKDAY(BS15)=1,BS15+1,IF(WEEKDAY(BS15)=7,BS15+2,BS15)))</f>
        <v>44473</v>
      </c>
      <c r="BU15" s="405">
        <f>BT15+IF(WEEKDAY(BT15)=1,1,IF(WEEKDAY(BT15)=7,2,0))+COUNTIF(ClosedDays!$B$4:$B$32,IF(WEEKDAY(BT15)=1,BT15+1,IF(WEEKDAY(BT15)=7,BT15+2,BT15)))+COUNTIF(ClosedDays!$F$4:$F$32,IF(WEEKDAY(BT15)=1,BT15+1,IF(WEEKDAY(BT15)=7,BT15+2,BT15)))+COUNTIF(ClosedDays!$J$4:$J$32,IF(WEEKDAY(BT15)=1,BT15+1,IF(WEEKDAY(BT15)=7,BT15+2,BT15)))+COUNTIF(ClosedDays!$N$4:$N$32,IF(WEEKDAY(BT15)=1,BT15+1,IF(WEEKDAY(BT15)=7,BT15+2,BT15)))</f>
        <v>44473</v>
      </c>
      <c r="BV15" s="405">
        <f>BU15+IF(WEEKDAY(BU15)=1,1,IF(WEEKDAY(BU15)=7,2,0))+COUNTIF(ClosedDays!$B$4:$B$32,IF(WEEKDAY(BU15)=1,BU15+1,IF(WEEKDAY(BU15)=7,BU15+2,BU15)))+COUNTIF(ClosedDays!$F$4:$F$32,IF(WEEKDAY(BU15)=1,BU15+1,IF(WEEKDAY(BU15)=7,BU15+2,BU15)))+COUNTIF(ClosedDays!$J$4:$J$32,IF(WEEKDAY(BU15)=1,BU15+1,IF(WEEKDAY(BU15)=7,BU15+2,BU15)))+COUNTIF(ClosedDays!$N$4:$N$32,IF(WEEKDAY(BU15)=1,BU15+1,IF(WEEKDAY(BU15)=7,BU15+2,BU15)))</f>
        <v>44473</v>
      </c>
      <c r="BW15" s="405">
        <f>BV15+IF(WEEKDAY(BV15)=1,1,IF(WEEKDAY(BV15)=7,2,0))+COUNTIF(ClosedDays!$B$4:$B$32,IF(WEEKDAY(BV15)=1,BV15+1,IF(WEEKDAY(BV15)=7,BV15+2,BV15)))+COUNTIF(ClosedDays!$F$4:$F$32,IF(WEEKDAY(BV15)=1,BV15+1,IF(WEEKDAY(BV15)=7,BV15+2,BV15)))+COUNTIF(ClosedDays!$J$4:$J$32,IF(WEEKDAY(BV15)=1,BV15+1,IF(WEEKDAY(BV15)=7,BV15+2,BV15)))+COUNTIF(ClosedDays!$N$4:$N$32,IF(WEEKDAY(BV15)=1,BV15+1,IF(WEEKDAY(BV15)=7,BV15+2,BV15)))</f>
        <v>44473</v>
      </c>
      <c r="BX15" s="405">
        <f>BW15+IF(WEEKDAY(BW15)=1,1,IF(WEEKDAY(BW15)=7,2,0))+COUNTIF(ClosedDays!$B$4:$B$32,IF(WEEKDAY(BW15)=1,BW15+1,IF(WEEKDAY(BW15)=7,BW15+2,BW15)))+COUNTIF(ClosedDays!$F$4:$F$32,IF(WEEKDAY(BW15)=1,BW15+1,IF(WEEKDAY(BW15)=7,BW15+2,BW15)))+COUNTIF(ClosedDays!$J$4:$J$32,IF(WEEKDAY(BW15)=1,BW15+1,IF(WEEKDAY(BW15)=7,BW15+2,BW15)))+COUNTIF(ClosedDays!$N$4:$N$32,IF(WEEKDAY(BW15)=1,BW15+1,IF(WEEKDAY(BW15)=7,BW15+2,BW15)))</f>
        <v>44473</v>
      </c>
      <c r="BY15" s="405">
        <f>BX15+IF(WEEKDAY(BX15)=1,1,IF(WEEKDAY(BX15)=7,2,0))+COUNTIF(ClosedDays!$B$4:$B$32,IF(WEEKDAY(BX15)=1,BX15+1,IF(WEEKDAY(BX15)=7,BX15+2,BX15)))+COUNTIF(ClosedDays!$F$4:$F$32,IF(WEEKDAY(BX15)=1,BX15+1,IF(WEEKDAY(BX15)=7,BX15+2,BX15)))+COUNTIF(ClosedDays!$J$4:$J$32,IF(WEEKDAY(BX15)=1,BX15+1,IF(WEEKDAY(BX15)=7,BX15+2,BX15)))+COUNTIF(ClosedDays!$N$4:$N$32,IF(WEEKDAY(BX15)=1,BX15+1,IF(WEEKDAY(BX15)=7,BX15+2,BX15)))</f>
        <v>44473</v>
      </c>
      <c r="BZ15" s="405">
        <f>BY15+IF(WEEKDAY(BY15)=1,1,IF(WEEKDAY(BY15)=7,2,0))+COUNTIF(ClosedDays!$B$4:$B$32,IF(WEEKDAY(BY15)=1,BY15+1,IF(WEEKDAY(BY15)=7,BY15+2,BY15)))+COUNTIF(ClosedDays!$F$4:$F$32,IF(WEEKDAY(BY15)=1,BY15+1,IF(WEEKDAY(BY15)=7,BY15+2,BY15)))+COUNTIF(ClosedDays!$J$4:$J$32,IF(WEEKDAY(BY15)=1,BY15+1,IF(WEEKDAY(BY15)=7,BY15+2,BY15)))+COUNTIF(ClosedDays!$N$4:$N$32,IF(WEEKDAY(BY15)=1,BY15+1,IF(WEEKDAY(BY15)=7,BY15+2,BY15)))</f>
        <v>44473</v>
      </c>
      <c r="CA15" s="405">
        <f>BZ15+IF(WEEKDAY(BZ15)=1,1,IF(WEEKDAY(BZ15)=7,2,0))+COUNTIF(ClosedDays!$B$4:$B$32,IF(WEEKDAY(BZ15)=1,BZ15+1,IF(WEEKDAY(BZ15)=7,BZ15+2,BZ15)))+COUNTIF(ClosedDays!$F$4:$F$32,IF(WEEKDAY(BZ15)=1,BZ15+1,IF(WEEKDAY(BZ15)=7,BZ15+2,BZ15)))+COUNTIF(ClosedDays!$J$4:$J$32,IF(WEEKDAY(BZ15)=1,BZ15+1,IF(WEEKDAY(BZ15)=7,BZ15+2,BZ15)))+COUNTIF(ClosedDays!$N$4:$N$32,IF(WEEKDAY(BZ15)=1,BZ15+1,IF(WEEKDAY(BZ15)=7,BZ15+2,BZ15)))</f>
        <v>44473</v>
      </c>
      <c r="CB15" s="405">
        <f>CA15+IF(WEEKDAY(CA15)=1,1,IF(WEEKDAY(CA15)=7,2,0))+COUNTIF(ClosedDays!$B$4:$B$32,IF(WEEKDAY(CA15)=1,CA15+1,IF(WEEKDAY(CA15)=7,CA15+2,CA15)))+COUNTIF(ClosedDays!$F$4:$F$32,IF(WEEKDAY(CA15)=1,CA15+1,IF(WEEKDAY(CA15)=7,CA15+2,CA15)))+COUNTIF(ClosedDays!$J$4:$J$32,IF(WEEKDAY(CA15)=1,CA15+1,IF(WEEKDAY(CA15)=7,CA15+2,CA15)))+COUNTIF(ClosedDays!$N$4:$N$32,IF(WEEKDAY(CA15)=1,CA15+1,IF(WEEKDAY(CA15)=7,CA15+2,CA15)))</f>
        <v>44473</v>
      </c>
      <c r="CC15" s="405">
        <f>CB15+IF(WEEKDAY(CB15)=1,1,IF(WEEKDAY(CB15)=7,2,0))+COUNTIF(ClosedDays!$B$4:$B$32,IF(WEEKDAY(CB15)=1,CB15+1,IF(WEEKDAY(CB15)=7,CB15+2,CB15)))+COUNTIF(ClosedDays!$F$4:$F$32,IF(WEEKDAY(CB15)=1,CB15+1,IF(WEEKDAY(CB15)=7,CB15+2,CB15)))+COUNTIF(ClosedDays!$J$4:$J$32,IF(WEEKDAY(CB15)=1,CB15+1,IF(WEEKDAY(CB15)=7,CB15+2,CB15)))+COUNTIF(ClosedDays!$N$4:$N$32,IF(WEEKDAY(CB15)=1,CB15+1,IF(WEEKDAY(CB15)=7,CB15+2,CB15)))</f>
        <v>44473</v>
      </c>
      <c r="CD15" s="405">
        <f>CC15+IF(WEEKDAY(CC15)=1,1,IF(WEEKDAY(CC15)=7,2,0))+COUNTIF(ClosedDays!$B$4:$B$32,IF(WEEKDAY(CC15)=1,CC15+1,IF(WEEKDAY(CC15)=7,CC15+2,CC15)))+COUNTIF(ClosedDays!$F$4:$F$32,IF(WEEKDAY(CC15)=1,CC15+1,IF(WEEKDAY(CC15)=7,CC15+2,CC15)))+COUNTIF(ClosedDays!$J$4:$J$32,IF(WEEKDAY(CC15)=1,CC15+1,IF(WEEKDAY(CC15)=7,CC15+2,CC15)))+COUNTIF(ClosedDays!$N$4:$N$32,IF(WEEKDAY(CC15)=1,CC15+1,IF(WEEKDAY(CC15)=7,CC15+2,CC15)))</f>
        <v>44473</v>
      </c>
      <c r="CE15" s="405">
        <f>CD15+IF(WEEKDAY(CD15)=1,1,IF(WEEKDAY(CD15)=7,2,0))+COUNTIF(ClosedDays!$B$4:$B$32,IF(WEEKDAY(CD15)=1,CD15+1,IF(WEEKDAY(CD15)=7,CD15+2,CD15)))+COUNTIF(ClosedDays!$F$4:$F$32,IF(WEEKDAY(CD15)=1,CD15+1,IF(WEEKDAY(CD15)=7,CD15+2,CD15)))+COUNTIF(ClosedDays!$J$4:$J$32,IF(WEEKDAY(CD15)=1,CD15+1,IF(WEEKDAY(CD15)=7,CD15+2,CD15)))+COUNTIF(ClosedDays!$N$4:$N$32,IF(WEEKDAY(CD15)=1,CD15+1,IF(WEEKDAY(CD15)=7,CD15+2,CD15)))</f>
        <v>44473</v>
      </c>
      <c r="CF15" s="405">
        <f>CE15+IF(WEEKDAY(CE15)=1,1,IF(WEEKDAY(CE15)=7,2,0))+COUNTIF(ClosedDays!$B$4:$B$32,IF(WEEKDAY(CE15)=1,CE15+1,IF(WEEKDAY(CE15)=7,CE15+2,CE15)))+COUNTIF(ClosedDays!$F$4:$F$32,IF(WEEKDAY(CE15)=1,CE15+1,IF(WEEKDAY(CE15)=7,CE15+2,CE15)))+COUNTIF(ClosedDays!$J$4:$J$32,IF(WEEKDAY(CE15)=1,CE15+1,IF(WEEKDAY(CE15)=7,CE15+2,CE15)))+COUNTIF(ClosedDays!$N$4:$N$32,IF(WEEKDAY(CE15)=1,CE15+1,IF(WEEKDAY(CE15)=7,CE15+2,CE15)))</f>
        <v>44473</v>
      </c>
      <c r="CG15" s="405">
        <f>CF15+IF(WEEKDAY(CF15)=1,1,IF(WEEKDAY(CF15)=7,2,0))+COUNTIF(ClosedDays!$B$4:$B$32,IF(WEEKDAY(CF15)=1,CF15+1,IF(WEEKDAY(CF15)=7,CF15+2,CF15)))+COUNTIF(ClosedDays!$F$4:$F$32,IF(WEEKDAY(CF15)=1,CF15+1,IF(WEEKDAY(CF15)=7,CF15+2,CF15)))+COUNTIF(ClosedDays!$J$4:$J$32,IF(WEEKDAY(CF15)=1,CF15+1,IF(WEEKDAY(CF15)=7,CF15+2,CF15)))+COUNTIF(ClosedDays!$N$4:$N$32,IF(WEEKDAY(CF15)=1,CF15+1,IF(WEEKDAY(CF15)=7,CF15+2,CF15)))</f>
        <v>44473</v>
      </c>
      <c r="CH15" s="405">
        <f t="shared" si="17"/>
        <v>44473</v>
      </c>
      <c r="CI15" s="446">
        <f>IF(AND($D15&lt;='Outline Info'!$H$33,CH15&gt;='Outline Info'!$H$33,$CJ$4=1,$AC15&gt;10,$AC15&lt;9997),1,0)</f>
        <v>0</v>
      </c>
      <c r="CJ15" s="405">
        <f>IF(CI15=1,CH15+'Outline Info'!$I$33-'Outline Info'!$H$33+1,CH15)</f>
        <v>44473</v>
      </c>
      <c r="CK15" s="405">
        <f>CJ15+IF(WEEKDAY(CJ15)=1,1,IF(WEEKDAY(CJ15)=7,2,0))+COUNTIF(ClosedDays!$B$4:$B$32,IF(WEEKDAY(CJ15)=1,CJ15+1,IF(WEEKDAY(CJ15)=7,CJ15+2,CJ15)))+COUNTIF(ClosedDays!$F$4:$F$32,IF(WEEKDAY(CJ15)=1,CJ15+1,IF(WEEKDAY(CJ15)=7,CJ15+2,CJ15)))+COUNTIF(ClosedDays!$J$4:$J$32,IF(WEEKDAY(CJ15)=1,CJ15+1,IF(WEEKDAY(CJ15)=7,CJ15+2,CJ15)))+COUNTIF(ClosedDays!$N$4:$N$32,IF(WEEKDAY(CJ15)=1,CJ15+1,IF(WEEKDAY(CJ15)=7,CJ15+2,CJ15)))</f>
        <v>44473</v>
      </c>
      <c r="CL15" s="405">
        <f>CK15+IF(WEEKDAY(CK15)=1,1,IF(WEEKDAY(CK15)=7,2,0))+COUNTIF(ClosedDays!$B$4:$B$32,IF(WEEKDAY(CK15)=1,CK15+1,IF(WEEKDAY(CK15)=7,CK15+2,CK15)))+COUNTIF(ClosedDays!$F$4:$F$32,IF(WEEKDAY(CK15)=1,CK15+1,IF(WEEKDAY(CK15)=7,CK15+2,CK15)))+COUNTIF(ClosedDays!$J$4:$J$32,IF(WEEKDAY(CK15)=1,CK15+1,IF(WEEKDAY(CK15)=7,CK15+2,CK15)))+COUNTIF(ClosedDays!$N$4:$N$32,IF(WEEKDAY(CK15)=1,CK15+1,IF(WEEKDAY(CK15)=7,CK15+2,CK15)))</f>
        <v>44473</v>
      </c>
      <c r="CM15" s="405">
        <f>CL15+IF(WEEKDAY(CL15)=1,1,IF(WEEKDAY(CL15)=7,2,0))+COUNTIF(ClosedDays!$B$4:$B$32,IF(WEEKDAY(CL15)=1,CL15+1,IF(WEEKDAY(CL15)=7,CL15+2,CL15)))+COUNTIF(ClosedDays!$F$4:$F$32,IF(WEEKDAY(CL15)=1,CL15+1,IF(WEEKDAY(CL15)=7,CL15+2,CL15)))+COUNTIF(ClosedDays!$J$4:$J$32,IF(WEEKDAY(CL15)=1,CL15+1,IF(WEEKDAY(CL15)=7,CL15+2,CL15)))+COUNTIF(ClosedDays!$N$4:$N$32,IF(WEEKDAY(CL15)=1,CL15+1,IF(WEEKDAY(CL15)=7,CL15+2,CL15)))</f>
        <v>44473</v>
      </c>
      <c r="CN15" s="405">
        <f>CM15+IF(WEEKDAY(CM15)=1,1,IF(WEEKDAY(CM15)=7,2,0))+COUNTIF(ClosedDays!$B$4:$B$32,IF(WEEKDAY(CM15)=1,CM15+1,IF(WEEKDAY(CM15)=7,CM15+2,CM15)))+COUNTIF(ClosedDays!$F$4:$F$32,IF(WEEKDAY(CM15)=1,CM15+1,IF(WEEKDAY(CM15)=7,CM15+2,CM15)))+COUNTIF(ClosedDays!$J$4:$J$32,IF(WEEKDAY(CM15)=1,CM15+1,IF(WEEKDAY(CM15)=7,CM15+2,CM15)))+COUNTIF(ClosedDays!$N$4:$N$32,IF(WEEKDAY(CM15)=1,CM15+1,IF(WEEKDAY(CM15)=7,CM15+2,CM15)))</f>
        <v>44473</v>
      </c>
      <c r="CO15" s="405">
        <f>CN15+IF(WEEKDAY(CN15)=1,1,IF(WEEKDAY(CN15)=7,2,0))+COUNTIF(ClosedDays!$B$4:$B$32,IF(WEEKDAY(CN15)=1,CN15+1,IF(WEEKDAY(CN15)=7,CN15+2,CN15)))+COUNTIF(ClosedDays!$F$4:$F$32,IF(WEEKDAY(CN15)=1,CN15+1,IF(WEEKDAY(CN15)=7,CN15+2,CN15)))+COUNTIF(ClosedDays!$J$4:$J$32,IF(WEEKDAY(CN15)=1,CN15+1,IF(WEEKDAY(CN15)=7,CN15+2,CN15)))+COUNTIF(ClosedDays!$N$4:$N$32,IF(WEEKDAY(CN15)=1,CN15+1,IF(WEEKDAY(CN15)=7,CN15+2,CN15)))</f>
        <v>44473</v>
      </c>
      <c r="CP15" s="405">
        <f>CO15+IF(WEEKDAY(CO15)=1,1,IF(WEEKDAY(CO15)=7,2,0))+COUNTIF(ClosedDays!$B$4:$B$32,IF(WEEKDAY(CO15)=1,CO15+1,IF(WEEKDAY(CO15)=7,CO15+2,CO15)))+COUNTIF(ClosedDays!$F$4:$F$32,IF(WEEKDAY(CO15)=1,CO15+1,IF(WEEKDAY(CO15)=7,CO15+2,CO15)))+COUNTIF(ClosedDays!$J$4:$J$32,IF(WEEKDAY(CO15)=1,CO15+1,IF(WEEKDAY(CO15)=7,CO15+2,CO15)))+COUNTIF(ClosedDays!$N$4:$N$32,IF(WEEKDAY(CO15)=1,CO15+1,IF(WEEKDAY(CO15)=7,CO15+2,CO15)))</f>
        <v>44473</v>
      </c>
      <c r="CQ15" s="405">
        <f>CP15+IF(WEEKDAY(CP15)=1,1,IF(WEEKDAY(CP15)=7,2,0))+COUNTIF(ClosedDays!$B$4:$B$32,IF(WEEKDAY(CP15)=1,CP15+1,IF(WEEKDAY(CP15)=7,CP15+2,CP15)))+COUNTIF(ClosedDays!$F$4:$F$32,IF(WEEKDAY(CP15)=1,CP15+1,IF(WEEKDAY(CP15)=7,CP15+2,CP15)))+COUNTIF(ClosedDays!$J$4:$J$32,IF(WEEKDAY(CP15)=1,CP15+1,IF(WEEKDAY(CP15)=7,CP15+2,CP15)))+COUNTIF(ClosedDays!$N$4:$N$32,IF(WEEKDAY(CP15)=1,CP15+1,IF(WEEKDAY(CP15)=7,CP15+2,CP15)))</f>
        <v>44473</v>
      </c>
      <c r="CR15" s="405">
        <f>CQ15+IF(WEEKDAY(CQ15)=1,1,IF(WEEKDAY(CQ15)=7,2,0))+COUNTIF(ClosedDays!$B$4:$B$32,IF(WEEKDAY(CQ15)=1,CQ15+1,IF(WEEKDAY(CQ15)=7,CQ15+2,CQ15)))+COUNTIF(ClosedDays!$F$4:$F$32,IF(WEEKDAY(CQ15)=1,CQ15+1,IF(WEEKDAY(CQ15)=7,CQ15+2,CQ15)))+COUNTIF(ClosedDays!$J$4:$J$32,IF(WEEKDAY(CQ15)=1,CQ15+1,IF(WEEKDAY(CQ15)=7,CQ15+2,CQ15)))+COUNTIF(ClosedDays!$N$4:$N$32,IF(WEEKDAY(CQ15)=1,CQ15+1,IF(WEEKDAY(CQ15)=7,CQ15+2,CQ15)))</f>
        <v>44473</v>
      </c>
      <c r="CS15" s="405">
        <f>CR15+IF(WEEKDAY(CR15)=1,1,IF(WEEKDAY(CR15)=7,2,0))+COUNTIF(ClosedDays!$B$4:$B$32,IF(WEEKDAY(CR15)=1,CR15+1,IF(WEEKDAY(CR15)=7,CR15+2,CR15)))+COUNTIF(ClosedDays!$F$4:$F$32,IF(WEEKDAY(CR15)=1,CR15+1,IF(WEEKDAY(CR15)=7,CR15+2,CR15)))+COUNTIF(ClosedDays!$J$4:$J$32,IF(WEEKDAY(CR15)=1,CR15+1,IF(WEEKDAY(CR15)=7,CR15+2,CR15)))+COUNTIF(ClosedDays!$N$4:$N$32,IF(WEEKDAY(CR15)=1,CR15+1,IF(WEEKDAY(CR15)=7,CR15+2,CR15)))</f>
        <v>44473</v>
      </c>
      <c r="CT15" s="405">
        <f>CS15+IF(WEEKDAY(CS15)=1,1,IF(WEEKDAY(CS15)=7,2,0))+COUNTIF(ClosedDays!$B$4:$B$32,IF(WEEKDAY(CS15)=1,CS15+1,IF(WEEKDAY(CS15)=7,CS15+2,CS15)))+COUNTIF(ClosedDays!$F$4:$F$32,IF(WEEKDAY(CS15)=1,CS15+1,IF(WEEKDAY(CS15)=7,CS15+2,CS15)))+COUNTIF(ClosedDays!$J$4:$J$32,IF(WEEKDAY(CS15)=1,CS15+1,IF(WEEKDAY(CS15)=7,CS15+2,CS15)))+COUNTIF(ClosedDays!$N$4:$N$32,IF(WEEKDAY(CS15)=1,CS15+1,IF(WEEKDAY(CS15)=7,CS15+2,CS15)))</f>
        <v>44473</v>
      </c>
      <c r="CU15" s="405">
        <f>CT15+IF(WEEKDAY(CT15)=1,1,IF(WEEKDAY(CT15)=7,2,0))+COUNTIF(ClosedDays!$B$4:$B$32,IF(WEEKDAY(CT15)=1,CT15+1,IF(WEEKDAY(CT15)=7,CT15+2,CT15)))+COUNTIF(ClosedDays!$F$4:$F$32,IF(WEEKDAY(CT15)=1,CT15+1,IF(WEEKDAY(CT15)=7,CT15+2,CT15)))+COUNTIF(ClosedDays!$J$4:$J$32,IF(WEEKDAY(CT15)=1,CT15+1,IF(WEEKDAY(CT15)=7,CT15+2,CT15)))+COUNTIF(ClosedDays!$N$4:$N$32,IF(WEEKDAY(CT15)=1,CT15+1,IF(WEEKDAY(CT15)=7,CT15+2,CT15)))</f>
        <v>44473</v>
      </c>
      <c r="CV15" s="405">
        <f>CU15+IF(WEEKDAY(CU15)=1,1,IF(WEEKDAY(CU15)=7,2,0))+COUNTIF(ClosedDays!$B$4:$B$32,IF(WEEKDAY(CU15)=1,CU15+1,IF(WEEKDAY(CU15)=7,CU15+2,CU15)))+COUNTIF(ClosedDays!$F$4:$F$32,IF(WEEKDAY(CU15)=1,CU15+1,IF(WEEKDAY(CU15)=7,CU15+2,CU15)))+COUNTIF(ClosedDays!$J$4:$J$32,IF(WEEKDAY(CU15)=1,CU15+1,IF(WEEKDAY(CU15)=7,CU15+2,CU15)))+COUNTIF(ClosedDays!$N$4:$N$32,IF(WEEKDAY(CU15)=1,CU15+1,IF(WEEKDAY(CU15)=7,CU15+2,CU15)))</f>
        <v>44473</v>
      </c>
      <c r="CW15" s="405">
        <f>CV15+IF(WEEKDAY(CV15)=1,1,IF(WEEKDAY(CV15)=7,2,0))+COUNTIF(ClosedDays!$B$4:$B$32,IF(WEEKDAY(CV15)=1,CV15+1,IF(WEEKDAY(CV15)=7,CV15+2,CV15)))+COUNTIF(ClosedDays!$F$4:$F$32,IF(WEEKDAY(CV15)=1,CV15+1,IF(WEEKDAY(CV15)=7,CV15+2,CV15)))+COUNTIF(ClosedDays!$J$4:$J$32,IF(WEEKDAY(CV15)=1,CV15+1,IF(WEEKDAY(CV15)=7,CV15+2,CV15)))+COUNTIF(ClosedDays!$N$4:$N$32,IF(WEEKDAY(CV15)=1,CV15+1,IF(WEEKDAY(CV15)=7,CV15+2,CV15)))</f>
        <v>44473</v>
      </c>
      <c r="CX15" s="405">
        <f>CW15+IF(WEEKDAY(CW15)=1,1,IF(WEEKDAY(CW15)=7,2,0))+COUNTIF(ClosedDays!$B$4:$B$32,IF(WEEKDAY(CW15)=1,CW15+1,IF(WEEKDAY(CW15)=7,CW15+2,CW15)))+COUNTIF(ClosedDays!$F$4:$F$32,IF(WEEKDAY(CW15)=1,CW15+1,IF(WEEKDAY(CW15)=7,CW15+2,CW15)))+COUNTIF(ClosedDays!$J$4:$J$32,IF(WEEKDAY(CW15)=1,CW15+1,IF(WEEKDAY(CW15)=7,CW15+2,CW15)))+COUNTIF(ClosedDays!$N$4:$N$32,IF(WEEKDAY(CW15)=1,CW15+1,IF(WEEKDAY(CW15)=7,CW15+2,CW15)))</f>
        <v>44473</v>
      </c>
      <c r="CY15" s="405">
        <f t="shared" si="18"/>
        <v>44473</v>
      </c>
      <c r="CZ15" s="446">
        <f>IF(AND($D15&lt;='Outline Info'!$E$33,CY15&gt;='Outline Info'!$E$33,$AC15&gt;10,$AC15&lt;9997),1,0)</f>
        <v>0</v>
      </c>
      <c r="DA15" s="405">
        <f>IF(AND($D15&lt;='Outline Info'!$E$33,CY15&gt;='Outline Info'!$E$33),CY15+'Outline Info'!$F$33-'Outline Info'!$E$33+1,CY15)</f>
        <v>44473</v>
      </c>
      <c r="DB15" s="405">
        <f>DA15+IF(WEEKDAY(DA15)=1,1,IF(WEEKDAY(DA15)=7,2,0))+COUNTIF(ClosedDays!$B$4:$B$32,IF(WEEKDAY(DA15)=1,DA15+1,IF(WEEKDAY(DA15)=7,DA15+2,DA15)))+COUNTIF(ClosedDays!$F$4:$F$32,IF(WEEKDAY(DA15)=1,DA15+1,IF(WEEKDAY(DA15)=7,DA15+2,DA15)))+COUNTIF(ClosedDays!$J$4:$J$32,IF(WEEKDAY(DA15)=1,DA15+1,IF(WEEKDAY(DA15)=7,DA15+2,DA15)))+COUNTIF(ClosedDays!$N$4:$N$32,IF(WEEKDAY(DA15)=1,DA15+1,IF(WEEKDAY(DA15)=7,DA15+2,DA15)))</f>
        <v>44473</v>
      </c>
      <c r="DC15" s="405">
        <f>DB15+IF(WEEKDAY(DB15)=1,1,IF(WEEKDAY(DB15)=7,2,0))+COUNTIF(ClosedDays!$B$4:$B$32,IF(WEEKDAY(DB15)=1,DB15+1,IF(WEEKDAY(DB15)=7,DB15+2,DB15)))+COUNTIF(ClosedDays!$F$4:$F$32,IF(WEEKDAY(DB15)=1,DB15+1,IF(WEEKDAY(DB15)=7,DB15+2,DB15)))+COUNTIF(ClosedDays!$J$4:$J$32,IF(WEEKDAY(DB15)=1,DB15+1,IF(WEEKDAY(DB15)=7,DB15+2,DB15)))+COUNTIF(ClosedDays!$N$4:$N$32,IF(WEEKDAY(DB15)=1,DB15+1,IF(WEEKDAY(DB15)=7,DB15+2,DB15)))</f>
        <v>44473</v>
      </c>
      <c r="DD15" s="405">
        <f>DC15+IF(WEEKDAY(DC15)=1,1,IF(WEEKDAY(DC15)=7,2,0))+COUNTIF(ClosedDays!$B$4:$B$32,IF(WEEKDAY(DC15)=1,DC15+1,IF(WEEKDAY(DC15)=7,DC15+2,DC15)))+COUNTIF(ClosedDays!$F$4:$F$32,IF(WEEKDAY(DC15)=1,DC15+1,IF(WEEKDAY(DC15)=7,DC15+2,DC15)))+COUNTIF(ClosedDays!$J$4:$J$32,IF(WEEKDAY(DC15)=1,DC15+1,IF(WEEKDAY(DC15)=7,DC15+2,DC15)))+COUNTIF(ClosedDays!$N$4:$N$32,IF(WEEKDAY(DC15)=1,DC15+1,IF(WEEKDAY(DC15)=7,DC15+2,DC15)))</f>
        <v>44473</v>
      </c>
      <c r="DE15" s="405">
        <f>DD15+IF(WEEKDAY(DD15)=1,1,IF(WEEKDAY(DD15)=7,2,0))+COUNTIF(ClosedDays!$B$4:$B$32,IF(WEEKDAY(DD15)=1,DD15+1,IF(WEEKDAY(DD15)=7,DD15+2,DD15)))+COUNTIF(ClosedDays!$F$4:$F$32,IF(WEEKDAY(DD15)=1,DD15+1,IF(WEEKDAY(DD15)=7,DD15+2,DD15)))+COUNTIF(ClosedDays!$J$4:$J$32,IF(WEEKDAY(DD15)=1,DD15+1,IF(WEEKDAY(DD15)=7,DD15+2,DD15)))+COUNTIF(ClosedDays!$N$4:$N$32,IF(WEEKDAY(DD15)=1,DD15+1,IF(WEEKDAY(DD15)=7,DD15+2,DD15)))</f>
        <v>44473</v>
      </c>
      <c r="DF15" s="405">
        <f>DE15+IF(WEEKDAY(DE15)=1,1,IF(WEEKDAY(DE15)=7,2,0))+COUNTIF(ClosedDays!$B$4:$B$32,IF(WEEKDAY(DE15)=1,DE15+1,IF(WEEKDAY(DE15)=7,DE15+2,DE15)))+COUNTIF(ClosedDays!$F$4:$F$32,IF(WEEKDAY(DE15)=1,DE15+1,IF(WEEKDAY(DE15)=7,DE15+2,DE15)))+COUNTIF(ClosedDays!$J$4:$J$32,IF(WEEKDAY(DE15)=1,DE15+1,IF(WEEKDAY(DE15)=7,DE15+2,DE15)))+COUNTIF(ClosedDays!$N$4:$N$32,IF(WEEKDAY(DE15)=1,DE15+1,IF(WEEKDAY(DE15)=7,DE15+2,DE15)))</f>
        <v>44473</v>
      </c>
      <c r="DG15" s="405">
        <f>DF15+IF(WEEKDAY(DF15)=1,1,IF(WEEKDAY(DF15)=7,2,0))+COUNTIF(ClosedDays!$B$4:$B$32,IF(WEEKDAY(DF15)=1,DF15+1,IF(WEEKDAY(DF15)=7,DF15+2,DF15)))+COUNTIF(ClosedDays!$F$4:$F$32,IF(WEEKDAY(DF15)=1,DF15+1,IF(WEEKDAY(DF15)=7,DF15+2,DF15)))+COUNTIF(ClosedDays!$J$4:$J$32,IF(WEEKDAY(DF15)=1,DF15+1,IF(WEEKDAY(DF15)=7,DF15+2,DF15)))+COUNTIF(ClosedDays!$N$4:$N$32,IF(WEEKDAY(DF15)=1,DF15+1,IF(WEEKDAY(DF15)=7,DF15+2,DF15)))</f>
        <v>44473</v>
      </c>
      <c r="DH15" s="405">
        <f>DG15+IF(WEEKDAY(DG15)=1,1,IF(WEEKDAY(DG15)=7,2,0))+COUNTIF(ClosedDays!$B$4:$B$32,IF(WEEKDAY(DG15)=1,DG15+1,IF(WEEKDAY(DG15)=7,DG15+2,DG15)))+COUNTIF(ClosedDays!$F$4:$F$32,IF(WEEKDAY(DG15)=1,DG15+1,IF(WEEKDAY(DG15)=7,DG15+2,DG15)))+COUNTIF(ClosedDays!$J$4:$J$32,IF(WEEKDAY(DG15)=1,DG15+1,IF(WEEKDAY(DG15)=7,DG15+2,DG15)))+COUNTIF(ClosedDays!$N$4:$N$32,IF(WEEKDAY(DG15)=1,DG15+1,IF(WEEKDAY(DG15)=7,DG15+2,DG15)))</f>
        <v>44473</v>
      </c>
      <c r="DI15" s="405">
        <f>DH15+IF(WEEKDAY(DH15)=1,1,IF(WEEKDAY(DH15)=7,2,0))+COUNTIF(ClosedDays!$B$4:$B$32,IF(WEEKDAY(DH15)=1,DH15+1,IF(WEEKDAY(DH15)=7,DH15+2,DH15)))+COUNTIF(ClosedDays!$F$4:$F$32,IF(WEEKDAY(DH15)=1,DH15+1,IF(WEEKDAY(DH15)=7,DH15+2,DH15)))+COUNTIF(ClosedDays!$J$4:$J$32,IF(WEEKDAY(DH15)=1,DH15+1,IF(WEEKDAY(DH15)=7,DH15+2,DH15)))+COUNTIF(ClosedDays!$N$4:$N$32,IF(WEEKDAY(DH15)=1,DH15+1,IF(WEEKDAY(DH15)=7,DH15+2,DH15)))</f>
        <v>44473</v>
      </c>
      <c r="DJ15" s="405">
        <f>DI15+IF(WEEKDAY(DI15)=1,1,IF(WEEKDAY(DI15)=7,2,0))+COUNTIF(ClosedDays!$B$4:$B$32,IF(WEEKDAY(DI15)=1,DI15+1,IF(WEEKDAY(DI15)=7,DI15+2,DI15)))+COUNTIF(ClosedDays!$F$4:$F$32,IF(WEEKDAY(DI15)=1,DI15+1,IF(WEEKDAY(DI15)=7,DI15+2,DI15)))+COUNTIF(ClosedDays!$J$4:$J$32,IF(WEEKDAY(DI15)=1,DI15+1,IF(WEEKDAY(DI15)=7,DI15+2,DI15)))+COUNTIF(ClosedDays!$N$4:$N$32,IF(WEEKDAY(DI15)=1,DI15+1,IF(WEEKDAY(DI15)=7,DI15+2,DI15)))</f>
        <v>44473</v>
      </c>
      <c r="DK15" s="405">
        <f>DJ15+IF(WEEKDAY(DJ15)=1,1,IF(WEEKDAY(DJ15)=7,2,0))+COUNTIF(ClosedDays!$B$4:$B$32,IF(WEEKDAY(DJ15)=1,DJ15+1,IF(WEEKDAY(DJ15)=7,DJ15+2,DJ15)))+COUNTIF(ClosedDays!$F$4:$F$32,IF(WEEKDAY(DJ15)=1,DJ15+1,IF(WEEKDAY(DJ15)=7,DJ15+2,DJ15)))+COUNTIF(ClosedDays!$J$4:$J$32,IF(WEEKDAY(DJ15)=1,DJ15+1,IF(WEEKDAY(DJ15)=7,DJ15+2,DJ15)))+COUNTIF(ClosedDays!$N$4:$N$32,IF(WEEKDAY(DJ15)=1,DJ15+1,IF(WEEKDAY(DJ15)=7,DJ15+2,DJ15)))</f>
        <v>44473</v>
      </c>
      <c r="DL15" s="405">
        <f>DK15+IF(WEEKDAY(DK15)=1,1,IF(WEEKDAY(DK15)=7,2,0))+COUNTIF(ClosedDays!$B$4:$B$32,IF(WEEKDAY(DK15)=1,DK15+1,IF(WEEKDAY(DK15)=7,DK15+2,DK15)))+COUNTIF(ClosedDays!$F$4:$F$32,IF(WEEKDAY(DK15)=1,DK15+1,IF(WEEKDAY(DK15)=7,DK15+2,DK15)))+COUNTIF(ClosedDays!$J$4:$J$32,IF(WEEKDAY(DK15)=1,DK15+1,IF(WEEKDAY(DK15)=7,DK15+2,DK15)))+COUNTIF(ClosedDays!$N$4:$N$32,IF(WEEKDAY(DK15)=1,DK15+1,IF(WEEKDAY(DK15)=7,DK15+2,DK15)))</f>
        <v>44473</v>
      </c>
      <c r="DM15" s="405">
        <f>DL15+IF(WEEKDAY(DL15)=1,1,IF(WEEKDAY(DL15)=7,2,0))+COUNTIF(ClosedDays!$B$4:$B$32,IF(WEEKDAY(DL15)=1,DL15+1,IF(WEEKDAY(DL15)=7,DL15+2,DL15)))+COUNTIF(ClosedDays!$F$4:$F$32,IF(WEEKDAY(DL15)=1,DL15+1,IF(WEEKDAY(DL15)=7,DL15+2,DL15)))+COUNTIF(ClosedDays!$J$4:$J$32,IF(WEEKDAY(DL15)=1,DL15+1,IF(WEEKDAY(DL15)=7,DL15+2,DL15)))+COUNTIF(ClosedDays!$N$4:$N$32,IF(WEEKDAY(DL15)=1,DL15+1,IF(WEEKDAY(DL15)=7,DL15+2,DL15)))</f>
        <v>44473</v>
      </c>
      <c r="DN15" s="405">
        <f>DM15+IF(WEEKDAY(DM15)=1,1,IF(WEEKDAY(DM15)=7,2,0))+COUNTIF(ClosedDays!$B$4:$B$32,IF(WEEKDAY(DM15)=1,DM15+1,IF(WEEKDAY(DM15)=7,DM15+2,DM15)))+COUNTIF(ClosedDays!$F$4:$F$32,IF(WEEKDAY(DM15)=1,DM15+1,IF(WEEKDAY(DM15)=7,DM15+2,DM15)))+COUNTIF(ClosedDays!$J$4:$J$32,IF(WEEKDAY(DM15)=1,DM15+1,IF(WEEKDAY(DM15)=7,DM15+2,DM15)))+COUNTIF(ClosedDays!$N$4:$N$32,IF(WEEKDAY(DM15)=1,DM15+1,IF(WEEKDAY(DM15)=7,DM15+2,DM15)))</f>
        <v>44473</v>
      </c>
      <c r="DO15" s="405">
        <f>DN15+IF(WEEKDAY(DN15)=1,1,IF(WEEKDAY(DN15)=7,2,0))+COUNTIF(ClosedDays!$B$4:$B$32,IF(WEEKDAY(DN15)=1,DN15+1,IF(WEEKDAY(DN15)=7,DN15+2,DN15)))+COUNTIF(ClosedDays!$F$4:$F$32,IF(WEEKDAY(DN15)=1,DN15+1,IF(WEEKDAY(DN15)=7,DN15+2,DN15)))+COUNTIF(ClosedDays!$J$4:$J$32,IF(WEEKDAY(DN15)=1,DN15+1,IF(WEEKDAY(DN15)=7,DN15+2,DN15)))+COUNTIF(ClosedDays!$N$4:$N$32,IF(WEEKDAY(DN15)=1,DN15+1,IF(WEEKDAY(DN15)=7,DN15+2,DN15)))</f>
        <v>44473</v>
      </c>
      <c r="DP15" s="405">
        <f t="shared" si="5"/>
        <v>44473</v>
      </c>
      <c r="DQ15" s="405">
        <f t="shared" si="20"/>
        <v>44473</v>
      </c>
      <c r="DR15" s="394">
        <f t="shared" si="19"/>
        <v>1</v>
      </c>
      <c r="DS15" s="394">
        <f>IF(AND(DR15=1,COUNTIF(DS$7:DS14,1)&lt;12,VLOOKUP(COUNTIF(DS$7:DS14,1)+1,'Outline Info'!$A$21:$C$32,2)&lt;=I15),1,0)</f>
        <v>1</v>
      </c>
      <c r="DT15" s="405" t="str">
        <f>IF(DS15=1,IF(VLOOKUP(COUNTIF(DS$7:DS15,1),'Outline Info'!$A$21:$C$32,2)=0,"",VLOOKUP(COUNTIF(DS$7:DS15,1),'Outline Info'!$A$21:$C$32,2)),"")</f>
        <v/>
      </c>
      <c r="DU15" s="447">
        <f>IF(DS15=1,VLOOKUP(COUNTIF(DS$7:DS15,1),'Outline Info'!$A$21:$C$32,3),0)</f>
        <v>0</v>
      </c>
      <c r="DV15" s="445">
        <f>IF('Outline Info'!$B$8="Y",IF(B15="*",'Outline Info'!$B$19,IF(OR($A15="",B15="X",B15="x"),0,VLOOKUP($A15,'Course Table'!$A$2:$J$331,4,TRUE))),0)</f>
        <v>0</v>
      </c>
      <c r="DW15" s="447">
        <f t="shared" si="6"/>
        <v>0</v>
      </c>
      <c r="DX15" s="447">
        <f>IF('Outline Info'!$B$8="Y",$DV15,$DW15)</f>
        <v>0</v>
      </c>
      <c r="DY15" s="394"/>
      <c r="DZ15" s="934"/>
      <c r="EA15" s="934"/>
      <c r="EB15" s="394"/>
      <c r="EC15" s="394"/>
      <c r="ED15" s="394"/>
    </row>
    <row r="16" spans="1:134" s="400" customFormat="1" ht="20.100000000000001" customHeight="1">
      <c r="A16" s="874" t="str">
        <f t="shared" si="7"/>
        <v/>
      </c>
      <c r="B16" s="876" t="str">
        <f t="shared" si="8"/>
        <v/>
      </c>
      <c r="C16" s="878" t="str">
        <f t="shared" si="9"/>
        <v/>
      </c>
      <c r="D16" s="463">
        <f>IF(NOT(ISBLANK(DZ16)),DZ16,IF(AND($AC16=9998,'Outline Info'!$H$33&gt;='Outline Info'!$B$6,'Outline Info'!$H$33&lt;='Outline Info'!$C$6),'Outline Info'!$H$33,IF(AND($AC16=9997,'Outline Info'!$H$31&gt;='Outline Info'!$B$6,'Outline Info'!$H$31&lt;='Outline Info'!$C$6),'Outline Info'!$H$31,IF(AE16="*",DQ15,IF(OR(AE16="x",AE16="X"),I15,IF(AND(AC16&gt;6,AC15&lt;6),DQ15,IF(AND($AC16=9998,$AC15=9997),I14,I15)))))))</f>
        <v>44470</v>
      </c>
      <c r="E16" s="1286"/>
      <c r="F16" s="1287"/>
      <c r="G16" s="1282"/>
      <c r="H16" s="1283"/>
      <c r="I16" s="464">
        <f>IF(AND($AC16=9998,'Outline Info'!$I$33&gt;='Outline Info'!$B$6,'Outline Info'!$I$33&lt;='Outline Info'!$C$6),'Outline Info'!$I$33,IF(AND($AC16=9997,'Outline Info'!$I$31&gt;='Outline Info'!$B$6,'Outline Info'!$I$31&lt;='Outline Info'!$C$6),'Outline Info'!$I$31,IF(DP16&gt;$V$4,$V$4,DP16)))</f>
        <v>44470</v>
      </c>
      <c r="J16" s="436"/>
      <c r="K16" s="437"/>
      <c r="L16" s="438"/>
      <c r="M16" s="438"/>
      <c r="N16" s="435"/>
      <c r="O16" s="435"/>
      <c r="P16" s="438"/>
      <c r="Q16" s="438"/>
      <c r="R16" s="439"/>
      <c r="S16" s="872">
        <f>IF($V$5-SUM($DX$7:$DX16)&lt;0,IF($V$5-SUM($DX$7:$DX15)&lt;0,0,$V$5-SUM($DX$7:$DX15)),DX16)</f>
        <v>0</v>
      </c>
      <c r="T16" s="440" t="str">
        <f>IF(S16&gt;0,IF('Outline Info'!$B$8="Y",D16,DT16),"")</f>
        <v/>
      </c>
      <c r="U16" s="441"/>
      <c r="V16" s="442"/>
      <c r="W16" s="870" t="str">
        <f>IF('Outline Info'!$C$33&gt;0,ROUND(IF('Outline Info'!$B$8="Y",SUM(S$7:S16)-SUM(AJ$7:AJ16)-'Outline Info'!$B$14-'Outline Info'!$B$15-'Outline Info'!$B$17,IF(AL16=0,SUM(S$7:S16)-SUM(AK$7:AK16)-SUM(AP16:AS16)-'Outline Info'!$B$14-'Outline Info'!$B$15-'Outline Info'!$B$17,0)),0),IF('Outline Info'!$T$4&lt;&gt;1,"",IF(OR(AD16="",AL16=1),"",SUM(AK$7:AK16)+SUM(AP16:AS16)+'Outline Info'!$B$14+'Outline Info'!$B$15+'Outline Info'!$B$17)))</f>
        <v/>
      </c>
      <c r="X16" s="448"/>
      <c r="Y16" s="443">
        <f>IF(OR(AE16="X",AE16="x",AE16="*",AC16=99999),0,IF(AC16&lt;50,0,IF($S$4-SUM($Y$7:$Y15)&gt;0,1,0)))</f>
        <v>0</v>
      </c>
      <c r="Z16" s="444">
        <f>IF(AC16&lt;99999,IF(AE16="*",AH16,IF(OR(AE16="x",AE16="X",AC16&lt;10),0,IF(AND(AC16&lt;&gt;9998,AC16&lt;&gt;9997),IF(AM16=1,(AH16+$AM$5)*(1+('Outline Info'!$B$16)),IF(AN16=1,(AH16+$AN$5)*(1+('Outline Info'!$B$16)),0)),AH16))),0)</f>
        <v>0</v>
      </c>
      <c r="AA16" s="395">
        <f>Z16/'Outline Info'!$C$11+Y16</f>
        <v>0</v>
      </c>
      <c r="AB16" s="395">
        <f>ROUND(AA16/'Outline Info'!$B$11*7,0)</f>
        <v>0</v>
      </c>
      <c r="AC16" s="445">
        <f>IF($AD16&lt;&gt;"",VLOOKUP($AD16,'Course Table'!$A$2:$J$331,10,TRUE),99999)</f>
        <v>99999</v>
      </c>
      <c r="AD16" s="394"/>
      <c r="AE16" s="394"/>
      <c r="AF16" s="394"/>
      <c r="AG16" s="394"/>
      <c r="AH16" s="394"/>
      <c r="AI16" s="394">
        <v>389</v>
      </c>
      <c r="AJ16" s="394">
        <v>389</v>
      </c>
      <c r="AK16" s="394">
        <f t="shared" si="10"/>
        <v>389</v>
      </c>
      <c r="AL16" s="394">
        <f t="shared" si="11"/>
        <v>0</v>
      </c>
      <c r="AM16" s="394">
        <f t="shared" si="12"/>
        <v>0</v>
      </c>
      <c r="AN16" s="394">
        <f t="shared" si="13"/>
        <v>0</v>
      </c>
      <c r="AO16" s="394">
        <f>IF(AN16=1,SUMPRODUCT($AJ$7:$AJ16,$AN$7:$AN16),0)</f>
        <v>0</v>
      </c>
      <c r="AP16" s="394">
        <f t="shared" si="14"/>
        <v>0</v>
      </c>
      <c r="AQ16" s="394">
        <f t="shared" si="14"/>
        <v>0</v>
      </c>
      <c r="AR16" s="394">
        <f t="shared" si="14"/>
        <v>0</v>
      </c>
      <c r="AS16" s="394">
        <f t="shared" si="14"/>
        <v>0</v>
      </c>
      <c r="AT16" s="394">
        <f t="shared" si="15"/>
        <v>0</v>
      </c>
      <c r="AU16" s="394">
        <f t="shared" si="15"/>
        <v>0</v>
      </c>
      <c r="AV16" s="394">
        <f t="shared" si="15"/>
        <v>0</v>
      </c>
      <c r="AW16" s="394">
        <f t="shared" si="15"/>
        <v>0</v>
      </c>
      <c r="AX16" s="394">
        <f t="shared" si="1"/>
        <v>0</v>
      </c>
      <c r="AY16" s="394">
        <f t="shared" si="2"/>
        <v>0</v>
      </c>
      <c r="AZ16" s="394">
        <f t="shared" si="3"/>
        <v>0</v>
      </c>
      <c r="BA16" s="394">
        <f t="shared" si="4"/>
        <v>0</v>
      </c>
      <c r="BB16" s="405">
        <f t="shared" si="21"/>
        <v>44473</v>
      </c>
      <c r="BC16" s="405">
        <f>BB16+IF(WEEKDAY(BB16)=1,1,IF(WEEKDAY(BB16)=7,2,0))+COUNTIF(ClosedDays!$B$4:$B$32,IF(WEEKDAY(BB16)=1,BB16+1,IF(WEEKDAY(BB16)=7,BB16+2,BB16)))+COUNTIF(ClosedDays!$F$4:$F$32,IF(WEEKDAY(BB16)=1,BB16+1,IF(WEEKDAY(BB16)=7,BB16+2,BB16)))+COUNTIF(ClosedDays!$J$4:$J$32,IF(WEEKDAY(BB16)=1,BB16+1,IF(WEEKDAY(BB16)=7,BB16+2,BB16)))+COUNTIF(ClosedDays!$N$4:$N$32,IF(WEEKDAY(BB16)=1,BB16+1,IF(WEEKDAY(BB16)=7,BB16+2,BB16)))</f>
        <v>44473</v>
      </c>
      <c r="BD16" s="405">
        <f>BC16+IF(WEEKDAY(BC16)=1,1,IF(WEEKDAY(BC16)=7,2,0))+COUNTIF(ClosedDays!$B$4:$B$32,IF(WEEKDAY(BC16)=1,BC16+1,IF(WEEKDAY(BC16)=7,BC16+2,BC16)))+COUNTIF(ClosedDays!$F$4:$F$32,IF(WEEKDAY(BC16)=1,BC16+1,IF(WEEKDAY(BC16)=7,BC16+2,BC16)))+COUNTIF(ClosedDays!$J$4:$J$32,IF(WEEKDAY(BC16)=1,BC16+1,IF(WEEKDAY(BC16)=7,BC16+2,BC16)))+COUNTIF(ClosedDays!$N$4:$N$32,IF(WEEKDAY(BC16)=1,BC16+1,IF(WEEKDAY(BC16)=7,BC16+2,BC16)))</f>
        <v>44473</v>
      </c>
      <c r="BE16" s="405">
        <f>BD16+IF(WEEKDAY(BD16)=1,1,IF(WEEKDAY(BD16)=7,2,0))+COUNTIF(ClosedDays!$B$4:$B$32,IF(WEEKDAY(BD16)=1,BD16+1,IF(WEEKDAY(BD16)=7,BD16+2,BD16)))+COUNTIF(ClosedDays!$F$4:$F$32,IF(WEEKDAY(BD16)=1,BD16+1,IF(WEEKDAY(BD16)=7,BD16+2,BD16)))+COUNTIF(ClosedDays!$J$4:$J$32,IF(WEEKDAY(BD16)=1,BD16+1,IF(WEEKDAY(BD16)=7,BD16+2,BD16)))+COUNTIF(ClosedDays!$N$4:$N$32,IF(WEEKDAY(BD16)=1,BD16+1,IF(WEEKDAY(BD16)=7,BD16+2,BD16)))</f>
        <v>44473</v>
      </c>
      <c r="BF16" s="405">
        <f>BE16+IF(WEEKDAY(BE16)=1,1,IF(WEEKDAY(BE16)=7,2,0))+COUNTIF(ClosedDays!$B$4:$B$32,IF(WEEKDAY(BE16)=1,BE16+1,IF(WEEKDAY(BE16)=7,BE16+2,BE16)))+COUNTIF(ClosedDays!$F$4:$F$32,IF(WEEKDAY(BE16)=1,BE16+1,IF(WEEKDAY(BE16)=7,BE16+2,BE16)))+COUNTIF(ClosedDays!$J$4:$J$32,IF(WEEKDAY(BE16)=1,BE16+1,IF(WEEKDAY(BE16)=7,BE16+2,BE16)))+COUNTIF(ClosedDays!$N$4:$N$32,IF(WEEKDAY(BE16)=1,BE16+1,IF(WEEKDAY(BE16)=7,BE16+2,BE16)))</f>
        <v>44473</v>
      </c>
      <c r="BG16" s="405">
        <f>BF16+IF(WEEKDAY(BF16)=1,1,IF(WEEKDAY(BF16)=7,2,0))+COUNTIF(ClosedDays!$B$4:$B$32,IF(WEEKDAY(BF16)=1,BF16+1,IF(WEEKDAY(BF16)=7,BF16+2,BF16)))+COUNTIF(ClosedDays!$F$4:$F$32,IF(WEEKDAY(BF16)=1,BF16+1,IF(WEEKDAY(BF16)=7,BF16+2,BF16)))+COUNTIF(ClosedDays!$J$4:$J$32,IF(WEEKDAY(BF16)=1,BF16+1,IF(WEEKDAY(BF16)=7,BF16+2,BF16)))+COUNTIF(ClosedDays!$N$4:$N$32,IF(WEEKDAY(BF16)=1,BF16+1,IF(WEEKDAY(BF16)=7,BF16+2,BF16)))</f>
        <v>44473</v>
      </c>
      <c r="BH16" s="405">
        <f>BG16+IF(WEEKDAY(BG16)=1,1,IF(WEEKDAY(BG16)=7,2,0))+COUNTIF(ClosedDays!$B$4:$B$32,IF(WEEKDAY(BG16)=1,BG16+1,IF(WEEKDAY(BG16)=7,BG16+2,BG16)))+COUNTIF(ClosedDays!$F$4:$F$32,IF(WEEKDAY(BG16)=1,BG16+1,IF(WEEKDAY(BG16)=7,BG16+2,BG16)))+COUNTIF(ClosedDays!$J$4:$J$32,IF(WEEKDAY(BG16)=1,BG16+1,IF(WEEKDAY(BG16)=7,BG16+2,BG16)))+COUNTIF(ClosedDays!$N$4:$N$32,IF(WEEKDAY(BG16)=1,BG16+1,IF(WEEKDAY(BG16)=7,BG16+2,BG16)))</f>
        <v>44473</v>
      </c>
      <c r="BI16" s="405">
        <f>BH16+IF(WEEKDAY(BH16)=1,1,IF(WEEKDAY(BH16)=7,2,0))+COUNTIF(ClosedDays!$B$4:$B$32,IF(WEEKDAY(BH16)=1,BH16+1,IF(WEEKDAY(BH16)=7,BH16+2,BH16)))+COUNTIF(ClosedDays!$F$4:$F$32,IF(WEEKDAY(BH16)=1,BH16+1,IF(WEEKDAY(BH16)=7,BH16+2,BH16)))+COUNTIF(ClosedDays!$J$4:$J$32,IF(WEEKDAY(BH16)=1,BH16+1,IF(WEEKDAY(BH16)=7,BH16+2,BH16)))+COUNTIF(ClosedDays!$N$4:$N$32,IF(WEEKDAY(BH16)=1,BH16+1,IF(WEEKDAY(BH16)=7,BH16+2,BH16)))</f>
        <v>44473</v>
      </c>
      <c r="BJ16" s="405">
        <f>BI16+IF(WEEKDAY(BI16)=1,1,IF(WEEKDAY(BI16)=7,2,0))+COUNTIF(ClosedDays!$B$4:$B$32,IF(WEEKDAY(BI16)=1,BI16+1,IF(WEEKDAY(BI16)=7,BI16+2,BI16)))+COUNTIF(ClosedDays!$F$4:$F$32,IF(WEEKDAY(BI16)=1,BI16+1,IF(WEEKDAY(BI16)=7,BI16+2,BI16)))+COUNTIF(ClosedDays!$J$4:$J$32,IF(WEEKDAY(BI16)=1,BI16+1,IF(WEEKDAY(BI16)=7,BI16+2,BI16)))+COUNTIF(ClosedDays!$N$4:$N$32,IF(WEEKDAY(BI16)=1,BI16+1,IF(WEEKDAY(BI16)=7,BI16+2,BI16)))</f>
        <v>44473</v>
      </c>
      <c r="BK16" s="405">
        <f>BJ16+IF(WEEKDAY(BJ16)=1,1,IF(WEEKDAY(BJ16)=7,2,0))+COUNTIF(ClosedDays!$B$4:$B$32,IF(WEEKDAY(BJ16)=1,BJ16+1,IF(WEEKDAY(BJ16)=7,BJ16+2,BJ16)))+COUNTIF(ClosedDays!$F$4:$F$32,IF(WEEKDAY(BJ16)=1,BJ16+1,IF(WEEKDAY(BJ16)=7,BJ16+2,BJ16)))+COUNTIF(ClosedDays!$J$4:$J$32,IF(WEEKDAY(BJ16)=1,BJ16+1,IF(WEEKDAY(BJ16)=7,BJ16+2,BJ16)))+COUNTIF(ClosedDays!$N$4:$N$32,IF(WEEKDAY(BJ16)=1,BJ16+1,IF(WEEKDAY(BJ16)=7,BJ16+2,BJ16)))</f>
        <v>44473</v>
      </c>
      <c r="BL16" s="405">
        <f>BK16+IF(WEEKDAY(BK16)=1,1,IF(WEEKDAY(BK16)=7,2,0))+COUNTIF(ClosedDays!$B$4:$B$32,IF(WEEKDAY(BK16)=1,BK16+1,IF(WEEKDAY(BK16)=7,BK16+2,BK16)))+COUNTIF(ClosedDays!$F$4:$F$32,IF(WEEKDAY(BK16)=1,BK16+1,IF(WEEKDAY(BK16)=7,BK16+2,BK16)))+COUNTIF(ClosedDays!$J$4:$J$32,IF(WEEKDAY(BK16)=1,BK16+1,IF(WEEKDAY(BK16)=7,BK16+2,BK16)))+COUNTIF(ClosedDays!$N$4:$N$32,IF(WEEKDAY(BK16)=1,BK16+1,IF(WEEKDAY(BK16)=7,BK16+2,BK16)))</f>
        <v>44473</v>
      </c>
      <c r="BM16" s="405">
        <f>BL16+IF(WEEKDAY(BL16)=1,1,IF(WEEKDAY(BL16)=7,2,0))+COUNTIF(ClosedDays!$B$4:$B$32,IF(WEEKDAY(BL16)=1,BL16+1,IF(WEEKDAY(BL16)=7,BL16+2,BL16)))+COUNTIF(ClosedDays!$F$4:$F$32,IF(WEEKDAY(BL16)=1,BL16+1,IF(WEEKDAY(BL16)=7,BL16+2,BL16)))+COUNTIF(ClosedDays!$J$4:$J$32,IF(WEEKDAY(BL16)=1,BL16+1,IF(WEEKDAY(BL16)=7,BL16+2,BL16)))+COUNTIF(ClosedDays!$N$4:$N$32,IF(WEEKDAY(BL16)=1,BL16+1,IF(WEEKDAY(BL16)=7,BL16+2,BL16)))</f>
        <v>44473</v>
      </c>
      <c r="BN16" s="405">
        <f>BM16+IF(WEEKDAY(BM16)=1,1,IF(WEEKDAY(BM16)=7,2,0))+COUNTIF(ClosedDays!$B$4:$B$32,IF(WEEKDAY(BM16)=1,BM16+1,IF(WEEKDAY(BM16)=7,BM16+2,BM16)))+COUNTIF(ClosedDays!$F$4:$F$32,IF(WEEKDAY(BM16)=1,BM16+1,IF(WEEKDAY(BM16)=7,BM16+2,BM16)))+COUNTIF(ClosedDays!$J$4:$J$32,IF(WEEKDAY(BM16)=1,BM16+1,IF(WEEKDAY(BM16)=7,BM16+2,BM16)))+COUNTIF(ClosedDays!$N$4:$N$32,IF(WEEKDAY(BM16)=1,BM16+1,IF(WEEKDAY(BM16)=7,BM16+2,BM16)))</f>
        <v>44473</v>
      </c>
      <c r="BO16" s="405">
        <f>BN16+IF(WEEKDAY(BN16)=1,1,IF(WEEKDAY(BN16)=7,2,0))+COUNTIF(ClosedDays!$B$4:$B$32,IF(WEEKDAY(BN16)=1,BN16+1,IF(WEEKDAY(BN16)=7,BN16+2,BN16)))+COUNTIF(ClosedDays!$F$4:$F$32,IF(WEEKDAY(BN16)=1,BN16+1,IF(WEEKDAY(BN16)=7,BN16+2,BN16)))+COUNTIF(ClosedDays!$J$4:$J$32,IF(WEEKDAY(BN16)=1,BN16+1,IF(WEEKDAY(BN16)=7,BN16+2,BN16)))+COUNTIF(ClosedDays!$N$4:$N$32,IF(WEEKDAY(BN16)=1,BN16+1,IF(WEEKDAY(BN16)=7,BN16+2,BN16)))</f>
        <v>44473</v>
      </c>
      <c r="BP16" s="405">
        <f>BO16+IF(WEEKDAY(BO16)=1,1,IF(WEEKDAY(BO16)=7,2,0))+COUNTIF(ClosedDays!$B$4:$B$32,IF(WEEKDAY(BO16)=1,BO16+1,IF(WEEKDAY(BO16)=7,BO16+2,BO16)))+COUNTIF(ClosedDays!$F$4:$F$32,IF(WEEKDAY(BO16)=1,BO16+1,IF(WEEKDAY(BO16)=7,BO16+2,BO16)))+COUNTIF(ClosedDays!$J$4:$J$32,IF(WEEKDAY(BO16)=1,BO16+1,IF(WEEKDAY(BO16)=7,BO16+2,BO16)))+COUNTIF(ClosedDays!$N$4:$N$32,IF(WEEKDAY(BO16)=1,BO16+1,IF(WEEKDAY(BO16)=7,BO16+2,BO16)))</f>
        <v>44473</v>
      </c>
      <c r="BQ16" s="405">
        <f t="shared" si="16"/>
        <v>44473</v>
      </c>
      <c r="BR16" s="446">
        <f>IF(AND($D16&lt;='Outline Info'!$H$31,BQ16&gt;='Outline Info'!$H$31,$BS$4=1,$AC16&gt;10,$AC16&lt;9997),1,0)</f>
        <v>0</v>
      </c>
      <c r="BS16" s="405">
        <f>IF(BR16=1,BQ16+'Outline Info'!$I$31-'Outline Info'!$H$31+1,BQ16)</f>
        <v>44473</v>
      </c>
      <c r="BT16" s="405">
        <f>BS16+IF(WEEKDAY(BS16)=1,1,IF(WEEKDAY(BS16)=7,2,0))+COUNTIF(ClosedDays!$B$4:$B$32,IF(WEEKDAY(BS16)=1,BS16+1,IF(WEEKDAY(BS16)=7,BS16+2,BS16)))+COUNTIF(ClosedDays!$F$4:$F$32,IF(WEEKDAY(BS16)=1,BS16+1,IF(WEEKDAY(BS16)=7,BS16+2,BS16)))+COUNTIF(ClosedDays!$J$4:$J$32,IF(WEEKDAY(BS16)=1,BS16+1,IF(WEEKDAY(BS16)=7,BS16+2,BS16)))+COUNTIF(ClosedDays!$N$4:$N$32,IF(WEEKDAY(BS16)=1,BS16+1,IF(WEEKDAY(BS16)=7,BS16+2,BS16)))</f>
        <v>44473</v>
      </c>
      <c r="BU16" s="405">
        <f>BT16+IF(WEEKDAY(BT16)=1,1,IF(WEEKDAY(BT16)=7,2,0))+COUNTIF(ClosedDays!$B$4:$B$32,IF(WEEKDAY(BT16)=1,BT16+1,IF(WEEKDAY(BT16)=7,BT16+2,BT16)))+COUNTIF(ClosedDays!$F$4:$F$32,IF(WEEKDAY(BT16)=1,BT16+1,IF(WEEKDAY(BT16)=7,BT16+2,BT16)))+COUNTIF(ClosedDays!$J$4:$J$32,IF(WEEKDAY(BT16)=1,BT16+1,IF(WEEKDAY(BT16)=7,BT16+2,BT16)))+COUNTIF(ClosedDays!$N$4:$N$32,IF(WEEKDAY(BT16)=1,BT16+1,IF(WEEKDAY(BT16)=7,BT16+2,BT16)))</f>
        <v>44473</v>
      </c>
      <c r="BV16" s="405">
        <f>BU16+IF(WEEKDAY(BU16)=1,1,IF(WEEKDAY(BU16)=7,2,0))+COUNTIF(ClosedDays!$B$4:$B$32,IF(WEEKDAY(BU16)=1,BU16+1,IF(WEEKDAY(BU16)=7,BU16+2,BU16)))+COUNTIF(ClosedDays!$F$4:$F$32,IF(WEEKDAY(BU16)=1,BU16+1,IF(WEEKDAY(BU16)=7,BU16+2,BU16)))+COUNTIF(ClosedDays!$J$4:$J$32,IF(WEEKDAY(BU16)=1,BU16+1,IF(WEEKDAY(BU16)=7,BU16+2,BU16)))+COUNTIF(ClosedDays!$N$4:$N$32,IF(WEEKDAY(BU16)=1,BU16+1,IF(WEEKDAY(BU16)=7,BU16+2,BU16)))</f>
        <v>44473</v>
      </c>
      <c r="BW16" s="405">
        <f>BV16+IF(WEEKDAY(BV16)=1,1,IF(WEEKDAY(BV16)=7,2,0))+COUNTIF(ClosedDays!$B$4:$B$32,IF(WEEKDAY(BV16)=1,BV16+1,IF(WEEKDAY(BV16)=7,BV16+2,BV16)))+COUNTIF(ClosedDays!$F$4:$F$32,IF(WEEKDAY(BV16)=1,BV16+1,IF(WEEKDAY(BV16)=7,BV16+2,BV16)))+COUNTIF(ClosedDays!$J$4:$J$32,IF(WEEKDAY(BV16)=1,BV16+1,IF(WEEKDAY(BV16)=7,BV16+2,BV16)))+COUNTIF(ClosedDays!$N$4:$N$32,IF(WEEKDAY(BV16)=1,BV16+1,IF(WEEKDAY(BV16)=7,BV16+2,BV16)))</f>
        <v>44473</v>
      </c>
      <c r="BX16" s="405">
        <f>BW16+IF(WEEKDAY(BW16)=1,1,IF(WEEKDAY(BW16)=7,2,0))+COUNTIF(ClosedDays!$B$4:$B$32,IF(WEEKDAY(BW16)=1,BW16+1,IF(WEEKDAY(BW16)=7,BW16+2,BW16)))+COUNTIF(ClosedDays!$F$4:$F$32,IF(WEEKDAY(BW16)=1,BW16+1,IF(WEEKDAY(BW16)=7,BW16+2,BW16)))+COUNTIF(ClosedDays!$J$4:$J$32,IF(WEEKDAY(BW16)=1,BW16+1,IF(WEEKDAY(BW16)=7,BW16+2,BW16)))+COUNTIF(ClosedDays!$N$4:$N$32,IF(WEEKDAY(BW16)=1,BW16+1,IF(WEEKDAY(BW16)=7,BW16+2,BW16)))</f>
        <v>44473</v>
      </c>
      <c r="BY16" s="405">
        <f>BX16+IF(WEEKDAY(BX16)=1,1,IF(WEEKDAY(BX16)=7,2,0))+COUNTIF(ClosedDays!$B$4:$B$32,IF(WEEKDAY(BX16)=1,BX16+1,IF(WEEKDAY(BX16)=7,BX16+2,BX16)))+COUNTIF(ClosedDays!$F$4:$F$32,IF(WEEKDAY(BX16)=1,BX16+1,IF(WEEKDAY(BX16)=7,BX16+2,BX16)))+COUNTIF(ClosedDays!$J$4:$J$32,IF(WEEKDAY(BX16)=1,BX16+1,IF(WEEKDAY(BX16)=7,BX16+2,BX16)))+COUNTIF(ClosedDays!$N$4:$N$32,IF(WEEKDAY(BX16)=1,BX16+1,IF(WEEKDAY(BX16)=7,BX16+2,BX16)))</f>
        <v>44473</v>
      </c>
      <c r="BZ16" s="405">
        <f>BY16+IF(WEEKDAY(BY16)=1,1,IF(WEEKDAY(BY16)=7,2,0))+COUNTIF(ClosedDays!$B$4:$B$32,IF(WEEKDAY(BY16)=1,BY16+1,IF(WEEKDAY(BY16)=7,BY16+2,BY16)))+COUNTIF(ClosedDays!$F$4:$F$32,IF(WEEKDAY(BY16)=1,BY16+1,IF(WEEKDAY(BY16)=7,BY16+2,BY16)))+COUNTIF(ClosedDays!$J$4:$J$32,IF(WEEKDAY(BY16)=1,BY16+1,IF(WEEKDAY(BY16)=7,BY16+2,BY16)))+COUNTIF(ClosedDays!$N$4:$N$32,IF(WEEKDAY(BY16)=1,BY16+1,IF(WEEKDAY(BY16)=7,BY16+2,BY16)))</f>
        <v>44473</v>
      </c>
      <c r="CA16" s="405">
        <f>BZ16+IF(WEEKDAY(BZ16)=1,1,IF(WEEKDAY(BZ16)=7,2,0))+COUNTIF(ClosedDays!$B$4:$B$32,IF(WEEKDAY(BZ16)=1,BZ16+1,IF(WEEKDAY(BZ16)=7,BZ16+2,BZ16)))+COUNTIF(ClosedDays!$F$4:$F$32,IF(WEEKDAY(BZ16)=1,BZ16+1,IF(WEEKDAY(BZ16)=7,BZ16+2,BZ16)))+COUNTIF(ClosedDays!$J$4:$J$32,IF(WEEKDAY(BZ16)=1,BZ16+1,IF(WEEKDAY(BZ16)=7,BZ16+2,BZ16)))+COUNTIF(ClosedDays!$N$4:$N$32,IF(WEEKDAY(BZ16)=1,BZ16+1,IF(WEEKDAY(BZ16)=7,BZ16+2,BZ16)))</f>
        <v>44473</v>
      </c>
      <c r="CB16" s="405">
        <f>CA16+IF(WEEKDAY(CA16)=1,1,IF(WEEKDAY(CA16)=7,2,0))+COUNTIF(ClosedDays!$B$4:$B$32,IF(WEEKDAY(CA16)=1,CA16+1,IF(WEEKDAY(CA16)=7,CA16+2,CA16)))+COUNTIF(ClosedDays!$F$4:$F$32,IF(WEEKDAY(CA16)=1,CA16+1,IF(WEEKDAY(CA16)=7,CA16+2,CA16)))+COUNTIF(ClosedDays!$J$4:$J$32,IF(WEEKDAY(CA16)=1,CA16+1,IF(WEEKDAY(CA16)=7,CA16+2,CA16)))+COUNTIF(ClosedDays!$N$4:$N$32,IF(WEEKDAY(CA16)=1,CA16+1,IF(WEEKDAY(CA16)=7,CA16+2,CA16)))</f>
        <v>44473</v>
      </c>
      <c r="CC16" s="405">
        <f>CB16+IF(WEEKDAY(CB16)=1,1,IF(WEEKDAY(CB16)=7,2,0))+COUNTIF(ClosedDays!$B$4:$B$32,IF(WEEKDAY(CB16)=1,CB16+1,IF(WEEKDAY(CB16)=7,CB16+2,CB16)))+COUNTIF(ClosedDays!$F$4:$F$32,IF(WEEKDAY(CB16)=1,CB16+1,IF(WEEKDAY(CB16)=7,CB16+2,CB16)))+COUNTIF(ClosedDays!$J$4:$J$32,IF(WEEKDAY(CB16)=1,CB16+1,IF(WEEKDAY(CB16)=7,CB16+2,CB16)))+COUNTIF(ClosedDays!$N$4:$N$32,IF(WEEKDAY(CB16)=1,CB16+1,IF(WEEKDAY(CB16)=7,CB16+2,CB16)))</f>
        <v>44473</v>
      </c>
      <c r="CD16" s="405">
        <f>CC16+IF(WEEKDAY(CC16)=1,1,IF(WEEKDAY(CC16)=7,2,0))+COUNTIF(ClosedDays!$B$4:$B$32,IF(WEEKDAY(CC16)=1,CC16+1,IF(WEEKDAY(CC16)=7,CC16+2,CC16)))+COUNTIF(ClosedDays!$F$4:$F$32,IF(WEEKDAY(CC16)=1,CC16+1,IF(WEEKDAY(CC16)=7,CC16+2,CC16)))+COUNTIF(ClosedDays!$J$4:$J$32,IF(WEEKDAY(CC16)=1,CC16+1,IF(WEEKDAY(CC16)=7,CC16+2,CC16)))+COUNTIF(ClosedDays!$N$4:$N$32,IF(WEEKDAY(CC16)=1,CC16+1,IF(WEEKDAY(CC16)=7,CC16+2,CC16)))</f>
        <v>44473</v>
      </c>
      <c r="CE16" s="405">
        <f>CD16+IF(WEEKDAY(CD16)=1,1,IF(WEEKDAY(CD16)=7,2,0))+COUNTIF(ClosedDays!$B$4:$B$32,IF(WEEKDAY(CD16)=1,CD16+1,IF(WEEKDAY(CD16)=7,CD16+2,CD16)))+COUNTIF(ClosedDays!$F$4:$F$32,IF(WEEKDAY(CD16)=1,CD16+1,IF(WEEKDAY(CD16)=7,CD16+2,CD16)))+COUNTIF(ClosedDays!$J$4:$J$32,IF(WEEKDAY(CD16)=1,CD16+1,IF(WEEKDAY(CD16)=7,CD16+2,CD16)))+COUNTIF(ClosedDays!$N$4:$N$32,IF(WEEKDAY(CD16)=1,CD16+1,IF(WEEKDAY(CD16)=7,CD16+2,CD16)))</f>
        <v>44473</v>
      </c>
      <c r="CF16" s="405">
        <f>CE16+IF(WEEKDAY(CE16)=1,1,IF(WEEKDAY(CE16)=7,2,0))+COUNTIF(ClosedDays!$B$4:$B$32,IF(WEEKDAY(CE16)=1,CE16+1,IF(WEEKDAY(CE16)=7,CE16+2,CE16)))+COUNTIF(ClosedDays!$F$4:$F$32,IF(WEEKDAY(CE16)=1,CE16+1,IF(WEEKDAY(CE16)=7,CE16+2,CE16)))+COUNTIF(ClosedDays!$J$4:$J$32,IF(WEEKDAY(CE16)=1,CE16+1,IF(WEEKDAY(CE16)=7,CE16+2,CE16)))+COUNTIF(ClosedDays!$N$4:$N$32,IF(WEEKDAY(CE16)=1,CE16+1,IF(WEEKDAY(CE16)=7,CE16+2,CE16)))</f>
        <v>44473</v>
      </c>
      <c r="CG16" s="405">
        <f>CF16+IF(WEEKDAY(CF16)=1,1,IF(WEEKDAY(CF16)=7,2,0))+COUNTIF(ClosedDays!$B$4:$B$32,IF(WEEKDAY(CF16)=1,CF16+1,IF(WEEKDAY(CF16)=7,CF16+2,CF16)))+COUNTIF(ClosedDays!$F$4:$F$32,IF(WEEKDAY(CF16)=1,CF16+1,IF(WEEKDAY(CF16)=7,CF16+2,CF16)))+COUNTIF(ClosedDays!$J$4:$J$32,IF(WEEKDAY(CF16)=1,CF16+1,IF(WEEKDAY(CF16)=7,CF16+2,CF16)))+COUNTIF(ClosedDays!$N$4:$N$32,IF(WEEKDAY(CF16)=1,CF16+1,IF(WEEKDAY(CF16)=7,CF16+2,CF16)))</f>
        <v>44473</v>
      </c>
      <c r="CH16" s="405">
        <f t="shared" si="17"/>
        <v>44473</v>
      </c>
      <c r="CI16" s="446">
        <f>IF(AND($D16&lt;='Outline Info'!$H$33,CH16&gt;='Outline Info'!$H$33,$CJ$4=1,$AC16&gt;10,$AC16&lt;9997),1,0)</f>
        <v>0</v>
      </c>
      <c r="CJ16" s="405">
        <f>IF(CI16=1,CH16+'Outline Info'!$I$33-'Outline Info'!$H$33+1,CH16)</f>
        <v>44473</v>
      </c>
      <c r="CK16" s="405">
        <f>CJ16+IF(WEEKDAY(CJ16)=1,1,IF(WEEKDAY(CJ16)=7,2,0))+COUNTIF(ClosedDays!$B$4:$B$32,IF(WEEKDAY(CJ16)=1,CJ16+1,IF(WEEKDAY(CJ16)=7,CJ16+2,CJ16)))+COUNTIF(ClosedDays!$F$4:$F$32,IF(WEEKDAY(CJ16)=1,CJ16+1,IF(WEEKDAY(CJ16)=7,CJ16+2,CJ16)))+COUNTIF(ClosedDays!$J$4:$J$32,IF(WEEKDAY(CJ16)=1,CJ16+1,IF(WEEKDAY(CJ16)=7,CJ16+2,CJ16)))+COUNTIF(ClosedDays!$N$4:$N$32,IF(WEEKDAY(CJ16)=1,CJ16+1,IF(WEEKDAY(CJ16)=7,CJ16+2,CJ16)))</f>
        <v>44473</v>
      </c>
      <c r="CL16" s="405">
        <f>CK16+IF(WEEKDAY(CK16)=1,1,IF(WEEKDAY(CK16)=7,2,0))+COUNTIF(ClosedDays!$B$4:$B$32,IF(WEEKDAY(CK16)=1,CK16+1,IF(WEEKDAY(CK16)=7,CK16+2,CK16)))+COUNTIF(ClosedDays!$F$4:$F$32,IF(WEEKDAY(CK16)=1,CK16+1,IF(WEEKDAY(CK16)=7,CK16+2,CK16)))+COUNTIF(ClosedDays!$J$4:$J$32,IF(WEEKDAY(CK16)=1,CK16+1,IF(WEEKDAY(CK16)=7,CK16+2,CK16)))+COUNTIF(ClosedDays!$N$4:$N$32,IF(WEEKDAY(CK16)=1,CK16+1,IF(WEEKDAY(CK16)=7,CK16+2,CK16)))</f>
        <v>44473</v>
      </c>
      <c r="CM16" s="405">
        <f>CL16+IF(WEEKDAY(CL16)=1,1,IF(WEEKDAY(CL16)=7,2,0))+COUNTIF(ClosedDays!$B$4:$B$32,IF(WEEKDAY(CL16)=1,CL16+1,IF(WEEKDAY(CL16)=7,CL16+2,CL16)))+COUNTIF(ClosedDays!$F$4:$F$32,IF(WEEKDAY(CL16)=1,CL16+1,IF(WEEKDAY(CL16)=7,CL16+2,CL16)))+COUNTIF(ClosedDays!$J$4:$J$32,IF(WEEKDAY(CL16)=1,CL16+1,IF(WEEKDAY(CL16)=7,CL16+2,CL16)))+COUNTIF(ClosedDays!$N$4:$N$32,IF(WEEKDAY(CL16)=1,CL16+1,IF(WEEKDAY(CL16)=7,CL16+2,CL16)))</f>
        <v>44473</v>
      </c>
      <c r="CN16" s="405">
        <f>CM16+IF(WEEKDAY(CM16)=1,1,IF(WEEKDAY(CM16)=7,2,0))+COUNTIF(ClosedDays!$B$4:$B$32,IF(WEEKDAY(CM16)=1,CM16+1,IF(WEEKDAY(CM16)=7,CM16+2,CM16)))+COUNTIF(ClosedDays!$F$4:$F$32,IF(WEEKDAY(CM16)=1,CM16+1,IF(WEEKDAY(CM16)=7,CM16+2,CM16)))+COUNTIF(ClosedDays!$J$4:$J$32,IF(WEEKDAY(CM16)=1,CM16+1,IF(WEEKDAY(CM16)=7,CM16+2,CM16)))+COUNTIF(ClosedDays!$N$4:$N$32,IF(WEEKDAY(CM16)=1,CM16+1,IF(WEEKDAY(CM16)=7,CM16+2,CM16)))</f>
        <v>44473</v>
      </c>
      <c r="CO16" s="405">
        <f>CN16+IF(WEEKDAY(CN16)=1,1,IF(WEEKDAY(CN16)=7,2,0))+COUNTIF(ClosedDays!$B$4:$B$32,IF(WEEKDAY(CN16)=1,CN16+1,IF(WEEKDAY(CN16)=7,CN16+2,CN16)))+COUNTIF(ClosedDays!$F$4:$F$32,IF(WEEKDAY(CN16)=1,CN16+1,IF(WEEKDAY(CN16)=7,CN16+2,CN16)))+COUNTIF(ClosedDays!$J$4:$J$32,IF(WEEKDAY(CN16)=1,CN16+1,IF(WEEKDAY(CN16)=7,CN16+2,CN16)))+COUNTIF(ClosedDays!$N$4:$N$32,IF(WEEKDAY(CN16)=1,CN16+1,IF(WEEKDAY(CN16)=7,CN16+2,CN16)))</f>
        <v>44473</v>
      </c>
      <c r="CP16" s="405">
        <f>CO16+IF(WEEKDAY(CO16)=1,1,IF(WEEKDAY(CO16)=7,2,0))+COUNTIF(ClosedDays!$B$4:$B$32,IF(WEEKDAY(CO16)=1,CO16+1,IF(WEEKDAY(CO16)=7,CO16+2,CO16)))+COUNTIF(ClosedDays!$F$4:$F$32,IF(WEEKDAY(CO16)=1,CO16+1,IF(WEEKDAY(CO16)=7,CO16+2,CO16)))+COUNTIF(ClosedDays!$J$4:$J$32,IF(WEEKDAY(CO16)=1,CO16+1,IF(WEEKDAY(CO16)=7,CO16+2,CO16)))+COUNTIF(ClosedDays!$N$4:$N$32,IF(WEEKDAY(CO16)=1,CO16+1,IF(WEEKDAY(CO16)=7,CO16+2,CO16)))</f>
        <v>44473</v>
      </c>
      <c r="CQ16" s="405">
        <f>CP16+IF(WEEKDAY(CP16)=1,1,IF(WEEKDAY(CP16)=7,2,0))+COUNTIF(ClosedDays!$B$4:$B$32,IF(WEEKDAY(CP16)=1,CP16+1,IF(WEEKDAY(CP16)=7,CP16+2,CP16)))+COUNTIF(ClosedDays!$F$4:$F$32,IF(WEEKDAY(CP16)=1,CP16+1,IF(WEEKDAY(CP16)=7,CP16+2,CP16)))+COUNTIF(ClosedDays!$J$4:$J$32,IF(WEEKDAY(CP16)=1,CP16+1,IF(WEEKDAY(CP16)=7,CP16+2,CP16)))+COUNTIF(ClosedDays!$N$4:$N$32,IF(WEEKDAY(CP16)=1,CP16+1,IF(WEEKDAY(CP16)=7,CP16+2,CP16)))</f>
        <v>44473</v>
      </c>
      <c r="CR16" s="405">
        <f>CQ16+IF(WEEKDAY(CQ16)=1,1,IF(WEEKDAY(CQ16)=7,2,0))+COUNTIF(ClosedDays!$B$4:$B$32,IF(WEEKDAY(CQ16)=1,CQ16+1,IF(WEEKDAY(CQ16)=7,CQ16+2,CQ16)))+COUNTIF(ClosedDays!$F$4:$F$32,IF(WEEKDAY(CQ16)=1,CQ16+1,IF(WEEKDAY(CQ16)=7,CQ16+2,CQ16)))+COUNTIF(ClosedDays!$J$4:$J$32,IF(WEEKDAY(CQ16)=1,CQ16+1,IF(WEEKDAY(CQ16)=7,CQ16+2,CQ16)))+COUNTIF(ClosedDays!$N$4:$N$32,IF(WEEKDAY(CQ16)=1,CQ16+1,IF(WEEKDAY(CQ16)=7,CQ16+2,CQ16)))</f>
        <v>44473</v>
      </c>
      <c r="CS16" s="405">
        <f>CR16+IF(WEEKDAY(CR16)=1,1,IF(WEEKDAY(CR16)=7,2,0))+COUNTIF(ClosedDays!$B$4:$B$32,IF(WEEKDAY(CR16)=1,CR16+1,IF(WEEKDAY(CR16)=7,CR16+2,CR16)))+COUNTIF(ClosedDays!$F$4:$F$32,IF(WEEKDAY(CR16)=1,CR16+1,IF(WEEKDAY(CR16)=7,CR16+2,CR16)))+COUNTIF(ClosedDays!$J$4:$J$32,IF(WEEKDAY(CR16)=1,CR16+1,IF(WEEKDAY(CR16)=7,CR16+2,CR16)))+COUNTIF(ClosedDays!$N$4:$N$32,IF(WEEKDAY(CR16)=1,CR16+1,IF(WEEKDAY(CR16)=7,CR16+2,CR16)))</f>
        <v>44473</v>
      </c>
      <c r="CT16" s="405">
        <f>CS16+IF(WEEKDAY(CS16)=1,1,IF(WEEKDAY(CS16)=7,2,0))+COUNTIF(ClosedDays!$B$4:$B$32,IF(WEEKDAY(CS16)=1,CS16+1,IF(WEEKDAY(CS16)=7,CS16+2,CS16)))+COUNTIF(ClosedDays!$F$4:$F$32,IF(WEEKDAY(CS16)=1,CS16+1,IF(WEEKDAY(CS16)=7,CS16+2,CS16)))+COUNTIF(ClosedDays!$J$4:$J$32,IF(WEEKDAY(CS16)=1,CS16+1,IF(WEEKDAY(CS16)=7,CS16+2,CS16)))+COUNTIF(ClosedDays!$N$4:$N$32,IF(WEEKDAY(CS16)=1,CS16+1,IF(WEEKDAY(CS16)=7,CS16+2,CS16)))</f>
        <v>44473</v>
      </c>
      <c r="CU16" s="405">
        <f>CT16+IF(WEEKDAY(CT16)=1,1,IF(WEEKDAY(CT16)=7,2,0))+COUNTIF(ClosedDays!$B$4:$B$32,IF(WEEKDAY(CT16)=1,CT16+1,IF(WEEKDAY(CT16)=7,CT16+2,CT16)))+COUNTIF(ClosedDays!$F$4:$F$32,IF(WEEKDAY(CT16)=1,CT16+1,IF(WEEKDAY(CT16)=7,CT16+2,CT16)))+COUNTIF(ClosedDays!$J$4:$J$32,IF(WEEKDAY(CT16)=1,CT16+1,IF(WEEKDAY(CT16)=7,CT16+2,CT16)))+COUNTIF(ClosedDays!$N$4:$N$32,IF(WEEKDAY(CT16)=1,CT16+1,IF(WEEKDAY(CT16)=7,CT16+2,CT16)))</f>
        <v>44473</v>
      </c>
      <c r="CV16" s="405">
        <f>CU16+IF(WEEKDAY(CU16)=1,1,IF(WEEKDAY(CU16)=7,2,0))+COUNTIF(ClosedDays!$B$4:$B$32,IF(WEEKDAY(CU16)=1,CU16+1,IF(WEEKDAY(CU16)=7,CU16+2,CU16)))+COUNTIF(ClosedDays!$F$4:$F$32,IF(WEEKDAY(CU16)=1,CU16+1,IF(WEEKDAY(CU16)=7,CU16+2,CU16)))+COUNTIF(ClosedDays!$J$4:$J$32,IF(WEEKDAY(CU16)=1,CU16+1,IF(WEEKDAY(CU16)=7,CU16+2,CU16)))+COUNTIF(ClosedDays!$N$4:$N$32,IF(WEEKDAY(CU16)=1,CU16+1,IF(WEEKDAY(CU16)=7,CU16+2,CU16)))</f>
        <v>44473</v>
      </c>
      <c r="CW16" s="405">
        <f>CV16+IF(WEEKDAY(CV16)=1,1,IF(WEEKDAY(CV16)=7,2,0))+COUNTIF(ClosedDays!$B$4:$B$32,IF(WEEKDAY(CV16)=1,CV16+1,IF(WEEKDAY(CV16)=7,CV16+2,CV16)))+COUNTIF(ClosedDays!$F$4:$F$32,IF(WEEKDAY(CV16)=1,CV16+1,IF(WEEKDAY(CV16)=7,CV16+2,CV16)))+COUNTIF(ClosedDays!$J$4:$J$32,IF(WEEKDAY(CV16)=1,CV16+1,IF(WEEKDAY(CV16)=7,CV16+2,CV16)))+COUNTIF(ClosedDays!$N$4:$N$32,IF(WEEKDAY(CV16)=1,CV16+1,IF(WEEKDAY(CV16)=7,CV16+2,CV16)))</f>
        <v>44473</v>
      </c>
      <c r="CX16" s="405">
        <f>CW16+IF(WEEKDAY(CW16)=1,1,IF(WEEKDAY(CW16)=7,2,0))+COUNTIF(ClosedDays!$B$4:$B$32,IF(WEEKDAY(CW16)=1,CW16+1,IF(WEEKDAY(CW16)=7,CW16+2,CW16)))+COUNTIF(ClosedDays!$F$4:$F$32,IF(WEEKDAY(CW16)=1,CW16+1,IF(WEEKDAY(CW16)=7,CW16+2,CW16)))+COUNTIF(ClosedDays!$J$4:$J$32,IF(WEEKDAY(CW16)=1,CW16+1,IF(WEEKDAY(CW16)=7,CW16+2,CW16)))+COUNTIF(ClosedDays!$N$4:$N$32,IF(WEEKDAY(CW16)=1,CW16+1,IF(WEEKDAY(CW16)=7,CW16+2,CW16)))</f>
        <v>44473</v>
      </c>
      <c r="CY16" s="405">
        <f t="shared" si="18"/>
        <v>44473</v>
      </c>
      <c r="CZ16" s="446">
        <f>IF(AND($D16&lt;='Outline Info'!$E$33,CY16&gt;='Outline Info'!$E$33,$AC16&gt;10,$AC16&lt;9997),1,0)</f>
        <v>0</v>
      </c>
      <c r="DA16" s="405">
        <f>IF(AND($D16&lt;='Outline Info'!$E$33,CY16&gt;='Outline Info'!$E$33),CY16+'Outline Info'!$F$33-'Outline Info'!$E$33+1,CY16)</f>
        <v>44473</v>
      </c>
      <c r="DB16" s="405">
        <f>DA16+IF(WEEKDAY(DA16)=1,1,IF(WEEKDAY(DA16)=7,2,0))+COUNTIF(ClosedDays!$B$4:$B$32,IF(WEEKDAY(DA16)=1,DA16+1,IF(WEEKDAY(DA16)=7,DA16+2,DA16)))+COUNTIF(ClosedDays!$F$4:$F$32,IF(WEEKDAY(DA16)=1,DA16+1,IF(WEEKDAY(DA16)=7,DA16+2,DA16)))+COUNTIF(ClosedDays!$J$4:$J$32,IF(WEEKDAY(DA16)=1,DA16+1,IF(WEEKDAY(DA16)=7,DA16+2,DA16)))+COUNTIF(ClosedDays!$N$4:$N$32,IF(WEEKDAY(DA16)=1,DA16+1,IF(WEEKDAY(DA16)=7,DA16+2,DA16)))</f>
        <v>44473</v>
      </c>
      <c r="DC16" s="405">
        <f>DB16+IF(WEEKDAY(DB16)=1,1,IF(WEEKDAY(DB16)=7,2,0))+COUNTIF(ClosedDays!$B$4:$B$32,IF(WEEKDAY(DB16)=1,DB16+1,IF(WEEKDAY(DB16)=7,DB16+2,DB16)))+COUNTIF(ClosedDays!$F$4:$F$32,IF(WEEKDAY(DB16)=1,DB16+1,IF(WEEKDAY(DB16)=7,DB16+2,DB16)))+COUNTIF(ClosedDays!$J$4:$J$32,IF(WEEKDAY(DB16)=1,DB16+1,IF(WEEKDAY(DB16)=7,DB16+2,DB16)))+COUNTIF(ClosedDays!$N$4:$N$32,IF(WEEKDAY(DB16)=1,DB16+1,IF(WEEKDAY(DB16)=7,DB16+2,DB16)))</f>
        <v>44473</v>
      </c>
      <c r="DD16" s="405">
        <f>DC16+IF(WEEKDAY(DC16)=1,1,IF(WEEKDAY(DC16)=7,2,0))+COUNTIF(ClosedDays!$B$4:$B$32,IF(WEEKDAY(DC16)=1,DC16+1,IF(WEEKDAY(DC16)=7,DC16+2,DC16)))+COUNTIF(ClosedDays!$F$4:$F$32,IF(WEEKDAY(DC16)=1,DC16+1,IF(WEEKDAY(DC16)=7,DC16+2,DC16)))+COUNTIF(ClosedDays!$J$4:$J$32,IF(WEEKDAY(DC16)=1,DC16+1,IF(WEEKDAY(DC16)=7,DC16+2,DC16)))+COUNTIF(ClosedDays!$N$4:$N$32,IF(WEEKDAY(DC16)=1,DC16+1,IF(WEEKDAY(DC16)=7,DC16+2,DC16)))</f>
        <v>44473</v>
      </c>
      <c r="DE16" s="405">
        <f>DD16+IF(WEEKDAY(DD16)=1,1,IF(WEEKDAY(DD16)=7,2,0))+COUNTIF(ClosedDays!$B$4:$B$32,IF(WEEKDAY(DD16)=1,DD16+1,IF(WEEKDAY(DD16)=7,DD16+2,DD16)))+COUNTIF(ClosedDays!$F$4:$F$32,IF(WEEKDAY(DD16)=1,DD16+1,IF(WEEKDAY(DD16)=7,DD16+2,DD16)))+COUNTIF(ClosedDays!$J$4:$J$32,IF(WEEKDAY(DD16)=1,DD16+1,IF(WEEKDAY(DD16)=7,DD16+2,DD16)))+COUNTIF(ClosedDays!$N$4:$N$32,IF(WEEKDAY(DD16)=1,DD16+1,IF(WEEKDAY(DD16)=7,DD16+2,DD16)))</f>
        <v>44473</v>
      </c>
      <c r="DF16" s="405">
        <f>DE16+IF(WEEKDAY(DE16)=1,1,IF(WEEKDAY(DE16)=7,2,0))+COUNTIF(ClosedDays!$B$4:$B$32,IF(WEEKDAY(DE16)=1,DE16+1,IF(WEEKDAY(DE16)=7,DE16+2,DE16)))+COUNTIF(ClosedDays!$F$4:$F$32,IF(WEEKDAY(DE16)=1,DE16+1,IF(WEEKDAY(DE16)=7,DE16+2,DE16)))+COUNTIF(ClosedDays!$J$4:$J$32,IF(WEEKDAY(DE16)=1,DE16+1,IF(WEEKDAY(DE16)=7,DE16+2,DE16)))+COUNTIF(ClosedDays!$N$4:$N$32,IF(WEEKDAY(DE16)=1,DE16+1,IF(WEEKDAY(DE16)=7,DE16+2,DE16)))</f>
        <v>44473</v>
      </c>
      <c r="DG16" s="405">
        <f>DF16+IF(WEEKDAY(DF16)=1,1,IF(WEEKDAY(DF16)=7,2,0))+COUNTIF(ClosedDays!$B$4:$B$32,IF(WEEKDAY(DF16)=1,DF16+1,IF(WEEKDAY(DF16)=7,DF16+2,DF16)))+COUNTIF(ClosedDays!$F$4:$F$32,IF(WEEKDAY(DF16)=1,DF16+1,IF(WEEKDAY(DF16)=7,DF16+2,DF16)))+COUNTIF(ClosedDays!$J$4:$J$32,IF(WEEKDAY(DF16)=1,DF16+1,IF(WEEKDAY(DF16)=7,DF16+2,DF16)))+COUNTIF(ClosedDays!$N$4:$N$32,IF(WEEKDAY(DF16)=1,DF16+1,IF(WEEKDAY(DF16)=7,DF16+2,DF16)))</f>
        <v>44473</v>
      </c>
      <c r="DH16" s="405">
        <f>DG16+IF(WEEKDAY(DG16)=1,1,IF(WEEKDAY(DG16)=7,2,0))+COUNTIF(ClosedDays!$B$4:$B$32,IF(WEEKDAY(DG16)=1,DG16+1,IF(WEEKDAY(DG16)=7,DG16+2,DG16)))+COUNTIF(ClosedDays!$F$4:$F$32,IF(WEEKDAY(DG16)=1,DG16+1,IF(WEEKDAY(DG16)=7,DG16+2,DG16)))+COUNTIF(ClosedDays!$J$4:$J$32,IF(WEEKDAY(DG16)=1,DG16+1,IF(WEEKDAY(DG16)=7,DG16+2,DG16)))+COUNTIF(ClosedDays!$N$4:$N$32,IF(WEEKDAY(DG16)=1,DG16+1,IF(WEEKDAY(DG16)=7,DG16+2,DG16)))</f>
        <v>44473</v>
      </c>
      <c r="DI16" s="405">
        <f>DH16+IF(WEEKDAY(DH16)=1,1,IF(WEEKDAY(DH16)=7,2,0))+COUNTIF(ClosedDays!$B$4:$B$32,IF(WEEKDAY(DH16)=1,DH16+1,IF(WEEKDAY(DH16)=7,DH16+2,DH16)))+COUNTIF(ClosedDays!$F$4:$F$32,IF(WEEKDAY(DH16)=1,DH16+1,IF(WEEKDAY(DH16)=7,DH16+2,DH16)))+COUNTIF(ClosedDays!$J$4:$J$32,IF(WEEKDAY(DH16)=1,DH16+1,IF(WEEKDAY(DH16)=7,DH16+2,DH16)))+COUNTIF(ClosedDays!$N$4:$N$32,IF(WEEKDAY(DH16)=1,DH16+1,IF(WEEKDAY(DH16)=7,DH16+2,DH16)))</f>
        <v>44473</v>
      </c>
      <c r="DJ16" s="405">
        <f>DI16+IF(WEEKDAY(DI16)=1,1,IF(WEEKDAY(DI16)=7,2,0))+COUNTIF(ClosedDays!$B$4:$B$32,IF(WEEKDAY(DI16)=1,DI16+1,IF(WEEKDAY(DI16)=7,DI16+2,DI16)))+COUNTIF(ClosedDays!$F$4:$F$32,IF(WEEKDAY(DI16)=1,DI16+1,IF(WEEKDAY(DI16)=7,DI16+2,DI16)))+COUNTIF(ClosedDays!$J$4:$J$32,IF(WEEKDAY(DI16)=1,DI16+1,IF(WEEKDAY(DI16)=7,DI16+2,DI16)))+COUNTIF(ClosedDays!$N$4:$N$32,IF(WEEKDAY(DI16)=1,DI16+1,IF(WEEKDAY(DI16)=7,DI16+2,DI16)))</f>
        <v>44473</v>
      </c>
      <c r="DK16" s="405">
        <f>DJ16+IF(WEEKDAY(DJ16)=1,1,IF(WEEKDAY(DJ16)=7,2,0))+COUNTIF(ClosedDays!$B$4:$B$32,IF(WEEKDAY(DJ16)=1,DJ16+1,IF(WEEKDAY(DJ16)=7,DJ16+2,DJ16)))+COUNTIF(ClosedDays!$F$4:$F$32,IF(WEEKDAY(DJ16)=1,DJ16+1,IF(WEEKDAY(DJ16)=7,DJ16+2,DJ16)))+COUNTIF(ClosedDays!$J$4:$J$32,IF(WEEKDAY(DJ16)=1,DJ16+1,IF(WEEKDAY(DJ16)=7,DJ16+2,DJ16)))+COUNTIF(ClosedDays!$N$4:$N$32,IF(WEEKDAY(DJ16)=1,DJ16+1,IF(WEEKDAY(DJ16)=7,DJ16+2,DJ16)))</f>
        <v>44473</v>
      </c>
      <c r="DL16" s="405">
        <f>DK16+IF(WEEKDAY(DK16)=1,1,IF(WEEKDAY(DK16)=7,2,0))+COUNTIF(ClosedDays!$B$4:$B$32,IF(WEEKDAY(DK16)=1,DK16+1,IF(WEEKDAY(DK16)=7,DK16+2,DK16)))+COUNTIF(ClosedDays!$F$4:$F$32,IF(WEEKDAY(DK16)=1,DK16+1,IF(WEEKDAY(DK16)=7,DK16+2,DK16)))+COUNTIF(ClosedDays!$J$4:$J$32,IF(WEEKDAY(DK16)=1,DK16+1,IF(WEEKDAY(DK16)=7,DK16+2,DK16)))+COUNTIF(ClosedDays!$N$4:$N$32,IF(WEEKDAY(DK16)=1,DK16+1,IF(WEEKDAY(DK16)=7,DK16+2,DK16)))</f>
        <v>44473</v>
      </c>
      <c r="DM16" s="405">
        <f>DL16+IF(WEEKDAY(DL16)=1,1,IF(WEEKDAY(DL16)=7,2,0))+COUNTIF(ClosedDays!$B$4:$B$32,IF(WEEKDAY(DL16)=1,DL16+1,IF(WEEKDAY(DL16)=7,DL16+2,DL16)))+COUNTIF(ClosedDays!$F$4:$F$32,IF(WEEKDAY(DL16)=1,DL16+1,IF(WEEKDAY(DL16)=7,DL16+2,DL16)))+COUNTIF(ClosedDays!$J$4:$J$32,IF(WEEKDAY(DL16)=1,DL16+1,IF(WEEKDAY(DL16)=7,DL16+2,DL16)))+COUNTIF(ClosedDays!$N$4:$N$32,IF(WEEKDAY(DL16)=1,DL16+1,IF(WEEKDAY(DL16)=7,DL16+2,DL16)))</f>
        <v>44473</v>
      </c>
      <c r="DN16" s="405">
        <f>DM16+IF(WEEKDAY(DM16)=1,1,IF(WEEKDAY(DM16)=7,2,0))+COUNTIF(ClosedDays!$B$4:$B$32,IF(WEEKDAY(DM16)=1,DM16+1,IF(WEEKDAY(DM16)=7,DM16+2,DM16)))+COUNTIF(ClosedDays!$F$4:$F$32,IF(WEEKDAY(DM16)=1,DM16+1,IF(WEEKDAY(DM16)=7,DM16+2,DM16)))+COUNTIF(ClosedDays!$J$4:$J$32,IF(WEEKDAY(DM16)=1,DM16+1,IF(WEEKDAY(DM16)=7,DM16+2,DM16)))+COUNTIF(ClosedDays!$N$4:$N$32,IF(WEEKDAY(DM16)=1,DM16+1,IF(WEEKDAY(DM16)=7,DM16+2,DM16)))</f>
        <v>44473</v>
      </c>
      <c r="DO16" s="405">
        <f>DN16+IF(WEEKDAY(DN16)=1,1,IF(WEEKDAY(DN16)=7,2,0))+COUNTIF(ClosedDays!$B$4:$B$32,IF(WEEKDAY(DN16)=1,DN16+1,IF(WEEKDAY(DN16)=7,DN16+2,DN16)))+COUNTIF(ClosedDays!$F$4:$F$32,IF(WEEKDAY(DN16)=1,DN16+1,IF(WEEKDAY(DN16)=7,DN16+2,DN16)))+COUNTIF(ClosedDays!$J$4:$J$32,IF(WEEKDAY(DN16)=1,DN16+1,IF(WEEKDAY(DN16)=7,DN16+2,DN16)))+COUNTIF(ClosedDays!$N$4:$N$32,IF(WEEKDAY(DN16)=1,DN16+1,IF(WEEKDAY(DN16)=7,DN16+2,DN16)))</f>
        <v>44473</v>
      </c>
      <c r="DP16" s="405">
        <f t="shared" si="5"/>
        <v>44473</v>
      </c>
      <c r="DQ16" s="405">
        <f t="shared" si="20"/>
        <v>44473</v>
      </c>
      <c r="DR16" s="394">
        <f t="shared" si="19"/>
        <v>1</v>
      </c>
      <c r="DS16" s="394">
        <f>IF(AND(DR16=1,COUNTIF(DS$7:DS15,1)&lt;12,VLOOKUP(COUNTIF(DS$7:DS15,1)+1,'Outline Info'!$A$21:$C$32,2)&lt;=I16),1,0)</f>
        <v>1</v>
      </c>
      <c r="DT16" s="405" t="str">
        <f>IF(DS16=1,IF(VLOOKUP(COUNTIF(DS$7:DS16,1),'Outline Info'!$A$21:$C$32,2)=0,"",VLOOKUP(COUNTIF(DS$7:DS16,1),'Outline Info'!$A$21:$C$32,2)),"")</f>
        <v/>
      </c>
      <c r="DU16" s="447">
        <f>IF(DS16=1,VLOOKUP(COUNTIF(DS$7:DS16,1),'Outline Info'!$A$21:$C$32,3),0)</f>
        <v>0</v>
      </c>
      <c r="DV16" s="445">
        <f>IF('Outline Info'!$B$8="Y",IF(B16="*",'Outline Info'!$B$19,IF(OR($A16="",B16="X",B16="x"),0,VLOOKUP($A16,'Course Table'!$A$2:$J$331,4,TRUE))),0)</f>
        <v>0</v>
      </c>
      <c r="DW16" s="447">
        <f t="shared" si="6"/>
        <v>0</v>
      </c>
      <c r="DX16" s="447">
        <f>IF('Outline Info'!$B$8="Y",$DV16,$DW16)</f>
        <v>0</v>
      </c>
      <c r="DY16" s="394"/>
      <c r="DZ16" s="934"/>
      <c r="EA16" s="934"/>
      <c r="EB16" s="394"/>
      <c r="EC16" s="394"/>
      <c r="ED16" s="394"/>
    </row>
    <row r="17" spans="1:134" s="400" customFormat="1" ht="20.100000000000001" customHeight="1">
      <c r="A17" s="874" t="str">
        <f t="shared" si="7"/>
        <v/>
      </c>
      <c r="B17" s="876" t="str">
        <f t="shared" si="8"/>
        <v/>
      </c>
      <c r="C17" s="878" t="str">
        <f t="shared" si="9"/>
        <v/>
      </c>
      <c r="D17" s="463">
        <f>IF(NOT(ISBLANK(DZ17)),DZ17,IF(AND($AC17=9998,'Outline Info'!$H$33&gt;='Outline Info'!$B$6,'Outline Info'!$H$33&lt;='Outline Info'!$C$6),'Outline Info'!$H$33,IF(AND($AC17=9997,'Outline Info'!$H$31&gt;='Outline Info'!$B$6,'Outline Info'!$H$31&lt;='Outline Info'!$C$6),'Outline Info'!$H$31,IF(AE17="*",DQ16,IF(OR(AE17="x",AE17="X"),I16,IF(AND(AC17&gt;6,AC16&lt;6),DQ16,IF(AND($AC17=9998,$AC16=9997),I15,I16)))))))</f>
        <v>44470</v>
      </c>
      <c r="E17" s="1286"/>
      <c r="F17" s="1287"/>
      <c r="G17" s="1282"/>
      <c r="H17" s="1283"/>
      <c r="I17" s="464">
        <f>IF(AND($AC17=9998,'Outline Info'!$I$33&gt;='Outline Info'!$B$6,'Outline Info'!$I$33&lt;='Outline Info'!$C$6),'Outline Info'!$I$33,IF(AND($AC17=9997,'Outline Info'!$I$31&gt;='Outline Info'!$B$6,'Outline Info'!$I$31&lt;='Outline Info'!$C$6),'Outline Info'!$I$31,IF(DP17&gt;$V$4,$V$4,DP17)))</f>
        <v>44470</v>
      </c>
      <c r="J17" s="436"/>
      <c r="K17" s="437"/>
      <c r="L17" s="438"/>
      <c r="M17" s="438"/>
      <c r="N17" s="435"/>
      <c r="O17" s="435"/>
      <c r="P17" s="438"/>
      <c r="Q17" s="438"/>
      <c r="R17" s="439"/>
      <c r="S17" s="872">
        <f>IF($V$5-SUM($DX$7:$DX17)&lt;0,IF($V$5-SUM($DX$7:$DX16)&lt;0,0,$V$5-SUM($DX$7:$DX16)),DX17)</f>
        <v>0</v>
      </c>
      <c r="T17" s="440" t="str">
        <f>IF(S17&gt;0,IF('Outline Info'!$B$8="Y",D17,DT17),"")</f>
        <v/>
      </c>
      <c r="U17" s="441"/>
      <c r="V17" s="442"/>
      <c r="W17" s="870" t="str">
        <f>IF('Outline Info'!$C$33&gt;0,ROUND(IF('Outline Info'!$B$8="Y",SUM(S$7:S17)-SUM(AJ$7:AJ17)-'Outline Info'!$B$14-'Outline Info'!$B$15-'Outline Info'!$B$17,IF(AL17=0,SUM(S$7:S17)-SUM(AK$7:AK17)-SUM(AP17:AS17)-'Outline Info'!$B$14-'Outline Info'!$B$15-'Outline Info'!$B$17,0)),0),IF('Outline Info'!$T$4&lt;&gt;1,"",IF(OR(AD17="",AL17=1),"",SUM(AK$7:AK17)+SUM(AP17:AS17)+'Outline Info'!$B$14+'Outline Info'!$B$15+'Outline Info'!$B$17)))</f>
        <v/>
      </c>
      <c r="X17" s="448"/>
      <c r="Y17" s="443">
        <f>IF(OR(AE17="X",AE17="x",AE17="*",AC17=99999),0,IF(AC17&lt;50,0,IF($S$4-SUM($Y$7:$Y16)&gt;0,1,0)))</f>
        <v>0</v>
      </c>
      <c r="Z17" s="444">
        <f>IF(AC17&lt;99999,IF(AE17="*",AH17,IF(OR(AE17="x",AE17="X",AC17&lt;10),0,IF(AND(AC17&lt;&gt;9998,AC17&lt;&gt;9997),IF(AM17=1,(AH17+$AM$5)*(1+('Outline Info'!$B$16)),IF(AN17=1,(AH17+$AN$5)*(1+('Outline Info'!$B$16)),0)),AH17))),0)</f>
        <v>0</v>
      </c>
      <c r="AA17" s="395">
        <f>Z17/'Outline Info'!$C$11+Y17</f>
        <v>0</v>
      </c>
      <c r="AB17" s="395">
        <f>ROUND(AA17/'Outline Info'!$B$11*7,0)</f>
        <v>0</v>
      </c>
      <c r="AC17" s="445">
        <f>IF($AD17&lt;&gt;"",VLOOKUP($AD17,'Course Table'!$A$2:$J$331,10,TRUE),99999)</f>
        <v>99999</v>
      </c>
      <c r="AD17" s="394"/>
      <c r="AE17" s="394"/>
      <c r="AF17" s="394"/>
      <c r="AG17" s="394"/>
      <c r="AH17" s="394"/>
      <c r="AI17" s="394">
        <v>399</v>
      </c>
      <c r="AJ17" s="394">
        <v>399</v>
      </c>
      <c r="AK17" s="394">
        <f t="shared" si="10"/>
        <v>399</v>
      </c>
      <c r="AL17" s="394">
        <f t="shared" si="11"/>
        <v>0</v>
      </c>
      <c r="AM17" s="394">
        <f t="shared" si="12"/>
        <v>0</v>
      </c>
      <c r="AN17" s="394">
        <f t="shared" si="13"/>
        <v>0</v>
      </c>
      <c r="AO17" s="394">
        <f>IF(AN17=1,SUMPRODUCT($AJ$7:$AJ17,$AN$7:$AN17),0)</f>
        <v>0</v>
      </c>
      <c r="AP17" s="394">
        <f t="shared" si="14"/>
        <v>0</v>
      </c>
      <c r="AQ17" s="394">
        <f t="shared" si="14"/>
        <v>0</v>
      </c>
      <c r="AR17" s="394">
        <f t="shared" si="14"/>
        <v>0</v>
      </c>
      <c r="AS17" s="394">
        <f t="shared" si="14"/>
        <v>0</v>
      </c>
      <c r="AT17" s="394">
        <f t="shared" si="15"/>
        <v>0</v>
      </c>
      <c r="AU17" s="394">
        <f t="shared" si="15"/>
        <v>0</v>
      </c>
      <c r="AV17" s="394">
        <f t="shared" si="15"/>
        <v>0</v>
      </c>
      <c r="AW17" s="394">
        <f t="shared" si="15"/>
        <v>0</v>
      </c>
      <c r="AX17" s="394">
        <f t="shared" si="1"/>
        <v>0</v>
      </c>
      <c r="AY17" s="394">
        <f t="shared" si="2"/>
        <v>0</v>
      </c>
      <c r="AZ17" s="394">
        <f t="shared" si="3"/>
        <v>0</v>
      </c>
      <c r="BA17" s="394">
        <f t="shared" si="4"/>
        <v>0</v>
      </c>
      <c r="BB17" s="405">
        <f t="shared" si="21"/>
        <v>44473</v>
      </c>
      <c r="BC17" s="405">
        <f>BB17+IF(WEEKDAY(BB17)=1,1,IF(WEEKDAY(BB17)=7,2,0))+COUNTIF(ClosedDays!$B$4:$B$32,IF(WEEKDAY(BB17)=1,BB17+1,IF(WEEKDAY(BB17)=7,BB17+2,BB17)))+COUNTIF(ClosedDays!$F$4:$F$32,IF(WEEKDAY(BB17)=1,BB17+1,IF(WEEKDAY(BB17)=7,BB17+2,BB17)))+COUNTIF(ClosedDays!$J$4:$J$32,IF(WEEKDAY(BB17)=1,BB17+1,IF(WEEKDAY(BB17)=7,BB17+2,BB17)))+COUNTIF(ClosedDays!$N$4:$N$32,IF(WEEKDAY(BB17)=1,BB17+1,IF(WEEKDAY(BB17)=7,BB17+2,BB17)))</f>
        <v>44473</v>
      </c>
      <c r="BD17" s="405">
        <f>BC17+IF(WEEKDAY(BC17)=1,1,IF(WEEKDAY(BC17)=7,2,0))+COUNTIF(ClosedDays!$B$4:$B$32,IF(WEEKDAY(BC17)=1,BC17+1,IF(WEEKDAY(BC17)=7,BC17+2,BC17)))+COUNTIF(ClosedDays!$F$4:$F$32,IF(WEEKDAY(BC17)=1,BC17+1,IF(WEEKDAY(BC17)=7,BC17+2,BC17)))+COUNTIF(ClosedDays!$J$4:$J$32,IF(WEEKDAY(BC17)=1,BC17+1,IF(WEEKDAY(BC17)=7,BC17+2,BC17)))+COUNTIF(ClosedDays!$N$4:$N$32,IF(WEEKDAY(BC17)=1,BC17+1,IF(WEEKDAY(BC17)=7,BC17+2,BC17)))</f>
        <v>44473</v>
      </c>
      <c r="BE17" s="405">
        <f>BD17+IF(WEEKDAY(BD17)=1,1,IF(WEEKDAY(BD17)=7,2,0))+COUNTIF(ClosedDays!$B$4:$B$32,IF(WEEKDAY(BD17)=1,BD17+1,IF(WEEKDAY(BD17)=7,BD17+2,BD17)))+COUNTIF(ClosedDays!$F$4:$F$32,IF(WEEKDAY(BD17)=1,BD17+1,IF(WEEKDAY(BD17)=7,BD17+2,BD17)))+COUNTIF(ClosedDays!$J$4:$J$32,IF(WEEKDAY(BD17)=1,BD17+1,IF(WEEKDAY(BD17)=7,BD17+2,BD17)))+COUNTIF(ClosedDays!$N$4:$N$32,IF(WEEKDAY(BD17)=1,BD17+1,IF(WEEKDAY(BD17)=7,BD17+2,BD17)))</f>
        <v>44473</v>
      </c>
      <c r="BF17" s="405">
        <f>BE17+IF(WEEKDAY(BE17)=1,1,IF(WEEKDAY(BE17)=7,2,0))+COUNTIF(ClosedDays!$B$4:$B$32,IF(WEEKDAY(BE17)=1,BE17+1,IF(WEEKDAY(BE17)=7,BE17+2,BE17)))+COUNTIF(ClosedDays!$F$4:$F$32,IF(WEEKDAY(BE17)=1,BE17+1,IF(WEEKDAY(BE17)=7,BE17+2,BE17)))+COUNTIF(ClosedDays!$J$4:$J$32,IF(WEEKDAY(BE17)=1,BE17+1,IF(WEEKDAY(BE17)=7,BE17+2,BE17)))+COUNTIF(ClosedDays!$N$4:$N$32,IF(WEEKDAY(BE17)=1,BE17+1,IF(WEEKDAY(BE17)=7,BE17+2,BE17)))</f>
        <v>44473</v>
      </c>
      <c r="BG17" s="405">
        <f>BF17+IF(WEEKDAY(BF17)=1,1,IF(WEEKDAY(BF17)=7,2,0))+COUNTIF(ClosedDays!$B$4:$B$32,IF(WEEKDAY(BF17)=1,BF17+1,IF(WEEKDAY(BF17)=7,BF17+2,BF17)))+COUNTIF(ClosedDays!$F$4:$F$32,IF(WEEKDAY(BF17)=1,BF17+1,IF(WEEKDAY(BF17)=7,BF17+2,BF17)))+COUNTIF(ClosedDays!$J$4:$J$32,IF(WEEKDAY(BF17)=1,BF17+1,IF(WEEKDAY(BF17)=7,BF17+2,BF17)))+COUNTIF(ClosedDays!$N$4:$N$32,IF(WEEKDAY(BF17)=1,BF17+1,IF(WEEKDAY(BF17)=7,BF17+2,BF17)))</f>
        <v>44473</v>
      </c>
      <c r="BH17" s="405">
        <f>BG17+IF(WEEKDAY(BG17)=1,1,IF(WEEKDAY(BG17)=7,2,0))+COUNTIF(ClosedDays!$B$4:$B$32,IF(WEEKDAY(BG17)=1,BG17+1,IF(WEEKDAY(BG17)=7,BG17+2,BG17)))+COUNTIF(ClosedDays!$F$4:$F$32,IF(WEEKDAY(BG17)=1,BG17+1,IF(WEEKDAY(BG17)=7,BG17+2,BG17)))+COUNTIF(ClosedDays!$J$4:$J$32,IF(WEEKDAY(BG17)=1,BG17+1,IF(WEEKDAY(BG17)=7,BG17+2,BG17)))+COUNTIF(ClosedDays!$N$4:$N$32,IF(WEEKDAY(BG17)=1,BG17+1,IF(WEEKDAY(BG17)=7,BG17+2,BG17)))</f>
        <v>44473</v>
      </c>
      <c r="BI17" s="405">
        <f>BH17+IF(WEEKDAY(BH17)=1,1,IF(WEEKDAY(BH17)=7,2,0))+COUNTIF(ClosedDays!$B$4:$B$32,IF(WEEKDAY(BH17)=1,BH17+1,IF(WEEKDAY(BH17)=7,BH17+2,BH17)))+COUNTIF(ClosedDays!$F$4:$F$32,IF(WEEKDAY(BH17)=1,BH17+1,IF(WEEKDAY(BH17)=7,BH17+2,BH17)))+COUNTIF(ClosedDays!$J$4:$J$32,IF(WEEKDAY(BH17)=1,BH17+1,IF(WEEKDAY(BH17)=7,BH17+2,BH17)))+COUNTIF(ClosedDays!$N$4:$N$32,IF(WEEKDAY(BH17)=1,BH17+1,IF(WEEKDAY(BH17)=7,BH17+2,BH17)))</f>
        <v>44473</v>
      </c>
      <c r="BJ17" s="405">
        <f>BI17+IF(WEEKDAY(BI17)=1,1,IF(WEEKDAY(BI17)=7,2,0))+COUNTIF(ClosedDays!$B$4:$B$32,IF(WEEKDAY(BI17)=1,BI17+1,IF(WEEKDAY(BI17)=7,BI17+2,BI17)))+COUNTIF(ClosedDays!$F$4:$F$32,IF(WEEKDAY(BI17)=1,BI17+1,IF(WEEKDAY(BI17)=7,BI17+2,BI17)))+COUNTIF(ClosedDays!$J$4:$J$32,IF(WEEKDAY(BI17)=1,BI17+1,IF(WEEKDAY(BI17)=7,BI17+2,BI17)))+COUNTIF(ClosedDays!$N$4:$N$32,IF(WEEKDAY(BI17)=1,BI17+1,IF(WEEKDAY(BI17)=7,BI17+2,BI17)))</f>
        <v>44473</v>
      </c>
      <c r="BK17" s="405">
        <f>BJ17+IF(WEEKDAY(BJ17)=1,1,IF(WEEKDAY(BJ17)=7,2,0))+COUNTIF(ClosedDays!$B$4:$B$32,IF(WEEKDAY(BJ17)=1,BJ17+1,IF(WEEKDAY(BJ17)=7,BJ17+2,BJ17)))+COUNTIF(ClosedDays!$F$4:$F$32,IF(WEEKDAY(BJ17)=1,BJ17+1,IF(WEEKDAY(BJ17)=7,BJ17+2,BJ17)))+COUNTIF(ClosedDays!$J$4:$J$32,IF(WEEKDAY(BJ17)=1,BJ17+1,IF(WEEKDAY(BJ17)=7,BJ17+2,BJ17)))+COUNTIF(ClosedDays!$N$4:$N$32,IF(WEEKDAY(BJ17)=1,BJ17+1,IF(WEEKDAY(BJ17)=7,BJ17+2,BJ17)))</f>
        <v>44473</v>
      </c>
      <c r="BL17" s="405">
        <f>BK17+IF(WEEKDAY(BK17)=1,1,IF(WEEKDAY(BK17)=7,2,0))+COUNTIF(ClosedDays!$B$4:$B$32,IF(WEEKDAY(BK17)=1,BK17+1,IF(WEEKDAY(BK17)=7,BK17+2,BK17)))+COUNTIF(ClosedDays!$F$4:$F$32,IF(WEEKDAY(BK17)=1,BK17+1,IF(WEEKDAY(BK17)=7,BK17+2,BK17)))+COUNTIF(ClosedDays!$J$4:$J$32,IF(WEEKDAY(BK17)=1,BK17+1,IF(WEEKDAY(BK17)=7,BK17+2,BK17)))+COUNTIF(ClosedDays!$N$4:$N$32,IF(WEEKDAY(BK17)=1,BK17+1,IF(WEEKDAY(BK17)=7,BK17+2,BK17)))</f>
        <v>44473</v>
      </c>
      <c r="BM17" s="405">
        <f>BL17+IF(WEEKDAY(BL17)=1,1,IF(WEEKDAY(BL17)=7,2,0))+COUNTIF(ClosedDays!$B$4:$B$32,IF(WEEKDAY(BL17)=1,BL17+1,IF(WEEKDAY(BL17)=7,BL17+2,BL17)))+COUNTIF(ClosedDays!$F$4:$F$32,IF(WEEKDAY(BL17)=1,BL17+1,IF(WEEKDAY(BL17)=7,BL17+2,BL17)))+COUNTIF(ClosedDays!$J$4:$J$32,IF(WEEKDAY(BL17)=1,BL17+1,IF(WEEKDAY(BL17)=7,BL17+2,BL17)))+COUNTIF(ClosedDays!$N$4:$N$32,IF(WEEKDAY(BL17)=1,BL17+1,IF(WEEKDAY(BL17)=7,BL17+2,BL17)))</f>
        <v>44473</v>
      </c>
      <c r="BN17" s="405">
        <f>BM17+IF(WEEKDAY(BM17)=1,1,IF(WEEKDAY(BM17)=7,2,0))+COUNTIF(ClosedDays!$B$4:$B$32,IF(WEEKDAY(BM17)=1,BM17+1,IF(WEEKDAY(BM17)=7,BM17+2,BM17)))+COUNTIF(ClosedDays!$F$4:$F$32,IF(WEEKDAY(BM17)=1,BM17+1,IF(WEEKDAY(BM17)=7,BM17+2,BM17)))+COUNTIF(ClosedDays!$J$4:$J$32,IF(WEEKDAY(BM17)=1,BM17+1,IF(WEEKDAY(BM17)=7,BM17+2,BM17)))+COUNTIF(ClosedDays!$N$4:$N$32,IF(WEEKDAY(BM17)=1,BM17+1,IF(WEEKDAY(BM17)=7,BM17+2,BM17)))</f>
        <v>44473</v>
      </c>
      <c r="BO17" s="405">
        <f>BN17+IF(WEEKDAY(BN17)=1,1,IF(WEEKDAY(BN17)=7,2,0))+COUNTIF(ClosedDays!$B$4:$B$32,IF(WEEKDAY(BN17)=1,BN17+1,IF(WEEKDAY(BN17)=7,BN17+2,BN17)))+COUNTIF(ClosedDays!$F$4:$F$32,IF(WEEKDAY(BN17)=1,BN17+1,IF(WEEKDAY(BN17)=7,BN17+2,BN17)))+COUNTIF(ClosedDays!$J$4:$J$32,IF(WEEKDAY(BN17)=1,BN17+1,IF(WEEKDAY(BN17)=7,BN17+2,BN17)))+COUNTIF(ClosedDays!$N$4:$N$32,IF(WEEKDAY(BN17)=1,BN17+1,IF(WEEKDAY(BN17)=7,BN17+2,BN17)))</f>
        <v>44473</v>
      </c>
      <c r="BP17" s="405">
        <f>BO17+IF(WEEKDAY(BO17)=1,1,IF(WEEKDAY(BO17)=7,2,0))+COUNTIF(ClosedDays!$B$4:$B$32,IF(WEEKDAY(BO17)=1,BO17+1,IF(WEEKDAY(BO17)=7,BO17+2,BO17)))+COUNTIF(ClosedDays!$F$4:$F$32,IF(WEEKDAY(BO17)=1,BO17+1,IF(WEEKDAY(BO17)=7,BO17+2,BO17)))+COUNTIF(ClosedDays!$J$4:$J$32,IF(WEEKDAY(BO17)=1,BO17+1,IF(WEEKDAY(BO17)=7,BO17+2,BO17)))+COUNTIF(ClosedDays!$N$4:$N$32,IF(WEEKDAY(BO17)=1,BO17+1,IF(WEEKDAY(BO17)=7,BO17+2,BO17)))</f>
        <v>44473</v>
      </c>
      <c r="BQ17" s="405">
        <f t="shared" si="16"/>
        <v>44473</v>
      </c>
      <c r="BR17" s="446">
        <f>IF(AND($D17&lt;='Outline Info'!$H$31,BQ17&gt;='Outline Info'!$H$31,$BS$4=1,$AC17&gt;10,$AC17&lt;9997),1,0)</f>
        <v>0</v>
      </c>
      <c r="BS17" s="405">
        <f>IF(BR17=1,BQ17+'Outline Info'!$I$31-'Outline Info'!$H$31+1,BQ17)</f>
        <v>44473</v>
      </c>
      <c r="BT17" s="405">
        <f>BS17+IF(WEEKDAY(BS17)=1,1,IF(WEEKDAY(BS17)=7,2,0))+COUNTIF(ClosedDays!$B$4:$B$32,IF(WEEKDAY(BS17)=1,BS17+1,IF(WEEKDAY(BS17)=7,BS17+2,BS17)))+COUNTIF(ClosedDays!$F$4:$F$32,IF(WEEKDAY(BS17)=1,BS17+1,IF(WEEKDAY(BS17)=7,BS17+2,BS17)))+COUNTIF(ClosedDays!$J$4:$J$32,IF(WEEKDAY(BS17)=1,BS17+1,IF(WEEKDAY(BS17)=7,BS17+2,BS17)))+COUNTIF(ClosedDays!$N$4:$N$32,IF(WEEKDAY(BS17)=1,BS17+1,IF(WEEKDAY(BS17)=7,BS17+2,BS17)))</f>
        <v>44473</v>
      </c>
      <c r="BU17" s="405">
        <f>BT17+IF(WEEKDAY(BT17)=1,1,IF(WEEKDAY(BT17)=7,2,0))+COUNTIF(ClosedDays!$B$4:$B$32,IF(WEEKDAY(BT17)=1,BT17+1,IF(WEEKDAY(BT17)=7,BT17+2,BT17)))+COUNTIF(ClosedDays!$F$4:$F$32,IF(WEEKDAY(BT17)=1,BT17+1,IF(WEEKDAY(BT17)=7,BT17+2,BT17)))+COUNTIF(ClosedDays!$J$4:$J$32,IF(WEEKDAY(BT17)=1,BT17+1,IF(WEEKDAY(BT17)=7,BT17+2,BT17)))+COUNTIF(ClosedDays!$N$4:$N$32,IF(WEEKDAY(BT17)=1,BT17+1,IF(WEEKDAY(BT17)=7,BT17+2,BT17)))</f>
        <v>44473</v>
      </c>
      <c r="BV17" s="405">
        <f>BU17+IF(WEEKDAY(BU17)=1,1,IF(WEEKDAY(BU17)=7,2,0))+COUNTIF(ClosedDays!$B$4:$B$32,IF(WEEKDAY(BU17)=1,BU17+1,IF(WEEKDAY(BU17)=7,BU17+2,BU17)))+COUNTIF(ClosedDays!$F$4:$F$32,IF(WEEKDAY(BU17)=1,BU17+1,IF(WEEKDAY(BU17)=7,BU17+2,BU17)))+COUNTIF(ClosedDays!$J$4:$J$32,IF(WEEKDAY(BU17)=1,BU17+1,IF(WEEKDAY(BU17)=7,BU17+2,BU17)))+COUNTIF(ClosedDays!$N$4:$N$32,IF(WEEKDAY(BU17)=1,BU17+1,IF(WEEKDAY(BU17)=7,BU17+2,BU17)))</f>
        <v>44473</v>
      </c>
      <c r="BW17" s="405">
        <f>BV17+IF(WEEKDAY(BV17)=1,1,IF(WEEKDAY(BV17)=7,2,0))+COUNTIF(ClosedDays!$B$4:$B$32,IF(WEEKDAY(BV17)=1,BV17+1,IF(WEEKDAY(BV17)=7,BV17+2,BV17)))+COUNTIF(ClosedDays!$F$4:$F$32,IF(WEEKDAY(BV17)=1,BV17+1,IF(WEEKDAY(BV17)=7,BV17+2,BV17)))+COUNTIF(ClosedDays!$J$4:$J$32,IF(WEEKDAY(BV17)=1,BV17+1,IF(WEEKDAY(BV17)=7,BV17+2,BV17)))+COUNTIF(ClosedDays!$N$4:$N$32,IF(WEEKDAY(BV17)=1,BV17+1,IF(WEEKDAY(BV17)=7,BV17+2,BV17)))</f>
        <v>44473</v>
      </c>
      <c r="BX17" s="405">
        <f>BW17+IF(WEEKDAY(BW17)=1,1,IF(WEEKDAY(BW17)=7,2,0))+COUNTIF(ClosedDays!$B$4:$B$32,IF(WEEKDAY(BW17)=1,BW17+1,IF(WEEKDAY(BW17)=7,BW17+2,BW17)))+COUNTIF(ClosedDays!$F$4:$F$32,IF(WEEKDAY(BW17)=1,BW17+1,IF(WEEKDAY(BW17)=7,BW17+2,BW17)))+COUNTIF(ClosedDays!$J$4:$J$32,IF(WEEKDAY(BW17)=1,BW17+1,IF(WEEKDAY(BW17)=7,BW17+2,BW17)))+COUNTIF(ClosedDays!$N$4:$N$32,IF(WEEKDAY(BW17)=1,BW17+1,IF(WEEKDAY(BW17)=7,BW17+2,BW17)))</f>
        <v>44473</v>
      </c>
      <c r="BY17" s="405">
        <f>BX17+IF(WEEKDAY(BX17)=1,1,IF(WEEKDAY(BX17)=7,2,0))+COUNTIF(ClosedDays!$B$4:$B$32,IF(WEEKDAY(BX17)=1,BX17+1,IF(WEEKDAY(BX17)=7,BX17+2,BX17)))+COUNTIF(ClosedDays!$F$4:$F$32,IF(WEEKDAY(BX17)=1,BX17+1,IF(WEEKDAY(BX17)=7,BX17+2,BX17)))+COUNTIF(ClosedDays!$J$4:$J$32,IF(WEEKDAY(BX17)=1,BX17+1,IF(WEEKDAY(BX17)=7,BX17+2,BX17)))+COUNTIF(ClosedDays!$N$4:$N$32,IF(WEEKDAY(BX17)=1,BX17+1,IF(WEEKDAY(BX17)=7,BX17+2,BX17)))</f>
        <v>44473</v>
      </c>
      <c r="BZ17" s="405">
        <f>BY17+IF(WEEKDAY(BY17)=1,1,IF(WEEKDAY(BY17)=7,2,0))+COUNTIF(ClosedDays!$B$4:$B$32,IF(WEEKDAY(BY17)=1,BY17+1,IF(WEEKDAY(BY17)=7,BY17+2,BY17)))+COUNTIF(ClosedDays!$F$4:$F$32,IF(WEEKDAY(BY17)=1,BY17+1,IF(WEEKDAY(BY17)=7,BY17+2,BY17)))+COUNTIF(ClosedDays!$J$4:$J$32,IF(WEEKDAY(BY17)=1,BY17+1,IF(WEEKDAY(BY17)=7,BY17+2,BY17)))+COUNTIF(ClosedDays!$N$4:$N$32,IF(WEEKDAY(BY17)=1,BY17+1,IF(WEEKDAY(BY17)=7,BY17+2,BY17)))</f>
        <v>44473</v>
      </c>
      <c r="CA17" s="405">
        <f>BZ17+IF(WEEKDAY(BZ17)=1,1,IF(WEEKDAY(BZ17)=7,2,0))+COUNTIF(ClosedDays!$B$4:$B$32,IF(WEEKDAY(BZ17)=1,BZ17+1,IF(WEEKDAY(BZ17)=7,BZ17+2,BZ17)))+COUNTIF(ClosedDays!$F$4:$F$32,IF(WEEKDAY(BZ17)=1,BZ17+1,IF(WEEKDAY(BZ17)=7,BZ17+2,BZ17)))+COUNTIF(ClosedDays!$J$4:$J$32,IF(WEEKDAY(BZ17)=1,BZ17+1,IF(WEEKDAY(BZ17)=7,BZ17+2,BZ17)))+COUNTIF(ClosedDays!$N$4:$N$32,IF(WEEKDAY(BZ17)=1,BZ17+1,IF(WEEKDAY(BZ17)=7,BZ17+2,BZ17)))</f>
        <v>44473</v>
      </c>
      <c r="CB17" s="405">
        <f>CA17+IF(WEEKDAY(CA17)=1,1,IF(WEEKDAY(CA17)=7,2,0))+COUNTIF(ClosedDays!$B$4:$B$32,IF(WEEKDAY(CA17)=1,CA17+1,IF(WEEKDAY(CA17)=7,CA17+2,CA17)))+COUNTIF(ClosedDays!$F$4:$F$32,IF(WEEKDAY(CA17)=1,CA17+1,IF(WEEKDAY(CA17)=7,CA17+2,CA17)))+COUNTIF(ClosedDays!$J$4:$J$32,IF(WEEKDAY(CA17)=1,CA17+1,IF(WEEKDAY(CA17)=7,CA17+2,CA17)))+COUNTIF(ClosedDays!$N$4:$N$32,IF(WEEKDAY(CA17)=1,CA17+1,IF(WEEKDAY(CA17)=7,CA17+2,CA17)))</f>
        <v>44473</v>
      </c>
      <c r="CC17" s="405">
        <f>CB17+IF(WEEKDAY(CB17)=1,1,IF(WEEKDAY(CB17)=7,2,0))+COUNTIF(ClosedDays!$B$4:$B$32,IF(WEEKDAY(CB17)=1,CB17+1,IF(WEEKDAY(CB17)=7,CB17+2,CB17)))+COUNTIF(ClosedDays!$F$4:$F$32,IF(WEEKDAY(CB17)=1,CB17+1,IF(WEEKDAY(CB17)=7,CB17+2,CB17)))+COUNTIF(ClosedDays!$J$4:$J$32,IF(WEEKDAY(CB17)=1,CB17+1,IF(WEEKDAY(CB17)=7,CB17+2,CB17)))+COUNTIF(ClosedDays!$N$4:$N$32,IF(WEEKDAY(CB17)=1,CB17+1,IF(WEEKDAY(CB17)=7,CB17+2,CB17)))</f>
        <v>44473</v>
      </c>
      <c r="CD17" s="405">
        <f>CC17+IF(WEEKDAY(CC17)=1,1,IF(WEEKDAY(CC17)=7,2,0))+COUNTIF(ClosedDays!$B$4:$B$32,IF(WEEKDAY(CC17)=1,CC17+1,IF(WEEKDAY(CC17)=7,CC17+2,CC17)))+COUNTIF(ClosedDays!$F$4:$F$32,IF(WEEKDAY(CC17)=1,CC17+1,IF(WEEKDAY(CC17)=7,CC17+2,CC17)))+COUNTIF(ClosedDays!$J$4:$J$32,IF(WEEKDAY(CC17)=1,CC17+1,IF(WEEKDAY(CC17)=7,CC17+2,CC17)))+COUNTIF(ClosedDays!$N$4:$N$32,IF(WEEKDAY(CC17)=1,CC17+1,IF(WEEKDAY(CC17)=7,CC17+2,CC17)))</f>
        <v>44473</v>
      </c>
      <c r="CE17" s="405">
        <f>CD17+IF(WEEKDAY(CD17)=1,1,IF(WEEKDAY(CD17)=7,2,0))+COUNTIF(ClosedDays!$B$4:$B$32,IF(WEEKDAY(CD17)=1,CD17+1,IF(WEEKDAY(CD17)=7,CD17+2,CD17)))+COUNTIF(ClosedDays!$F$4:$F$32,IF(WEEKDAY(CD17)=1,CD17+1,IF(WEEKDAY(CD17)=7,CD17+2,CD17)))+COUNTIF(ClosedDays!$J$4:$J$32,IF(WEEKDAY(CD17)=1,CD17+1,IF(WEEKDAY(CD17)=7,CD17+2,CD17)))+COUNTIF(ClosedDays!$N$4:$N$32,IF(WEEKDAY(CD17)=1,CD17+1,IF(WEEKDAY(CD17)=7,CD17+2,CD17)))</f>
        <v>44473</v>
      </c>
      <c r="CF17" s="405">
        <f>CE17+IF(WEEKDAY(CE17)=1,1,IF(WEEKDAY(CE17)=7,2,0))+COUNTIF(ClosedDays!$B$4:$B$32,IF(WEEKDAY(CE17)=1,CE17+1,IF(WEEKDAY(CE17)=7,CE17+2,CE17)))+COUNTIF(ClosedDays!$F$4:$F$32,IF(WEEKDAY(CE17)=1,CE17+1,IF(WEEKDAY(CE17)=7,CE17+2,CE17)))+COUNTIF(ClosedDays!$J$4:$J$32,IF(WEEKDAY(CE17)=1,CE17+1,IF(WEEKDAY(CE17)=7,CE17+2,CE17)))+COUNTIF(ClosedDays!$N$4:$N$32,IF(WEEKDAY(CE17)=1,CE17+1,IF(WEEKDAY(CE17)=7,CE17+2,CE17)))</f>
        <v>44473</v>
      </c>
      <c r="CG17" s="405">
        <f>CF17+IF(WEEKDAY(CF17)=1,1,IF(WEEKDAY(CF17)=7,2,0))+COUNTIF(ClosedDays!$B$4:$B$32,IF(WEEKDAY(CF17)=1,CF17+1,IF(WEEKDAY(CF17)=7,CF17+2,CF17)))+COUNTIF(ClosedDays!$F$4:$F$32,IF(WEEKDAY(CF17)=1,CF17+1,IF(WEEKDAY(CF17)=7,CF17+2,CF17)))+COUNTIF(ClosedDays!$J$4:$J$32,IF(WEEKDAY(CF17)=1,CF17+1,IF(WEEKDAY(CF17)=7,CF17+2,CF17)))+COUNTIF(ClosedDays!$N$4:$N$32,IF(WEEKDAY(CF17)=1,CF17+1,IF(WEEKDAY(CF17)=7,CF17+2,CF17)))</f>
        <v>44473</v>
      </c>
      <c r="CH17" s="405">
        <f t="shared" si="17"/>
        <v>44473</v>
      </c>
      <c r="CI17" s="446">
        <f>IF(AND($D17&lt;='Outline Info'!$H$33,CH17&gt;='Outline Info'!$H$33,$CJ$4=1,$AC17&gt;10,$AC17&lt;9997),1,0)</f>
        <v>0</v>
      </c>
      <c r="CJ17" s="405">
        <f>IF(CI17=1,CH17+'Outline Info'!$I$33-'Outline Info'!$H$33+1,CH17)</f>
        <v>44473</v>
      </c>
      <c r="CK17" s="405">
        <f>CJ17+IF(WEEKDAY(CJ17)=1,1,IF(WEEKDAY(CJ17)=7,2,0))+COUNTIF(ClosedDays!$B$4:$B$32,IF(WEEKDAY(CJ17)=1,CJ17+1,IF(WEEKDAY(CJ17)=7,CJ17+2,CJ17)))+COUNTIF(ClosedDays!$F$4:$F$32,IF(WEEKDAY(CJ17)=1,CJ17+1,IF(WEEKDAY(CJ17)=7,CJ17+2,CJ17)))+COUNTIF(ClosedDays!$J$4:$J$32,IF(WEEKDAY(CJ17)=1,CJ17+1,IF(WEEKDAY(CJ17)=7,CJ17+2,CJ17)))+COUNTIF(ClosedDays!$N$4:$N$32,IF(WEEKDAY(CJ17)=1,CJ17+1,IF(WEEKDAY(CJ17)=7,CJ17+2,CJ17)))</f>
        <v>44473</v>
      </c>
      <c r="CL17" s="405">
        <f>CK17+IF(WEEKDAY(CK17)=1,1,IF(WEEKDAY(CK17)=7,2,0))+COUNTIF(ClosedDays!$B$4:$B$32,IF(WEEKDAY(CK17)=1,CK17+1,IF(WEEKDAY(CK17)=7,CK17+2,CK17)))+COUNTIF(ClosedDays!$F$4:$F$32,IF(WEEKDAY(CK17)=1,CK17+1,IF(WEEKDAY(CK17)=7,CK17+2,CK17)))+COUNTIF(ClosedDays!$J$4:$J$32,IF(WEEKDAY(CK17)=1,CK17+1,IF(WEEKDAY(CK17)=7,CK17+2,CK17)))+COUNTIF(ClosedDays!$N$4:$N$32,IF(WEEKDAY(CK17)=1,CK17+1,IF(WEEKDAY(CK17)=7,CK17+2,CK17)))</f>
        <v>44473</v>
      </c>
      <c r="CM17" s="405">
        <f>CL17+IF(WEEKDAY(CL17)=1,1,IF(WEEKDAY(CL17)=7,2,0))+COUNTIF(ClosedDays!$B$4:$B$32,IF(WEEKDAY(CL17)=1,CL17+1,IF(WEEKDAY(CL17)=7,CL17+2,CL17)))+COUNTIF(ClosedDays!$F$4:$F$32,IF(WEEKDAY(CL17)=1,CL17+1,IF(WEEKDAY(CL17)=7,CL17+2,CL17)))+COUNTIF(ClosedDays!$J$4:$J$32,IF(WEEKDAY(CL17)=1,CL17+1,IF(WEEKDAY(CL17)=7,CL17+2,CL17)))+COUNTIF(ClosedDays!$N$4:$N$32,IF(WEEKDAY(CL17)=1,CL17+1,IF(WEEKDAY(CL17)=7,CL17+2,CL17)))</f>
        <v>44473</v>
      </c>
      <c r="CN17" s="405">
        <f>CM17+IF(WEEKDAY(CM17)=1,1,IF(WEEKDAY(CM17)=7,2,0))+COUNTIF(ClosedDays!$B$4:$B$32,IF(WEEKDAY(CM17)=1,CM17+1,IF(WEEKDAY(CM17)=7,CM17+2,CM17)))+COUNTIF(ClosedDays!$F$4:$F$32,IF(WEEKDAY(CM17)=1,CM17+1,IF(WEEKDAY(CM17)=7,CM17+2,CM17)))+COUNTIF(ClosedDays!$J$4:$J$32,IF(WEEKDAY(CM17)=1,CM17+1,IF(WEEKDAY(CM17)=7,CM17+2,CM17)))+COUNTIF(ClosedDays!$N$4:$N$32,IF(WEEKDAY(CM17)=1,CM17+1,IF(WEEKDAY(CM17)=7,CM17+2,CM17)))</f>
        <v>44473</v>
      </c>
      <c r="CO17" s="405">
        <f>CN17+IF(WEEKDAY(CN17)=1,1,IF(WEEKDAY(CN17)=7,2,0))+COUNTIF(ClosedDays!$B$4:$B$32,IF(WEEKDAY(CN17)=1,CN17+1,IF(WEEKDAY(CN17)=7,CN17+2,CN17)))+COUNTIF(ClosedDays!$F$4:$F$32,IF(WEEKDAY(CN17)=1,CN17+1,IF(WEEKDAY(CN17)=7,CN17+2,CN17)))+COUNTIF(ClosedDays!$J$4:$J$32,IF(WEEKDAY(CN17)=1,CN17+1,IF(WEEKDAY(CN17)=7,CN17+2,CN17)))+COUNTIF(ClosedDays!$N$4:$N$32,IF(WEEKDAY(CN17)=1,CN17+1,IF(WEEKDAY(CN17)=7,CN17+2,CN17)))</f>
        <v>44473</v>
      </c>
      <c r="CP17" s="405">
        <f>CO17+IF(WEEKDAY(CO17)=1,1,IF(WEEKDAY(CO17)=7,2,0))+COUNTIF(ClosedDays!$B$4:$B$32,IF(WEEKDAY(CO17)=1,CO17+1,IF(WEEKDAY(CO17)=7,CO17+2,CO17)))+COUNTIF(ClosedDays!$F$4:$F$32,IF(WEEKDAY(CO17)=1,CO17+1,IF(WEEKDAY(CO17)=7,CO17+2,CO17)))+COUNTIF(ClosedDays!$J$4:$J$32,IF(WEEKDAY(CO17)=1,CO17+1,IF(WEEKDAY(CO17)=7,CO17+2,CO17)))+COUNTIF(ClosedDays!$N$4:$N$32,IF(WEEKDAY(CO17)=1,CO17+1,IF(WEEKDAY(CO17)=7,CO17+2,CO17)))</f>
        <v>44473</v>
      </c>
      <c r="CQ17" s="405">
        <f>CP17+IF(WEEKDAY(CP17)=1,1,IF(WEEKDAY(CP17)=7,2,0))+COUNTIF(ClosedDays!$B$4:$B$32,IF(WEEKDAY(CP17)=1,CP17+1,IF(WEEKDAY(CP17)=7,CP17+2,CP17)))+COUNTIF(ClosedDays!$F$4:$F$32,IF(WEEKDAY(CP17)=1,CP17+1,IF(WEEKDAY(CP17)=7,CP17+2,CP17)))+COUNTIF(ClosedDays!$J$4:$J$32,IF(WEEKDAY(CP17)=1,CP17+1,IF(WEEKDAY(CP17)=7,CP17+2,CP17)))+COUNTIF(ClosedDays!$N$4:$N$32,IF(WEEKDAY(CP17)=1,CP17+1,IF(WEEKDAY(CP17)=7,CP17+2,CP17)))</f>
        <v>44473</v>
      </c>
      <c r="CR17" s="405">
        <f>CQ17+IF(WEEKDAY(CQ17)=1,1,IF(WEEKDAY(CQ17)=7,2,0))+COUNTIF(ClosedDays!$B$4:$B$32,IF(WEEKDAY(CQ17)=1,CQ17+1,IF(WEEKDAY(CQ17)=7,CQ17+2,CQ17)))+COUNTIF(ClosedDays!$F$4:$F$32,IF(WEEKDAY(CQ17)=1,CQ17+1,IF(WEEKDAY(CQ17)=7,CQ17+2,CQ17)))+COUNTIF(ClosedDays!$J$4:$J$32,IF(WEEKDAY(CQ17)=1,CQ17+1,IF(WEEKDAY(CQ17)=7,CQ17+2,CQ17)))+COUNTIF(ClosedDays!$N$4:$N$32,IF(WEEKDAY(CQ17)=1,CQ17+1,IF(WEEKDAY(CQ17)=7,CQ17+2,CQ17)))</f>
        <v>44473</v>
      </c>
      <c r="CS17" s="405">
        <f>CR17+IF(WEEKDAY(CR17)=1,1,IF(WEEKDAY(CR17)=7,2,0))+COUNTIF(ClosedDays!$B$4:$B$32,IF(WEEKDAY(CR17)=1,CR17+1,IF(WEEKDAY(CR17)=7,CR17+2,CR17)))+COUNTIF(ClosedDays!$F$4:$F$32,IF(WEEKDAY(CR17)=1,CR17+1,IF(WEEKDAY(CR17)=7,CR17+2,CR17)))+COUNTIF(ClosedDays!$J$4:$J$32,IF(WEEKDAY(CR17)=1,CR17+1,IF(WEEKDAY(CR17)=7,CR17+2,CR17)))+COUNTIF(ClosedDays!$N$4:$N$32,IF(WEEKDAY(CR17)=1,CR17+1,IF(WEEKDAY(CR17)=7,CR17+2,CR17)))</f>
        <v>44473</v>
      </c>
      <c r="CT17" s="405">
        <f>CS17+IF(WEEKDAY(CS17)=1,1,IF(WEEKDAY(CS17)=7,2,0))+COUNTIF(ClosedDays!$B$4:$B$32,IF(WEEKDAY(CS17)=1,CS17+1,IF(WEEKDAY(CS17)=7,CS17+2,CS17)))+COUNTIF(ClosedDays!$F$4:$F$32,IF(WEEKDAY(CS17)=1,CS17+1,IF(WEEKDAY(CS17)=7,CS17+2,CS17)))+COUNTIF(ClosedDays!$J$4:$J$32,IF(WEEKDAY(CS17)=1,CS17+1,IF(WEEKDAY(CS17)=7,CS17+2,CS17)))+COUNTIF(ClosedDays!$N$4:$N$32,IF(WEEKDAY(CS17)=1,CS17+1,IF(WEEKDAY(CS17)=7,CS17+2,CS17)))</f>
        <v>44473</v>
      </c>
      <c r="CU17" s="405">
        <f>CT17+IF(WEEKDAY(CT17)=1,1,IF(WEEKDAY(CT17)=7,2,0))+COUNTIF(ClosedDays!$B$4:$B$32,IF(WEEKDAY(CT17)=1,CT17+1,IF(WEEKDAY(CT17)=7,CT17+2,CT17)))+COUNTIF(ClosedDays!$F$4:$F$32,IF(WEEKDAY(CT17)=1,CT17+1,IF(WEEKDAY(CT17)=7,CT17+2,CT17)))+COUNTIF(ClosedDays!$J$4:$J$32,IF(WEEKDAY(CT17)=1,CT17+1,IF(WEEKDAY(CT17)=7,CT17+2,CT17)))+COUNTIF(ClosedDays!$N$4:$N$32,IF(WEEKDAY(CT17)=1,CT17+1,IF(WEEKDAY(CT17)=7,CT17+2,CT17)))</f>
        <v>44473</v>
      </c>
      <c r="CV17" s="405">
        <f>CU17+IF(WEEKDAY(CU17)=1,1,IF(WEEKDAY(CU17)=7,2,0))+COUNTIF(ClosedDays!$B$4:$B$32,IF(WEEKDAY(CU17)=1,CU17+1,IF(WEEKDAY(CU17)=7,CU17+2,CU17)))+COUNTIF(ClosedDays!$F$4:$F$32,IF(WEEKDAY(CU17)=1,CU17+1,IF(WEEKDAY(CU17)=7,CU17+2,CU17)))+COUNTIF(ClosedDays!$J$4:$J$32,IF(WEEKDAY(CU17)=1,CU17+1,IF(WEEKDAY(CU17)=7,CU17+2,CU17)))+COUNTIF(ClosedDays!$N$4:$N$32,IF(WEEKDAY(CU17)=1,CU17+1,IF(WEEKDAY(CU17)=7,CU17+2,CU17)))</f>
        <v>44473</v>
      </c>
      <c r="CW17" s="405">
        <f>CV17+IF(WEEKDAY(CV17)=1,1,IF(WEEKDAY(CV17)=7,2,0))+COUNTIF(ClosedDays!$B$4:$B$32,IF(WEEKDAY(CV17)=1,CV17+1,IF(WEEKDAY(CV17)=7,CV17+2,CV17)))+COUNTIF(ClosedDays!$F$4:$F$32,IF(WEEKDAY(CV17)=1,CV17+1,IF(WEEKDAY(CV17)=7,CV17+2,CV17)))+COUNTIF(ClosedDays!$J$4:$J$32,IF(WEEKDAY(CV17)=1,CV17+1,IF(WEEKDAY(CV17)=7,CV17+2,CV17)))+COUNTIF(ClosedDays!$N$4:$N$32,IF(WEEKDAY(CV17)=1,CV17+1,IF(WEEKDAY(CV17)=7,CV17+2,CV17)))</f>
        <v>44473</v>
      </c>
      <c r="CX17" s="405">
        <f>CW17+IF(WEEKDAY(CW17)=1,1,IF(WEEKDAY(CW17)=7,2,0))+COUNTIF(ClosedDays!$B$4:$B$32,IF(WEEKDAY(CW17)=1,CW17+1,IF(WEEKDAY(CW17)=7,CW17+2,CW17)))+COUNTIF(ClosedDays!$F$4:$F$32,IF(WEEKDAY(CW17)=1,CW17+1,IF(WEEKDAY(CW17)=7,CW17+2,CW17)))+COUNTIF(ClosedDays!$J$4:$J$32,IF(WEEKDAY(CW17)=1,CW17+1,IF(WEEKDAY(CW17)=7,CW17+2,CW17)))+COUNTIF(ClosedDays!$N$4:$N$32,IF(WEEKDAY(CW17)=1,CW17+1,IF(WEEKDAY(CW17)=7,CW17+2,CW17)))</f>
        <v>44473</v>
      </c>
      <c r="CY17" s="405">
        <f t="shared" si="18"/>
        <v>44473</v>
      </c>
      <c r="CZ17" s="446">
        <f>IF(AND($D17&lt;='Outline Info'!$E$33,CY17&gt;='Outline Info'!$E$33,$AC17&gt;10,$AC17&lt;9997),1,0)</f>
        <v>0</v>
      </c>
      <c r="DA17" s="405">
        <f>IF(AND($D17&lt;='Outline Info'!$E$33,CY17&gt;='Outline Info'!$E$33),CY17+'Outline Info'!$F$33-'Outline Info'!$E$33+1,CY17)</f>
        <v>44473</v>
      </c>
      <c r="DB17" s="405">
        <f>DA17+IF(WEEKDAY(DA17)=1,1,IF(WEEKDAY(DA17)=7,2,0))+COUNTIF(ClosedDays!$B$4:$B$32,IF(WEEKDAY(DA17)=1,DA17+1,IF(WEEKDAY(DA17)=7,DA17+2,DA17)))+COUNTIF(ClosedDays!$F$4:$F$32,IF(WEEKDAY(DA17)=1,DA17+1,IF(WEEKDAY(DA17)=7,DA17+2,DA17)))+COUNTIF(ClosedDays!$J$4:$J$32,IF(WEEKDAY(DA17)=1,DA17+1,IF(WEEKDAY(DA17)=7,DA17+2,DA17)))+COUNTIF(ClosedDays!$N$4:$N$32,IF(WEEKDAY(DA17)=1,DA17+1,IF(WEEKDAY(DA17)=7,DA17+2,DA17)))</f>
        <v>44473</v>
      </c>
      <c r="DC17" s="405">
        <f>DB17+IF(WEEKDAY(DB17)=1,1,IF(WEEKDAY(DB17)=7,2,0))+COUNTIF(ClosedDays!$B$4:$B$32,IF(WEEKDAY(DB17)=1,DB17+1,IF(WEEKDAY(DB17)=7,DB17+2,DB17)))+COUNTIF(ClosedDays!$F$4:$F$32,IF(WEEKDAY(DB17)=1,DB17+1,IF(WEEKDAY(DB17)=7,DB17+2,DB17)))+COUNTIF(ClosedDays!$J$4:$J$32,IF(WEEKDAY(DB17)=1,DB17+1,IF(WEEKDAY(DB17)=7,DB17+2,DB17)))+COUNTIF(ClosedDays!$N$4:$N$32,IF(WEEKDAY(DB17)=1,DB17+1,IF(WEEKDAY(DB17)=7,DB17+2,DB17)))</f>
        <v>44473</v>
      </c>
      <c r="DD17" s="405">
        <f>DC17+IF(WEEKDAY(DC17)=1,1,IF(WEEKDAY(DC17)=7,2,0))+COUNTIF(ClosedDays!$B$4:$B$32,IF(WEEKDAY(DC17)=1,DC17+1,IF(WEEKDAY(DC17)=7,DC17+2,DC17)))+COUNTIF(ClosedDays!$F$4:$F$32,IF(WEEKDAY(DC17)=1,DC17+1,IF(WEEKDAY(DC17)=7,DC17+2,DC17)))+COUNTIF(ClosedDays!$J$4:$J$32,IF(WEEKDAY(DC17)=1,DC17+1,IF(WEEKDAY(DC17)=7,DC17+2,DC17)))+COUNTIF(ClosedDays!$N$4:$N$32,IF(WEEKDAY(DC17)=1,DC17+1,IF(WEEKDAY(DC17)=7,DC17+2,DC17)))</f>
        <v>44473</v>
      </c>
      <c r="DE17" s="405">
        <f>DD17+IF(WEEKDAY(DD17)=1,1,IF(WEEKDAY(DD17)=7,2,0))+COUNTIF(ClosedDays!$B$4:$B$32,IF(WEEKDAY(DD17)=1,DD17+1,IF(WEEKDAY(DD17)=7,DD17+2,DD17)))+COUNTIF(ClosedDays!$F$4:$F$32,IF(WEEKDAY(DD17)=1,DD17+1,IF(WEEKDAY(DD17)=7,DD17+2,DD17)))+COUNTIF(ClosedDays!$J$4:$J$32,IF(WEEKDAY(DD17)=1,DD17+1,IF(WEEKDAY(DD17)=7,DD17+2,DD17)))+COUNTIF(ClosedDays!$N$4:$N$32,IF(WEEKDAY(DD17)=1,DD17+1,IF(WEEKDAY(DD17)=7,DD17+2,DD17)))</f>
        <v>44473</v>
      </c>
      <c r="DF17" s="405">
        <f>DE17+IF(WEEKDAY(DE17)=1,1,IF(WEEKDAY(DE17)=7,2,0))+COUNTIF(ClosedDays!$B$4:$B$32,IF(WEEKDAY(DE17)=1,DE17+1,IF(WEEKDAY(DE17)=7,DE17+2,DE17)))+COUNTIF(ClosedDays!$F$4:$F$32,IF(WEEKDAY(DE17)=1,DE17+1,IF(WEEKDAY(DE17)=7,DE17+2,DE17)))+COUNTIF(ClosedDays!$J$4:$J$32,IF(WEEKDAY(DE17)=1,DE17+1,IF(WEEKDAY(DE17)=7,DE17+2,DE17)))+COUNTIF(ClosedDays!$N$4:$N$32,IF(WEEKDAY(DE17)=1,DE17+1,IF(WEEKDAY(DE17)=7,DE17+2,DE17)))</f>
        <v>44473</v>
      </c>
      <c r="DG17" s="405">
        <f>DF17+IF(WEEKDAY(DF17)=1,1,IF(WEEKDAY(DF17)=7,2,0))+COUNTIF(ClosedDays!$B$4:$B$32,IF(WEEKDAY(DF17)=1,DF17+1,IF(WEEKDAY(DF17)=7,DF17+2,DF17)))+COUNTIF(ClosedDays!$F$4:$F$32,IF(WEEKDAY(DF17)=1,DF17+1,IF(WEEKDAY(DF17)=7,DF17+2,DF17)))+COUNTIF(ClosedDays!$J$4:$J$32,IF(WEEKDAY(DF17)=1,DF17+1,IF(WEEKDAY(DF17)=7,DF17+2,DF17)))+COUNTIF(ClosedDays!$N$4:$N$32,IF(WEEKDAY(DF17)=1,DF17+1,IF(WEEKDAY(DF17)=7,DF17+2,DF17)))</f>
        <v>44473</v>
      </c>
      <c r="DH17" s="405">
        <f>DG17+IF(WEEKDAY(DG17)=1,1,IF(WEEKDAY(DG17)=7,2,0))+COUNTIF(ClosedDays!$B$4:$B$32,IF(WEEKDAY(DG17)=1,DG17+1,IF(WEEKDAY(DG17)=7,DG17+2,DG17)))+COUNTIF(ClosedDays!$F$4:$F$32,IF(WEEKDAY(DG17)=1,DG17+1,IF(WEEKDAY(DG17)=7,DG17+2,DG17)))+COUNTIF(ClosedDays!$J$4:$J$32,IF(WEEKDAY(DG17)=1,DG17+1,IF(WEEKDAY(DG17)=7,DG17+2,DG17)))+COUNTIF(ClosedDays!$N$4:$N$32,IF(WEEKDAY(DG17)=1,DG17+1,IF(WEEKDAY(DG17)=7,DG17+2,DG17)))</f>
        <v>44473</v>
      </c>
      <c r="DI17" s="405">
        <f>DH17+IF(WEEKDAY(DH17)=1,1,IF(WEEKDAY(DH17)=7,2,0))+COUNTIF(ClosedDays!$B$4:$B$32,IF(WEEKDAY(DH17)=1,DH17+1,IF(WEEKDAY(DH17)=7,DH17+2,DH17)))+COUNTIF(ClosedDays!$F$4:$F$32,IF(WEEKDAY(DH17)=1,DH17+1,IF(WEEKDAY(DH17)=7,DH17+2,DH17)))+COUNTIF(ClosedDays!$J$4:$J$32,IF(WEEKDAY(DH17)=1,DH17+1,IF(WEEKDAY(DH17)=7,DH17+2,DH17)))+COUNTIF(ClosedDays!$N$4:$N$32,IF(WEEKDAY(DH17)=1,DH17+1,IF(WEEKDAY(DH17)=7,DH17+2,DH17)))</f>
        <v>44473</v>
      </c>
      <c r="DJ17" s="405">
        <f>DI17+IF(WEEKDAY(DI17)=1,1,IF(WEEKDAY(DI17)=7,2,0))+COUNTIF(ClosedDays!$B$4:$B$32,IF(WEEKDAY(DI17)=1,DI17+1,IF(WEEKDAY(DI17)=7,DI17+2,DI17)))+COUNTIF(ClosedDays!$F$4:$F$32,IF(WEEKDAY(DI17)=1,DI17+1,IF(WEEKDAY(DI17)=7,DI17+2,DI17)))+COUNTIF(ClosedDays!$J$4:$J$32,IF(WEEKDAY(DI17)=1,DI17+1,IF(WEEKDAY(DI17)=7,DI17+2,DI17)))+COUNTIF(ClosedDays!$N$4:$N$32,IF(WEEKDAY(DI17)=1,DI17+1,IF(WEEKDAY(DI17)=7,DI17+2,DI17)))</f>
        <v>44473</v>
      </c>
      <c r="DK17" s="405">
        <f>DJ17+IF(WEEKDAY(DJ17)=1,1,IF(WEEKDAY(DJ17)=7,2,0))+COUNTIF(ClosedDays!$B$4:$B$32,IF(WEEKDAY(DJ17)=1,DJ17+1,IF(WEEKDAY(DJ17)=7,DJ17+2,DJ17)))+COUNTIF(ClosedDays!$F$4:$F$32,IF(WEEKDAY(DJ17)=1,DJ17+1,IF(WEEKDAY(DJ17)=7,DJ17+2,DJ17)))+COUNTIF(ClosedDays!$J$4:$J$32,IF(WEEKDAY(DJ17)=1,DJ17+1,IF(WEEKDAY(DJ17)=7,DJ17+2,DJ17)))+COUNTIF(ClosedDays!$N$4:$N$32,IF(WEEKDAY(DJ17)=1,DJ17+1,IF(WEEKDAY(DJ17)=7,DJ17+2,DJ17)))</f>
        <v>44473</v>
      </c>
      <c r="DL17" s="405">
        <f>DK17+IF(WEEKDAY(DK17)=1,1,IF(WEEKDAY(DK17)=7,2,0))+COUNTIF(ClosedDays!$B$4:$B$32,IF(WEEKDAY(DK17)=1,DK17+1,IF(WEEKDAY(DK17)=7,DK17+2,DK17)))+COUNTIF(ClosedDays!$F$4:$F$32,IF(WEEKDAY(DK17)=1,DK17+1,IF(WEEKDAY(DK17)=7,DK17+2,DK17)))+COUNTIF(ClosedDays!$J$4:$J$32,IF(WEEKDAY(DK17)=1,DK17+1,IF(WEEKDAY(DK17)=7,DK17+2,DK17)))+COUNTIF(ClosedDays!$N$4:$N$32,IF(WEEKDAY(DK17)=1,DK17+1,IF(WEEKDAY(DK17)=7,DK17+2,DK17)))</f>
        <v>44473</v>
      </c>
      <c r="DM17" s="405">
        <f>DL17+IF(WEEKDAY(DL17)=1,1,IF(WEEKDAY(DL17)=7,2,0))+COUNTIF(ClosedDays!$B$4:$B$32,IF(WEEKDAY(DL17)=1,DL17+1,IF(WEEKDAY(DL17)=7,DL17+2,DL17)))+COUNTIF(ClosedDays!$F$4:$F$32,IF(WEEKDAY(DL17)=1,DL17+1,IF(WEEKDAY(DL17)=7,DL17+2,DL17)))+COUNTIF(ClosedDays!$J$4:$J$32,IF(WEEKDAY(DL17)=1,DL17+1,IF(WEEKDAY(DL17)=7,DL17+2,DL17)))+COUNTIF(ClosedDays!$N$4:$N$32,IF(WEEKDAY(DL17)=1,DL17+1,IF(WEEKDAY(DL17)=7,DL17+2,DL17)))</f>
        <v>44473</v>
      </c>
      <c r="DN17" s="405">
        <f>DM17+IF(WEEKDAY(DM17)=1,1,IF(WEEKDAY(DM17)=7,2,0))+COUNTIF(ClosedDays!$B$4:$B$32,IF(WEEKDAY(DM17)=1,DM17+1,IF(WEEKDAY(DM17)=7,DM17+2,DM17)))+COUNTIF(ClosedDays!$F$4:$F$32,IF(WEEKDAY(DM17)=1,DM17+1,IF(WEEKDAY(DM17)=7,DM17+2,DM17)))+COUNTIF(ClosedDays!$J$4:$J$32,IF(WEEKDAY(DM17)=1,DM17+1,IF(WEEKDAY(DM17)=7,DM17+2,DM17)))+COUNTIF(ClosedDays!$N$4:$N$32,IF(WEEKDAY(DM17)=1,DM17+1,IF(WEEKDAY(DM17)=7,DM17+2,DM17)))</f>
        <v>44473</v>
      </c>
      <c r="DO17" s="405">
        <f>DN17+IF(WEEKDAY(DN17)=1,1,IF(WEEKDAY(DN17)=7,2,0))+COUNTIF(ClosedDays!$B$4:$B$32,IF(WEEKDAY(DN17)=1,DN17+1,IF(WEEKDAY(DN17)=7,DN17+2,DN17)))+COUNTIF(ClosedDays!$F$4:$F$32,IF(WEEKDAY(DN17)=1,DN17+1,IF(WEEKDAY(DN17)=7,DN17+2,DN17)))+COUNTIF(ClosedDays!$J$4:$J$32,IF(WEEKDAY(DN17)=1,DN17+1,IF(WEEKDAY(DN17)=7,DN17+2,DN17)))+COUNTIF(ClosedDays!$N$4:$N$32,IF(WEEKDAY(DN17)=1,DN17+1,IF(WEEKDAY(DN17)=7,DN17+2,DN17)))</f>
        <v>44473</v>
      </c>
      <c r="DP17" s="405">
        <f t="shared" si="5"/>
        <v>44473</v>
      </c>
      <c r="DQ17" s="405">
        <f t="shared" si="20"/>
        <v>44473</v>
      </c>
      <c r="DR17" s="394">
        <f t="shared" si="19"/>
        <v>1</v>
      </c>
      <c r="DS17" s="394">
        <f>IF(AND(DR17=1,COUNTIF(DS$7:DS16,1)&lt;12,VLOOKUP(COUNTIF(DS$7:DS16,1)+1,'Outline Info'!$A$21:$C$32,2)&lt;=I17),1,0)</f>
        <v>1</v>
      </c>
      <c r="DT17" s="405" t="str">
        <f>IF(DS17=1,IF(VLOOKUP(COUNTIF(DS$7:DS17,1),'Outline Info'!$A$21:$C$32,2)=0,"",VLOOKUP(COUNTIF(DS$7:DS17,1),'Outline Info'!$A$21:$C$32,2)),"")</f>
        <v/>
      </c>
      <c r="DU17" s="447">
        <f>IF(DS17=1,VLOOKUP(COUNTIF(DS$7:DS17,1),'Outline Info'!$A$21:$C$32,3),0)</f>
        <v>0</v>
      </c>
      <c r="DV17" s="445">
        <f>IF('Outline Info'!$B$8="Y",IF(B17="*",'Outline Info'!$B$19,IF(OR($A17="",B17="X",B17="x"),0,VLOOKUP($A17,'Course Table'!$A$2:$J$331,4,TRUE))),0)</f>
        <v>0</v>
      </c>
      <c r="DW17" s="447">
        <f t="shared" si="6"/>
        <v>0</v>
      </c>
      <c r="DX17" s="447">
        <f>IF('Outline Info'!$B$8="Y",$DV17,$DW17)</f>
        <v>0</v>
      </c>
      <c r="DY17" s="394"/>
      <c r="DZ17" s="934"/>
      <c r="EA17" s="934"/>
      <c r="EB17" s="394"/>
      <c r="EC17" s="394"/>
      <c r="ED17" s="394"/>
    </row>
    <row r="18" spans="1:134" s="400" customFormat="1" ht="20.100000000000001" customHeight="1">
      <c r="A18" s="874" t="str">
        <f t="shared" si="7"/>
        <v/>
      </c>
      <c r="B18" s="876" t="str">
        <f t="shared" si="8"/>
        <v/>
      </c>
      <c r="C18" s="878" t="str">
        <f t="shared" si="9"/>
        <v/>
      </c>
      <c r="D18" s="463">
        <f>IF(NOT(ISBLANK(DZ18)),DZ18,IF(AND($AC18=9998,'Outline Info'!$H$33&gt;='Outline Info'!$B$6,'Outline Info'!$H$33&lt;='Outline Info'!$C$6),'Outline Info'!$H$33,IF(AND($AC18=9997,'Outline Info'!$H$31&gt;='Outline Info'!$B$6,'Outline Info'!$H$31&lt;='Outline Info'!$C$6),'Outline Info'!$H$31,IF(AE18="*",DQ17,IF(OR(AE18="x",AE18="X"),I17,IF(AND(AC18&gt;6,AC17&lt;6),DQ17,IF(AND($AC18=9998,$AC17=9997),I16,I17)))))))</f>
        <v>44470</v>
      </c>
      <c r="E18" s="1286"/>
      <c r="F18" s="1287"/>
      <c r="G18" s="1282"/>
      <c r="H18" s="1283"/>
      <c r="I18" s="464">
        <f>IF(AND($AC18=9998,'Outline Info'!$I$33&gt;='Outline Info'!$B$6,'Outline Info'!$I$33&lt;='Outline Info'!$C$6),'Outline Info'!$I$33,IF(AND($AC18=9997,'Outline Info'!$I$31&gt;='Outline Info'!$B$6,'Outline Info'!$I$31&lt;='Outline Info'!$C$6),'Outline Info'!$I$31,IF(DP18&gt;$V$4,$V$4,DP18)))</f>
        <v>44470</v>
      </c>
      <c r="J18" s="436"/>
      <c r="K18" s="437"/>
      <c r="L18" s="438"/>
      <c r="M18" s="438"/>
      <c r="N18" s="435"/>
      <c r="O18" s="435"/>
      <c r="P18" s="438"/>
      <c r="Q18" s="438"/>
      <c r="R18" s="439"/>
      <c r="S18" s="872">
        <f>IF($V$5-SUM($DX$7:$DX18)&lt;0,IF($V$5-SUM($DX$7:$DX17)&lt;0,0,$V$5-SUM($DX$7:$DX17)),DX18)</f>
        <v>0</v>
      </c>
      <c r="T18" s="440" t="str">
        <f>IF(S18&gt;0,IF('Outline Info'!$B$8="Y",D18,DT18),"")</f>
        <v/>
      </c>
      <c r="U18" s="441"/>
      <c r="V18" s="442"/>
      <c r="W18" s="870" t="str">
        <f>IF('Outline Info'!$C$33&gt;0,ROUND(IF('Outline Info'!$B$8="Y",SUM(S$7:S18)-SUM(AJ$7:AJ18)-'Outline Info'!$B$14-'Outline Info'!$B$15-'Outline Info'!$B$17,IF(AL18=0,SUM(S$7:S18)-SUM(AK$7:AK18)-SUM(AP18:AS18)-'Outline Info'!$B$14-'Outline Info'!$B$15-'Outline Info'!$B$17,0)),0),IF('Outline Info'!$T$4&lt;&gt;1,"",IF(OR(AD18="",AL18=1),"",SUM(AK$7:AK18)+SUM(AP18:AS18)+'Outline Info'!$B$14+'Outline Info'!$B$15+'Outline Info'!$B$17)))</f>
        <v/>
      </c>
      <c r="X18" s="448"/>
      <c r="Y18" s="443">
        <f>IF(OR(AE18="X",AE18="x",AE18="*",AC18=99999),0,IF(AC18&lt;50,0,IF($S$4-SUM($Y$7:$Y17)&gt;0,1,0)))</f>
        <v>0</v>
      </c>
      <c r="Z18" s="444">
        <f>IF(AC18&lt;99999,IF(AE18="*",AH18,IF(OR(AE18="x",AE18="X",AC18&lt;10),0,IF(AND(AC18&lt;&gt;9998,AC18&lt;&gt;9997),IF(AM18=1,(AH18+$AM$5)*(1+('Outline Info'!$B$16)),IF(AN18=1,(AH18+$AN$5)*(1+('Outline Info'!$B$16)),0)),AH18))),0)</f>
        <v>0</v>
      </c>
      <c r="AA18" s="395">
        <f>Z18/'Outline Info'!$C$11+Y18</f>
        <v>0</v>
      </c>
      <c r="AB18" s="395">
        <f>ROUND(AA18/'Outline Info'!$B$11*7,0)</f>
        <v>0</v>
      </c>
      <c r="AC18" s="445">
        <f>IF($AD18&lt;&gt;"",VLOOKUP($AD18,'Course Table'!$A$2:$J$331,10,TRUE),99999)</f>
        <v>99999</v>
      </c>
      <c r="AD18" s="394"/>
      <c r="AE18" s="394"/>
      <c r="AF18" s="394"/>
      <c r="AG18" s="394"/>
      <c r="AH18" s="394"/>
      <c r="AI18" s="394">
        <v>499</v>
      </c>
      <c r="AJ18" s="394">
        <v>499</v>
      </c>
      <c r="AK18" s="394">
        <f t="shared" si="10"/>
        <v>499</v>
      </c>
      <c r="AL18" s="394">
        <f t="shared" si="11"/>
        <v>0</v>
      </c>
      <c r="AM18" s="394">
        <f t="shared" si="12"/>
        <v>0</v>
      </c>
      <c r="AN18" s="394">
        <f t="shared" si="13"/>
        <v>0</v>
      </c>
      <c r="AO18" s="394">
        <f>IF(AN18=1,SUMPRODUCT($AJ$7:$AJ18,$AN$7:$AN18),0)</f>
        <v>0</v>
      </c>
      <c r="AP18" s="394">
        <f t="shared" si="14"/>
        <v>0</v>
      </c>
      <c r="AQ18" s="394">
        <f t="shared" si="14"/>
        <v>0</v>
      </c>
      <c r="AR18" s="394">
        <f t="shared" si="14"/>
        <v>0</v>
      </c>
      <c r="AS18" s="394">
        <f t="shared" si="14"/>
        <v>0</v>
      </c>
      <c r="AT18" s="394">
        <f t="shared" si="15"/>
        <v>0</v>
      </c>
      <c r="AU18" s="394">
        <f t="shared" si="15"/>
        <v>0</v>
      </c>
      <c r="AV18" s="394">
        <f t="shared" si="15"/>
        <v>0</v>
      </c>
      <c r="AW18" s="394">
        <f t="shared" si="15"/>
        <v>0</v>
      </c>
      <c r="AX18" s="394">
        <f t="shared" si="1"/>
        <v>0</v>
      </c>
      <c r="AY18" s="394">
        <f t="shared" si="2"/>
        <v>0</v>
      </c>
      <c r="AZ18" s="394">
        <f t="shared" si="3"/>
        <v>0</v>
      </c>
      <c r="BA18" s="394">
        <f t="shared" si="4"/>
        <v>0</v>
      </c>
      <c r="BB18" s="405">
        <f t="shared" si="21"/>
        <v>44473</v>
      </c>
      <c r="BC18" s="405">
        <f>BB18+IF(WEEKDAY(BB18)=1,1,IF(WEEKDAY(BB18)=7,2,0))+COUNTIF(ClosedDays!$B$4:$B$32,IF(WEEKDAY(BB18)=1,BB18+1,IF(WEEKDAY(BB18)=7,BB18+2,BB18)))+COUNTIF(ClosedDays!$F$4:$F$32,IF(WEEKDAY(BB18)=1,BB18+1,IF(WEEKDAY(BB18)=7,BB18+2,BB18)))+COUNTIF(ClosedDays!$J$4:$J$32,IF(WEEKDAY(BB18)=1,BB18+1,IF(WEEKDAY(BB18)=7,BB18+2,BB18)))+COUNTIF(ClosedDays!$N$4:$N$32,IF(WEEKDAY(BB18)=1,BB18+1,IF(WEEKDAY(BB18)=7,BB18+2,BB18)))</f>
        <v>44473</v>
      </c>
      <c r="BD18" s="405">
        <f>BC18+IF(WEEKDAY(BC18)=1,1,IF(WEEKDAY(BC18)=7,2,0))+COUNTIF(ClosedDays!$B$4:$B$32,IF(WEEKDAY(BC18)=1,BC18+1,IF(WEEKDAY(BC18)=7,BC18+2,BC18)))+COUNTIF(ClosedDays!$F$4:$F$32,IF(WEEKDAY(BC18)=1,BC18+1,IF(WEEKDAY(BC18)=7,BC18+2,BC18)))+COUNTIF(ClosedDays!$J$4:$J$32,IF(WEEKDAY(BC18)=1,BC18+1,IF(WEEKDAY(BC18)=7,BC18+2,BC18)))+COUNTIF(ClosedDays!$N$4:$N$32,IF(WEEKDAY(BC18)=1,BC18+1,IF(WEEKDAY(BC18)=7,BC18+2,BC18)))</f>
        <v>44473</v>
      </c>
      <c r="BE18" s="405">
        <f>BD18+IF(WEEKDAY(BD18)=1,1,IF(WEEKDAY(BD18)=7,2,0))+COUNTIF(ClosedDays!$B$4:$B$32,IF(WEEKDAY(BD18)=1,BD18+1,IF(WEEKDAY(BD18)=7,BD18+2,BD18)))+COUNTIF(ClosedDays!$F$4:$F$32,IF(WEEKDAY(BD18)=1,BD18+1,IF(WEEKDAY(BD18)=7,BD18+2,BD18)))+COUNTIF(ClosedDays!$J$4:$J$32,IF(WEEKDAY(BD18)=1,BD18+1,IF(WEEKDAY(BD18)=7,BD18+2,BD18)))+COUNTIF(ClosedDays!$N$4:$N$32,IF(WEEKDAY(BD18)=1,BD18+1,IF(WEEKDAY(BD18)=7,BD18+2,BD18)))</f>
        <v>44473</v>
      </c>
      <c r="BF18" s="405">
        <f>BE18+IF(WEEKDAY(BE18)=1,1,IF(WEEKDAY(BE18)=7,2,0))+COUNTIF(ClosedDays!$B$4:$B$32,IF(WEEKDAY(BE18)=1,BE18+1,IF(WEEKDAY(BE18)=7,BE18+2,BE18)))+COUNTIF(ClosedDays!$F$4:$F$32,IF(WEEKDAY(BE18)=1,BE18+1,IF(WEEKDAY(BE18)=7,BE18+2,BE18)))+COUNTIF(ClosedDays!$J$4:$J$32,IF(WEEKDAY(BE18)=1,BE18+1,IF(WEEKDAY(BE18)=7,BE18+2,BE18)))+COUNTIF(ClosedDays!$N$4:$N$32,IF(WEEKDAY(BE18)=1,BE18+1,IF(WEEKDAY(BE18)=7,BE18+2,BE18)))</f>
        <v>44473</v>
      </c>
      <c r="BG18" s="405">
        <f>BF18+IF(WEEKDAY(BF18)=1,1,IF(WEEKDAY(BF18)=7,2,0))+COUNTIF(ClosedDays!$B$4:$B$32,IF(WEEKDAY(BF18)=1,BF18+1,IF(WEEKDAY(BF18)=7,BF18+2,BF18)))+COUNTIF(ClosedDays!$F$4:$F$32,IF(WEEKDAY(BF18)=1,BF18+1,IF(WEEKDAY(BF18)=7,BF18+2,BF18)))+COUNTIF(ClosedDays!$J$4:$J$32,IF(WEEKDAY(BF18)=1,BF18+1,IF(WEEKDAY(BF18)=7,BF18+2,BF18)))+COUNTIF(ClosedDays!$N$4:$N$32,IF(WEEKDAY(BF18)=1,BF18+1,IF(WEEKDAY(BF18)=7,BF18+2,BF18)))</f>
        <v>44473</v>
      </c>
      <c r="BH18" s="405">
        <f>BG18+IF(WEEKDAY(BG18)=1,1,IF(WEEKDAY(BG18)=7,2,0))+COUNTIF(ClosedDays!$B$4:$B$32,IF(WEEKDAY(BG18)=1,BG18+1,IF(WEEKDAY(BG18)=7,BG18+2,BG18)))+COUNTIF(ClosedDays!$F$4:$F$32,IF(WEEKDAY(BG18)=1,BG18+1,IF(WEEKDAY(BG18)=7,BG18+2,BG18)))+COUNTIF(ClosedDays!$J$4:$J$32,IF(WEEKDAY(BG18)=1,BG18+1,IF(WEEKDAY(BG18)=7,BG18+2,BG18)))+COUNTIF(ClosedDays!$N$4:$N$32,IF(WEEKDAY(BG18)=1,BG18+1,IF(WEEKDAY(BG18)=7,BG18+2,BG18)))</f>
        <v>44473</v>
      </c>
      <c r="BI18" s="405">
        <f>BH18+IF(WEEKDAY(BH18)=1,1,IF(WEEKDAY(BH18)=7,2,0))+COUNTIF(ClosedDays!$B$4:$B$32,IF(WEEKDAY(BH18)=1,BH18+1,IF(WEEKDAY(BH18)=7,BH18+2,BH18)))+COUNTIF(ClosedDays!$F$4:$F$32,IF(WEEKDAY(BH18)=1,BH18+1,IF(WEEKDAY(BH18)=7,BH18+2,BH18)))+COUNTIF(ClosedDays!$J$4:$J$32,IF(WEEKDAY(BH18)=1,BH18+1,IF(WEEKDAY(BH18)=7,BH18+2,BH18)))+COUNTIF(ClosedDays!$N$4:$N$32,IF(WEEKDAY(BH18)=1,BH18+1,IF(WEEKDAY(BH18)=7,BH18+2,BH18)))</f>
        <v>44473</v>
      </c>
      <c r="BJ18" s="405">
        <f>BI18+IF(WEEKDAY(BI18)=1,1,IF(WEEKDAY(BI18)=7,2,0))+COUNTIF(ClosedDays!$B$4:$B$32,IF(WEEKDAY(BI18)=1,BI18+1,IF(WEEKDAY(BI18)=7,BI18+2,BI18)))+COUNTIF(ClosedDays!$F$4:$F$32,IF(WEEKDAY(BI18)=1,BI18+1,IF(WEEKDAY(BI18)=7,BI18+2,BI18)))+COUNTIF(ClosedDays!$J$4:$J$32,IF(WEEKDAY(BI18)=1,BI18+1,IF(WEEKDAY(BI18)=7,BI18+2,BI18)))+COUNTIF(ClosedDays!$N$4:$N$32,IF(WEEKDAY(BI18)=1,BI18+1,IF(WEEKDAY(BI18)=7,BI18+2,BI18)))</f>
        <v>44473</v>
      </c>
      <c r="BK18" s="405">
        <f>BJ18+IF(WEEKDAY(BJ18)=1,1,IF(WEEKDAY(BJ18)=7,2,0))+COUNTIF(ClosedDays!$B$4:$B$32,IF(WEEKDAY(BJ18)=1,BJ18+1,IF(WEEKDAY(BJ18)=7,BJ18+2,BJ18)))+COUNTIF(ClosedDays!$F$4:$F$32,IF(WEEKDAY(BJ18)=1,BJ18+1,IF(WEEKDAY(BJ18)=7,BJ18+2,BJ18)))+COUNTIF(ClosedDays!$J$4:$J$32,IF(WEEKDAY(BJ18)=1,BJ18+1,IF(WEEKDAY(BJ18)=7,BJ18+2,BJ18)))+COUNTIF(ClosedDays!$N$4:$N$32,IF(WEEKDAY(BJ18)=1,BJ18+1,IF(WEEKDAY(BJ18)=7,BJ18+2,BJ18)))</f>
        <v>44473</v>
      </c>
      <c r="BL18" s="405">
        <f>BK18+IF(WEEKDAY(BK18)=1,1,IF(WEEKDAY(BK18)=7,2,0))+COUNTIF(ClosedDays!$B$4:$B$32,IF(WEEKDAY(BK18)=1,BK18+1,IF(WEEKDAY(BK18)=7,BK18+2,BK18)))+COUNTIF(ClosedDays!$F$4:$F$32,IF(WEEKDAY(BK18)=1,BK18+1,IF(WEEKDAY(BK18)=7,BK18+2,BK18)))+COUNTIF(ClosedDays!$J$4:$J$32,IF(WEEKDAY(BK18)=1,BK18+1,IF(WEEKDAY(BK18)=7,BK18+2,BK18)))+COUNTIF(ClosedDays!$N$4:$N$32,IF(WEEKDAY(BK18)=1,BK18+1,IF(WEEKDAY(BK18)=7,BK18+2,BK18)))</f>
        <v>44473</v>
      </c>
      <c r="BM18" s="405">
        <f>BL18+IF(WEEKDAY(BL18)=1,1,IF(WEEKDAY(BL18)=7,2,0))+COUNTIF(ClosedDays!$B$4:$B$32,IF(WEEKDAY(BL18)=1,BL18+1,IF(WEEKDAY(BL18)=7,BL18+2,BL18)))+COUNTIF(ClosedDays!$F$4:$F$32,IF(WEEKDAY(BL18)=1,BL18+1,IF(WEEKDAY(BL18)=7,BL18+2,BL18)))+COUNTIF(ClosedDays!$J$4:$J$32,IF(WEEKDAY(BL18)=1,BL18+1,IF(WEEKDAY(BL18)=7,BL18+2,BL18)))+COUNTIF(ClosedDays!$N$4:$N$32,IF(WEEKDAY(BL18)=1,BL18+1,IF(WEEKDAY(BL18)=7,BL18+2,BL18)))</f>
        <v>44473</v>
      </c>
      <c r="BN18" s="405">
        <f>BM18+IF(WEEKDAY(BM18)=1,1,IF(WEEKDAY(BM18)=7,2,0))+COUNTIF(ClosedDays!$B$4:$B$32,IF(WEEKDAY(BM18)=1,BM18+1,IF(WEEKDAY(BM18)=7,BM18+2,BM18)))+COUNTIF(ClosedDays!$F$4:$F$32,IF(WEEKDAY(BM18)=1,BM18+1,IF(WEEKDAY(BM18)=7,BM18+2,BM18)))+COUNTIF(ClosedDays!$J$4:$J$32,IF(WEEKDAY(BM18)=1,BM18+1,IF(WEEKDAY(BM18)=7,BM18+2,BM18)))+COUNTIF(ClosedDays!$N$4:$N$32,IF(WEEKDAY(BM18)=1,BM18+1,IF(WEEKDAY(BM18)=7,BM18+2,BM18)))</f>
        <v>44473</v>
      </c>
      <c r="BO18" s="405">
        <f>BN18+IF(WEEKDAY(BN18)=1,1,IF(WEEKDAY(BN18)=7,2,0))+COUNTIF(ClosedDays!$B$4:$B$32,IF(WEEKDAY(BN18)=1,BN18+1,IF(WEEKDAY(BN18)=7,BN18+2,BN18)))+COUNTIF(ClosedDays!$F$4:$F$32,IF(WEEKDAY(BN18)=1,BN18+1,IF(WEEKDAY(BN18)=7,BN18+2,BN18)))+COUNTIF(ClosedDays!$J$4:$J$32,IF(WEEKDAY(BN18)=1,BN18+1,IF(WEEKDAY(BN18)=7,BN18+2,BN18)))+COUNTIF(ClosedDays!$N$4:$N$32,IF(WEEKDAY(BN18)=1,BN18+1,IF(WEEKDAY(BN18)=7,BN18+2,BN18)))</f>
        <v>44473</v>
      </c>
      <c r="BP18" s="405">
        <f>BO18+IF(WEEKDAY(BO18)=1,1,IF(WEEKDAY(BO18)=7,2,0))+COUNTIF(ClosedDays!$B$4:$B$32,IF(WEEKDAY(BO18)=1,BO18+1,IF(WEEKDAY(BO18)=7,BO18+2,BO18)))+COUNTIF(ClosedDays!$F$4:$F$32,IF(WEEKDAY(BO18)=1,BO18+1,IF(WEEKDAY(BO18)=7,BO18+2,BO18)))+COUNTIF(ClosedDays!$J$4:$J$32,IF(WEEKDAY(BO18)=1,BO18+1,IF(WEEKDAY(BO18)=7,BO18+2,BO18)))+COUNTIF(ClosedDays!$N$4:$N$32,IF(WEEKDAY(BO18)=1,BO18+1,IF(WEEKDAY(BO18)=7,BO18+2,BO18)))</f>
        <v>44473</v>
      </c>
      <c r="BQ18" s="405">
        <f t="shared" si="16"/>
        <v>44473</v>
      </c>
      <c r="BR18" s="446">
        <f>IF(AND($D18&lt;='Outline Info'!$H$31,BQ18&gt;='Outline Info'!$H$31,$BS$4=1,$AC18&gt;10,$AC18&lt;9997),1,0)</f>
        <v>0</v>
      </c>
      <c r="BS18" s="405">
        <f>IF(BR18=1,BQ18+'Outline Info'!$I$31-'Outline Info'!$H$31+1,BQ18)</f>
        <v>44473</v>
      </c>
      <c r="BT18" s="405">
        <f>BS18+IF(WEEKDAY(BS18)=1,1,IF(WEEKDAY(BS18)=7,2,0))+COUNTIF(ClosedDays!$B$4:$B$32,IF(WEEKDAY(BS18)=1,BS18+1,IF(WEEKDAY(BS18)=7,BS18+2,BS18)))+COUNTIF(ClosedDays!$F$4:$F$32,IF(WEEKDAY(BS18)=1,BS18+1,IF(WEEKDAY(BS18)=7,BS18+2,BS18)))+COUNTIF(ClosedDays!$J$4:$J$32,IF(WEEKDAY(BS18)=1,BS18+1,IF(WEEKDAY(BS18)=7,BS18+2,BS18)))+COUNTIF(ClosedDays!$N$4:$N$32,IF(WEEKDAY(BS18)=1,BS18+1,IF(WEEKDAY(BS18)=7,BS18+2,BS18)))</f>
        <v>44473</v>
      </c>
      <c r="BU18" s="405">
        <f>BT18+IF(WEEKDAY(BT18)=1,1,IF(WEEKDAY(BT18)=7,2,0))+COUNTIF(ClosedDays!$B$4:$B$32,IF(WEEKDAY(BT18)=1,BT18+1,IF(WEEKDAY(BT18)=7,BT18+2,BT18)))+COUNTIF(ClosedDays!$F$4:$F$32,IF(WEEKDAY(BT18)=1,BT18+1,IF(WEEKDAY(BT18)=7,BT18+2,BT18)))+COUNTIF(ClosedDays!$J$4:$J$32,IF(WEEKDAY(BT18)=1,BT18+1,IF(WEEKDAY(BT18)=7,BT18+2,BT18)))+COUNTIF(ClosedDays!$N$4:$N$32,IF(WEEKDAY(BT18)=1,BT18+1,IF(WEEKDAY(BT18)=7,BT18+2,BT18)))</f>
        <v>44473</v>
      </c>
      <c r="BV18" s="405">
        <f>BU18+IF(WEEKDAY(BU18)=1,1,IF(WEEKDAY(BU18)=7,2,0))+COUNTIF(ClosedDays!$B$4:$B$32,IF(WEEKDAY(BU18)=1,BU18+1,IF(WEEKDAY(BU18)=7,BU18+2,BU18)))+COUNTIF(ClosedDays!$F$4:$F$32,IF(WEEKDAY(BU18)=1,BU18+1,IF(WEEKDAY(BU18)=7,BU18+2,BU18)))+COUNTIF(ClosedDays!$J$4:$J$32,IF(WEEKDAY(BU18)=1,BU18+1,IF(WEEKDAY(BU18)=7,BU18+2,BU18)))+COUNTIF(ClosedDays!$N$4:$N$32,IF(WEEKDAY(BU18)=1,BU18+1,IF(WEEKDAY(BU18)=7,BU18+2,BU18)))</f>
        <v>44473</v>
      </c>
      <c r="BW18" s="405">
        <f>BV18+IF(WEEKDAY(BV18)=1,1,IF(WEEKDAY(BV18)=7,2,0))+COUNTIF(ClosedDays!$B$4:$B$32,IF(WEEKDAY(BV18)=1,BV18+1,IF(WEEKDAY(BV18)=7,BV18+2,BV18)))+COUNTIF(ClosedDays!$F$4:$F$32,IF(WEEKDAY(BV18)=1,BV18+1,IF(WEEKDAY(BV18)=7,BV18+2,BV18)))+COUNTIF(ClosedDays!$J$4:$J$32,IF(WEEKDAY(BV18)=1,BV18+1,IF(WEEKDAY(BV18)=7,BV18+2,BV18)))+COUNTIF(ClosedDays!$N$4:$N$32,IF(WEEKDAY(BV18)=1,BV18+1,IF(WEEKDAY(BV18)=7,BV18+2,BV18)))</f>
        <v>44473</v>
      </c>
      <c r="BX18" s="405">
        <f>BW18+IF(WEEKDAY(BW18)=1,1,IF(WEEKDAY(BW18)=7,2,0))+COUNTIF(ClosedDays!$B$4:$B$32,IF(WEEKDAY(BW18)=1,BW18+1,IF(WEEKDAY(BW18)=7,BW18+2,BW18)))+COUNTIF(ClosedDays!$F$4:$F$32,IF(WEEKDAY(BW18)=1,BW18+1,IF(WEEKDAY(BW18)=7,BW18+2,BW18)))+COUNTIF(ClosedDays!$J$4:$J$32,IF(WEEKDAY(BW18)=1,BW18+1,IF(WEEKDAY(BW18)=7,BW18+2,BW18)))+COUNTIF(ClosedDays!$N$4:$N$32,IF(WEEKDAY(BW18)=1,BW18+1,IF(WEEKDAY(BW18)=7,BW18+2,BW18)))</f>
        <v>44473</v>
      </c>
      <c r="BY18" s="405">
        <f>BX18+IF(WEEKDAY(BX18)=1,1,IF(WEEKDAY(BX18)=7,2,0))+COUNTIF(ClosedDays!$B$4:$B$32,IF(WEEKDAY(BX18)=1,BX18+1,IF(WEEKDAY(BX18)=7,BX18+2,BX18)))+COUNTIF(ClosedDays!$F$4:$F$32,IF(WEEKDAY(BX18)=1,BX18+1,IF(WEEKDAY(BX18)=7,BX18+2,BX18)))+COUNTIF(ClosedDays!$J$4:$J$32,IF(WEEKDAY(BX18)=1,BX18+1,IF(WEEKDAY(BX18)=7,BX18+2,BX18)))+COUNTIF(ClosedDays!$N$4:$N$32,IF(WEEKDAY(BX18)=1,BX18+1,IF(WEEKDAY(BX18)=7,BX18+2,BX18)))</f>
        <v>44473</v>
      </c>
      <c r="BZ18" s="405">
        <f>BY18+IF(WEEKDAY(BY18)=1,1,IF(WEEKDAY(BY18)=7,2,0))+COUNTIF(ClosedDays!$B$4:$B$32,IF(WEEKDAY(BY18)=1,BY18+1,IF(WEEKDAY(BY18)=7,BY18+2,BY18)))+COUNTIF(ClosedDays!$F$4:$F$32,IF(WEEKDAY(BY18)=1,BY18+1,IF(WEEKDAY(BY18)=7,BY18+2,BY18)))+COUNTIF(ClosedDays!$J$4:$J$32,IF(WEEKDAY(BY18)=1,BY18+1,IF(WEEKDAY(BY18)=7,BY18+2,BY18)))+COUNTIF(ClosedDays!$N$4:$N$32,IF(WEEKDAY(BY18)=1,BY18+1,IF(WEEKDAY(BY18)=7,BY18+2,BY18)))</f>
        <v>44473</v>
      </c>
      <c r="CA18" s="405">
        <f>BZ18+IF(WEEKDAY(BZ18)=1,1,IF(WEEKDAY(BZ18)=7,2,0))+COUNTIF(ClosedDays!$B$4:$B$32,IF(WEEKDAY(BZ18)=1,BZ18+1,IF(WEEKDAY(BZ18)=7,BZ18+2,BZ18)))+COUNTIF(ClosedDays!$F$4:$F$32,IF(WEEKDAY(BZ18)=1,BZ18+1,IF(WEEKDAY(BZ18)=7,BZ18+2,BZ18)))+COUNTIF(ClosedDays!$J$4:$J$32,IF(WEEKDAY(BZ18)=1,BZ18+1,IF(WEEKDAY(BZ18)=7,BZ18+2,BZ18)))+COUNTIF(ClosedDays!$N$4:$N$32,IF(WEEKDAY(BZ18)=1,BZ18+1,IF(WEEKDAY(BZ18)=7,BZ18+2,BZ18)))</f>
        <v>44473</v>
      </c>
      <c r="CB18" s="405">
        <f>CA18+IF(WEEKDAY(CA18)=1,1,IF(WEEKDAY(CA18)=7,2,0))+COUNTIF(ClosedDays!$B$4:$B$32,IF(WEEKDAY(CA18)=1,CA18+1,IF(WEEKDAY(CA18)=7,CA18+2,CA18)))+COUNTIF(ClosedDays!$F$4:$F$32,IF(WEEKDAY(CA18)=1,CA18+1,IF(WEEKDAY(CA18)=7,CA18+2,CA18)))+COUNTIF(ClosedDays!$J$4:$J$32,IF(WEEKDAY(CA18)=1,CA18+1,IF(WEEKDAY(CA18)=7,CA18+2,CA18)))+COUNTIF(ClosedDays!$N$4:$N$32,IF(WEEKDAY(CA18)=1,CA18+1,IF(WEEKDAY(CA18)=7,CA18+2,CA18)))</f>
        <v>44473</v>
      </c>
      <c r="CC18" s="405">
        <f>CB18+IF(WEEKDAY(CB18)=1,1,IF(WEEKDAY(CB18)=7,2,0))+COUNTIF(ClosedDays!$B$4:$B$32,IF(WEEKDAY(CB18)=1,CB18+1,IF(WEEKDAY(CB18)=7,CB18+2,CB18)))+COUNTIF(ClosedDays!$F$4:$F$32,IF(WEEKDAY(CB18)=1,CB18+1,IF(WEEKDAY(CB18)=7,CB18+2,CB18)))+COUNTIF(ClosedDays!$J$4:$J$32,IF(WEEKDAY(CB18)=1,CB18+1,IF(WEEKDAY(CB18)=7,CB18+2,CB18)))+COUNTIF(ClosedDays!$N$4:$N$32,IF(WEEKDAY(CB18)=1,CB18+1,IF(WEEKDAY(CB18)=7,CB18+2,CB18)))</f>
        <v>44473</v>
      </c>
      <c r="CD18" s="405">
        <f>CC18+IF(WEEKDAY(CC18)=1,1,IF(WEEKDAY(CC18)=7,2,0))+COUNTIF(ClosedDays!$B$4:$B$32,IF(WEEKDAY(CC18)=1,CC18+1,IF(WEEKDAY(CC18)=7,CC18+2,CC18)))+COUNTIF(ClosedDays!$F$4:$F$32,IF(WEEKDAY(CC18)=1,CC18+1,IF(WEEKDAY(CC18)=7,CC18+2,CC18)))+COUNTIF(ClosedDays!$J$4:$J$32,IF(WEEKDAY(CC18)=1,CC18+1,IF(WEEKDAY(CC18)=7,CC18+2,CC18)))+COUNTIF(ClosedDays!$N$4:$N$32,IF(WEEKDAY(CC18)=1,CC18+1,IF(WEEKDAY(CC18)=7,CC18+2,CC18)))</f>
        <v>44473</v>
      </c>
      <c r="CE18" s="405">
        <f>CD18+IF(WEEKDAY(CD18)=1,1,IF(WEEKDAY(CD18)=7,2,0))+COUNTIF(ClosedDays!$B$4:$B$32,IF(WEEKDAY(CD18)=1,CD18+1,IF(WEEKDAY(CD18)=7,CD18+2,CD18)))+COUNTIF(ClosedDays!$F$4:$F$32,IF(WEEKDAY(CD18)=1,CD18+1,IF(WEEKDAY(CD18)=7,CD18+2,CD18)))+COUNTIF(ClosedDays!$J$4:$J$32,IF(WEEKDAY(CD18)=1,CD18+1,IF(WEEKDAY(CD18)=7,CD18+2,CD18)))+COUNTIF(ClosedDays!$N$4:$N$32,IF(WEEKDAY(CD18)=1,CD18+1,IF(WEEKDAY(CD18)=7,CD18+2,CD18)))</f>
        <v>44473</v>
      </c>
      <c r="CF18" s="405">
        <f>CE18+IF(WEEKDAY(CE18)=1,1,IF(WEEKDAY(CE18)=7,2,0))+COUNTIF(ClosedDays!$B$4:$B$32,IF(WEEKDAY(CE18)=1,CE18+1,IF(WEEKDAY(CE18)=7,CE18+2,CE18)))+COUNTIF(ClosedDays!$F$4:$F$32,IF(WEEKDAY(CE18)=1,CE18+1,IF(WEEKDAY(CE18)=7,CE18+2,CE18)))+COUNTIF(ClosedDays!$J$4:$J$32,IF(WEEKDAY(CE18)=1,CE18+1,IF(WEEKDAY(CE18)=7,CE18+2,CE18)))+COUNTIF(ClosedDays!$N$4:$N$32,IF(WEEKDAY(CE18)=1,CE18+1,IF(WEEKDAY(CE18)=7,CE18+2,CE18)))</f>
        <v>44473</v>
      </c>
      <c r="CG18" s="405">
        <f>CF18+IF(WEEKDAY(CF18)=1,1,IF(WEEKDAY(CF18)=7,2,0))+COUNTIF(ClosedDays!$B$4:$B$32,IF(WEEKDAY(CF18)=1,CF18+1,IF(WEEKDAY(CF18)=7,CF18+2,CF18)))+COUNTIF(ClosedDays!$F$4:$F$32,IF(WEEKDAY(CF18)=1,CF18+1,IF(WEEKDAY(CF18)=7,CF18+2,CF18)))+COUNTIF(ClosedDays!$J$4:$J$32,IF(WEEKDAY(CF18)=1,CF18+1,IF(WEEKDAY(CF18)=7,CF18+2,CF18)))+COUNTIF(ClosedDays!$N$4:$N$32,IF(WEEKDAY(CF18)=1,CF18+1,IF(WEEKDAY(CF18)=7,CF18+2,CF18)))</f>
        <v>44473</v>
      </c>
      <c r="CH18" s="405">
        <f t="shared" si="17"/>
        <v>44473</v>
      </c>
      <c r="CI18" s="446">
        <f>IF(AND($D18&lt;='Outline Info'!$H$33,CH18&gt;='Outline Info'!$H$33,$CJ$4=1,$AC18&gt;10,$AC18&lt;9997),1,0)</f>
        <v>0</v>
      </c>
      <c r="CJ18" s="405">
        <f>IF(CI18=1,CH18+'Outline Info'!$I$33-'Outline Info'!$H$33+1,CH18)</f>
        <v>44473</v>
      </c>
      <c r="CK18" s="405">
        <f>CJ18+IF(WEEKDAY(CJ18)=1,1,IF(WEEKDAY(CJ18)=7,2,0))+COUNTIF(ClosedDays!$B$4:$B$32,IF(WEEKDAY(CJ18)=1,CJ18+1,IF(WEEKDAY(CJ18)=7,CJ18+2,CJ18)))+COUNTIF(ClosedDays!$F$4:$F$32,IF(WEEKDAY(CJ18)=1,CJ18+1,IF(WEEKDAY(CJ18)=7,CJ18+2,CJ18)))+COUNTIF(ClosedDays!$J$4:$J$32,IF(WEEKDAY(CJ18)=1,CJ18+1,IF(WEEKDAY(CJ18)=7,CJ18+2,CJ18)))+COUNTIF(ClosedDays!$N$4:$N$32,IF(WEEKDAY(CJ18)=1,CJ18+1,IF(WEEKDAY(CJ18)=7,CJ18+2,CJ18)))</f>
        <v>44473</v>
      </c>
      <c r="CL18" s="405">
        <f>CK18+IF(WEEKDAY(CK18)=1,1,IF(WEEKDAY(CK18)=7,2,0))+COUNTIF(ClosedDays!$B$4:$B$32,IF(WEEKDAY(CK18)=1,CK18+1,IF(WEEKDAY(CK18)=7,CK18+2,CK18)))+COUNTIF(ClosedDays!$F$4:$F$32,IF(WEEKDAY(CK18)=1,CK18+1,IF(WEEKDAY(CK18)=7,CK18+2,CK18)))+COUNTIF(ClosedDays!$J$4:$J$32,IF(WEEKDAY(CK18)=1,CK18+1,IF(WEEKDAY(CK18)=7,CK18+2,CK18)))+COUNTIF(ClosedDays!$N$4:$N$32,IF(WEEKDAY(CK18)=1,CK18+1,IF(WEEKDAY(CK18)=7,CK18+2,CK18)))</f>
        <v>44473</v>
      </c>
      <c r="CM18" s="405">
        <f>CL18+IF(WEEKDAY(CL18)=1,1,IF(WEEKDAY(CL18)=7,2,0))+COUNTIF(ClosedDays!$B$4:$B$32,IF(WEEKDAY(CL18)=1,CL18+1,IF(WEEKDAY(CL18)=7,CL18+2,CL18)))+COUNTIF(ClosedDays!$F$4:$F$32,IF(WEEKDAY(CL18)=1,CL18+1,IF(WEEKDAY(CL18)=7,CL18+2,CL18)))+COUNTIF(ClosedDays!$J$4:$J$32,IF(WEEKDAY(CL18)=1,CL18+1,IF(WEEKDAY(CL18)=7,CL18+2,CL18)))+COUNTIF(ClosedDays!$N$4:$N$32,IF(WEEKDAY(CL18)=1,CL18+1,IF(WEEKDAY(CL18)=7,CL18+2,CL18)))</f>
        <v>44473</v>
      </c>
      <c r="CN18" s="405">
        <f>CM18+IF(WEEKDAY(CM18)=1,1,IF(WEEKDAY(CM18)=7,2,0))+COUNTIF(ClosedDays!$B$4:$B$32,IF(WEEKDAY(CM18)=1,CM18+1,IF(WEEKDAY(CM18)=7,CM18+2,CM18)))+COUNTIF(ClosedDays!$F$4:$F$32,IF(WEEKDAY(CM18)=1,CM18+1,IF(WEEKDAY(CM18)=7,CM18+2,CM18)))+COUNTIF(ClosedDays!$J$4:$J$32,IF(WEEKDAY(CM18)=1,CM18+1,IF(WEEKDAY(CM18)=7,CM18+2,CM18)))+COUNTIF(ClosedDays!$N$4:$N$32,IF(WEEKDAY(CM18)=1,CM18+1,IF(WEEKDAY(CM18)=7,CM18+2,CM18)))</f>
        <v>44473</v>
      </c>
      <c r="CO18" s="405">
        <f>CN18+IF(WEEKDAY(CN18)=1,1,IF(WEEKDAY(CN18)=7,2,0))+COUNTIF(ClosedDays!$B$4:$B$32,IF(WEEKDAY(CN18)=1,CN18+1,IF(WEEKDAY(CN18)=7,CN18+2,CN18)))+COUNTIF(ClosedDays!$F$4:$F$32,IF(WEEKDAY(CN18)=1,CN18+1,IF(WEEKDAY(CN18)=7,CN18+2,CN18)))+COUNTIF(ClosedDays!$J$4:$J$32,IF(WEEKDAY(CN18)=1,CN18+1,IF(WEEKDAY(CN18)=7,CN18+2,CN18)))+COUNTIF(ClosedDays!$N$4:$N$32,IF(WEEKDAY(CN18)=1,CN18+1,IF(WEEKDAY(CN18)=7,CN18+2,CN18)))</f>
        <v>44473</v>
      </c>
      <c r="CP18" s="405">
        <f>CO18+IF(WEEKDAY(CO18)=1,1,IF(WEEKDAY(CO18)=7,2,0))+COUNTIF(ClosedDays!$B$4:$B$32,IF(WEEKDAY(CO18)=1,CO18+1,IF(WEEKDAY(CO18)=7,CO18+2,CO18)))+COUNTIF(ClosedDays!$F$4:$F$32,IF(WEEKDAY(CO18)=1,CO18+1,IF(WEEKDAY(CO18)=7,CO18+2,CO18)))+COUNTIF(ClosedDays!$J$4:$J$32,IF(WEEKDAY(CO18)=1,CO18+1,IF(WEEKDAY(CO18)=7,CO18+2,CO18)))+COUNTIF(ClosedDays!$N$4:$N$32,IF(WEEKDAY(CO18)=1,CO18+1,IF(WEEKDAY(CO18)=7,CO18+2,CO18)))</f>
        <v>44473</v>
      </c>
      <c r="CQ18" s="405">
        <f>CP18+IF(WEEKDAY(CP18)=1,1,IF(WEEKDAY(CP18)=7,2,0))+COUNTIF(ClosedDays!$B$4:$B$32,IF(WEEKDAY(CP18)=1,CP18+1,IF(WEEKDAY(CP18)=7,CP18+2,CP18)))+COUNTIF(ClosedDays!$F$4:$F$32,IF(WEEKDAY(CP18)=1,CP18+1,IF(WEEKDAY(CP18)=7,CP18+2,CP18)))+COUNTIF(ClosedDays!$J$4:$J$32,IF(WEEKDAY(CP18)=1,CP18+1,IF(WEEKDAY(CP18)=7,CP18+2,CP18)))+COUNTIF(ClosedDays!$N$4:$N$32,IF(WEEKDAY(CP18)=1,CP18+1,IF(WEEKDAY(CP18)=7,CP18+2,CP18)))</f>
        <v>44473</v>
      </c>
      <c r="CR18" s="405">
        <f>CQ18+IF(WEEKDAY(CQ18)=1,1,IF(WEEKDAY(CQ18)=7,2,0))+COUNTIF(ClosedDays!$B$4:$B$32,IF(WEEKDAY(CQ18)=1,CQ18+1,IF(WEEKDAY(CQ18)=7,CQ18+2,CQ18)))+COUNTIF(ClosedDays!$F$4:$F$32,IF(WEEKDAY(CQ18)=1,CQ18+1,IF(WEEKDAY(CQ18)=7,CQ18+2,CQ18)))+COUNTIF(ClosedDays!$J$4:$J$32,IF(WEEKDAY(CQ18)=1,CQ18+1,IF(WEEKDAY(CQ18)=7,CQ18+2,CQ18)))+COUNTIF(ClosedDays!$N$4:$N$32,IF(WEEKDAY(CQ18)=1,CQ18+1,IF(WEEKDAY(CQ18)=7,CQ18+2,CQ18)))</f>
        <v>44473</v>
      </c>
      <c r="CS18" s="405">
        <f>CR18+IF(WEEKDAY(CR18)=1,1,IF(WEEKDAY(CR18)=7,2,0))+COUNTIF(ClosedDays!$B$4:$B$32,IF(WEEKDAY(CR18)=1,CR18+1,IF(WEEKDAY(CR18)=7,CR18+2,CR18)))+COUNTIF(ClosedDays!$F$4:$F$32,IF(WEEKDAY(CR18)=1,CR18+1,IF(WEEKDAY(CR18)=7,CR18+2,CR18)))+COUNTIF(ClosedDays!$J$4:$J$32,IF(WEEKDAY(CR18)=1,CR18+1,IF(WEEKDAY(CR18)=7,CR18+2,CR18)))+COUNTIF(ClosedDays!$N$4:$N$32,IF(WEEKDAY(CR18)=1,CR18+1,IF(WEEKDAY(CR18)=7,CR18+2,CR18)))</f>
        <v>44473</v>
      </c>
      <c r="CT18" s="405">
        <f>CS18+IF(WEEKDAY(CS18)=1,1,IF(WEEKDAY(CS18)=7,2,0))+COUNTIF(ClosedDays!$B$4:$B$32,IF(WEEKDAY(CS18)=1,CS18+1,IF(WEEKDAY(CS18)=7,CS18+2,CS18)))+COUNTIF(ClosedDays!$F$4:$F$32,IF(WEEKDAY(CS18)=1,CS18+1,IF(WEEKDAY(CS18)=7,CS18+2,CS18)))+COUNTIF(ClosedDays!$J$4:$J$32,IF(WEEKDAY(CS18)=1,CS18+1,IF(WEEKDAY(CS18)=7,CS18+2,CS18)))+COUNTIF(ClosedDays!$N$4:$N$32,IF(WEEKDAY(CS18)=1,CS18+1,IF(WEEKDAY(CS18)=7,CS18+2,CS18)))</f>
        <v>44473</v>
      </c>
      <c r="CU18" s="405">
        <f>CT18+IF(WEEKDAY(CT18)=1,1,IF(WEEKDAY(CT18)=7,2,0))+COUNTIF(ClosedDays!$B$4:$B$32,IF(WEEKDAY(CT18)=1,CT18+1,IF(WEEKDAY(CT18)=7,CT18+2,CT18)))+COUNTIF(ClosedDays!$F$4:$F$32,IF(WEEKDAY(CT18)=1,CT18+1,IF(WEEKDAY(CT18)=7,CT18+2,CT18)))+COUNTIF(ClosedDays!$J$4:$J$32,IF(WEEKDAY(CT18)=1,CT18+1,IF(WEEKDAY(CT18)=7,CT18+2,CT18)))+COUNTIF(ClosedDays!$N$4:$N$32,IF(WEEKDAY(CT18)=1,CT18+1,IF(WEEKDAY(CT18)=7,CT18+2,CT18)))</f>
        <v>44473</v>
      </c>
      <c r="CV18" s="405">
        <f>CU18+IF(WEEKDAY(CU18)=1,1,IF(WEEKDAY(CU18)=7,2,0))+COUNTIF(ClosedDays!$B$4:$B$32,IF(WEEKDAY(CU18)=1,CU18+1,IF(WEEKDAY(CU18)=7,CU18+2,CU18)))+COUNTIF(ClosedDays!$F$4:$F$32,IF(WEEKDAY(CU18)=1,CU18+1,IF(WEEKDAY(CU18)=7,CU18+2,CU18)))+COUNTIF(ClosedDays!$J$4:$J$32,IF(WEEKDAY(CU18)=1,CU18+1,IF(WEEKDAY(CU18)=7,CU18+2,CU18)))+COUNTIF(ClosedDays!$N$4:$N$32,IF(WEEKDAY(CU18)=1,CU18+1,IF(WEEKDAY(CU18)=7,CU18+2,CU18)))</f>
        <v>44473</v>
      </c>
      <c r="CW18" s="405">
        <f>CV18+IF(WEEKDAY(CV18)=1,1,IF(WEEKDAY(CV18)=7,2,0))+COUNTIF(ClosedDays!$B$4:$B$32,IF(WEEKDAY(CV18)=1,CV18+1,IF(WEEKDAY(CV18)=7,CV18+2,CV18)))+COUNTIF(ClosedDays!$F$4:$F$32,IF(WEEKDAY(CV18)=1,CV18+1,IF(WEEKDAY(CV18)=7,CV18+2,CV18)))+COUNTIF(ClosedDays!$J$4:$J$32,IF(WEEKDAY(CV18)=1,CV18+1,IF(WEEKDAY(CV18)=7,CV18+2,CV18)))+COUNTIF(ClosedDays!$N$4:$N$32,IF(WEEKDAY(CV18)=1,CV18+1,IF(WEEKDAY(CV18)=7,CV18+2,CV18)))</f>
        <v>44473</v>
      </c>
      <c r="CX18" s="405">
        <f>CW18+IF(WEEKDAY(CW18)=1,1,IF(WEEKDAY(CW18)=7,2,0))+COUNTIF(ClosedDays!$B$4:$B$32,IF(WEEKDAY(CW18)=1,CW18+1,IF(WEEKDAY(CW18)=7,CW18+2,CW18)))+COUNTIF(ClosedDays!$F$4:$F$32,IF(WEEKDAY(CW18)=1,CW18+1,IF(WEEKDAY(CW18)=7,CW18+2,CW18)))+COUNTIF(ClosedDays!$J$4:$J$32,IF(WEEKDAY(CW18)=1,CW18+1,IF(WEEKDAY(CW18)=7,CW18+2,CW18)))+COUNTIF(ClosedDays!$N$4:$N$32,IF(WEEKDAY(CW18)=1,CW18+1,IF(WEEKDAY(CW18)=7,CW18+2,CW18)))</f>
        <v>44473</v>
      </c>
      <c r="CY18" s="405">
        <f t="shared" si="18"/>
        <v>44473</v>
      </c>
      <c r="CZ18" s="446">
        <f>IF(AND($D18&lt;='Outline Info'!$E$33,CY18&gt;='Outline Info'!$E$33,$AC18&gt;10,$AC18&lt;9997),1,0)</f>
        <v>0</v>
      </c>
      <c r="DA18" s="405">
        <f>IF(AND($D18&lt;='Outline Info'!$E$33,CY18&gt;='Outline Info'!$E$33),CY18+'Outline Info'!$F$33-'Outline Info'!$E$33+1,CY18)</f>
        <v>44473</v>
      </c>
      <c r="DB18" s="405">
        <f>DA18+IF(WEEKDAY(DA18)=1,1,IF(WEEKDAY(DA18)=7,2,0))+COUNTIF(ClosedDays!$B$4:$B$32,IF(WEEKDAY(DA18)=1,DA18+1,IF(WEEKDAY(DA18)=7,DA18+2,DA18)))+COUNTIF(ClosedDays!$F$4:$F$32,IF(WEEKDAY(DA18)=1,DA18+1,IF(WEEKDAY(DA18)=7,DA18+2,DA18)))+COUNTIF(ClosedDays!$J$4:$J$32,IF(WEEKDAY(DA18)=1,DA18+1,IF(WEEKDAY(DA18)=7,DA18+2,DA18)))+COUNTIF(ClosedDays!$N$4:$N$32,IF(WEEKDAY(DA18)=1,DA18+1,IF(WEEKDAY(DA18)=7,DA18+2,DA18)))</f>
        <v>44473</v>
      </c>
      <c r="DC18" s="405">
        <f>DB18+IF(WEEKDAY(DB18)=1,1,IF(WEEKDAY(DB18)=7,2,0))+COUNTIF(ClosedDays!$B$4:$B$32,IF(WEEKDAY(DB18)=1,DB18+1,IF(WEEKDAY(DB18)=7,DB18+2,DB18)))+COUNTIF(ClosedDays!$F$4:$F$32,IF(WEEKDAY(DB18)=1,DB18+1,IF(WEEKDAY(DB18)=7,DB18+2,DB18)))+COUNTIF(ClosedDays!$J$4:$J$32,IF(WEEKDAY(DB18)=1,DB18+1,IF(WEEKDAY(DB18)=7,DB18+2,DB18)))+COUNTIF(ClosedDays!$N$4:$N$32,IF(WEEKDAY(DB18)=1,DB18+1,IF(WEEKDAY(DB18)=7,DB18+2,DB18)))</f>
        <v>44473</v>
      </c>
      <c r="DD18" s="405">
        <f>DC18+IF(WEEKDAY(DC18)=1,1,IF(WEEKDAY(DC18)=7,2,0))+COUNTIF(ClosedDays!$B$4:$B$32,IF(WEEKDAY(DC18)=1,DC18+1,IF(WEEKDAY(DC18)=7,DC18+2,DC18)))+COUNTIF(ClosedDays!$F$4:$F$32,IF(WEEKDAY(DC18)=1,DC18+1,IF(WEEKDAY(DC18)=7,DC18+2,DC18)))+COUNTIF(ClosedDays!$J$4:$J$32,IF(WEEKDAY(DC18)=1,DC18+1,IF(WEEKDAY(DC18)=7,DC18+2,DC18)))+COUNTIF(ClosedDays!$N$4:$N$32,IF(WEEKDAY(DC18)=1,DC18+1,IF(WEEKDAY(DC18)=7,DC18+2,DC18)))</f>
        <v>44473</v>
      </c>
      <c r="DE18" s="405">
        <f>DD18+IF(WEEKDAY(DD18)=1,1,IF(WEEKDAY(DD18)=7,2,0))+COUNTIF(ClosedDays!$B$4:$B$32,IF(WEEKDAY(DD18)=1,DD18+1,IF(WEEKDAY(DD18)=7,DD18+2,DD18)))+COUNTIF(ClosedDays!$F$4:$F$32,IF(WEEKDAY(DD18)=1,DD18+1,IF(WEEKDAY(DD18)=7,DD18+2,DD18)))+COUNTIF(ClosedDays!$J$4:$J$32,IF(WEEKDAY(DD18)=1,DD18+1,IF(WEEKDAY(DD18)=7,DD18+2,DD18)))+COUNTIF(ClosedDays!$N$4:$N$32,IF(WEEKDAY(DD18)=1,DD18+1,IF(WEEKDAY(DD18)=7,DD18+2,DD18)))</f>
        <v>44473</v>
      </c>
      <c r="DF18" s="405">
        <f>DE18+IF(WEEKDAY(DE18)=1,1,IF(WEEKDAY(DE18)=7,2,0))+COUNTIF(ClosedDays!$B$4:$B$32,IF(WEEKDAY(DE18)=1,DE18+1,IF(WEEKDAY(DE18)=7,DE18+2,DE18)))+COUNTIF(ClosedDays!$F$4:$F$32,IF(WEEKDAY(DE18)=1,DE18+1,IF(WEEKDAY(DE18)=7,DE18+2,DE18)))+COUNTIF(ClosedDays!$J$4:$J$32,IF(WEEKDAY(DE18)=1,DE18+1,IF(WEEKDAY(DE18)=7,DE18+2,DE18)))+COUNTIF(ClosedDays!$N$4:$N$32,IF(WEEKDAY(DE18)=1,DE18+1,IF(WEEKDAY(DE18)=7,DE18+2,DE18)))</f>
        <v>44473</v>
      </c>
      <c r="DG18" s="405">
        <f>DF18+IF(WEEKDAY(DF18)=1,1,IF(WEEKDAY(DF18)=7,2,0))+COUNTIF(ClosedDays!$B$4:$B$32,IF(WEEKDAY(DF18)=1,DF18+1,IF(WEEKDAY(DF18)=7,DF18+2,DF18)))+COUNTIF(ClosedDays!$F$4:$F$32,IF(WEEKDAY(DF18)=1,DF18+1,IF(WEEKDAY(DF18)=7,DF18+2,DF18)))+COUNTIF(ClosedDays!$J$4:$J$32,IF(WEEKDAY(DF18)=1,DF18+1,IF(WEEKDAY(DF18)=7,DF18+2,DF18)))+COUNTIF(ClosedDays!$N$4:$N$32,IF(WEEKDAY(DF18)=1,DF18+1,IF(WEEKDAY(DF18)=7,DF18+2,DF18)))</f>
        <v>44473</v>
      </c>
      <c r="DH18" s="405">
        <f>DG18+IF(WEEKDAY(DG18)=1,1,IF(WEEKDAY(DG18)=7,2,0))+COUNTIF(ClosedDays!$B$4:$B$32,IF(WEEKDAY(DG18)=1,DG18+1,IF(WEEKDAY(DG18)=7,DG18+2,DG18)))+COUNTIF(ClosedDays!$F$4:$F$32,IF(WEEKDAY(DG18)=1,DG18+1,IF(WEEKDAY(DG18)=7,DG18+2,DG18)))+COUNTIF(ClosedDays!$J$4:$J$32,IF(WEEKDAY(DG18)=1,DG18+1,IF(WEEKDAY(DG18)=7,DG18+2,DG18)))+COUNTIF(ClosedDays!$N$4:$N$32,IF(WEEKDAY(DG18)=1,DG18+1,IF(WEEKDAY(DG18)=7,DG18+2,DG18)))</f>
        <v>44473</v>
      </c>
      <c r="DI18" s="405">
        <f>DH18+IF(WEEKDAY(DH18)=1,1,IF(WEEKDAY(DH18)=7,2,0))+COUNTIF(ClosedDays!$B$4:$B$32,IF(WEEKDAY(DH18)=1,DH18+1,IF(WEEKDAY(DH18)=7,DH18+2,DH18)))+COUNTIF(ClosedDays!$F$4:$F$32,IF(WEEKDAY(DH18)=1,DH18+1,IF(WEEKDAY(DH18)=7,DH18+2,DH18)))+COUNTIF(ClosedDays!$J$4:$J$32,IF(WEEKDAY(DH18)=1,DH18+1,IF(WEEKDAY(DH18)=7,DH18+2,DH18)))+COUNTIF(ClosedDays!$N$4:$N$32,IF(WEEKDAY(DH18)=1,DH18+1,IF(WEEKDAY(DH18)=7,DH18+2,DH18)))</f>
        <v>44473</v>
      </c>
      <c r="DJ18" s="405">
        <f>DI18+IF(WEEKDAY(DI18)=1,1,IF(WEEKDAY(DI18)=7,2,0))+COUNTIF(ClosedDays!$B$4:$B$32,IF(WEEKDAY(DI18)=1,DI18+1,IF(WEEKDAY(DI18)=7,DI18+2,DI18)))+COUNTIF(ClosedDays!$F$4:$F$32,IF(WEEKDAY(DI18)=1,DI18+1,IF(WEEKDAY(DI18)=7,DI18+2,DI18)))+COUNTIF(ClosedDays!$J$4:$J$32,IF(WEEKDAY(DI18)=1,DI18+1,IF(WEEKDAY(DI18)=7,DI18+2,DI18)))+COUNTIF(ClosedDays!$N$4:$N$32,IF(WEEKDAY(DI18)=1,DI18+1,IF(WEEKDAY(DI18)=7,DI18+2,DI18)))</f>
        <v>44473</v>
      </c>
      <c r="DK18" s="405">
        <f>DJ18+IF(WEEKDAY(DJ18)=1,1,IF(WEEKDAY(DJ18)=7,2,0))+COUNTIF(ClosedDays!$B$4:$B$32,IF(WEEKDAY(DJ18)=1,DJ18+1,IF(WEEKDAY(DJ18)=7,DJ18+2,DJ18)))+COUNTIF(ClosedDays!$F$4:$F$32,IF(WEEKDAY(DJ18)=1,DJ18+1,IF(WEEKDAY(DJ18)=7,DJ18+2,DJ18)))+COUNTIF(ClosedDays!$J$4:$J$32,IF(WEEKDAY(DJ18)=1,DJ18+1,IF(WEEKDAY(DJ18)=7,DJ18+2,DJ18)))+COUNTIF(ClosedDays!$N$4:$N$32,IF(WEEKDAY(DJ18)=1,DJ18+1,IF(WEEKDAY(DJ18)=7,DJ18+2,DJ18)))</f>
        <v>44473</v>
      </c>
      <c r="DL18" s="405">
        <f>DK18+IF(WEEKDAY(DK18)=1,1,IF(WEEKDAY(DK18)=7,2,0))+COUNTIF(ClosedDays!$B$4:$B$32,IF(WEEKDAY(DK18)=1,DK18+1,IF(WEEKDAY(DK18)=7,DK18+2,DK18)))+COUNTIF(ClosedDays!$F$4:$F$32,IF(WEEKDAY(DK18)=1,DK18+1,IF(WEEKDAY(DK18)=7,DK18+2,DK18)))+COUNTIF(ClosedDays!$J$4:$J$32,IF(WEEKDAY(DK18)=1,DK18+1,IF(WEEKDAY(DK18)=7,DK18+2,DK18)))+COUNTIF(ClosedDays!$N$4:$N$32,IF(WEEKDAY(DK18)=1,DK18+1,IF(WEEKDAY(DK18)=7,DK18+2,DK18)))</f>
        <v>44473</v>
      </c>
      <c r="DM18" s="405">
        <f>DL18+IF(WEEKDAY(DL18)=1,1,IF(WEEKDAY(DL18)=7,2,0))+COUNTIF(ClosedDays!$B$4:$B$32,IF(WEEKDAY(DL18)=1,DL18+1,IF(WEEKDAY(DL18)=7,DL18+2,DL18)))+COUNTIF(ClosedDays!$F$4:$F$32,IF(WEEKDAY(DL18)=1,DL18+1,IF(WEEKDAY(DL18)=7,DL18+2,DL18)))+COUNTIF(ClosedDays!$J$4:$J$32,IF(WEEKDAY(DL18)=1,DL18+1,IF(WEEKDAY(DL18)=7,DL18+2,DL18)))+COUNTIF(ClosedDays!$N$4:$N$32,IF(WEEKDAY(DL18)=1,DL18+1,IF(WEEKDAY(DL18)=7,DL18+2,DL18)))</f>
        <v>44473</v>
      </c>
      <c r="DN18" s="405">
        <f>DM18+IF(WEEKDAY(DM18)=1,1,IF(WEEKDAY(DM18)=7,2,0))+COUNTIF(ClosedDays!$B$4:$B$32,IF(WEEKDAY(DM18)=1,DM18+1,IF(WEEKDAY(DM18)=7,DM18+2,DM18)))+COUNTIF(ClosedDays!$F$4:$F$32,IF(WEEKDAY(DM18)=1,DM18+1,IF(WEEKDAY(DM18)=7,DM18+2,DM18)))+COUNTIF(ClosedDays!$J$4:$J$32,IF(WEEKDAY(DM18)=1,DM18+1,IF(WEEKDAY(DM18)=7,DM18+2,DM18)))+COUNTIF(ClosedDays!$N$4:$N$32,IF(WEEKDAY(DM18)=1,DM18+1,IF(WEEKDAY(DM18)=7,DM18+2,DM18)))</f>
        <v>44473</v>
      </c>
      <c r="DO18" s="405">
        <f>DN18+IF(WEEKDAY(DN18)=1,1,IF(WEEKDAY(DN18)=7,2,0))+COUNTIF(ClosedDays!$B$4:$B$32,IF(WEEKDAY(DN18)=1,DN18+1,IF(WEEKDAY(DN18)=7,DN18+2,DN18)))+COUNTIF(ClosedDays!$F$4:$F$32,IF(WEEKDAY(DN18)=1,DN18+1,IF(WEEKDAY(DN18)=7,DN18+2,DN18)))+COUNTIF(ClosedDays!$J$4:$J$32,IF(WEEKDAY(DN18)=1,DN18+1,IF(WEEKDAY(DN18)=7,DN18+2,DN18)))+COUNTIF(ClosedDays!$N$4:$N$32,IF(WEEKDAY(DN18)=1,DN18+1,IF(WEEKDAY(DN18)=7,DN18+2,DN18)))</f>
        <v>44473</v>
      </c>
      <c r="DP18" s="405">
        <f t="shared" si="5"/>
        <v>44473</v>
      </c>
      <c r="DQ18" s="405">
        <f t="shared" si="20"/>
        <v>44473</v>
      </c>
      <c r="DR18" s="394">
        <f t="shared" si="19"/>
        <v>1</v>
      </c>
      <c r="DS18" s="394">
        <f>IF(AND(DR18=1,COUNTIF(DS$7:DS17,1)&lt;12,VLOOKUP(COUNTIF(DS$7:DS17,1)+1,'Outline Info'!$A$21:$C$32,2)&lt;=I18),1,0)</f>
        <v>1</v>
      </c>
      <c r="DT18" s="405" t="str">
        <f>IF(DS18=1,IF(VLOOKUP(COUNTIF(DS$7:DS18,1),'Outline Info'!$A$21:$C$32,2)=0,"",VLOOKUP(COUNTIF(DS$7:DS18,1),'Outline Info'!$A$21:$C$32,2)),"")</f>
        <v/>
      </c>
      <c r="DU18" s="447">
        <f>IF(DS18=1,VLOOKUP(COUNTIF(DS$7:DS18,1),'Outline Info'!$A$21:$C$32,3),0)</f>
        <v>0</v>
      </c>
      <c r="DV18" s="445">
        <f>IF('Outline Info'!$B$8="Y",IF(B18="*",'Outline Info'!$B$19,IF(OR($A18="",B18="X",B18="x"),0,VLOOKUP($A18,'Course Table'!$A$2:$J$331,4,TRUE))),0)</f>
        <v>0</v>
      </c>
      <c r="DW18" s="447">
        <f t="shared" si="6"/>
        <v>0</v>
      </c>
      <c r="DX18" s="447">
        <f>IF('Outline Info'!$B$8="Y",$DV18,$DW18)</f>
        <v>0</v>
      </c>
      <c r="DY18" s="394"/>
      <c r="DZ18" s="934"/>
      <c r="EA18" s="934"/>
      <c r="EB18" s="394"/>
      <c r="EC18" s="394"/>
      <c r="ED18" s="394"/>
    </row>
    <row r="19" spans="1:134" s="400" customFormat="1" ht="20.100000000000001" customHeight="1">
      <c r="A19" s="874" t="str">
        <f t="shared" si="7"/>
        <v/>
      </c>
      <c r="B19" s="876" t="str">
        <f t="shared" si="8"/>
        <v/>
      </c>
      <c r="C19" s="878" t="str">
        <f t="shared" si="9"/>
        <v/>
      </c>
      <c r="D19" s="463">
        <f>IF(NOT(ISBLANK(DZ19)),DZ19,IF(AND($AC19=9998,'Outline Info'!$H$33&gt;='Outline Info'!$B$6,'Outline Info'!$H$33&lt;='Outline Info'!$C$6),'Outline Info'!$H$33,IF(AND($AC19=9997,'Outline Info'!$H$31&gt;='Outline Info'!$B$6,'Outline Info'!$H$31&lt;='Outline Info'!$C$6),'Outline Info'!$H$31,IF(AE19="*",DQ18,IF(OR(AE19="x",AE19="X"),I18,IF(AND(AC19&gt;6,AC18&lt;6),DQ18,IF(AND($AC19=9998,$AC18=9997),I17,I18)))))))</f>
        <v>44470</v>
      </c>
      <c r="E19" s="1286"/>
      <c r="F19" s="1287"/>
      <c r="G19" s="1282"/>
      <c r="H19" s="1283"/>
      <c r="I19" s="464">
        <f>IF(AND($AC19=9998,'Outline Info'!$I$33&gt;='Outline Info'!$B$6,'Outline Info'!$I$33&lt;='Outline Info'!$C$6),'Outline Info'!$I$33,IF(AND($AC19=9997,'Outline Info'!$I$31&gt;='Outline Info'!$B$6,'Outline Info'!$I$31&lt;='Outline Info'!$C$6),'Outline Info'!$I$31,IF(DP19&gt;$V$4,$V$4,DP19)))</f>
        <v>44470</v>
      </c>
      <c r="J19" s="436"/>
      <c r="K19" s="437"/>
      <c r="L19" s="438"/>
      <c r="M19" s="438"/>
      <c r="N19" s="435"/>
      <c r="O19" s="435"/>
      <c r="P19" s="438"/>
      <c r="Q19" s="438"/>
      <c r="R19" s="439"/>
      <c r="S19" s="872">
        <f>IF($V$5-SUM($DX$7:$DX19)&lt;0,IF($V$5-SUM($DX$7:$DX18)&lt;0,0,$V$5-SUM($DX$7:$DX18)),DX19)</f>
        <v>0</v>
      </c>
      <c r="T19" s="440" t="str">
        <f>IF(S19&gt;0,IF('Outline Info'!$B$8="Y",D19,DT19),"")</f>
        <v/>
      </c>
      <c r="U19" s="441"/>
      <c r="V19" s="442"/>
      <c r="W19" s="870" t="str">
        <f>IF('Outline Info'!$C$33&gt;0,ROUND(IF('Outline Info'!$B$8="Y",SUM(S$7:S19)-SUM(AJ$7:AJ19)-'Outline Info'!$B$14-'Outline Info'!$B$15-'Outline Info'!$B$17,IF(AL19=0,SUM(S$7:S19)-SUM(AK$7:AK19)-SUM(AP19:AS19)-'Outline Info'!$B$14-'Outline Info'!$B$15-'Outline Info'!$B$17,0)),0),IF('Outline Info'!$T$4&lt;&gt;1,"",IF(OR(AD19="",AL19=1),"",SUM(AK$7:AK19)+SUM(AP19:AS19)+'Outline Info'!$B$14+'Outline Info'!$B$15+'Outline Info'!$B$17)))</f>
        <v/>
      </c>
      <c r="X19" s="448"/>
      <c r="Y19" s="443">
        <f>IF(OR(AE19="X",AE19="x",AE19="*",AC19=99999),0,IF(AC19&lt;50,0,IF($S$4-SUM($Y$7:$Y18)&gt;0,1,0)))</f>
        <v>0</v>
      </c>
      <c r="Z19" s="444">
        <f>IF(AC19&lt;99999,IF(AE19="*",AH19,IF(OR(AE19="x",AE19="X",AC19&lt;10),0,IF(AND(AC19&lt;&gt;9998,AC19&lt;&gt;9997),IF(AM19=1,(AH19+$AM$5)*(1+('Outline Info'!$B$16)),IF(AN19=1,(AH19+$AN$5)*(1+('Outline Info'!$B$16)),0)),AH19))),0)</f>
        <v>0</v>
      </c>
      <c r="AA19" s="395">
        <f>Z19/'Outline Info'!$C$11+Y19</f>
        <v>0</v>
      </c>
      <c r="AB19" s="395">
        <f>ROUND(AA19/'Outline Info'!$B$11*7,0)</f>
        <v>0</v>
      </c>
      <c r="AC19" s="450">
        <f>IF($AD19&lt;&gt;"",VLOOKUP($AD19,'Course Table'!$A$2:$J$331,10,TRUE),99999)</f>
        <v>99999</v>
      </c>
      <c r="AD19" s="451"/>
      <c r="AE19" s="394"/>
      <c r="AF19" s="451"/>
      <c r="AG19" s="451"/>
      <c r="AH19" s="451"/>
      <c r="AI19" s="394">
        <v>499</v>
      </c>
      <c r="AJ19" s="394">
        <v>499</v>
      </c>
      <c r="AK19" s="394">
        <f t="shared" si="10"/>
        <v>499</v>
      </c>
      <c r="AL19" s="394">
        <f t="shared" si="11"/>
        <v>0</v>
      </c>
      <c r="AM19" s="394">
        <f t="shared" si="12"/>
        <v>0</v>
      </c>
      <c r="AN19" s="394">
        <f t="shared" si="13"/>
        <v>0</v>
      </c>
      <c r="AO19" s="394">
        <f>IF(AN19=1,SUMPRODUCT($AJ$7:$AJ19,$AN$7:$AN19),0)</f>
        <v>0</v>
      </c>
      <c r="AP19" s="394">
        <f t="shared" si="14"/>
        <v>0</v>
      </c>
      <c r="AQ19" s="394">
        <f t="shared" si="14"/>
        <v>0</v>
      </c>
      <c r="AR19" s="394">
        <f t="shared" si="14"/>
        <v>0</v>
      </c>
      <c r="AS19" s="394">
        <f t="shared" si="14"/>
        <v>0</v>
      </c>
      <c r="AT19" s="394">
        <f t="shared" si="15"/>
        <v>0</v>
      </c>
      <c r="AU19" s="394">
        <f t="shared" si="15"/>
        <v>0</v>
      </c>
      <c r="AV19" s="394">
        <f t="shared" si="15"/>
        <v>0</v>
      </c>
      <c r="AW19" s="394">
        <f t="shared" si="15"/>
        <v>0</v>
      </c>
      <c r="AX19" s="394">
        <f t="shared" si="1"/>
        <v>0</v>
      </c>
      <c r="AY19" s="394">
        <f t="shared" si="2"/>
        <v>0</v>
      </c>
      <c r="AZ19" s="394">
        <f t="shared" si="3"/>
        <v>0</v>
      </c>
      <c r="BA19" s="394">
        <f t="shared" si="4"/>
        <v>0</v>
      </c>
      <c r="BB19" s="405">
        <f t="shared" si="21"/>
        <v>44473</v>
      </c>
      <c r="BC19" s="405">
        <f>BB19+IF(WEEKDAY(BB19)=1,1,IF(WEEKDAY(BB19)=7,2,0))+COUNTIF(ClosedDays!$B$4:$B$32,IF(WEEKDAY(BB19)=1,BB19+1,IF(WEEKDAY(BB19)=7,BB19+2,BB19)))+COUNTIF(ClosedDays!$F$4:$F$32,IF(WEEKDAY(BB19)=1,BB19+1,IF(WEEKDAY(BB19)=7,BB19+2,BB19)))+COUNTIF(ClosedDays!$J$4:$J$32,IF(WEEKDAY(BB19)=1,BB19+1,IF(WEEKDAY(BB19)=7,BB19+2,BB19)))+COUNTIF(ClosedDays!$N$4:$N$32,IF(WEEKDAY(BB19)=1,BB19+1,IF(WEEKDAY(BB19)=7,BB19+2,BB19)))</f>
        <v>44473</v>
      </c>
      <c r="BD19" s="405">
        <f>BC19+IF(WEEKDAY(BC19)=1,1,IF(WEEKDAY(BC19)=7,2,0))+COUNTIF(ClosedDays!$B$4:$B$32,IF(WEEKDAY(BC19)=1,BC19+1,IF(WEEKDAY(BC19)=7,BC19+2,BC19)))+COUNTIF(ClosedDays!$F$4:$F$32,IF(WEEKDAY(BC19)=1,BC19+1,IF(WEEKDAY(BC19)=7,BC19+2,BC19)))+COUNTIF(ClosedDays!$J$4:$J$32,IF(WEEKDAY(BC19)=1,BC19+1,IF(WEEKDAY(BC19)=7,BC19+2,BC19)))+COUNTIF(ClosedDays!$N$4:$N$32,IF(WEEKDAY(BC19)=1,BC19+1,IF(WEEKDAY(BC19)=7,BC19+2,BC19)))</f>
        <v>44473</v>
      </c>
      <c r="BE19" s="405">
        <f>BD19+IF(WEEKDAY(BD19)=1,1,IF(WEEKDAY(BD19)=7,2,0))+COUNTIF(ClosedDays!$B$4:$B$32,IF(WEEKDAY(BD19)=1,BD19+1,IF(WEEKDAY(BD19)=7,BD19+2,BD19)))+COUNTIF(ClosedDays!$F$4:$F$32,IF(WEEKDAY(BD19)=1,BD19+1,IF(WEEKDAY(BD19)=7,BD19+2,BD19)))+COUNTIF(ClosedDays!$J$4:$J$32,IF(WEEKDAY(BD19)=1,BD19+1,IF(WEEKDAY(BD19)=7,BD19+2,BD19)))+COUNTIF(ClosedDays!$N$4:$N$32,IF(WEEKDAY(BD19)=1,BD19+1,IF(WEEKDAY(BD19)=7,BD19+2,BD19)))</f>
        <v>44473</v>
      </c>
      <c r="BF19" s="405">
        <f>BE19+IF(WEEKDAY(BE19)=1,1,IF(WEEKDAY(BE19)=7,2,0))+COUNTIF(ClosedDays!$B$4:$B$32,IF(WEEKDAY(BE19)=1,BE19+1,IF(WEEKDAY(BE19)=7,BE19+2,BE19)))+COUNTIF(ClosedDays!$F$4:$F$32,IF(WEEKDAY(BE19)=1,BE19+1,IF(WEEKDAY(BE19)=7,BE19+2,BE19)))+COUNTIF(ClosedDays!$J$4:$J$32,IF(WEEKDAY(BE19)=1,BE19+1,IF(WEEKDAY(BE19)=7,BE19+2,BE19)))+COUNTIF(ClosedDays!$N$4:$N$32,IF(WEEKDAY(BE19)=1,BE19+1,IF(WEEKDAY(BE19)=7,BE19+2,BE19)))</f>
        <v>44473</v>
      </c>
      <c r="BG19" s="405">
        <f>BF19+IF(WEEKDAY(BF19)=1,1,IF(WEEKDAY(BF19)=7,2,0))+COUNTIF(ClosedDays!$B$4:$B$32,IF(WEEKDAY(BF19)=1,BF19+1,IF(WEEKDAY(BF19)=7,BF19+2,BF19)))+COUNTIF(ClosedDays!$F$4:$F$32,IF(WEEKDAY(BF19)=1,BF19+1,IF(WEEKDAY(BF19)=7,BF19+2,BF19)))+COUNTIF(ClosedDays!$J$4:$J$32,IF(WEEKDAY(BF19)=1,BF19+1,IF(WEEKDAY(BF19)=7,BF19+2,BF19)))+COUNTIF(ClosedDays!$N$4:$N$32,IF(WEEKDAY(BF19)=1,BF19+1,IF(WEEKDAY(BF19)=7,BF19+2,BF19)))</f>
        <v>44473</v>
      </c>
      <c r="BH19" s="405">
        <f>BG19+IF(WEEKDAY(BG19)=1,1,IF(WEEKDAY(BG19)=7,2,0))+COUNTIF(ClosedDays!$B$4:$B$32,IF(WEEKDAY(BG19)=1,BG19+1,IF(WEEKDAY(BG19)=7,BG19+2,BG19)))+COUNTIF(ClosedDays!$F$4:$F$32,IF(WEEKDAY(BG19)=1,BG19+1,IF(WEEKDAY(BG19)=7,BG19+2,BG19)))+COUNTIF(ClosedDays!$J$4:$J$32,IF(WEEKDAY(BG19)=1,BG19+1,IF(WEEKDAY(BG19)=7,BG19+2,BG19)))+COUNTIF(ClosedDays!$N$4:$N$32,IF(WEEKDAY(BG19)=1,BG19+1,IF(WEEKDAY(BG19)=7,BG19+2,BG19)))</f>
        <v>44473</v>
      </c>
      <c r="BI19" s="405">
        <f>BH19+IF(WEEKDAY(BH19)=1,1,IF(WEEKDAY(BH19)=7,2,0))+COUNTIF(ClosedDays!$B$4:$B$32,IF(WEEKDAY(BH19)=1,BH19+1,IF(WEEKDAY(BH19)=7,BH19+2,BH19)))+COUNTIF(ClosedDays!$F$4:$F$32,IF(WEEKDAY(BH19)=1,BH19+1,IF(WEEKDAY(BH19)=7,BH19+2,BH19)))+COUNTIF(ClosedDays!$J$4:$J$32,IF(WEEKDAY(BH19)=1,BH19+1,IF(WEEKDAY(BH19)=7,BH19+2,BH19)))+COUNTIF(ClosedDays!$N$4:$N$32,IF(WEEKDAY(BH19)=1,BH19+1,IF(WEEKDAY(BH19)=7,BH19+2,BH19)))</f>
        <v>44473</v>
      </c>
      <c r="BJ19" s="405">
        <f>BI19+IF(WEEKDAY(BI19)=1,1,IF(WEEKDAY(BI19)=7,2,0))+COUNTIF(ClosedDays!$B$4:$B$32,IF(WEEKDAY(BI19)=1,BI19+1,IF(WEEKDAY(BI19)=7,BI19+2,BI19)))+COUNTIF(ClosedDays!$F$4:$F$32,IF(WEEKDAY(BI19)=1,BI19+1,IF(WEEKDAY(BI19)=7,BI19+2,BI19)))+COUNTIF(ClosedDays!$J$4:$J$32,IF(WEEKDAY(BI19)=1,BI19+1,IF(WEEKDAY(BI19)=7,BI19+2,BI19)))+COUNTIF(ClosedDays!$N$4:$N$32,IF(WEEKDAY(BI19)=1,BI19+1,IF(WEEKDAY(BI19)=7,BI19+2,BI19)))</f>
        <v>44473</v>
      </c>
      <c r="BK19" s="405">
        <f>BJ19+IF(WEEKDAY(BJ19)=1,1,IF(WEEKDAY(BJ19)=7,2,0))+COUNTIF(ClosedDays!$B$4:$B$32,IF(WEEKDAY(BJ19)=1,BJ19+1,IF(WEEKDAY(BJ19)=7,BJ19+2,BJ19)))+COUNTIF(ClosedDays!$F$4:$F$32,IF(WEEKDAY(BJ19)=1,BJ19+1,IF(WEEKDAY(BJ19)=7,BJ19+2,BJ19)))+COUNTIF(ClosedDays!$J$4:$J$32,IF(WEEKDAY(BJ19)=1,BJ19+1,IF(WEEKDAY(BJ19)=7,BJ19+2,BJ19)))+COUNTIF(ClosedDays!$N$4:$N$32,IF(WEEKDAY(BJ19)=1,BJ19+1,IF(WEEKDAY(BJ19)=7,BJ19+2,BJ19)))</f>
        <v>44473</v>
      </c>
      <c r="BL19" s="405">
        <f>BK19+IF(WEEKDAY(BK19)=1,1,IF(WEEKDAY(BK19)=7,2,0))+COUNTIF(ClosedDays!$B$4:$B$32,IF(WEEKDAY(BK19)=1,BK19+1,IF(WEEKDAY(BK19)=7,BK19+2,BK19)))+COUNTIF(ClosedDays!$F$4:$F$32,IF(WEEKDAY(BK19)=1,BK19+1,IF(WEEKDAY(BK19)=7,BK19+2,BK19)))+COUNTIF(ClosedDays!$J$4:$J$32,IF(WEEKDAY(BK19)=1,BK19+1,IF(WEEKDAY(BK19)=7,BK19+2,BK19)))+COUNTIF(ClosedDays!$N$4:$N$32,IF(WEEKDAY(BK19)=1,BK19+1,IF(WEEKDAY(BK19)=7,BK19+2,BK19)))</f>
        <v>44473</v>
      </c>
      <c r="BM19" s="405">
        <f>BL19+IF(WEEKDAY(BL19)=1,1,IF(WEEKDAY(BL19)=7,2,0))+COUNTIF(ClosedDays!$B$4:$B$32,IF(WEEKDAY(BL19)=1,BL19+1,IF(WEEKDAY(BL19)=7,BL19+2,BL19)))+COUNTIF(ClosedDays!$F$4:$F$32,IF(WEEKDAY(BL19)=1,BL19+1,IF(WEEKDAY(BL19)=7,BL19+2,BL19)))+COUNTIF(ClosedDays!$J$4:$J$32,IF(WEEKDAY(BL19)=1,BL19+1,IF(WEEKDAY(BL19)=7,BL19+2,BL19)))+COUNTIF(ClosedDays!$N$4:$N$32,IF(WEEKDAY(BL19)=1,BL19+1,IF(WEEKDAY(BL19)=7,BL19+2,BL19)))</f>
        <v>44473</v>
      </c>
      <c r="BN19" s="405">
        <f>BM19+IF(WEEKDAY(BM19)=1,1,IF(WEEKDAY(BM19)=7,2,0))+COUNTIF(ClosedDays!$B$4:$B$32,IF(WEEKDAY(BM19)=1,BM19+1,IF(WEEKDAY(BM19)=7,BM19+2,BM19)))+COUNTIF(ClosedDays!$F$4:$F$32,IF(WEEKDAY(BM19)=1,BM19+1,IF(WEEKDAY(BM19)=7,BM19+2,BM19)))+COUNTIF(ClosedDays!$J$4:$J$32,IF(WEEKDAY(BM19)=1,BM19+1,IF(WEEKDAY(BM19)=7,BM19+2,BM19)))+COUNTIF(ClosedDays!$N$4:$N$32,IF(WEEKDAY(BM19)=1,BM19+1,IF(WEEKDAY(BM19)=7,BM19+2,BM19)))</f>
        <v>44473</v>
      </c>
      <c r="BO19" s="405">
        <f>BN19+IF(WEEKDAY(BN19)=1,1,IF(WEEKDAY(BN19)=7,2,0))+COUNTIF(ClosedDays!$B$4:$B$32,IF(WEEKDAY(BN19)=1,BN19+1,IF(WEEKDAY(BN19)=7,BN19+2,BN19)))+COUNTIF(ClosedDays!$F$4:$F$32,IF(WEEKDAY(BN19)=1,BN19+1,IF(WEEKDAY(BN19)=7,BN19+2,BN19)))+COUNTIF(ClosedDays!$J$4:$J$32,IF(WEEKDAY(BN19)=1,BN19+1,IF(WEEKDAY(BN19)=7,BN19+2,BN19)))+COUNTIF(ClosedDays!$N$4:$N$32,IF(WEEKDAY(BN19)=1,BN19+1,IF(WEEKDAY(BN19)=7,BN19+2,BN19)))</f>
        <v>44473</v>
      </c>
      <c r="BP19" s="405">
        <f>BO19+IF(WEEKDAY(BO19)=1,1,IF(WEEKDAY(BO19)=7,2,0))+COUNTIF(ClosedDays!$B$4:$B$32,IF(WEEKDAY(BO19)=1,BO19+1,IF(WEEKDAY(BO19)=7,BO19+2,BO19)))+COUNTIF(ClosedDays!$F$4:$F$32,IF(WEEKDAY(BO19)=1,BO19+1,IF(WEEKDAY(BO19)=7,BO19+2,BO19)))+COUNTIF(ClosedDays!$J$4:$J$32,IF(WEEKDAY(BO19)=1,BO19+1,IF(WEEKDAY(BO19)=7,BO19+2,BO19)))+COUNTIF(ClosedDays!$N$4:$N$32,IF(WEEKDAY(BO19)=1,BO19+1,IF(WEEKDAY(BO19)=7,BO19+2,BO19)))</f>
        <v>44473</v>
      </c>
      <c r="BQ19" s="405">
        <f t="shared" si="16"/>
        <v>44473</v>
      </c>
      <c r="BR19" s="446">
        <f>IF(AND($D19&lt;='Outline Info'!$H$31,BQ19&gt;='Outline Info'!$H$31,$BS$4=1,$AC19&gt;10,$AC19&lt;9997),1,0)</f>
        <v>0</v>
      </c>
      <c r="BS19" s="405">
        <f>IF(BR19=1,BQ19+'Outline Info'!$I$31-'Outline Info'!$H$31+1,BQ19)</f>
        <v>44473</v>
      </c>
      <c r="BT19" s="405">
        <f>BS19+IF(WEEKDAY(BS19)=1,1,IF(WEEKDAY(BS19)=7,2,0))+COUNTIF(ClosedDays!$B$4:$B$32,IF(WEEKDAY(BS19)=1,BS19+1,IF(WEEKDAY(BS19)=7,BS19+2,BS19)))+COUNTIF(ClosedDays!$F$4:$F$32,IF(WEEKDAY(BS19)=1,BS19+1,IF(WEEKDAY(BS19)=7,BS19+2,BS19)))+COUNTIF(ClosedDays!$J$4:$J$32,IF(WEEKDAY(BS19)=1,BS19+1,IF(WEEKDAY(BS19)=7,BS19+2,BS19)))+COUNTIF(ClosedDays!$N$4:$N$32,IF(WEEKDAY(BS19)=1,BS19+1,IF(WEEKDAY(BS19)=7,BS19+2,BS19)))</f>
        <v>44473</v>
      </c>
      <c r="BU19" s="405">
        <f>BT19+IF(WEEKDAY(BT19)=1,1,IF(WEEKDAY(BT19)=7,2,0))+COUNTIF(ClosedDays!$B$4:$B$32,IF(WEEKDAY(BT19)=1,BT19+1,IF(WEEKDAY(BT19)=7,BT19+2,BT19)))+COUNTIF(ClosedDays!$F$4:$F$32,IF(WEEKDAY(BT19)=1,BT19+1,IF(WEEKDAY(BT19)=7,BT19+2,BT19)))+COUNTIF(ClosedDays!$J$4:$J$32,IF(WEEKDAY(BT19)=1,BT19+1,IF(WEEKDAY(BT19)=7,BT19+2,BT19)))+COUNTIF(ClosedDays!$N$4:$N$32,IF(WEEKDAY(BT19)=1,BT19+1,IF(WEEKDAY(BT19)=7,BT19+2,BT19)))</f>
        <v>44473</v>
      </c>
      <c r="BV19" s="405">
        <f>BU19+IF(WEEKDAY(BU19)=1,1,IF(WEEKDAY(BU19)=7,2,0))+COUNTIF(ClosedDays!$B$4:$B$32,IF(WEEKDAY(BU19)=1,BU19+1,IF(WEEKDAY(BU19)=7,BU19+2,BU19)))+COUNTIF(ClosedDays!$F$4:$F$32,IF(WEEKDAY(BU19)=1,BU19+1,IF(WEEKDAY(BU19)=7,BU19+2,BU19)))+COUNTIF(ClosedDays!$J$4:$J$32,IF(WEEKDAY(BU19)=1,BU19+1,IF(WEEKDAY(BU19)=7,BU19+2,BU19)))+COUNTIF(ClosedDays!$N$4:$N$32,IF(WEEKDAY(BU19)=1,BU19+1,IF(WEEKDAY(BU19)=7,BU19+2,BU19)))</f>
        <v>44473</v>
      </c>
      <c r="BW19" s="405">
        <f>BV19+IF(WEEKDAY(BV19)=1,1,IF(WEEKDAY(BV19)=7,2,0))+COUNTIF(ClosedDays!$B$4:$B$32,IF(WEEKDAY(BV19)=1,BV19+1,IF(WEEKDAY(BV19)=7,BV19+2,BV19)))+COUNTIF(ClosedDays!$F$4:$F$32,IF(WEEKDAY(BV19)=1,BV19+1,IF(WEEKDAY(BV19)=7,BV19+2,BV19)))+COUNTIF(ClosedDays!$J$4:$J$32,IF(WEEKDAY(BV19)=1,BV19+1,IF(WEEKDAY(BV19)=7,BV19+2,BV19)))+COUNTIF(ClosedDays!$N$4:$N$32,IF(WEEKDAY(BV19)=1,BV19+1,IF(WEEKDAY(BV19)=7,BV19+2,BV19)))</f>
        <v>44473</v>
      </c>
      <c r="BX19" s="405">
        <f>BW19+IF(WEEKDAY(BW19)=1,1,IF(WEEKDAY(BW19)=7,2,0))+COUNTIF(ClosedDays!$B$4:$B$32,IF(WEEKDAY(BW19)=1,BW19+1,IF(WEEKDAY(BW19)=7,BW19+2,BW19)))+COUNTIF(ClosedDays!$F$4:$F$32,IF(WEEKDAY(BW19)=1,BW19+1,IF(WEEKDAY(BW19)=7,BW19+2,BW19)))+COUNTIF(ClosedDays!$J$4:$J$32,IF(WEEKDAY(BW19)=1,BW19+1,IF(WEEKDAY(BW19)=7,BW19+2,BW19)))+COUNTIF(ClosedDays!$N$4:$N$32,IF(WEEKDAY(BW19)=1,BW19+1,IF(WEEKDAY(BW19)=7,BW19+2,BW19)))</f>
        <v>44473</v>
      </c>
      <c r="BY19" s="405">
        <f>BX19+IF(WEEKDAY(BX19)=1,1,IF(WEEKDAY(BX19)=7,2,0))+COUNTIF(ClosedDays!$B$4:$B$32,IF(WEEKDAY(BX19)=1,BX19+1,IF(WEEKDAY(BX19)=7,BX19+2,BX19)))+COUNTIF(ClosedDays!$F$4:$F$32,IF(WEEKDAY(BX19)=1,BX19+1,IF(WEEKDAY(BX19)=7,BX19+2,BX19)))+COUNTIF(ClosedDays!$J$4:$J$32,IF(WEEKDAY(BX19)=1,BX19+1,IF(WEEKDAY(BX19)=7,BX19+2,BX19)))+COUNTIF(ClosedDays!$N$4:$N$32,IF(WEEKDAY(BX19)=1,BX19+1,IF(WEEKDAY(BX19)=7,BX19+2,BX19)))</f>
        <v>44473</v>
      </c>
      <c r="BZ19" s="405">
        <f>BY19+IF(WEEKDAY(BY19)=1,1,IF(WEEKDAY(BY19)=7,2,0))+COUNTIF(ClosedDays!$B$4:$B$32,IF(WEEKDAY(BY19)=1,BY19+1,IF(WEEKDAY(BY19)=7,BY19+2,BY19)))+COUNTIF(ClosedDays!$F$4:$F$32,IF(WEEKDAY(BY19)=1,BY19+1,IF(WEEKDAY(BY19)=7,BY19+2,BY19)))+COUNTIF(ClosedDays!$J$4:$J$32,IF(WEEKDAY(BY19)=1,BY19+1,IF(WEEKDAY(BY19)=7,BY19+2,BY19)))+COUNTIF(ClosedDays!$N$4:$N$32,IF(WEEKDAY(BY19)=1,BY19+1,IF(WEEKDAY(BY19)=7,BY19+2,BY19)))</f>
        <v>44473</v>
      </c>
      <c r="CA19" s="405">
        <f>BZ19+IF(WEEKDAY(BZ19)=1,1,IF(WEEKDAY(BZ19)=7,2,0))+COUNTIF(ClosedDays!$B$4:$B$32,IF(WEEKDAY(BZ19)=1,BZ19+1,IF(WEEKDAY(BZ19)=7,BZ19+2,BZ19)))+COUNTIF(ClosedDays!$F$4:$F$32,IF(WEEKDAY(BZ19)=1,BZ19+1,IF(WEEKDAY(BZ19)=7,BZ19+2,BZ19)))+COUNTIF(ClosedDays!$J$4:$J$32,IF(WEEKDAY(BZ19)=1,BZ19+1,IF(WEEKDAY(BZ19)=7,BZ19+2,BZ19)))+COUNTIF(ClosedDays!$N$4:$N$32,IF(WEEKDAY(BZ19)=1,BZ19+1,IF(WEEKDAY(BZ19)=7,BZ19+2,BZ19)))</f>
        <v>44473</v>
      </c>
      <c r="CB19" s="405">
        <f>CA19+IF(WEEKDAY(CA19)=1,1,IF(WEEKDAY(CA19)=7,2,0))+COUNTIF(ClosedDays!$B$4:$B$32,IF(WEEKDAY(CA19)=1,CA19+1,IF(WEEKDAY(CA19)=7,CA19+2,CA19)))+COUNTIF(ClosedDays!$F$4:$F$32,IF(WEEKDAY(CA19)=1,CA19+1,IF(WEEKDAY(CA19)=7,CA19+2,CA19)))+COUNTIF(ClosedDays!$J$4:$J$32,IF(WEEKDAY(CA19)=1,CA19+1,IF(WEEKDAY(CA19)=7,CA19+2,CA19)))+COUNTIF(ClosedDays!$N$4:$N$32,IF(WEEKDAY(CA19)=1,CA19+1,IF(WEEKDAY(CA19)=7,CA19+2,CA19)))</f>
        <v>44473</v>
      </c>
      <c r="CC19" s="405">
        <f>CB19+IF(WEEKDAY(CB19)=1,1,IF(WEEKDAY(CB19)=7,2,0))+COUNTIF(ClosedDays!$B$4:$B$32,IF(WEEKDAY(CB19)=1,CB19+1,IF(WEEKDAY(CB19)=7,CB19+2,CB19)))+COUNTIF(ClosedDays!$F$4:$F$32,IF(WEEKDAY(CB19)=1,CB19+1,IF(WEEKDAY(CB19)=7,CB19+2,CB19)))+COUNTIF(ClosedDays!$J$4:$J$32,IF(WEEKDAY(CB19)=1,CB19+1,IF(WEEKDAY(CB19)=7,CB19+2,CB19)))+COUNTIF(ClosedDays!$N$4:$N$32,IF(WEEKDAY(CB19)=1,CB19+1,IF(WEEKDAY(CB19)=7,CB19+2,CB19)))</f>
        <v>44473</v>
      </c>
      <c r="CD19" s="405">
        <f>CC19+IF(WEEKDAY(CC19)=1,1,IF(WEEKDAY(CC19)=7,2,0))+COUNTIF(ClosedDays!$B$4:$B$32,IF(WEEKDAY(CC19)=1,CC19+1,IF(WEEKDAY(CC19)=7,CC19+2,CC19)))+COUNTIF(ClosedDays!$F$4:$F$32,IF(WEEKDAY(CC19)=1,CC19+1,IF(WEEKDAY(CC19)=7,CC19+2,CC19)))+COUNTIF(ClosedDays!$J$4:$J$32,IF(WEEKDAY(CC19)=1,CC19+1,IF(WEEKDAY(CC19)=7,CC19+2,CC19)))+COUNTIF(ClosedDays!$N$4:$N$32,IF(WEEKDAY(CC19)=1,CC19+1,IF(WEEKDAY(CC19)=7,CC19+2,CC19)))</f>
        <v>44473</v>
      </c>
      <c r="CE19" s="405">
        <f>CD19+IF(WEEKDAY(CD19)=1,1,IF(WEEKDAY(CD19)=7,2,0))+COUNTIF(ClosedDays!$B$4:$B$32,IF(WEEKDAY(CD19)=1,CD19+1,IF(WEEKDAY(CD19)=7,CD19+2,CD19)))+COUNTIF(ClosedDays!$F$4:$F$32,IF(WEEKDAY(CD19)=1,CD19+1,IF(WEEKDAY(CD19)=7,CD19+2,CD19)))+COUNTIF(ClosedDays!$J$4:$J$32,IF(WEEKDAY(CD19)=1,CD19+1,IF(WEEKDAY(CD19)=7,CD19+2,CD19)))+COUNTIF(ClosedDays!$N$4:$N$32,IF(WEEKDAY(CD19)=1,CD19+1,IF(WEEKDAY(CD19)=7,CD19+2,CD19)))</f>
        <v>44473</v>
      </c>
      <c r="CF19" s="405">
        <f>CE19+IF(WEEKDAY(CE19)=1,1,IF(WEEKDAY(CE19)=7,2,0))+COUNTIF(ClosedDays!$B$4:$B$32,IF(WEEKDAY(CE19)=1,CE19+1,IF(WEEKDAY(CE19)=7,CE19+2,CE19)))+COUNTIF(ClosedDays!$F$4:$F$32,IF(WEEKDAY(CE19)=1,CE19+1,IF(WEEKDAY(CE19)=7,CE19+2,CE19)))+COUNTIF(ClosedDays!$J$4:$J$32,IF(WEEKDAY(CE19)=1,CE19+1,IF(WEEKDAY(CE19)=7,CE19+2,CE19)))+COUNTIF(ClosedDays!$N$4:$N$32,IF(WEEKDAY(CE19)=1,CE19+1,IF(WEEKDAY(CE19)=7,CE19+2,CE19)))</f>
        <v>44473</v>
      </c>
      <c r="CG19" s="405">
        <f>CF19+IF(WEEKDAY(CF19)=1,1,IF(WEEKDAY(CF19)=7,2,0))+COUNTIF(ClosedDays!$B$4:$B$32,IF(WEEKDAY(CF19)=1,CF19+1,IF(WEEKDAY(CF19)=7,CF19+2,CF19)))+COUNTIF(ClosedDays!$F$4:$F$32,IF(WEEKDAY(CF19)=1,CF19+1,IF(WEEKDAY(CF19)=7,CF19+2,CF19)))+COUNTIF(ClosedDays!$J$4:$J$32,IF(WEEKDAY(CF19)=1,CF19+1,IF(WEEKDAY(CF19)=7,CF19+2,CF19)))+COUNTIF(ClosedDays!$N$4:$N$32,IF(WEEKDAY(CF19)=1,CF19+1,IF(WEEKDAY(CF19)=7,CF19+2,CF19)))</f>
        <v>44473</v>
      </c>
      <c r="CH19" s="405">
        <f t="shared" si="17"/>
        <v>44473</v>
      </c>
      <c r="CI19" s="446">
        <f>IF(AND($D19&lt;='Outline Info'!$H$33,CH19&gt;='Outline Info'!$H$33,$CJ$4=1,$AC19&gt;10,$AC19&lt;9997),1,0)</f>
        <v>0</v>
      </c>
      <c r="CJ19" s="405">
        <f>IF(CI19=1,CH19+'Outline Info'!$I$33-'Outline Info'!$H$33+1,CH19)</f>
        <v>44473</v>
      </c>
      <c r="CK19" s="405">
        <f>CJ19+IF(WEEKDAY(CJ19)=1,1,IF(WEEKDAY(CJ19)=7,2,0))+COUNTIF(ClosedDays!$B$4:$B$32,IF(WEEKDAY(CJ19)=1,CJ19+1,IF(WEEKDAY(CJ19)=7,CJ19+2,CJ19)))+COUNTIF(ClosedDays!$F$4:$F$32,IF(WEEKDAY(CJ19)=1,CJ19+1,IF(WEEKDAY(CJ19)=7,CJ19+2,CJ19)))+COUNTIF(ClosedDays!$J$4:$J$32,IF(WEEKDAY(CJ19)=1,CJ19+1,IF(WEEKDAY(CJ19)=7,CJ19+2,CJ19)))+COUNTIF(ClosedDays!$N$4:$N$32,IF(WEEKDAY(CJ19)=1,CJ19+1,IF(WEEKDAY(CJ19)=7,CJ19+2,CJ19)))</f>
        <v>44473</v>
      </c>
      <c r="CL19" s="405">
        <f>CK19+IF(WEEKDAY(CK19)=1,1,IF(WEEKDAY(CK19)=7,2,0))+COUNTIF(ClosedDays!$B$4:$B$32,IF(WEEKDAY(CK19)=1,CK19+1,IF(WEEKDAY(CK19)=7,CK19+2,CK19)))+COUNTIF(ClosedDays!$F$4:$F$32,IF(WEEKDAY(CK19)=1,CK19+1,IF(WEEKDAY(CK19)=7,CK19+2,CK19)))+COUNTIF(ClosedDays!$J$4:$J$32,IF(WEEKDAY(CK19)=1,CK19+1,IF(WEEKDAY(CK19)=7,CK19+2,CK19)))+COUNTIF(ClosedDays!$N$4:$N$32,IF(WEEKDAY(CK19)=1,CK19+1,IF(WEEKDAY(CK19)=7,CK19+2,CK19)))</f>
        <v>44473</v>
      </c>
      <c r="CM19" s="405">
        <f>CL19+IF(WEEKDAY(CL19)=1,1,IF(WEEKDAY(CL19)=7,2,0))+COUNTIF(ClosedDays!$B$4:$B$32,IF(WEEKDAY(CL19)=1,CL19+1,IF(WEEKDAY(CL19)=7,CL19+2,CL19)))+COUNTIF(ClosedDays!$F$4:$F$32,IF(WEEKDAY(CL19)=1,CL19+1,IF(WEEKDAY(CL19)=7,CL19+2,CL19)))+COUNTIF(ClosedDays!$J$4:$J$32,IF(WEEKDAY(CL19)=1,CL19+1,IF(WEEKDAY(CL19)=7,CL19+2,CL19)))+COUNTIF(ClosedDays!$N$4:$N$32,IF(WEEKDAY(CL19)=1,CL19+1,IF(WEEKDAY(CL19)=7,CL19+2,CL19)))</f>
        <v>44473</v>
      </c>
      <c r="CN19" s="405">
        <f>CM19+IF(WEEKDAY(CM19)=1,1,IF(WEEKDAY(CM19)=7,2,0))+COUNTIF(ClosedDays!$B$4:$B$32,IF(WEEKDAY(CM19)=1,CM19+1,IF(WEEKDAY(CM19)=7,CM19+2,CM19)))+COUNTIF(ClosedDays!$F$4:$F$32,IF(WEEKDAY(CM19)=1,CM19+1,IF(WEEKDAY(CM19)=7,CM19+2,CM19)))+COUNTIF(ClosedDays!$J$4:$J$32,IF(WEEKDAY(CM19)=1,CM19+1,IF(WEEKDAY(CM19)=7,CM19+2,CM19)))+COUNTIF(ClosedDays!$N$4:$N$32,IF(WEEKDAY(CM19)=1,CM19+1,IF(WEEKDAY(CM19)=7,CM19+2,CM19)))</f>
        <v>44473</v>
      </c>
      <c r="CO19" s="405">
        <f>CN19+IF(WEEKDAY(CN19)=1,1,IF(WEEKDAY(CN19)=7,2,0))+COUNTIF(ClosedDays!$B$4:$B$32,IF(WEEKDAY(CN19)=1,CN19+1,IF(WEEKDAY(CN19)=7,CN19+2,CN19)))+COUNTIF(ClosedDays!$F$4:$F$32,IF(WEEKDAY(CN19)=1,CN19+1,IF(WEEKDAY(CN19)=7,CN19+2,CN19)))+COUNTIF(ClosedDays!$J$4:$J$32,IF(WEEKDAY(CN19)=1,CN19+1,IF(WEEKDAY(CN19)=7,CN19+2,CN19)))+COUNTIF(ClosedDays!$N$4:$N$32,IF(WEEKDAY(CN19)=1,CN19+1,IF(WEEKDAY(CN19)=7,CN19+2,CN19)))</f>
        <v>44473</v>
      </c>
      <c r="CP19" s="405">
        <f>CO19+IF(WEEKDAY(CO19)=1,1,IF(WEEKDAY(CO19)=7,2,0))+COUNTIF(ClosedDays!$B$4:$B$32,IF(WEEKDAY(CO19)=1,CO19+1,IF(WEEKDAY(CO19)=7,CO19+2,CO19)))+COUNTIF(ClosedDays!$F$4:$F$32,IF(WEEKDAY(CO19)=1,CO19+1,IF(WEEKDAY(CO19)=7,CO19+2,CO19)))+COUNTIF(ClosedDays!$J$4:$J$32,IF(WEEKDAY(CO19)=1,CO19+1,IF(WEEKDAY(CO19)=7,CO19+2,CO19)))+COUNTIF(ClosedDays!$N$4:$N$32,IF(WEEKDAY(CO19)=1,CO19+1,IF(WEEKDAY(CO19)=7,CO19+2,CO19)))</f>
        <v>44473</v>
      </c>
      <c r="CQ19" s="405">
        <f>CP19+IF(WEEKDAY(CP19)=1,1,IF(WEEKDAY(CP19)=7,2,0))+COUNTIF(ClosedDays!$B$4:$B$32,IF(WEEKDAY(CP19)=1,CP19+1,IF(WEEKDAY(CP19)=7,CP19+2,CP19)))+COUNTIF(ClosedDays!$F$4:$F$32,IF(WEEKDAY(CP19)=1,CP19+1,IF(WEEKDAY(CP19)=7,CP19+2,CP19)))+COUNTIF(ClosedDays!$J$4:$J$32,IF(WEEKDAY(CP19)=1,CP19+1,IF(WEEKDAY(CP19)=7,CP19+2,CP19)))+COUNTIF(ClosedDays!$N$4:$N$32,IF(WEEKDAY(CP19)=1,CP19+1,IF(WEEKDAY(CP19)=7,CP19+2,CP19)))</f>
        <v>44473</v>
      </c>
      <c r="CR19" s="405">
        <f>CQ19+IF(WEEKDAY(CQ19)=1,1,IF(WEEKDAY(CQ19)=7,2,0))+COUNTIF(ClosedDays!$B$4:$B$32,IF(WEEKDAY(CQ19)=1,CQ19+1,IF(WEEKDAY(CQ19)=7,CQ19+2,CQ19)))+COUNTIF(ClosedDays!$F$4:$F$32,IF(WEEKDAY(CQ19)=1,CQ19+1,IF(WEEKDAY(CQ19)=7,CQ19+2,CQ19)))+COUNTIF(ClosedDays!$J$4:$J$32,IF(WEEKDAY(CQ19)=1,CQ19+1,IF(WEEKDAY(CQ19)=7,CQ19+2,CQ19)))+COUNTIF(ClosedDays!$N$4:$N$32,IF(WEEKDAY(CQ19)=1,CQ19+1,IF(WEEKDAY(CQ19)=7,CQ19+2,CQ19)))</f>
        <v>44473</v>
      </c>
      <c r="CS19" s="405">
        <f>CR19+IF(WEEKDAY(CR19)=1,1,IF(WEEKDAY(CR19)=7,2,0))+COUNTIF(ClosedDays!$B$4:$B$32,IF(WEEKDAY(CR19)=1,CR19+1,IF(WEEKDAY(CR19)=7,CR19+2,CR19)))+COUNTIF(ClosedDays!$F$4:$F$32,IF(WEEKDAY(CR19)=1,CR19+1,IF(WEEKDAY(CR19)=7,CR19+2,CR19)))+COUNTIF(ClosedDays!$J$4:$J$32,IF(WEEKDAY(CR19)=1,CR19+1,IF(WEEKDAY(CR19)=7,CR19+2,CR19)))+COUNTIF(ClosedDays!$N$4:$N$32,IF(WEEKDAY(CR19)=1,CR19+1,IF(WEEKDAY(CR19)=7,CR19+2,CR19)))</f>
        <v>44473</v>
      </c>
      <c r="CT19" s="405">
        <f>CS19+IF(WEEKDAY(CS19)=1,1,IF(WEEKDAY(CS19)=7,2,0))+COUNTIF(ClosedDays!$B$4:$B$32,IF(WEEKDAY(CS19)=1,CS19+1,IF(WEEKDAY(CS19)=7,CS19+2,CS19)))+COUNTIF(ClosedDays!$F$4:$F$32,IF(WEEKDAY(CS19)=1,CS19+1,IF(WEEKDAY(CS19)=7,CS19+2,CS19)))+COUNTIF(ClosedDays!$J$4:$J$32,IF(WEEKDAY(CS19)=1,CS19+1,IF(WEEKDAY(CS19)=7,CS19+2,CS19)))+COUNTIF(ClosedDays!$N$4:$N$32,IF(WEEKDAY(CS19)=1,CS19+1,IF(WEEKDAY(CS19)=7,CS19+2,CS19)))</f>
        <v>44473</v>
      </c>
      <c r="CU19" s="405">
        <f>CT19+IF(WEEKDAY(CT19)=1,1,IF(WEEKDAY(CT19)=7,2,0))+COUNTIF(ClosedDays!$B$4:$B$32,IF(WEEKDAY(CT19)=1,CT19+1,IF(WEEKDAY(CT19)=7,CT19+2,CT19)))+COUNTIF(ClosedDays!$F$4:$F$32,IF(WEEKDAY(CT19)=1,CT19+1,IF(WEEKDAY(CT19)=7,CT19+2,CT19)))+COUNTIF(ClosedDays!$J$4:$J$32,IF(WEEKDAY(CT19)=1,CT19+1,IF(WEEKDAY(CT19)=7,CT19+2,CT19)))+COUNTIF(ClosedDays!$N$4:$N$32,IF(WEEKDAY(CT19)=1,CT19+1,IF(WEEKDAY(CT19)=7,CT19+2,CT19)))</f>
        <v>44473</v>
      </c>
      <c r="CV19" s="405">
        <f>CU19+IF(WEEKDAY(CU19)=1,1,IF(WEEKDAY(CU19)=7,2,0))+COUNTIF(ClosedDays!$B$4:$B$32,IF(WEEKDAY(CU19)=1,CU19+1,IF(WEEKDAY(CU19)=7,CU19+2,CU19)))+COUNTIF(ClosedDays!$F$4:$F$32,IF(WEEKDAY(CU19)=1,CU19+1,IF(WEEKDAY(CU19)=7,CU19+2,CU19)))+COUNTIF(ClosedDays!$J$4:$J$32,IF(WEEKDAY(CU19)=1,CU19+1,IF(WEEKDAY(CU19)=7,CU19+2,CU19)))+COUNTIF(ClosedDays!$N$4:$N$32,IF(WEEKDAY(CU19)=1,CU19+1,IF(WEEKDAY(CU19)=7,CU19+2,CU19)))</f>
        <v>44473</v>
      </c>
      <c r="CW19" s="405">
        <f>CV19+IF(WEEKDAY(CV19)=1,1,IF(WEEKDAY(CV19)=7,2,0))+COUNTIF(ClosedDays!$B$4:$B$32,IF(WEEKDAY(CV19)=1,CV19+1,IF(WEEKDAY(CV19)=7,CV19+2,CV19)))+COUNTIF(ClosedDays!$F$4:$F$32,IF(WEEKDAY(CV19)=1,CV19+1,IF(WEEKDAY(CV19)=7,CV19+2,CV19)))+COUNTIF(ClosedDays!$J$4:$J$32,IF(WEEKDAY(CV19)=1,CV19+1,IF(WEEKDAY(CV19)=7,CV19+2,CV19)))+COUNTIF(ClosedDays!$N$4:$N$32,IF(WEEKDAY(CV19)=1,CV19+1,IF(WEEKDAY(CV19)=7,CV19+2,CV19)))</f>
        <v>44473</v>
      </c>
      <c r="CX19" s="405">
        <f>CW19+IF(WEEKDAY(CW19)=1,1,IF(WEEKDAY(CW19)=7,2,0))+COUNTIF(ClosedDays!$B$4:$B$32,IF(WEEKDAY(CW19)=1,CW19+1,IF(WEEKDAY(CW19)=7,CW19+2,CW19)))+COUNTIF(ClosedDays!$F$4:$F$32,IF(WEEKDAY(CW19)=1,CW19+1,IF(WEEKDAY(CW19)=7,CW19+2,CW19)))+COUNTIF(ClosedDays!$J$4:$J$32,IF(WEEKDAY(CW19)=1,CW19+1,IF(WEEKDAY(CW19)=7,CW19+2,CW19)))+COUNTIF(ClosedDays!$N$4:$N$32,IF(WEEKDAY(CW19)=1,CW19+1,IF(WEEKDAY(CW19)=7,CW19+2,CW19)))</f>
        <v>44473</v>
      </c>
      <c r="CY19" s="405">
        <f t="shared" si="18"/>
        <v>44473</v>
      </c>
      <c r="CZ19" s="446">
        <f>IF(AND($D19&lt;='Outline Info'!$E$33,CY19&gt;='Outline Info'!$E$33,$AC19&gt;10,$AC19&lt;9997),1,0)</f>
        <v>0</v>
      </c>
      <c r="DA19" s="405">
        <f>IF(AND($D19&lt;='Outline Info'!$E$33,CY19&gt;='Outline Info'!$E$33),CY19+'Outline Info'!$F$33-'Outline Info'!$E$33+1,CY19)</f>
        <v>44473</v>
      </c>
      <c r="DB19" s="405">
        <f>DA19+IF(WEEKDAY(DA19)=1,1,IF(WEEKDAY(DA19)=7,2,0))+COUNTIF(ClosedDays!$B$4:$B$32,IF(WEEKDAY(DA19)=1,DA19+1,IF(WEEKDAY(DA19)=7,DA19+2,DA19)))+COUNTIF(ClosedDays!$F$4:$F$32,IF(WEEKDAY(DA19)=1,DA19+1,IF(WEEKDAY(DA19)=7,DA19+2,DA19)))+COUNTIF(ClosedDays!$J$4:$J$32,IF(WEEKDAY(DA19)=1,DA19+1,IF(WEEKDAY(DA19)=7,DA19+2,DA19)))+COUNTIF(ClosedDays!$N$4:$N$32,IF(WEEKDAY(DA19)=1,DA19+1,IF(WEEKDAY(DA19)=7,DA19+2,DA19)))</f>
        <v>44473</v>
      </c>
      <c r="DC19" s="405">
        <f>DB19+IF(WEEKDAY(DB19)=1,1,IF(WEEKDAY(DB19)=7,2,0))+COUNTIF(ClosedDays!$B$4:$B$32,IF(WEEKDAY(DB19)=1,DB19+1,IF(WEEKDAY(DB19)=7,DB19+2,DB19)))+COUNTIF(ClosedDays!$F$4:$F$32,IF(WEEKDAY(DB19)=1,DB19+1,IF(WEEKDAY(DB19)=7,DB19+2,DB19)))+COUNTIF(ClosedDays!$J$4:$J$32,IF(WEEKDAY(DB19)=1,DB19+1,IF(WEEKDAY(DB19)=7,DB19+2,DB19)))+COUNTIF(ClosedDays!$N$4:$N$32,IF(WEEKDAY(DB19)=1,DB19+1,IF(WEEKDAY(DB19)=7,DB19+2,DB19)))</f>
        <v>44473</v>
      </c>
      <c r="DD19" s="405">
        <f>DC19+IF(WEEKDAY(DC19)=1,1,IF(WEEKDAY(DC19)=7,2,0))+COUNTIF(ClosedDays!$B$4:$B$32,IF(WEEKDAY(DC19)=1,DC19+1,IF(WEEKDAY(DC19)=7,DC19+2,DC19)))+COUNTIF(ClosedDays!$F$4:$F$32,IF(WEEKDAY(DC19)=1,DC19+1,IF(WEEKDAY(DC19)=7,DC19+2,DC19)))+COUNTIF(ClosedDays!$J$4:$J$32,IF(WEEKDAY(DC19)=1,DC19+1,IF(WEEKDAY(DC19)=7,DC19+2,DC19)))+COUNTIF(ClosedDays!$N$4:$N$32,IF(WEEKDAY(DC19)=1,DC19+1,IF(WEEKDAY(DC19)=7,DC19+2,DC19)))</f>
        <v>44473</v>
      </c>
      <c r="DE19" s="405">
        <f>DD19+IF(WEEKDAY(DD19)=1,1,IF(WEEKDAY(DD19)=7,2,0))+COUNTIF(ClosedDays!$B$4:$B$32,IF(WEEKDAY(DD19)=1,DD19+1,IF(WEEKDAY(DD19)=7,DD19+2,DD19)))+COUNTIF(ClosedDays!$F$4:$F$32,IF(WEEKDAY(DD19)=1,DD19+1,IF(WEEKDAY(DD19)=7,DD19+2,DD19)))+COUNTIF(ClosedDays!$J$4:$J$32,IF(WEEKDAY(DD19)=1,DD19+1,IF(WEEKDAY(DD19)=7,DD19+2,DD19)))+COUNTIF(ClosedDays!$N$4:$N$32,IF(WEEKDAY(DD19)=1,DD19+1,IF(WEEKDAY(DD19)=7,DD19+2,DD19)))</f>
        <v>44473</v>
      </c>
      <c r="DF19" s="405">
        <f>DE19+IF(WEEKDAY(DE19)=1,1,IF(WEEKDAY(DE19)=7,2,0))+COUNTIF(ClosedDays!$B$4:$B$32,IF(WEEKDAY(DE19)=1,DE19+1,IF(WEEKDAY(DE19)=7,DE19+2,DE19)))+COUNTIF(ClosedDays!$F$4:$F$32,IF(WEEKDAY(DE19)=1,DE19+1,IF(WEEKDAY(DE19)=7,DE19+2,DE19)))+COUNTIF(ClosedDays!$J$4:$J$32,IF(WEEKDAY(DE19)=1,DE19+1,IF(WEEKDAY(DE19)=7,DE19+2,DE19)))+COUNTIF(ClosedDays!$N$4:$N$32,IF(WEEKDAY(DE19)=1,DE19+1,IF(WEEKDAY(DE19)=7,DE19+2,DE19)))</f>
        <v>44473</v>
      </c>
      <c r="DG19" s="405">
        <f>DF19+IF(WEEKDAY(DF19)=1,1,IF(WEEKDAY(DF19)=7,2,0))+COUNTIF(ClosedDays!$B$4:$B$32,IF(WEEKDAY(DF19)=1,DF19+1,IF(WEEKDAY(DF19)=7,DF19+2,DF19)))+COUNTIF(ClosedDays!$F$4:$F$32,IF(WEEKDAY(DF19)=1,DF19+1,IF(WEEKDAY(DF19)=7,DF19+2,DF19)))+COUNTIF(ClosedDays!$J$4:$J$32,IF(WEEKDAY(DF19)=1,DF19+1,IF(WEEKDAY(DF19)=7,DF19+2,DF19)))+COUNTIF(ClosedDays!$N$4:$N$32,IF(WEEKDAY(DF19)=1,DF19+1,IF(WEEKDAY(DF19)=7,DF19+2,DF19)))</f>
        <v>44473</v>
      </c>
      <c r="DH19" s="405">
        <f>DG19+IF(WEEKDAY(DG19)=1,1,IF(WEEKDAY(DG19)=7,2,0))+COUNTIF(ClosedDays!$B$4:$B$32,IF(WEEKDAY(DG19)=1,DG19+1,IF(WEEKDAY(DG19)=7,DG19+2,DG19)))+COUNTIF(ClosedDays!$F$4:$F$32,IF(WEEKDAY(DG19)=1,DG19+1,IF(WEEKDAY(DG19)=7,DG19+2,DG19)))+COUNTIF(ClosedDays!$J$4:$J$32,IF(WEEKDAY(DG19)=1,DG19+1,IF(WEEKDAY(DG19)=7,DG19+2,DG19)))+COUNTIF(ClosedDays!$N$4:$N$32,IF(WEEKDAY(DG19)=1,DG19+1,IF(WEEKDAY(DG19)=7,DG19+2,DG19)))</f>
        <v>44473</v>
      </c>
      <c r="DI19" s="405">
        <f>DH19+IF(WEEKDAY(DH19)=1,1,IF(WEEKDAY(DH19)=7,2,0))+COUNTIF(ClosedDays!$B$4:$B$32,IF(WEEKDAY(DH19)=1,DH19+1,IF(WEEKDAY(DH19)=7,DH19+2,DH19)))+COUNTIF(ClosedDays!$F$4:$F$32,IF(WEEKDAY(DH19)=1,DH19+1,IF(WEEKDAY(DH19)=7,DH19+2,DH19)))+COUNTIF(ClosedDays!$J$4:$J$32,IF(WEEKDAY(DH19)=1,DH19+1,IF(WEEKDAY(DH19)=7,DH19+2,DH19)))+COUNTIF(ClosedDays!$N$4:$N$32,IF(WEEKDAY(DH19)=1,DH19+1,IF(WEEKDAY(DH19)=7,DH19+2,DH19)))</f>
        <v>44473</v>
      </c>
      <c r="DJ19" s="405">
        <f>DI19+IF(WEEKDAY(DI19)=1,1,IF(WEEKDAY(DI19)=7,2,0))+COUNTIF(ClosedDays!$B$4:$B$32,IF(WEEKDAY(DI19)=1,DI19+1,IF(WEEKDAY(DI19)=7,DI19+2,DI19)))+COUNTIF(ClosedDays!$F$4:$F$32,IF(WEEKDAY(DI19)=1,DI19+1,IF(WEEKDAY(DI19)=7,DI19+2,DI19)))+COUNTIF(ClosedDays!$J$4:$J$32,IF(WEEKDAY(DI19)=1,DI19+1,IF(WEEKDAY(DI19)=7,DI19+2,DI19)))+COUNTIF(ClosedDays!$N$4:$N$32,IF(WEEKDAY(DI19)=1,DI19+1,IF(WEEKDAY(DI19)=7,DI19+2,DI19)))</f>
        <v>44473</v>
      </c>
      <c r="DK19" s="405">
        <f>DJ19+IF(WEEKDAY(DJ19)=1,1,IF(WEEKDAY(DJ19)=7,2,0))+COUNTIF(ClosedDays!$B$4:$B$32,IF(WEEKDAY(DJ19)=1,DJ19+1,IF(WEEKDAY(DJ19)=7,DJ19+2,DJ19)))+COUNTIF(ClosedDays!$F$4:$F$32,IF(WEEKDAY(DJ19)=1,DJ19+1,IF(WEEKDAY(DJ19)=7,DJ19+2,DJ19)))+COUNTIF(ClosedDays!$J$4:$J$32,IF(WEEKDAY(DJ19)=1,DJ19+1,IF(WEEKDAY(DJ19)=7,DJ19+2,DJ19)))+COUNTIF(ClosedDays!$N$4:$N$32,IF(WEEKDAY(DJ19)=1,DJ19+1,IF(WEEKDAY(DJ19)=7,DJ19+2,DJ19)))</f>
        <v>44473</v>
      </c>
      <c r="DL19" s="405">
        <f>DK19+IF(WEEKDAY(DK19)=1,1,IF(WEEKDAY(DK19)=7,2,0))+COUNTIF(ClosedDays!$B$4:$B$32,IF(WEEKDAY(DK19)=1,DK19+1,IF(WEEKDAY(DK19)=7,DK19+2,DK19)))+COUNTIF(ClosedDays!$F$4:$F$32,IF(WEEKDAY(DK19)=1,DK19+1,IF(WEEKDAY(DK19)=7,DK19+2,DK19)))+COUNTIF(ClosedDays!$J$4:$J$32,IF(WEEKDAY(DK19)=1,DK19+1,IF(WEEKDAY(DK19)=7,DK19+2,DK19)))+COUNTIF(ClosedDays!$N$4:$N$32,IF(WEEKDAY(DK19)=1,DK19+1,IF(WEEKDAY(DK19)=7,DK19+2,DK19)))</f>
        <v>44473</v>
      </c>
      <c r="DM19" s="405">
        <f>DL19+IF(WEEKDAY(DL19)=1,1,IF(WEEKDAY(DL19)=7,2,0))+COUNTIF(ClosedDays!$B$4:$B$32,IF(WEEKDAY(DL19)=1,DL19+1,IF(WEEKDAY(DL19)=7,DL19+2,DL19)))+COUNTIF(ClosedDays!$F$4:$F$32,IF(WEEKDAY(DL19)=1,DL19+1,IF(WEEKDAY(DL19)=7,DL19+2,DL19)))+COUNTIF(ClosedDays!$J$4:$J$32,IF(WEEKDAY(DL19)=1,DL19+1,IF(WEEKDAY(DL19)=7,DL19+2,DL19)))+COUNTIF(ClosedDays!$N$4:$N$32,IF(WEEKDAY(DL19)=1,DL19+1,IF(WEEKDAY(DL19)=7,DL19+2,DL19)))</f>
        <v>44473</v>
      </c>
      <c r="DN19" s="405">
        <f>DM19+IF(WEEKDAY(DM19)=1,1,IF(WEEKDAY(DM19)=7,2,0))+COUNTIF(ClosedDays!$B$4:$B$32,IF(WEEKDAY(DM19)=1,DM19+1,IF(WEEKDAY(DM19)=7,DM19+2,DM19)))+COUNTIF(ClosedDays!$F$4:$F$32,IF(WEEKDAY(DM19)=1,DM19+1,IF(WEEKDAY(DM19)=7,DM19+2,DM19)))+COUNTIF(ClosedDays!$J$4:$J$32,IF(WEEKDAY(DM19)=1,DM19+1,IF(WEEKDAY(DM19)=7,DM19+2,DM19)))+COUNTIF(ClosedDays!$N$4:$N$32,IF(WEEKDAY(DM19)=1,DM19+1,IF(WEEKDAY(DM19)=7,DM19+2,DM19)))</f>
        <v>44473</v>
      </c>
      <c r="DO19" s="405">
        <f>DN19+IF(WEEKDAY(DN19)=1,1,IF(WEEKDAY(DN19)=7,2,0))+COUNTIF(ClosedDays!$B$4:$B$32,IF(WEEKDAY(DN19)=1,DN19+1,IF(WEEKDAY(DN19)=7,DN19+2,DN19)))+COUNTIF(ClosedDays!$F$4:$F$32,IF(WEEKDAY(DN19)=1,DN19+1,IF(WEEKDAY(DN19)=7,DN19+2,DN19)))+COUNTIF(ClosedDays!$J$4:$J$32,IF(WEEKDAY(DN19)=1,DN19+1,IF(WEEKDAY(DN19)=7,DN19+2,DN19)))+COUNTIF(ClosedDays!$N$4:$N$32,IF(WEEKDAY(DN19)=1,DN19+1,IF(WEEKDAY(DN19)=7,DN19+2,DN19)))</f>
        <v>44473</v>
      </c>
      <c r="DP19" s="405">
        <f t="shared" si="5"/>
        <v>44473</v>
      </c>
      <c r="DQ19" s="405">
        <f t="shared" si="20"/>
        <v>44473</v>
      </c>
      <c r="DR19" s="394">
        <f t="shared" si="19"/>
        <v>1</v>
      </c>
      <c r="DS19" s="394">
        <f>IF(AND(DR19=1,COUNTIF(DS$7:DS18,1)&lt;12,VLOOKUP(COUNTIF(DS$7:DS18,1)+1,'Outline Info'!$A$21:$C$32,2)&lt;=I19),1,0)</f>
        <v>0</v>
      </c>
      <c r="DT19" s="405" t="str">
        <f>IF(DS19=1,IF(VLOOKUP(COUNTIF(DS$7:DS19,1),'Outline Info'!$A$21:$C$32,2)=0,"",VLOOKUP(COUNTIF(DS$7:DS19,1),'Outline Info'!$A$21:$C$32,2)),"")</f>
        <v/>
      </c>
      <c r="DU19" s="447">
        <f>IF(DS19=1,VLOOKUP(COUNTIF(DS$7:DS19,1),'Outline Info'!$A$21:$C$32,3),0)</f>
        <v>0</v>
      </c>
      <c r="DV19" s="445">
        <f>IF('Outline Info'!$B$8="Y",IF(B19="*",'Outline Info'!$B$19,IF(OR($A19="",B19="X",B19="x"),0,VLOOKUP($A19,'Course Table'!$A$2:$J$331,4,TRUE))),0)</f>
        <v>0</v>
      </c>
      <c r="DW19" s="447">
        <f t="shared" si="6"/>
        <v>0</v>
      </c>
      <c r="DX19" s="447">
        <f>IF('Outline Info'!$B$8="Y",$DV19,$DW19)</f>
        <v>0</v>
      </c>
      <c r="DY19" s="394"/>
      <c r="DZ19" s="934"/>
      <c r="EA19" s="934"/>
      <c r="EB19" s="394"/>
      <c r="EC19" s="394"/>
      <c r="ED19" s="394"/>
    </row>
    <row r="20" spans="1:134" s="400" customFormat="1" ht="20.100000000000001" customHeight="1">
      <c r="A20" s="874" t="str">
        <f t="shared" si="7"/>
        <v/>
      </c>
      <c r="B20" s="876" t="str">
        <f t="shared" si="8"/>
        <v/>
      </c>
      <c r="C20" s="878" t="str">
        <f t="shared" si="9"/>
        <v/>
      </c>
      <c r="D20" s="463">
        <f>IF(NOT(ISBLANK(DZ20)),DZ20,IF(AND($AC20=9998,'Outline Info'!$H$33&gt;='Outline Info'!$B$6,'Outline Info'!$H$33&lt;='Outline Info'!$C$6),'Outline Info'!$H$33,IF(AND($AC20=9997,'Outline Info'!$H$31&gt;='Outline Info'!$B$6,'Outline Info'!$H$31&lt;='Outline Info'!$C$6),'Outline Info'!$H$31,IF(AE20="*",DQ19,IF(OR(AE20="x",AE20="X"),I19,IF(AND(AC20&gt;6,AC19&lt;6),DQ19,IF(AND($AC20=9998,$AC19=9997),I18,I19)))))))</f>
        <v>44470</v>
      </c>
      <c r="E20" s="1286"/>
      <c r="F20" s="1287"/>
      <c r="G20" s="1282"/>
      <c r="H20" s="1283"/>
      <c r="I20" s="464">
        <f>IF(AND($AC20=9998,'Outline Info'!$I$33&gt;='Outline Info'!$B$6,'Outline Info'!$I$33&lt;='Outline Info'!$C$6),'Outline Info'!$I$33,IF(AND($AC20=9997,'Outline Info'!$I$31&gt;='Outline Info'!$B$6,'Outline Info'!$I$31&lt;='Outline Info'!$C$6),'Outline Info'!$I$31,IF(DP20&gt;$V$4,$V$4,DP20)))</f>
        <v>44470</v>
      </c>
      <c r="J20" s="436"/>
      <c r="K20" s="437"/>
      <c r="L20" s="438"/>
      <c r="M20" s="438"/>
      <c r="N20" s="435"/>
      <c r="O20" s="435"/>
      <c r="P20" s="438"/>
      <c r="Q20" s="438"/>
      <c r="R20" s="439"/>
      <c r="S20" s="872">
        <f>IF($V$5-SUM($DX$7:$DX20)&lt;0,IF($V$5-SUM($DX$7:$DX19)&lt;0,0,$V$5-SUM($DX$7:$DX19)),DX20)</f>
        <v>0</v>
      </c>
      <c r="T20" s="440" t="str">
        <f>IF(S20&gt;0,IF('Outline Info'!$B$8="Y",D20,DT20),"")</f>
        <v/>
      </c>
      <c r="U20" s="441"/>
      <c r="V20" s="442"/>
      <c r="W20" s="870" t="str">
        <f>IF('Outline Info'!$C$33&gt;0,ROUND(IF('Outline Info'!$B$8="Y",SUM(S$7:S20)-SUM(AJ$7:AJ20)-'Outline Info'!$B$14-'Outline Info'!$B$15-'Outline Info'!$B$17,IF(AL20=0,SUM(S$7:S20)-SUM(AK$7:AK20)-SUM(AP20:AS20)-'Outline Info'!$B$14-'Outline Info'!$B$15-'Outline Info'!$B$17,0)),0),IF('Outline Info'!$T$4&lt;&gt;1,"",IF(OR(AD20="",AL20=1),"",SUM(AK$7:AK20)+SUM(AP20:AS20)+'Outline Info'!$B$14+'Outline Info'!$B$15+'Outline Info'!$B$17)))</f>
        <v/>
      </c>
      <c r="X20" s="448"/>
      <c r="Y20" s="443">
        <f>IF(OR(AE20="X",AE20="x",AE20="*",AC20=99999),0,IF(AC20&lt;50,0,IF($S$4-SUM($Y$7:$Y19)&gt;0,1,0)))</f>
        <v>0</v>
      </c>
      <c r="Z20" s="444">
        <f>IF(AC20&lt;99999,IF(AE20="*",AH20,IF(OR(AE20="x",AE20="X",AC20&lt;10),0,IF(AND(AC20&lt;&gt;9998,AC20&lt;&gt;9997),IF(AM20=1,(AH20+$AM$5)*(1+('Outline Info'!$B$16)),IF(AN20=1,(AH20+$AN$5)*(1+('Outline Info'!$B$16)),0)),AH20))),0)</f>
        <v>0</v>
      </c>
      <c r="AA20" s="395">
        <f>Z20/'Outline Info'!$C$11+Y20</f>
        <v>0</v>
      </c>
      <c r="AB20" s="395">
        <f>ROUND(AA20/'Outline Info'!$B$11*7,0)</f>
        <v>0</v>
      </c>
      <c r="AC20" s="445">
        <f>IF($AD20&lt;&gt;"",VLOOKUP($AD20,'Course Table'!$A$2:$J$331,10,TRUE),99999)</f>
        <v>99999</v>
      </c>
      <c r="AD20" s="394"/>
      <c r="AE20" s="394"/>
      <c r="AF20" s="394"/>
      <c r="AG20" s="394"/>
      <c r="AH20" s="394"/>
      <c r="AI20" s="394">
        <v>389</v>
      </c>
      <c r="AJ20" s="394">
        <v>389</v>
      </c>
      <c r="AK20" s="394">
        <f t="shared" si="10"/>
        <v>389</v>
      </c>
      <c r="AL20" s="394">
        <f t="shared" si="11"/>
        <v>0</v>
      </c>
      <c r="AM20" s="394">
        <f t="shared" si="12"/>
        <v>0</v>
      </c>
      <c r="AN20" s="394">
        <f t="shared" si="13"/>
        <v>0</v>
      </c>
      <c r="AO20" s="394">
        <f>IF(AN20=1,SUMPRODUCT($AJ$7:$AJ20,$AN$7:$AN20),0)</f>
        <v>0</v>
      </c>
      <c r="AP20" s="394">
        <f t="shared" si="14"/>
        <v>0</v>
      </c>
      <c r="AQ20" s="394">
        <f t="shared" si="14"/>
        <v>0</v>
      </c>
      <c r="AR20" s="394">
        <f t="shared" si="14"/>
        <v>0</v>
      </c>
      <c r="AS20" s="394">
        <f t="shared" si="14"/>
        <v>0</v>
      </c>
      <c r="AT20" s="394">
        <f t="shared" si="15"/>
        <v>0</v>
      </c>
      <c r="AU20" s="394">
        <f t="shared" si="15"/>
        <v>0</v>
      </c>
      <c r="AV20" s="394">
        <f t="shared" si="15"/>
        <v>0</v>
      </c>
      <c r="AW20" s="394">
        <f t="shared" si="15"/>
        <v>0</v>
      </c>
      <c r="AX20" s="394">
        <f t="shared" si="1"/>
        <v>0</v>
      </c>
      <c r="AY20" s="394">
        <f t="shared" si="2"/>
        <v>0</v>
      </c>
      <c r="AZ20" s="394">
        <f t="shared" si="3"/>
        <v>0</v>
      </c>
      <c r="BA20" s="394">
        <f t="shared" si="4"/>
        <v>0</v>
      </c>
      <c r="BB20" s="405">
        <f t="shared" si="21"/>
        <v>44473</v>
      </c>
      <c r="BC20" s="405">
        <f>BB20+IF(WEEKDAY(BB20)=1,1,IF(WEEKDAY(BB20)=7,2,0))+COUNTIF(ClosedDays!$B$4:$B$32,IF(WEEKDAY(BB20)=1,BB20+1,IF(WEEKDAY(BB20)=7,BB20+2,BB20)))+COUNTIF(ClosedDays!$F$4:$F$32,IF(WEEKDAY(BB20)=1,BB20+1,IF(WEEKDAY(BB20)=7,BB20+2,BB20)))+COUNTIF(ClosedDays!$J$4:$J$32,IF(WEEKDAY(BB20)=1,BB20+1,IF(WEEKDAY(BB20)=7,BB20+2,BB20)))+COUNTIF(ClosedDays!$N$4:$N$32,IF(WEEKDAY(BB20)=1,BB20+1,IF(WEEKDAY(BB20)=7,BB20+2,BB20)))</f>
        <v>44473</v>
      </c>
      <c r="BD20" s="405">
        <f>BC20+IF(WEEKDAY(BC20)=1,1,IF(WEEKDAY(BC20)=7,2,0))+COUNTIF(ClosedDays!$B$4:$B$32,IF(WEEKDAY(BC20)=1,BC20+1,IF(WEEKDAY(BC20)=7,BC20+2,BC20)))+COUNTIF(ClosedDays!$F$4:$F$32,IF(WEEKDAY(BC20)=1,BC20+1,IF(WEEKDAY(BC20)=7,BC20+2,BC20)))+COUNTIF(ClosedDays!$J$4:$J$32,IF(WEEKDAY(BC20)=1,BC20+1,IF(WEEKDAY(BC20)=7,BC20+2,BC20)))+COUNTIF(ClosedDays!$N$4:$N$32,IF(WEEKDAY(BC20)=1,BC20+1,IF(WEEKDAY(BC20)=7,BC20+2,BC20)))</f>
        <v>44473</v>
      </c>
      <c r="BE20" s="405">
        <f>BD20+IF(WEEKDAY(BD20)=1,1,IF(WEEKDAY(BD20)=7,2,0))+COUNTIF(ClosedDays!$B$4:$B$32,IF(WEEKDAY(BD20)=1,BD20+1,IF(WEEKDAY(BD20)=7,BD20+2,BD20)))+COUNTIF(ClosedDays!$F$4:$F$32,IF(WEEKDAY(BD20)=1,BD20+1,IF(WEEKDAY(BD20)=7,BD20+2,BD20)))+COUNTIF(ClosedDays!$J$4:$J$32,IF(WEEKDAY(BD20)=1,BD20+1,IF(WEEKDAY(BD20)=7,BD20+2,BD20)))+COUNTIF(ClosedDays!$N$4:$N$32,IF(WEEKDAY(BD20)=1,BD20+1,IF(WEEKDAY(BD20)=7,BD20+2,BD20)))</f>
        <v>44473</v>
      </c>
      <c r="BF20" s="405">
        <f>BE20+IF(WEEKDAY(BE20)=1,1,IF(WEEKDAY(BE20)=7,2,0))+COUNTIF(ClosedDays!$B$4:$B$32,IF(WEEKDAY(BE20)=1,BE20+1,IF(WEEKDAY(BE20)=7,BE20+2,BE20)))+COUNTIF(ClosedDays!$F$4:$F$32,IF(WEEKDAY(BE20)=1,BE20+1,IF(WEEKDAY(BE20)=7,BE20+2,BE20)))+COUNTIF(ClosedDays!$J$4:$J$32,IF(WEEKDAY(BE20)=1,BE20+1,IF(WEEKDAY(BE20)=7,BE20+2,BE20)))+COUNTIF(ClosedDays!$N$4:$N$32,IF(WEEKDAY(BE20)=1,BE20+1,IF(WEEKDAY(BE20)=7,BE20+2,BE20)))</f>
        <v>44473</v>
      </c>
      <c r="BG20" s="405">
        <f>BF20+IF(WEEKDAY(BF20)=1,1,IF(WEEKDAY(BF20)=7,2,0))+COUNTIF(ClosedDays!$B$4:$B$32,IF(WEEKDAY(BF20)=1,BF20+1,IF(WEEKDAY(BF20)=7,BF20+2,BF20)))+COUNTIF(ClosedDays!$F$4:$F$32,IF(WEEKDAY(BF20)=1,BF20+1,IF(WEEKDAY(BF20)=7,BF20+2,BF20)))+COUNTIF(ClosedDays!$J$4:$J$32,IF(WEEKDAY(BF20)=1,BF20+1,IF(WEEKDAY(BF20)=7,BF20+2,BF20)))+COUNTIF(ClosedDays!$N$4:$N$32,IF(WEEKDAY(BF20)=1,BF20+1,IF(WEEKDAY(BF20)=7,BF20+2,BF20)))</f>
        <v>44473</v>
      </c>
      <c r="BH20" s="405">
        <f>BG20+IF(WEEKDAY(BG20)=1,1,IF(WEEKDAY(BG20)=7,2,0))+COUNTIF(ClosedDays!$B$4:$B$32,IF(WEEKDAY(BG20)=1,BG20+1,IF(WEEKDAY(BG20)=7,BG20+2,BG20)))+COUNTIF(ClosedDays!$F$4:$F$32,IF(WEEKDAY(BG20)=1,BG20+1,IF(WEEKDAY(BG20)=7,BG20+2,BG20)))+COUNTIF(ClosedDays!$J$4:$J$32,IF(WEEKDAY(BG20)=1,BG20+1,IF(WEEKDAY(BG20)=7,BG20+2,BG20)))+COUNTIF(ClosedDays!$N$4:$N$32,IF(WEEKDAY(BG20)=1,BG20+1,IF(WEEKDAY(BG20)=7,BG20+2,BG20)))</f>
        <v>44473</v>
      </c>
      <c r="BI20" s="405">
        <f>BH20+IF(WEEKDAY(BH20)=1,1,IF(WEEKDAY(BH20)=7,2,0))+COUNTIF(ClosedDays!$B$4:$B$32,IF(WEEKDAY(BH20)=1,BH20+1,IF(WEEKDAY(BH20)=7,BH20+2,BH20)))+COUNTIF(ClosedDays!$F$4:$F$32,IF(WEEKDAY(BH20)=1,BH20+1,IF(WEEKDAY(BH20)=7,BH20+2,BH20)))+COUNTIF(ClosedDays!$J$4:$J$32,IF(WEEKDAY(BH20)=1,BH20+1,IF(WEEKDAY(BH20)=7,BH20+2,BH20)))+COUNTIF(ClosedDays!$N$4:$N$32,IF(WEEKDAY(BH20)=1,BH20+1,IF(WEEKDAY(BH20)=7,BH20+2,BH20)))</f>
        <v>44473</v>
      </c>
      <c r="BJ20" s="405">
        <f>BI20+IF(WEEKDAY(BI20)=1,1,IF(WEEKDAY(BI20)=7,2,0))+COUNTIF(ClosedDays!$B$4:$B$32,IF(WEEKDAY(BI20)=1,BI20+1,IF(WEEKDAY(BI20)=7,BI20+2,BI20)))+COUNTIF(ClosedDays!$F$4:$F$32,IF(WEEKDAY(BI20)=1,BI20+1,IF(WEEKDAY(BI20)=7,BI20+2,BI20)))+COUNTIF(ClosedDays!$J$4:$J$32,IF(WEEKDAY(BI20)=1,BI20+1,IF(WEEKDAY(BI20)=7,BI20+2,BI20)))+COUNTIF(ClosedDays!$N$4:$N$32,IF(WEEKDAY(BI20)=1,BI20+1,IF(WEEKDAY(BI20)=7,BI20+2,BI20)))</f>
        <v>44473</v>
      </c>
      <c r="BK20" s="405">
        <f>BJ20+IF(WEEKDAY(BJ20)=1,1,IF(WEEKDAY(BJ20)=7,2,0))+COUNTIF(ClosedDays!$B$4:$B$32,IF(WEEKDAY(BJ20)=1,BJ20+1,IF(WEEKDAY(BJ20)=7,BJ20+2,BJ20)))+COUNTIF(ClosedDays!$F$4:$F$32,IF(WEEKDAY(BJ20)=1,BJ20+1,IF(WEEKDAY(BJ20)=7,BJ20+2,BJ20)))+COUNTIF(ClosedDays!$J$4:$J$32,IF(WEEKDAY(BJ20)=1,BJ20+1,IF(WEEKDAY(BJ20)=7,BJ20+2,BJ20)))+COUNTIF(ClosedDays!$N$4:$N$32,IF(WEEKDAY(BJ20)=1,BJ20+1,IF(WEEKDAY(BJ20)=7,BJ20+2,BJ20)))</f>
        <v>44473</v>
      </c>
      <c r="BL20" s="405">
        <f>BK20+IF(WEEKDAY(BK20)=1,1,IF(WEEKDAY(BK20)=7,2,0))+COUNTIF(ClosedDays!$B$4:$B$32,IF(WEEKDAY(BK20)=1,BK20+1,IF(WEEKDAY(BK20)=7,BK20+2,BK20)))+COUNTIF(ClosedDays!$F$4:$F$32,IF(WEEKDAY(BK20)=1,BK20+1,IF(WEEKDAY(BK20)=7,BK20+2,BK20)))+COUNTIF(ClosedDays!$J$4:$J$32,IF(WEEKDAY(BK20)=1,BK20+1,IF(WEEKDAY(BK20)=7,BK20+2,BK20)))+COUNTIF(ClosedDays!$N$4:$N$32,IF(WEEKDAY(BK20)=1,BK20+1,IF(WEEKDAY(BK20)=7,BK20+2,BK20)))</f>
        <v>44473</v>
      </c>
      <c r="BM20" s="405">
        <f>BL20+IF(WEEKDAY(BL20)=1,1,IF(WEEKDAY(BL20)=7,2,0))+COUNTIF(ClosedDays!$B$4:$B$32,IF(WEEKDAY(BL20)=1,BL20+1,IF(WEEKDAY(BL20)=7,BL20+2,BL20)))+COUNTIF(ClosedDays!$F$4:$F$32,IF(WEEKDAY(BL20)=1,BL20+1,IF(WEEKDAY(BL20)=7,BL20+2,BL20)))+COUNTIF(ClosedDays!$J$4:$J$32,IF(WEEKDAY(BL20)=1,BL20+1,IF(WEEKDAY(BL20)=7,BL20+2,BL20)))+COUNTIF(ClosedDays!$N$4:$N$32,IF(WEEKDAY(BL20)=1,BL20+1,IF(WEEKDAY(BL20)=7,BL20+2,BL20)))</f>
        <v>44473</v>
      </c>
      <c r="BN20" s="405">
        <f>BM20+IF(WEEKDAY(BM20)=1,1,IF(WEEKDAY(BM20)=7,2,0))+COUNTIF(ClosedDays!$B$4:$B$32,IF(WEEKDAY(BM20)=1,BM20+1,IF(WEEKDAY(BM20)=7,BM20+2,BM20)))+COUNTIF(ClosedDays!$F$4:$F$32,IF(WEEKDAY(BM20)=1,BM20+1,IF(WEEKDAY(BM20)=7,BM20+2,BM20)))+COUNTIF(ClosedDays!$J$4:$J$32,IF(WEEKDAY(BM20)=1,BM20+1,IF(WEEKDAY(BM20)=7,BM20+2,BM20)))+COUNTIF(ClosedDays!$N$4:$N$32,IF(WEEKDAY(BM20)=1,BM20+1,IF(WEEKDAY(BM20)=7,BM20+2,BM20)))</f>
        <v>44473</v>
      </c>
      <c r="BO20" s="405">
        <f>BN20+IF(WEEKDAY(BN20)=1,1,IF(WEEKDAY(BN20)=7,2,0))+COUNTIF(ClosedDays!$B$4:$B$32,IF(WEEKDAY(BN20)=1,BN20+1,IF(WEEKDAY(BN20)=7,BN20+2,BN20)))+COUNTIF(ClosedDays!$F$4:$F$32,IF(WEEKDAY(BN20)=1,BN20+1,IF(WEEKDAY(BN20)=7,BN20+2,BN20)))+COUNTIF(ClosedDays!$J$4:$J$32,IF(WEEKDAY(BN20)=1,BN20+1,IF(WEEKDAY(BN20)=7,BN20+2,BN20)))+COUNTIF(ClosedDays!$N$4:$N$32,IF(WEEKDAY(BN20)=1,BN20+1,IF(WEEKDAY(BN20)=7,BN20+2,BN20)))</f>
        <v>44473</v>
      </c>
      <c r="BP20" s="405">
        <f>BO20+IF(WEEKDAY(BO20)=1,1,IF(WEEKDAY(BO20)=7,2,0))+COUNTIF(ClosedDays!$B$4:$B$32,IF(WEEKDAY(BO20)=1,BO20+1,IF(WEEKDAY(BO20)=7,BO20+2,BO20)))+COUNTIF(ClosedDays!$F$4:$F$32,IF(WEEKDAY(BO20)=1,BO20+1,IF(WEEKDAY(BO20)=7,BO20+2,BO20)))+COUNTIF(ClosedDays!$J$4:$J$32,IF(WEEKDAY(BO20)=1,BO20+1,IF(WEEKDAY(BO20)=7,BO20+2,BO20)))+COUNTIF(ClosedDays!$N$4:$N$32,IF(WEEKDAY(BO20)=1,BO20+1,IF(WEEKDAY(BO20)=7,BO20+2,BO20)))</f>
        <v>44473</v>
      </c>
      <c r="BQ20" s="405">
        <f t="shared" si="16"/>
        <v>44473</v>
      </c>
      <c r="BR20" s="446">
        <f>IF(AND($D20&lt;='Outline Info'!$H$31,BQ20&gt;='Outline Info'!$H$31,$BS$4=1,$AC20&gt;10,$AC20&lt;9997),1,0)</f>
        <v>0</v>
      </c>
      <c r="BS20" s="405">
        <f>IF(BR20=1,BQ20+'Outline Info'!$I$31-'Outline Info'!$H$31+1,BQ20)</f>
        <v>44473</v>
      </c>
      <c r="BT20" s="405">
        <f>BS20+IF(WEEKDAY(BS20)=1,1,IF(WEEKDAY(BS20)=7,2,0))+COUNTIF(ClosedDays!$B$4:$B$32,IF(WEEKDAY(BS20)=1,BS20+1,IF(WEEKDAY(BS20)=7,BS20+2,BS20)))+COUNTIF(ClosedDays!$F$4:$F$32,IF(WEEKDAY(BS20)=1,BS20+1,IF(WEEKDAY(BS20)=7,BS20+2,BS20)))+COUNTIF(ClosedDays!$J$4:$J$32,IF(WEEKDAY(BS20)=1,BS20+1,IF(WEEKDAY(BS20)=7,BS20+2,BS20)))+COUNTIF(ClosedDays!$N$4:$N$32,IF(WEEKDAY(BS20)=1,BS20+1,IF(WEEKDAY(BS20)=7,BS20+2,BS20)))</f>
        <v>44473</v>
      </c>
      <c r="BU20" s="405">
        <f>BT20+IF(WEEKDAY(BT20)=1,1,IF(WEEKDAY(BT20)=7,2,0))+COUNTIF(ClosedDays!$B$4:$B$32,IF(WEEKDAY(BT20)=1,BT20+1,IF(WEEKDAY(BT20)=7,BT20+2,BT20)))+COUNTIF(ClosedDays!$F$4:$F$32,IF(WEEKDAY(BT20)=1,BT20+1,IF(WEEKDAY(BT20)=7,BT20+2,BT20)))+COUNTIF(ClosedDays!$J$4:$J$32,IF(WEEKDAY(BT20)=1,BT20+1,IF(WEEKDAY(BT20)=7,BT20+2,BT20)))+COUNTIF(ClosedDays!$N$4:$N$32,IF(WEEKDAY(BT20)=1,BT20+1,IF(WEEKDAY(BT20)=7,BT20+2,BT20)))</f>
        <v>44473</v>
      </c>
      <c r="BV20" s="405">
        <f>BU20+IF(WEEKDAY(BU20)=1,1,IF(WEEKDAY(BU20)=7,2,0))+COUNTIF(ClosedDays!$B$4:$B$32,IF(WEEKDAY(BU20)=1,BU20+1,IF(WEEKDAY(BU20)=7,BU20+2,BU20)))+COUNTIF(ClosedDays!$F$4:$F$32,IF(WEEKDAY(BU20)=1,BU20+1,IF(WEEKDAY(BU20)=7,BU20+2,BU20)))+COUNTIF(ClosedDays!$J$4:$J$32,IF(WEEKDAY(BU20)=1,BU20+1,IF(WEEKDAY(BU20)=7,BU20+2,BU20)))+COUNTIF(ClosedDays!$N$4:$N$32,IF(WEEKDAY(BU20)=1,BU20+1,IF(WEEKDAY(BU20)=7,BU20+2,BU20)))</f>
        <v>44473</v>
      </c>
      <c r="BW20" s="405">
        <f>BV20+IF(WEEKDAY(BV20)=1,1,IF(WEEKDAY(BV20)=7,2,0))+COUNTIF(ClosedDays!$B$4:$B$32,IF(WEEKDAY(BV20)=1,BV20+1,IF(WEEKDAY(BV20)=7,BV20+2,BV20)))+COUNTIF(ClosedDays!$F$4:$F$32,IF(WEEKDAY(BV20)=1,BV20+1,IF(WEEKDAY(BV20)=7,BV20+2,BV20)))+COUNTIF(ClosedDays!$J$4:$J$32,IF(WEEKDAY(BV20)=1,BV20+1,IF(WEEKDAY(BV20)=7,BV20+2,BV20)))+COUNTIF(ClosedDays!$N$4:$N$32,IF(WEEKDAY(BV20)=1,BV20+1,IF(WEEKDAY(BV20)=7,BV20+2,BV20)))</f>
        <v>44473</v>
      </c>
      <c r="BX20" s="405">
        <f>BW20+IF(WEEKDAY(BW20)=1,1,IF(WEEKDAY(BW20)=7,2,0))+COUNTIF(ClosedDays!$B$4:$B$32,IF(WEEKDAY(BW20)=1,BW20+1,IF(WEEKDAY(BW20)=7,BW20+2,BW20)))+COUNTIF(ClosedDays!$F$4:$F$32,IF(WEEKDAY(BW20)=1,BW20+1,IF(WEEKDAY(BW20)=7,BW20+2,BW20)))+COUNTIF(ClosedDays!$J$4:$J$32,IF(WEEKDAY(BW20)=1,BW20+1,IF(WEEKDAY(BW20)=7,BW20+2,BW20)))+COUNTIF(ClosedDays!$N$4:$N$32,IF(WEEKDAY(BW20)=1,BW20+1,IF(WEEKDAY(BW20)=7,BW20+2,BW20)))</f>
        <v>44473</v>
      </c>
      <c r="BY20" s="405">
        <f>BX20+IF(WEEKDAY(BX20)=1,1,IF(WEEKDAY(BX20)=7,2,0))+COUNTIF(ClosedDays!$B$4:$B$32,IF(WEEKDAY(BX20)=1,BX20+1,IF(WEEKDAY(BX20)=7,BX20+2,BX20)))+COUNTIF(ClosedDays!$F$4:$F$32,IF(WEEKDAY(BX20)=1,BX20+1,IF(WEEKDAY(BX20)=7,BX20+2,BX20)))+COUNTIF(ClosedDays!$J$4:$J$32,IF(WEEKDAY(BX20)=1,BX20+1,IF(WEEKDAY(BX20)=7,BX20+2,BX20)))+COUNTIF(ClosedDays!$N$4:$N$32,IF(WEEKDAY(BX20)=1,BX20+1,IF(WEEKDAY(BX20)=7,BX20+2,BX20)))</f>
        <v>44473</v>
      </c>
      <c r="BZ20" s="405">
        <f>BY20+IF(WEEKDAY(BY20)=1,1,IF(WEEKDAY(BY20)=7,2,0))+COUNTIF(ClosedDays!$B$4:$B$32,IF(WEEKDAY(BY20)=1,BY20+1,IF(WEEKDAY(BY20)=7,BY20+2,BY20)))+COUNTIF(ClosedDays!$F$4:$F$32,IF(WEEKDAY(BY20)=1,BY20+1,IF(WEEKDAY(BY20)=7,BY20+2,BY20)))+COUNTIF(ClosedDays!$J$4:$J$32,IF(WEEKDAY(BY20)=1,BY20+1,IF(WEEKDAY(BY20)=7,BY20+2,BY20)))+COUNTIF(ClosedDays!$N$4:$N$32,IF(WEEKDAY(BY20)=1,BY20+1,IF(WEEKDAY(BY20)=7,BY20+2,BY20)))</f>
        <v>44473</v>
      </c>
      <c r="CA20" s="405">
        <f>BZ20+IF(WEEKDAY(BZ20)=1,1,IF(WEEKDAY(BZ20)=7,2,0))+COUNTIF(ClosedDays!$B$4:$B$32,IF(WEEKDAY(BZ20)=1,BZ20+1,IF(WEEKDAY(BZ20)=7,BZ20+2,BZ20)))+COUNTIF(ClosedDays!$F$4:$F$32,IF(WEEKDAY(BZ20)=1,BZ20+1,IF(WEEKDAY(BZ20)=7,BZ20+2,BZ20)))+COUNTIF(ClosedDays!$J$4:$J$32,IF(WEEKDAY(BZ20)=1,BZ20+1,IF(WEEKDAY(BZ20)=7,BZ20+2,BZ20)))+COUNTIF(ClosedDays!$N$4:$N$32,IF(WEEKDAY(BZ20)=1,BZ20+1,IF(WEEKDAY(BZ20)=7,BZ20+2,BZ20)))</f>
        <v>44473</v>
      </c>
      <c r="CB20" s="405">
        <f>CA20+IF(WEEKDAY(CA20)=1,1,IF(WEEKDAY(CA20)=7,2,0))+COUNTIF(ClosedDays!$B$4:$B$32,IF(WEEKDAY(CA20)=1,CA20+1,IF(WEEKDAY(CA20)=7,CA20+2,CA20)))+COUNTIF(ClosedDays!$F$4:$F$32,IF(WEEKDAY(CA20)=1,CA20+1,IF(WEEKDAY(CA20)=7,CA20+2,CA20)))+COUNTIF(ClosedDays!$J$4:$J$32,IF(WEEKDAY(CA20)=1,CA20+1,IF(WEEKDAY(CA20)=7,CA20+2,CA20)))+COUNTIF(ClosedDays!$N$4:$N$32,IF(WEEKDAY(CA20)=1,CA20+1,IF(WEEKDAY(CA20)=7,CA20+2,CA20)))</f>
        <v>44473</v>
      </c>
      <c r="CC20" s="405">
        <f>CB20+IF(WEEKDAY(CB20)=1,1,IF(WEEKDAY(CB20)=7,2,0))+COUNTIF(ClosedDays!$B$4:$B$32,IF(WEEKDAY(CB20)=1,CB20+1,IF(WEEKDAY(CB20)=7,CB20+2,CB20)))+COUNTIF(ClosedDays!$F$4:$F$32,IF(WEEKDAY(CB20)=1,CB20+1,IF(WEEKDAY(CB20)=7,CB20+2,CB20)))+COUNTIF(ClosedDays!$J$4:$J$32,IF(WEEKDAY(CB20)=1,CB20+1,IF(WEEKDAY(CB20)=7,CB20+2,CB20)))+COUNTIF(ClosedDays!$N$4:$N$32,IF(WEEKDAY(CB20)=1,CB20+1,IF(WEEKDAY(CB20)=7,CB20+2,CB20)))</f>
        <v>44473</v>
      </c>
      <c r="CD20" s="405">
        <f>CC20+IF(WEEKDAY(CC20)=1,1,IF(WEEKDAY(CC20)=7,2,0))+COUNTIF(ClosedDays!$B$4:$B$32,IF(WEEKDAY(CC20)=1,CC20+1,IF(WEEKDAY(CC20)=7,CC20+2,CC20)))+COUNTIF(ClosedDays!$F$4:$F$32,IF(WEEKDAY(CC20)=1,CC20+1,IF(WEEKDAY(CC20)=7,CC20+2,CC20)))+COUNTIF(ClosedDays!$J$4:$J$32,IF(WEEKDAY(CC20)=1,CC20+1,IF(WEEKDAY(CC20)=7,CC20+2,CC20)))+COUNTIF(ClosedDays!$N$4:$N$32,IF(WEEKDAY(CC20)=1,CC20+1,IF(WEEKDAY(CC20)=7,CC20+2,CC20)))</f>
        <v>44473</v>
      </c>
      <c r="CE20" s="405">
        <f>CD20+IF(WEEKDAY(CD20)=1,1,IF(WEEKDAY(CD20)=7,2,0))+COUNTIF(ClosedDays!$B$4:$B$32,IF(WEEKDAY(CD20)=1,CD20+1,IF(WEEKDAY(CD20)=7,CD20+2,CD20)))+COUNTIF(ClosedDays!$F$4:$F$32,IF(WEEKDAY(CD20)=1,CD20+1,IF(WEEKDAY(CD20)=7,CD20+2,CD20)))+COUNTIF(ClosedDays!$J$4:$J$32,IF(WEEKDAY(CD20)=1,CD20+1,IF(WEEKDAY(CD20)=7,CD20+2,CD20)))+COUNTIF(ClosedDays!$N$4:$N$32,IF(WEEKDAY(CD20)=1,CD20+1,IF(WEEKDAY(CD20)=7,CD20+2,CD20)))</f>
        <v>44473</v>
      </c>
      <c r="CF20" s="405">
        <f>CE20+IF(WEEKDAY(CE20)=1,1,IF(WEEKDAY(CE20)=7,2,0))+COUNTIF(ClosedDays!$B$4:$B$32,IF(WEEKDAY(CE20)=1,CE20+1,IF(WEEKDAY(CE20)=7,CE20+2,CE20)))+COUNTIF(ClosedDays!$F$4:$F$32,IF(WEEKDAY(CE20)=1,CE20+1,IF(WEEKDAY(CE20)=7,CE20+2,CE20)))+COUNTIF(ClosedDays!$J$4:$J$32,IF(WEEKDAY(CE20)=1,CE20+1,IF(WEEKDAY(CE20)=7,CE20+2,CE20)))+COUNTIF(ClosedDays!$N$4:$N$32,IF(WEEKDAY(CE20)=1,CE20+1,IF(WEEKDAY(CE20)=7,CE20+2,CE20)))</f>
        <v>44473</v>
      </c>
      <c r="CG20" s="405">
        <f>CF20+IF(WEEKDAY(CF20)=1,1,IF(WEEKDAY(CF20)=7,2,0))+COUNTIF(ClosedDays!$B$4:$B$32,IF(WEEKDAY(CF20)=1,CF20+1,IF(WEEKDAY(CF20)=7,CF20+2,CF20)))+COUNTIF(ClosedDays!$F$4:$F$32,IF(WEEKDAY(CF20)=1,CF20+1,IF(WEEKDAY(CF20)=7,CF20+2,CF20)))+COUNTIF(ClosedDays!$J$4:$J$32,IF(WEEKDAY(CF20)=1,CF20+1,IF(WEEKDAY(CF20)=7,CF20+2,CF20)))+COUNTIF(ClosedDays!$N$4:$N$32,IF(WEEKDAY(CF20)=1,CF20+1,IF(WEEKDAY(CF20)=7,CF20+2,CF20)))</f>
        <v>44473</v>
      </c>
      <c r="CH20" s="405">
        <f t="shared" si="17"/>
        <v>44473</v>
      </c>
      <c r="CI20" s="446">
        <f>IF(AND($D20&lt;='Outline Info'!$H$33,CH20&gt;='Outline Info'!$H$33,$CJ$4=1,$AC20&gt;10,$AC20&lt;9997),1,0)</f>
        <v>0</v>
      </c>
      <c r="CJ20" s="405">
        <f>IF(CI20=1,CH20+'Outline Info'!$I$33-'Outline Info'!$H$33+1,CH20)</f>
        <v>44473</v>
      </c>
      <c r="CK20" s="405">
        <f>CJ20+IF(WEEKDAY(CJ20)=1,1,IF(WEEKDAY(CJ20)=7,2,0))+COUNTIF(ClosedDays!$B$4:$B$32,IF(WEEKDAY(CJ20)=1,CJ20+1,IF(WEEKDAY(CJ20)=7,CJ20+2,CJ20)))+COUNTIF(ClosedDays!$F$4:$F$32,IF(WEEKDAY(CJ20)=1,CJ20+1,IF(WEEKDAY(CJ20)=7,CJ20+2,CJ20)))+COUNTIF(ClosedDays!$J$4:$J$32,IF(WEEKDAY(CJ20)=1,CJ20+1,IF(WEEKDAY(CJ20)=7,CJ20+2,CJ20)))+COUNTIF(ClosedDays!$N$4:$N$32,IF(WEEKDAY(CJ20)=1,CJ20+1,IF(WEEKDAY(CJ20)=7,CJ20+2,CJ20)))</f>
        <v>44473</v>
      </c>
      <c r="CL20" s="405">
        <f>CK20+IF(WEEKDAY(CK20)=1,1,IF(WEEKDAY(CK20)=7,2,0))+COUNTIF(ClosedDays!$B$4:$B$32,IF(WEEKDAY(CK20)=1,CK20+1,IF(WEEKDAY(CK20)=7,CK20+2,CK20)))+COUNTIF(ClosedDays!$F$4:$F$32,IF(WEEKDAY(CK20)=1,CK20+1,IF(WEEKDAY(CK20)=7,CK20+2,CK20)))+COUNTIF(ClosedDays!$J$4:$J$32,IF(WEEKDAY(CK20)=1,CK20+1,IF(WEEKDAY(CK20)=7,CK20+2,CK20)))+COUNTIF(ClosedDays!$N$4:$N$32,IF(WEEKDAY(CK20)=1,CK20+1,IF(WEEKDAY(CK20)=7,CK20+2,CK20)))</f>
        <v>44473</v>
      </c>
      <c r="CM20" s="405">
        <f>CL20+IF(WEEKDAY(CL20)=1,1,IF(WEEKDAY(CL20)=7,2,0))+COUNTIF(ClosedDays!$B$4:$B$32,IF(WEEKDAY(CL20)=1,CL20+1,IF(WEEKDAY(CL20)=7,CL20+2,CL20)))+COUNTIF(ClosedDays!$F$4:$F$32,IF(WEEKDAY(CL20)=1,CL20+1,IF(WEEKDAY(CL20)=7,CL20+2,CL20)))+COUNTIF(ClosedDays!$J$4:$J$32,IF(WEEKDAY(CL20)=1,CL20+1,IF(WEEKDAY(CL20)=7,CL20+2,CL20)))+COUNTIF(ClosedDays!$N$4:$N$32,IF(WEEKDAY(CL20)=1,CL20+1,IF(WEEKDAY(CL20)=7,CL20+2,CL20)))</f>
        <v>44473</v>
      </c>
      <c r="CN20" s="405">
        <f>CM20+IF(WEEKDAY(CM20)=1,1,IF(WEEKDAY(CM20)=7,2,0))+COUNTIF(ClosedDays!$B$4:$B$32,IF(WEEKDAY(CM20)=1,CM20+1,IF(WEEKDAY(CM20)=7,CM20+2,CM20)))+COUNTIF(ClosedDays!$F$4:$F$32,IF(WEEKDAY(CM20)=1,CM20+1,IF(WEEKDAY(CM20)=7,CM20+2,CM20)))+COUNTIF(ClosedDays!$J$4:$J$32,IF(WEEKDAY(CM20)=1,CM20+1,IF(WEEKDAY(CM20)=7,CM20+2,CM20)))+COUNTIF(ClosedDays!$N$4:$N$32,IF(WEEKDAY(CM20)=1,CM20+1,IF(WEEKDAY(CM20)=7,CM20+2,CM20)))</f>
        <v>44473</v>
      </c>
      <c r="CO20" s="405">
        <f>CN20+IF(WEEKDAY(CN20)=1,1,IF(WEEKDAY(CN20)=7,2,0))+COUNTIF(ClosedDays!$B$4:$B$32,IF(WEEKDAY(CN20)=1,CN20+1,IF(WEEKDAY(CN20)=7,CN20+2,CN20)))+COUNTIF(ClosedDays!$F$4:$F$32,IF(WEEKDAY(CN20)=1,CN20+1,IF(WEEKDAY(CN20)=7,CN20+2,CN20)))+COUNTIF(ClosedDays!$J$4:$J$32,IF(WEEKDAY(CN20)=1,CN20+1,IF(WEEKDAY(CN20)=7,CN20+2,CN20)))+COUNTIF(ClosedDays!$N$4:$N$32,IF(WEEKDAY(CN20)=1,CN20+1,IF(WEEKDAY(CN20)=7,CN20+2,CN20)))</f>
        <v>44473</v>
      </c>
      <c r="CP20" s="405">
        <f>CO20+IF(WEEKDAY(CO20)=1,1,IF(WEEKDAY(CO20)=7,2,0))+COUNTIF(ClosedDays!$B$4:$B$32,IF(WEEKDAY(CO20)=1,CO20+1,IF(WEEKDAY(CO20)=7,CO20+2,CO20)))+COUNTIF(ClosedDays!$F$4:$F$32,IF(WEEKDAY(CO20)=1,CO20+1,IF(WEEKDAY(CO20)=7,CO20+2,CO20)))+COUNTIF(ClosedDays!$J$4:$J$32,IF(WEEKDAY(CO20)=1,CO20+1,IF(WEEKDAY(CO20)=7,CO20+2,CO20)))+COUNTIF(ClosedDays!$N$4:$N$32,IF(WEEKDAY(CO20)=1,CO20+1,IF(WEEKDAY(CO20)=7,CO20+2,CO20)))</f>
        <v>44473</v>
      </c>
      <c r="CQ20" s="405">
        <f>CP20+IF(WEEKDAY(CP20)=1,1,IF(WEEKDAY(CP20)=7,2,0))+COUNTIF(ClosedDays!$B$4:$B$32,IF(WEEKDAY(CP20)=1,CP20+1,IF(WEEKDAY(CP20)=7,CP20+2,CP20)))+COUNTIF(ClosedDays!$F$4:$F$32,IF(WEEKDAY(CP20)=1,CP20+1,IF(WEEKDAY(CP20)=7,CP20+2,CP20)))+COUNTIF(ClosedDays!$J$4:$J$32,IF(WEEKDAY(CP20)=1,CP20+1,IF(WEEKDAY(CP20)=7,CP20+2,CP20)))+COUNTIF(ClosedDays!$N$4:$N$32,IF(WEEKDAY(CP20)=1,CP20+1,IF(WEEKDAY(CP20)=7,CP20+2,CP20)))</f>
        <v>44473</v>
      </c>
      <c r="CR20" s="405">
        <f>CQ20+IF(WEEKDAY(CQ20)=1,1,IF(WEEKDAY(CQ20)=7,2,0))+COUNTIF(ClosedDays!$B$4:$B$32,IF(WEEKDAY(CQ20)=1,CQ20+1,IF(WEEKDAY(CQ20)=7,CQ20+2,CQ20)))+COUNTIF(ClosedDays!$F$4:$F$32,IF(WEEKDAY(CQ20)=1,CQ20+1,IF(WEEKDAY(CQ20)=7,CQ20+2,CQ20)))+COUNTIF(ClosedDays!$J$4:$J$32,IF(WEEKDAY(CQ20)=1,CQ20+1,IF(WEEKDAY(CQ20)=7,CQ20+2,CQ20)))+COUNTIF(ClosedDays!$N$4:$N$32,IF(WEEKDAY(CQ20)=1,CQ20+1,IF(WEEKDAY(CQ20)=7,CQ20+2,CQ20)))</f>
        <v>44473</v>
      </c>
      <c r="CS20" s="405">
        <f>CR20+IF(WEEKDAY(CR20)=1,1,IF(WEEKDAY(CR20)=7,2,0))+COUNTIF(ClosedDays!$B$4:$B$32,IF(WEEKDAY(CR20)=1,CR20+1,IF(WEEKDAY(CR20)=7,CR20+2,CR20)))+COUNTIF(ClosedDays!$F$4:$F$32,IF(WEEKDAY(CR20)=1,CR20+1,IF(WEEKDAY(CR20)=7,CR20+2,CR20)))+COUNTIF(ClosedDays!$J$4:$J$32,IF(WEEKDAY(CR20)=1,CR20+1,IF(WEEKDAY(CR20)=7,CR20+2,CR20)))+COUNTIF(ClosedDays!$N$4:$N$32,IF(WEEKDAY(CR20)=1,CR20+1,IF(WEEKDAY(CR20)=7,CR20+2,CR20)))</f>
        <v>44473</v>
      </c>
      <c r="CT20" s="405">
        <f>CS20+IF(WEEKDAY(CS20)=1,1,IF(WEEKDAY(CS20)=7,2,0))+COUNTIF(ClosedDays!$B$4:$B$32,IF(WEEKDAY(CS20)=1,CS20+1,IF(WEEKDAY(CS20)=7,CS20+2,CS20)))+COUNTIF(ClosedDays!$F$4:$F$32,IF(WEEKDAY(CS20)=1,CS20+1,IF(WEEKDAY(CS20)=7,CS20+2,CS20)))+COUNTIF(ClosedDays!$J$4:$J$32,IF(WEEKDAY(CS20)=1,CS20+1,IF(WEEKDAY(CS20)=7,CS20+2,CS20)))+COUNTIF(ClosedDays!$N$4:$N$32,IF(WEEKDAY(CS20)=1,CS20+1,IF(WEEKDAY(CS20)=7,CS20+2,CS20)))</f>
        <v>44473</v>
      </c>
      <c r="CU20" s="405">
        <f>CT20+IF(WEEKDAY(CT20)=1,1,IF(WEEKDAY(CT20)=7,2,0))+COUNTIF(ClosedDays!$B$4:$B$32,IF(WEEKDAY(CT20)=1,CT20+1,IF(WEEKDAY(CT20)=7,CT20+2,CT20)))+COUNTIF(ClosedDays!$F$4:$F$32,IF(WEEKDAY(CT20)=1,CT20+1,IF(WEEKDAY(CT20)=7,CT20+2,CT20)))+COUNTIF(ClosedDays!$J$4:$J$32,IF(WEEKDAY(CT20)=1,CT20+1,IF(WEEKDAY(CT20)=7,CT20+2,CT20)))+COUNTIF(ClosedDays!$N$4:$N$32,IF(WEEKDAY(CT20)=1,CT20+1,IF(WEEKDAY(CT20)=7,CT20+2,CT20)))</f>
        <v>44473</v>
      </c>
      <c r="CV20" s="405">
        <f>CU20+IF(WEEKDAY(CU20)=1,1,IF(WEEKDAY(CU20)=7,2,0))+COUNTIF(ClosedDays!$B$4:$B$32,IF(WEEKDAY(CU20)=1,CU20+1,IF(WEEKDAY(CU20)=7,CU20+2,CU20)))+COUNTIF(ClosedDays!$F$4:$F$32,IF(WEEKDAY(CU20)=1,CU20+1,IF(WEEKDAY(CU20)=7,CU20+2,CU20)))+COUNTIF(ClosedDays!$J$4:$J$32,IF(WEEKDAY(CU20)=1,CU20+1,IF(WEEKDAY(CU20)=7,CU20+2,CU20)))+COUNTIF(ClosedDays!$N$4:$N$32,IF(WEEKDAY(CU20)=1,CU20+1,IF(WEEKDAY(CU20)=7,CU20+2,CU20)))</f>
        <v>44473</v>
      </c>
      <c r="CW20" s="405">
        <f>CV20+IF(WEEKDAY(CV20)=1,1,IF(WEEKDAY(CV20)=7,2,0))+COUNTIF(ClosedDays!$B$4:$B$32,IF(WEEKDAY(CV20)=1,CV20+1,IF(WEEKDAY(CV20)=7,CV20+2,CV20)))+COUNTIF(ClosedDays!$F$4:$F$32,IF(WEEKDAY(CV20)=1,CV20+1,IF(WEEKDAY(CV20)=7,CV20+2,CV20)))+COUNTIF(ClosedDays!$J$4:$J$32,IF(WEEKDAY(CV20)=1,CV20+1,IF(WEEKDAY(CV20)=7,CV20+2,CV20)))+COUNTIF(ClosedDays!$N$4:$N$32,IF(WEEKDAY(CV20)=1,CV20+1,IF(WEEKDAY(CV20)=7,CV20+2,CV20)))</f>
        <v>44473</v>
      </c>
      <c r="CX20" s="405">
        <f>CW20+IF(WEEKDAY(CW20)=1,1,IF(WEEKDAY(CW20)=7,2,0))+COUNTIF(ClosedDays!$B$4:$B$32,IF(WEEKDAY(CW20)=1,CW20+1,IF(WEEKDAY(CW20)=7,CW20+2,CW20)))+COUNTIF(ClosedDays!$F$4:$F$32,IF(WEEKDAY(CW20)=1,CW20+1,IF(WEEKDAY(CW20)=7,CW20+2,CW20)))+COUNTIF(ClosedDays!$J$4:$J$32,IF(WEEKDAY(CW20)=1,CW20+1,IF(WEEKDAY(CW20)=7,CW20+2,CW20)))+COUNTIF(ClosedDays!$N$4:$N$32,IF(WEEKDAY(CW20)=1,CW20+1,IF(WEEKDAY(CW20)=7,CW20+2,CW20)))</f>
        <v>44473</v>
      </c>
      <c r="CY20" s="405">
        <f t="shared" si="18"/>
        <v>44473</v>
      </c>
      <c r="CZ20" s="446">
        <f>IF(AND($D20&lt;='Outline Info'!$E$33,CY20&gt;='Outline Info'!$E$33,$AC20&gt;10,$AC20&lt;9997),1,0)</f>
        <v>0</v>
      </c>
      <c r="DA20" s="405">
        <f>IF(AND($D20&lt;='Outline Info'!$E$33,CY20&gt;='Outline Info'!$E$33),CY20+'Outline Info'!$F$33-'Outline Info'!$E$33+1,CY20)</f>
        <v>44473</v>
      </c>
      <c r="DB20" s="405">
        <f>DA20+IF(WEEKDAY(DA20)=1,1,IF(WEEKDAY(DA20)=7,2,0))+COUNTIF(ClosedDays!$B$4:$B$32,IF(WEEKDAY(DA20)=1,DA20+1,IF(WEEKDAY(DA20)=7,DA20+2,DA20)))+COUNTIF(ClosedDays!$F$4:$F$32,IF(WEEKDAY(DA20)=1,DA20+1,IF(WEEKDAY(DA20)=7,DA20+2,DA20)))+COUNTIF(ClosedDays!$J$4:$J$32,IF(WEEKDAY(DA20)=1,DA20+1,IF(WEEKDAY(DA20)=7,DA20+2,DA20)))+COUNTIF(ClosedDays!$N$4:$N$32,IF(WEEKDAY(DA20)=1,DA20+1,IF(WEEKDAY(DA20)=7,DA20+2,DA20)))</f>
        <v>44473</v>
      </c>
      <c r="DC20" s="405">
        <f>DB20+IF(WEEKDAY(DB20)=1,1,IF(WEEKDAY(DB20)=7,2,0))+COUNTIF(ClosedDays!$B$4:$B$32,IF(WEEKDAY(DB20)=1,DB20+1,IF(WEEKDAY(DB20)=7,DB20+2,DB20)))+COUNTIF(ClosedDays!$F$4:$F$32,IF(WEEKDAY(DB20)=1,DB20+1,IF(WEEKDAY(DB20)=7,DB20+2,DB20)))+COUNTIF(ClosedDays!$J$4:$J$32,IF(WEEKDAY(DB20)=1,DB20+1,IF(WEEKDAY(DB20)=7,DB20+2,DB20)))+COUNTIF(ClosedDays!$N$4:$N$32,IF(WEEKDAY(DB20)=1,DB20+1,IF(WEEKDAY(DB20)=7,DB20+2,DB20)))</f>
        <v>44473</v>
      </c>
      <c r="DD20" s="405">
        <f>DC20+IF(WEEKDAY(DC20)=1,1,IF(WEEKDAY(DC20)=7,2,0))+COUNTIF(ClosedDays!$B$4:$B$32,IF(WEEKDAY(DC20)=1,DC20+1,IF(WEEKDAY(DC20)=7,DC20+2,DC20)))+COUNTIF(ClosedDays!$F$4:$F$32,IF(WEEKDAY(DC20)=1,DC20+1,IF(WEEKDAY(DC20)=7,DC20+2,DC20)))+COUNTIF(ClosedDays!$J$4:$J$32,IF(WEEKDAY(DC20)=1,DC20+1,IF(WEEKDAY(DC20)=7,DC20+2,DC20)))+COUNTIF(ClosedDays!$N$4:$N$32,IF(WEEKDAY(DC20)=1,DC20+1,IF(WEEKDAY(DC20)=7,DC20+2,DC20)))</f>
        <v>44473</v>
      </c>
      <c r="DE20" s="405">
        <f>DD20+IF(WEEKDAY(DD20)=1,1,IF(WEEKDAY(DD20)=7,2,0))+COUNTIF(ClosedDays!$B$4:$B$32,IF(WEEKDAY(DD20)=1,DD20+1,IF(WEEKDAY(DD20)=7,DD20+2,DD20)))+COUNTIF(ClosedDays!$F$4:$F$32,IF(WEEKDAY(DD20)=1,DD20+1,IF(WEEKDAY(DD20)=7,DD20+2,DD20)))+COUNTIF(ClosedDays!$J$4:$J$32,IF(WEEKDAY(DD20)=1,DD20+1,IF(WEEKDAY(DD20)=7,DD20+2,DD20)))+COUNTIF(ClosedDays!$N$4:$N$32,IF(WEEKDAY(DD20)=1,DD20+1,IF(WEEKDAY(DD20)=7,DD20+2,DD20)))</f>
        <v>44473</v>
      </c>
      <c r="DF20" s="405">
        <f>DE20+IF(WEEKDAY(DE20)=1,1,IF(WEEKDAY(DE20)=7,2,0))+COUNTIF(ClosedDays!$B$4:$B$32,IF(WEEKDAY(DE20)=1,DE20+1,IF(WEEKDAY(DE20)=7,DE20+2,DE20)))+COUNTIF(ClosedDays!$F$4:$F$32,IF(WEEKDAY(DE20)=1,DE20+1,IF(WEEKDAY(DE20)=7,DE20+2,DE20)))+COUNTIF(ClosedDays!$J$4:$J$32,IF(WEEKDAY(DE20)=1,DE20+1,IF(WEEKDAY(DE20)=7,DE20+2,DE20)))+COUNTIF(ClosedDays!$N$4:$N$32,IF(WEEKDAY(DE20)=1,DE20+1,IF(WEEKDAY(DE20)=7,DE20+2,DE20)))</f>
        <v>44473</v>
      </c>
      <c r="DG20" s="405">
        <f>DF20+IF(WEEKDAY(DF20)=1,1,IF(WEEKDAY(DF20)=7,2,0))+COUNTIF(ClosedDays!$B$4:$B$32,IF(WEEKDAY(DF20)=1,DF20+1,IF(WEEKDAY(DF20)=7,DF20+2,DF20)))+COUNTIF(ClosedDays!$F$4:$F$32,IF(WEEKDAY(DF20)=1,DF20+1,IF(WEEKDAY(DF20)=7,DF20+2,DF20)))+COUNTIF(ClosedDays!$J$4:$J$32,IF(WEEKDAY(DF20)=1,DF20+1,IF(WEEKDAY(DF20)=7,DF20+2,DF20)))+COUNTIF(ClosedDays!$N$4:$N$32,IF(WEEKDAY(DF20)=1,DF20+1,IF(WEEKDAY(DF20)=7,DF20+2,DF20)))</f>
        <v>44473</v>
      </c>
      <c r="DH20" s="405">
        <f>DG20+IF(WEEKDAY(DG20)=1,1,IF(WEEKDAY(DG20)=7,2,0))+COUNTIF(ClosedDays!$B$4:$B$32,IF(WEEKDAY(DG20)=1,DG20+1,IF(WEEKDAY(DG20)=7,DG20+2,DG20)))+COUNTIF(ClosedDays!$F$4:$F$32,IF(WEEKDAY(DG20)=1,DG20+1,IF(WEEKDAY(DG20)=7,DG20+2,DG20)))+COUNTIF(ClosedDays!$J$4:$J$32,IF(WEEKDAY(DG20)=1,DG20+1,IF(WEEKDAY(DG20)=7,DG20+2,DG20)))+COUNTIF(ClosedDays!$N$4:$N$32,IF(WEEKDAY(DG20)=1,DG20+1,IF(WEEKDAY(DG20)=7,DG20+2,DG20)))</f>
        <v>44473</v>
      </c>
      <c r="DI20" s="405">
        <f>DH20+IF(WEEKDAY(DH20)=1,1,IF(WEEKDAY(DH20)=7,2,0))+COUNTIF(ClosedDays!$B$4:$B$32,IF(WEEKDAY(DH20)=1,DH20+1,IF(WEEKDAY(DH20)=7,DH20+2,DH20)))+COUNTIF(ClosedDays!$F$4:$F$32,IF(WEEKDAY(DH20)=1,DH20+1,IF(WEEKDAY(DH20)=7,DH20+2,DH20)))+COUNTIF(ClosedDays!$J$4:$J$32,IF(WEEKDAY(DH20)=1,DH20+1,IF(WEEKDAY(DH20)=7,DH20+2,DH20)))+COUNTIF(ClosedDays!$N$4:$N$32,IF(WEEKDAY(DH20)=1,DH20+1,IF(WEEKDAY(DH20)=7,DH20+2,DH20)))</f>
        <v>44473</v>
      </c>
      <c r="DJ20" s="405">
        <f>DI20+IF(WEEKDAY(DI20)=1,1,IF(WEEKDAY(DI20)=7,2,0))+COUNTIF(ClosedDays!$B$4:$B$32,IF(WEEKDAY(DI20)=1,DI20+1,IF(WEEKDAY(DI20)=7,DI20+2,DI20)))+COUNTIF(ClosedDays!$F$4:$F$32,IF(WEEKDAY(DI20)=1,DI20+1,IF(WEEKDAY(DI20)=7,DI20+2,DI20)))+COUNTIF(ClosedDays!$J$4:$J$32,IF(WEEKDAY(DI20)=1,DI20+1,IF(WEEKDAY(DI20)=7,DI20+2,DI20)))+COUNTIF(ClosedDays!$N$4:$N$32,IF(WEEKDAY(DI20)=1,DI20+1,IF(WEEKDAY(DI20)=7,DI20+2,DI20)))</f>
        <v>44473</v>
      </c>
      <c r="DK20" s="405">
        <f>DJ20+IF(WEEKDAY(DJ20)=1,1,IF(WEEKDAY(DJ20)=7,2,0))+COUNTIF(ClosedDays!$B$4:$B$32,IF(WEEKDAY(DJ20)=1,DJ20+1,IF(WEEKDAY(DJ20)=7,DJ20+2,DJ20)))+COUNTIF(ClosedDays!$F$4:$F$32,IF(WEEKDAY(DJ20)=1,DJ20+1,IF(WEEKDAY(DJ20)=7,DJ20+2,DJ20)))+COUNTIF(ClosedDays!$J$4:$J$32,IF(WEEKDAY(DJ20)=1,DJ20+1,IF(WEEKDAY(DJ20)=7,DJ20+2,DJ20)))+COUNTIF(ClosedDays!$N$4:$N$32,IF(WEEKDAY(DJ20)=1,DJ20+1,IF(WEEKDAY(DJ20)=7,DJ20+2,DJ20)))</f>
        <v>44473</v>
      </c>
      <c r="DL20" s="405">
        <f>DK20+IF(WEEKDAY(DK20)=1,1,IF(WEEKDAY(DK20)=7,2,0))+COUNTIF(ClosedDays!$B$4:$B$32,IF(WEEKDAY(DK20)=1,DK20+1,IF(WEEKDAY(DK20)=7,DK20+2,DK20)))+COUNTIF(ClosedDays!$F$4:$F$32,IF(WEEKDAY(DK20)=1,DK20+1,IF(WEEKDAY(DK20)=7,DK20+2,DK20)))+COUNTIF(ClosedDays!$J$4:$J$32,IF(WEEKDAY(DK20)=1,DK20+1,IF(WEEKDAY(DK20)=7,DK20+2,DK20)))+COUNTIF(ClosedDays!$N$4:$N$32,IF(WEEKDAY(DK20)=1,DK20+1,IF(WEEKDAY(DK20)=7,DK20+2,DK20)))</f>
        <v>44473</v>
      </c>
      <c r="DM20" s="405">
        <f>DL20+IF(WEEKDAY(DL20)=1,1,IF(WEEKDAY(DL20)=7,2,0))+COUNTIF(ClosedDays!$B$4:$B$32,IF(WEEKDAY(DL20)=1,DL20+1,IF(WEEKDAY(DL20)=7,DL20+2,DL20)))+COUNTIF(ClosedDays!$F$4:$F$32,IF(WEEKDAY(DL20)=1,DL20+1,IF(WEEKDAY(DL20)=7,DL20+2,DL20)))+COUNTIF(ClosedDays!$J$4:$J$32,IF(WEEKDAY(DL20)=1,DL20+1,IF(WEEKDAY(DL20)=7,DL20+2,DL20)))+COUNTIF(ClosedDays!$N$4:$N$32,IF(WEEKDAY(DL20)=1,DL20+1,IF(WEEKDAY(DL20)=7,DL20+2,DL20)))</f>
        <v>44473</v>
      </c>
      <c r="DN20" s="405">
        <f>DM20+IF(WEEKDAY(DM20)=1,1,IF(WEEKDAY(DM20)=7,2,0))+COUNTIF(ClosedDays!$B$4:$B$32,IF(WEEKDAY(DM20)=1,DM20+1,IF(WEEKDAY(DM20)=7,DM20+2,DM20)))+COUNTIF(ClosedDays!$F$4:$F$32,IF(WEEKDAY(DM20)=1,DM20+1,IF(WEEKDAY(DM20)=7,DM20+2,DM20)))+COUNTIF(ClosedDays!$J$4:$J$32,IF(WEEKDAY(DM20)=1,DM20+1,IF(WEEKDAY(DM20)=7,DM20+2,DM20)))+COUNTIF(ClosedDays!$N$4:$N$32,IF(WEEKDAY(DM20)=1,DM20+1,IF(WEEKDAY(DM20)=7,DM20+2,DM20)))</f>
        <v>44473</v>
      </c>
      <c r="DO20" s="405">
        <f>DN20+IF(WEEKDAY(DN20)=1,1,IF(WEEKDAY(DN20)=7,2,0))+COUNTIF(ClosedDays!$B$4:$B$32,IF(WEEKDAY(DN20)=1,DN20+1,IF(WEEKDAY(DN20)=7,DN20+2,DN20)))+COUNTIF(ClosedDays!$F$4:$F$32,IF(WEEKDAY(DN20)=1,DN20+1,IF(WEEKDAY(DN20)=7,DN20+2,DN20)))+COUNTIF(ClosedDays!$J$4:$J$32,IF(WEEKDAY(DN20)=1,DN20+1,IF(WEEKDAY(DN20)=7,DN20+2,DN20)))+COUNTIF(ClosedDays!$N$4:$N$32,IF(WEEKDAY(DN20)=1,DN20+1,IF(WEEKDAY(DN20)=7,DN20+2,DN20)))</f>
        <v>44473</v>
      </c>
      <c r="DP20" s="405">
        <f t="shared" si="5"/>
        <v>44473</v>
      </c>
      <c r="DQ20" s="405">
        <f t="shared" si="20"/>
        <v>44473</v>
      </c>
      <c r="DR20" s="394">
        <f t="shared" si="19"/>
        <v>1</v>
      </c>
      <c r="DS20" s="394">
        <f>IF(AND(DR20=1,COUNTIF(DS$7:DS19,1)&lt;12,VLOOKUP(COUNTIF(DS$7:DS19,1)+1,'Outline Info'!$A$21:$C$32,2)&lt;=I20),1,0)</f>
        <v>0</v>
      </c>
      <c r="DT20" s="405" t="str">
        <f>IF(DS20=1,IF(VLOOKUP(COUNTIF(DS$7:DS20,1),'Outline Info'!$A$21:$C$32,2)=0,"",VLOOKUP(COUNTIF(DS$7:DS20,1),'Outline Info'!$A$21:$C$32,2)),"")</f>
        <v/>
      </c>
      <c r="DU20" s="447">
        <f>IF(DS20=1,VLOOKUP(COUNTIF(DS$7:DS20,1),'Outline Info'!$A$21:$C$32,3),0)</f>
        <v>0</v>
      </c>
      <c r="DV20" s="445">
        <f>IF('Outline Info'!$B$8="Y",IF(B20="*",'Outline Info'!$B$19,IF(OR($A20="",B20="X",B20="x"),0,VLOOKUP($A20,'Course Table'!$A$2:$J$331,4,TRUE))),0)</f>
        <v>0</v>
      </c>
      <c r="DW20" s="447">
        <f t="shared" si="6"/>
        <v>0</v>
      </c>
      <c r="DX20" s="447">
        <f>IF('Outline Info'!$B$8="Y",$DV20,$DW20)</f>
        <v>0</v>
      </c>
      <c r="DY20" s="394"/>
      <c r="DZ20" s="934"/>
      <c r="EA20" s="934"/>
      <c r="EB20" s="394"/>
      <c r="EC20" s="394"/>
      <c r="ED20" s="394"/>
    </row>
    <row r="21" spans="1:134" s="400" customFormat="1" ht="20.100000000000001" customHeight="1">
      <c r="A21" s="874" t="str">
        <f t="shared" si="7"/>
        <v/>
      </c>
      <c r="B21" s="876" t="str">
        <f t="shared" si="8"/>
        <v/>
      </c>
      <c r="C21" s="878" t="str">
        <f t="shared" si="9"/>
        <v/>
      </c>
      <c r="D21" s="463">
        <f>IF(NOT(ISBLANK(DZ21)),DZ21,IF(AND($AC21=9998,'Outline Info'!$H$33&gt;='Outline Info'!$B$6,'Outline Info'!$H$33&lt;='Outline Info'!$C$6),'Outline Info'!$H$33,IF(AND($AC21=9997,'Outline Info'!$H$31&gt;='Outline Info'!$B$6,'Outline Info'!$H$31&lt;='Outline Info'!$C$6),'Outline Info'!$H$31,IF(AE21="*",DQ20,IF(OR(AE21="x",AE21="X"),I20,IF(AND(AC21&gt;6,AC20&lt;6),DQ20,IF(AND($AC21=9998,$AC20=9997),I19,I20)))))))</f>
        <v>44470</v>
      </c>
      <c r="E21" s="1286"/>
      <c r="F21" s="1287"/>
      <c r="G21" s="1282"/>
      <c r="H21" s="1283"/>
      <c r="I21" s="464">
        <f>IF(AND($AC21=9998,'Outline Info'!$I$33&gt;='Outline Info'!$B$6,'Outline Info'!$I$33&lt;='Outline Info'!$C$6),'Outline Info'!$I$33,IF(AND($AC21=9997,'Outline Info'!$I$31&gt;='Outline Info'!$B$6,'Outline Info'!$I$31&lt;='Outline Info'!$C$6),'Outline Info'!$I$31,IF(DP21&gt;$V$4,$V$4,DP21)))</f>
        <v>44470</v>
      </c>
      <c r="J21" s="436"/>
      <c r="K21" s="437"/>
      <c r="L21" s="438"/>
      <c r="M21" s="438"/>
      <c r="N21" s="435"/>
      <c r="O21" s="435"/>
      <c r="P21" s="438"/>
      <c r="Q21" s="438"/>
      <c r="R21" s="439"/>
      <c r="S21" s="872">
        <f>IF($V$5-SUM($DX$7:$DX21)&lt;0,IF($V$5-SUM($DX$7:$DX20)&lt;0,0,$V$5-SUM($DX$7:$DX20)),DX21)</f>
        <v>0</v>
      </c>
      <c r="T21" s="440" t="str">
        <f>IF(S21&gt;0,IF('Outline Info'!$B$8="Y",D21,DT21),"")</f>
        <v/>
      </c>
      <c r="U21" s="441"/>
      <c r="V21" s="442"/>
      <c r="W21" s="870" t="str">
        <f>IF('Outline Info'!$C$33&gt;0,ROUND(IF('Outline Info'!$B$8="Y",SUM(S$7:S21)-SUM(AJ$7:AJ21)-'Outline Info'!$B$14-'Outline Info'!$B$15-'Outline Info'!$B$17,IF(AL21=0,SUM(S$7:S21)-SUM(AK$7:AK21)-SUM(AP21:AS21)-'Outline Info'!$B$14-'Outline Info'!$B$15-'Outline Info'!$B$17,0)),0),IF('Outline Info'!$T$4&lt;&gt;1,"",IF(OR(AD21="",AL21=1),"",SUM(AK$7:AK21)+SUM(AP21:AS21)+'Outline Info'!$B$14+'Outline Info'!$B$15+'Outline Info'!$B$17)))</f>
        <v/>
      </c>
      <c r="X21" s="448"/>
      <c r="Y21" s="443">
        <f>IF(OR(AE21="X",AE21="x",AE21="*",AC21=99999),0,IF(AC21&lt;50,0,IF($S$4-SUM($Y$7:$Y20)&gt;0,1,0)))</f>
        <v>0</v>
      </c>
      <c r="Z21" s="444">
        <f>IF(AC21&lt;99999,IF(AE21="*",AH21,IF(OR(AE21="x",AE21="X",AC21&lt;10),0,IF(AND(AC21&lt;&gt;9998,AC21&lt;&gt;9997),IF(AM21=1,(AH21+$AM$5)*(1+('Outline Info'!$B$16)),IF(AN21=1,(AH21+$AN$5)*(1+('Outline Info'!$B$16)),0)),AH21))),0)</f>
        <v>0</v>
      </c>
      <c r="AA21" s="395">
        <f>Z21/'Outline Info'!$C$11+Y21</f>
        <v>0</v>
      </c>
      <c r="AB21" s="395">
        <f>ROUND(AA21/'Outline Info'!$B$11*7,0)</f>
        <v>0</v>
      </c>
      <c r="AC21" s="445">
        <f>IF($AD21&lt;&gt;"",VLOOKUP($AD21,'Course Table'!$A$2:$J$331,10,TRUE),99999)</f>
        <v>99999</v>
      </c>
      <c r="AD21" s="394"/>
      <c r="AE21" s="394"/>
      <c r="AF21" s="394"/>
      <c r="AG21" s="394"/>
      <c r="AH21" s="394"/>
      <c r="AI21" s="394">
        <v>389</v>
      </c>
      <c r="AJ21" s="394">
        <v>389</v>
      </c>
      <c r="AK21" s="394">
        <f t="shared" si="10"/>
        <v>389</v>
      </c>
      <c r="AL21" s="394">
        <f t="shared" si="11"/>
        <v>0</v>
      </c>
      <c r="AM21" s="394">
        <f t="shared" si="12"/>
        <v>0</v>
      </c>
      <c r="AN21" s="394">
        <f t="shared" si="13"/>
        <v>0</v>
      </c>
      <c r="AO21" s="394">
        <f>IF(AN21=1,SUMPRODUCT($AJ$7:$AJ21,$AN$7:$AN21),0)</f>
        <v>0</v>
      </c>
      <c r="AP21" s="394">
        <f t="shared" si="14"/>
        <v>0</v>
      </c>
      <c r="AQ21" s="394">
        <f t="shared" si="14"/>
        <v>0</v>
      </c>
      <c r="AR21" s="394">
        <f t="shared" si="14"/>
        <v>0</v>
      </c>
      <c r="AS21" s="394">
        <f t="shared" si="14"/>
        <v>0</v>
      </c>
      <c r="AT21" s="394">
        <f t="shared" si="15"/>
        <v>0</v>
      </c>
      <c r="AU21" s="394">
        <f t="shared" si="15"/>
        <v>0</v>
      </c>
      <c r="AV21" s="394">
        <f t="shared" si="15"/>
        <v>0</v>
      </c>
      <c r="AW21" s="394">
        <f t="shared" si="15"/>
        <v>0</v>
      </c>
      <c r="AX21" s="394">
        <f t="shared" si="1"/>
        <v>0</v>
      </c>
      <c r="AY21" s="394">
        <f t="shared" si="2"/>
        <v>0</v>
      </c>
      <c r="AZ21" s="394">
        <f t="shared" si="3"/>
        <v>0</v>
      </c>
      <c r="BA21" s="394">
        <f t="shared" si="4"/>
        <v>0</v>
      </c>
      <c r="BB21" s="405">
        <f>IF(OR(AE21="X",AE21="x"),I20,IF(AE21="*",I20+AB21,IF(AC21&gt;6,IF(NOT(ISBLANK(DZ21)),DZ21+AB21,DQ20+AB21),$V$3-7+ROUND(($V$4-$V$3)/4*(AC21),0))))</f>
        <v>44473</v>
      </c>
      <c r="BC21" s="405">
        <f>BB21+IF(WEEKDAY(BB21)=1,1,IF(WEEKDAY(BB21)=7,2,0))+COUNTIF(ClosedDays!$B$4:$B$32,IF(WEEKDAY(BB21)=1,BB21+1,IF(WEEKDAY(BB21)=7,BB21+2,BB21)))+COUNTIF(ClosedDays!$F$4:$F$32,IF(WEEKDAY(BB21)=1,BB21+1,IF(WEEKDAY(BB21)=7,BB21+2,BB21)))+COUNTIF(ClosedDays!$J$4:$J$32,IF(WEEKDAY(BB21)=1,BB21+1,IF(WEEKDAY(BB21)=7,BB21+2,BB21)))+COUNTIF(ClosedDays!$N$4:$N$32,IF(WEEKDAY(BB21)=1,BB21+1,IF(WEEKDAY(BB21)=7,BB21+2,BB21)))</f>
        <v>44473</v>
      </c>
      <c r="BD21" s="405">
        <f>BC21+IF(WEEKDAY(BC21)=1,1,IF(WEEKDAY(BC21)=7,2,0))+COUNTIF(ClosedDays!$B$4:$B$32,IF(WEEKDAY(BC21)=1,BC21+1,IF(WEEKDAY(BC21)=7,BC21+2,BC21)))+COUNTIF(ClosedDays!$F$4:$F$32,IF(WEEKDAY(BC21)=1,BC21+1,IF(WEEKDAY(BC21)=7,BC21+2,BC21)))+COUNTIF(ClosedDays!$J$4:$J$32,IF(WEEKDAY(BC21)=1,BC21+1,IF(WEEKDAY(BC21)=7,BC21+2,BC21)))+COUNTIF(ClosedDays!$N$4:$N$32,IF(WEEKDAY(BC21)=1,BC21+1,IF(WEEKDAY(BC21)=7,BC21+2,BC21)))</f>
        <v>44473</v>
      </c>
      <c r="BE21" s="405">
        <f>BD21+IF(WEEKDAY(BD21)=1,1,IF(WEEKDAY(BD21)=7,2,0))+COUNTIF(ClosedDays!$B$4:$B$32,IF(WEEKDAY(BD21)=1,BD21+1,IF(WEEKDAY(BD21)=7,BD21+2,BD21)))+COUNTIF(ClosedDays!$F$4:$F$32,IF(WEEKDAY(BD21)=1,BD21+1,IF(WEEKDAY(BD21)=7,BD21+2,BD21)))+COUNTIF(ClosedDays!$J$4:$J$32,IF(WEEKDAY(BD21)=1,BD21+1,IF(WEEKDAY(BD21)=7,BD21+2,BD21)))+COUNTIF(ClosedDays!$N$4:$N$32,IF(WEEKDAY(BD21)=1,BD21+1,IF(WEEKDAY(BD21)=7,BD21+2,BD21)))</f>
        <v>44473</v>
      </c>
      <c r="BF21" s="405">
        <f>BE21+IF(WEEKDAY(BE21)=1,1,IF(WEEKDAY(BE21)=7,2,0))+COUNTIF(ClosedDays!$B$4:$B$32,IF(WEEKDAY(BE21)=1,BE21+1,IF(WEEKDAY(BE21)=7,BE21+2,BE21)))+COUNTIF(ClosedDays!$F$4:$F$32,IF(WEEKDAY(BE21)=1,BE21+1,IF(WEEKDAY(BE21)=7,BE21+2,BE21)))+COUNTIF(ClosedDays!$J$4:$J$32,IF(WEEKDAY(BE21)=1,BE21+1,IF(WEEKDAY(BE21)=7,BE21+2,BE21)))+COUNTIF(ClosedDays!$N$4:$N$32,IF(WEEKDAY(BE21)=1,BE21+1,IF(WEEKDAY(BE21)=7,BE21+2,BE21)))</f>
        <v>44473</v>
      </c>
      <c r="BG21" s="405">
        <f>BF21+IF(WEEKDAY(BF21)=1,1,IF(WEEKDAY(BF21)=7,2,0))+COUNTIF(ClosedDays!$B$4:$B$32,IF(WEEKDAY(BF21)=1,BF21+1,IF(WEEKDAY(BF21)=7,BF21+2,BF21)))+COUNTIF(ClosedDays!$F$4:$F$32,IF(WEEKDAY(BF21)=1,BF21+1,IF(WEEKDAY(BF21)=7,BF21+2,BF21)))+COUNTIF(ClosedDays!$J$4:$J$32,IF(WEEKDAY(BF21)=1,BF21+1,IF(WEEKDAY(BF21)=7,BF21+2,BF21)))+COUNTIF(ClosedDays!$N$4:$N$32,IF(WEEKDAY(BF21)=1,BF21+1,IF(WEEKDAY(BF21)=7,BF21+2,BF21)))</f>
        <v>44473</v>
      </c>
      <c r="BH21" s="405">
        <f>BG21+IF(WEEKDAY(BG21)=1,1,IF(WEEKDAY(BG21)=7,2,0))+COUNTIF(ClosedDays!$B$4:$B$32,IF(WEEKDAY(BG21)=1,BG21+1,IF(WEEKDAY(BG21)=7,BG21+2,BG21)))+COUNTIF(ClosedDays!$F$4:$F$32,IF(WEEKDAY(BG21)=1,BG21+1,IF(WEEKDAY(BG21)=7,BG21+2,BG21)))+COUNTIF(ClosedDays!$J$4:$J$32,IF(WEEKDAY(BG21)=1,BG21+1,IF(WEEKDAY(BG21)=7,BG21+2,BG21)))+COUNTIF(ClosedDays!$N$4:$N$32,IF(WEEKDAY(BG21)=1,BG21+1,IF(WEEKDAY(BG21)=7,BG21+2,BG21)))</f>
        <v>44473</v>
      </c>
      <c r="BI21" s="405">
        <f>BH21+IF(WEEKDAY(BH21)=1,1,IF(WEEKDAY(BH21)=7,2,0))+COUNTIF(ClosedDays!$B$4:$B$32,IF(WEEKDAY(BH21)=1,BH21+1,IF(WEEKDAY(BH21)=7,BH21+2,BH21)))+COUNTIF(ClosedDays!$F$4:$F$32,IF(WEEKDAY(BH21)=1,BH21+1,IF(WEEKDAY(BH21)=7,BH21+2,BH21)))+COUNTIF(ClosedDays!$J$4:$J$32,IF(WEEKDAY(BH21)=1,BH21+1,IF(WEEKDAY(BH21)=7,BH21+2,BH21)))+COUNTIF(ClosedDays!$N$4:$N$32,IF(WEEKDAY(BH21)=1,BH21+1,IF(WEEKDAY(BH21)=7,BH21+2,BH21)))</f>
        <v>44473</v>
      </c>
      <c r="BJ21" s="405">
        <f>BI21+IF(WEEKDAY(BI21)=1,1,IF(WEEKDAY(BI21)=7,2,0))+COUNTIF(ClosedDays!$B$4:$B$32,IF(WEEKDAY(BI21)=1,BI21+1,IF(WEEKDAY(BI21)=7,BI21+2,BI21)))+COUNTIF(ClosedDays!$F$4:$F$32,IF(WEEKDAY(BI21)=1,BI21+1,IF(WEEKDAY(BI21)=7,BI21+2,BI21)))+COUNTIF(ClosedDays!$J$4:$J$32,IF(WEEKDAY(BI21)=1,BI21+1,IF(WEEKDAY(BI21)=7,BI21+2,BI21)))+COUNTIF(ClosedDays!$N$4:$N$32,IF(WEEKDAY(BI21)=1,BI21+1,IF(WEEKDAY(BI21)=7,BI21+2,BI21)))</f>
        <v>44473</v>
      </c>
      <c r="BK21" s="405">
        <f>BJ21+IF(WEEKDAY(BJ21)=1,1,IF(WEEKDAY(BJ21)=7,2,0))+COUNTIF(ClosedDays!$B$4:$B$32,IF(WEEKDAY(BJ21)=1,BJ21+1,IF(WEEKDAY(BJ21)=7,BJ21+2,BJ21)))+COUNTIF(ClosedDays!$F$4:$F$32,IF(WEEKDAY(BJ21)=1,BJ21+1,IF(WEEKDAY(BJ21)=7,BJ21+2,BJ21)))+COUNTIF(ClosedDays!$J$4:$J$32,IF(WEEKDAY(BJ21)=1,BJ21+1,IF(WEEKDAY(BJ21)=7,BJ21+2,BJ21)))+COUNTIF(ClosedDays!$N$4:$N$32,IF(WEEKDAY(BJ21)=1,BJ21+1,IF(WEEKDAY(BJ21)=7,BJ21+2,BJ21)))</f>
        <v>44473</v>
      </c>
      <c r="BL21" s="405">
        <f>BK21+IF(WEEKDAY(BK21)=1,1,IF(WEEKDAY(BK21)=7,2,0))+COUNTIF(ClosedDays!$B$4:$B$32,IF(WEEKDAY(BK21)=1,BK21+1,IF(WEEKDAY(BK21)=7,BK21+2,BK21)))+COUNTIF(ClosedDays!$F$4:$F$32,IF(WEEKDAY(BK21)=1,BK21+1,IF(WEEKDAY(BK21)=7,BK21+2,BK21)))+COUNTIF(ClosedDays!$J$4:$J$32,IF(WEEKDAY(BK21)=1,BK21+1,IF(WEEKDAY(BK21)=7,BK21+2,BK21)))+COUNTIF(ClosedDays!$N$4:$N$32,IF(WEEKDAY(BK21)=1,BK21+1,IF(WEEKDAY(BK21)=7,BK21+2,BK21)))</f>
        <v>44473</v>
      </c>
      <c r="BM21" s="405">
        <f>BL21+IF(WEEKDAY(BL21)=1,1,IF(WEEKDAY(BL21)=7,2,0))+COUNTIF(ClosedDays!$B$4:$B$32,IF(WEEKDAY(BL21)=1,BL21+1,IF(WEEKDAY(BL21)=7,BL21+2,BL21)))+COUNTIF(ClosedDays!$F$4:$F$32,IF(WEEKDAY(BL21)=1,BL21+1,IF(WEEKDAY(BL21)=7,BL21+2,BL21)))+COUNTIF(ClosedDays!$J$4:$J$32,IF(WEEKDAY(BL21)=1,BL21+1,IF(WEEKDAY(BL21)=7,BL21+2,BL21)))+COUNTIF(ClosedDays!$N$4:$N$32,IF(WEEKDAY(BL21)=1,BL21+1,IF(WEEKDAY(BL21)=7,BL21+2,BL21)))</f>
        <v>44473</v>
      </c>
      <c r="BN21" s="405">
        <f>BM21+IF(WEEKDAY(BM21)=1,1,IF(WEEKDAY(BM21)=7,2,0))+COUNTIF(ClosedDays!$B$4:$B$32,IF(WEEKDAY(BM21)=1,BM21+1,IF(WEEKDAY(BM21)=7,BM21+2,BM21)))+COUNTIF(ClosedDays!$F$4:$F$32,IF(WEEKDAY(BM21)=1,BM21+1,IF(WEEKDAY(BM21)=7,BM21+2,BM21)))+COUNTIF(ClosedDays!$J$4:$J$32,IF(WEEKDAY(BM21)=1,BM21+1,IF(WEEKDAY(BM21)=7,BM21+2,BM21)))+COUNTIF(ClosedDays!$N$4:$N$32,IF(WEEKDAY(BM21)=1,BM21+1,IF(WEEKDAY(BM21)=7,BM21+2,BM21)))</f>
        <v>44473</v>
      </c>
      <c r="BO21" s="405">
        <f>BN21+IF(WEEKDAY(BN21)=1,1,IF(WEEKDAY(BN21)=7,2,0))+COUNTIF(ClosedDays!$B$4:$B$32,IF(WEEKDAY(BN21)=1,BN21+1,IF(WEEKDAY(BN21)=7,BN21+2,BN21)))+COUNTIF(ClosedDays!$F$4:$F$32,IF(WEEKDAY(BN21)=1,BN21+1,IF(WEEKDAY(BN21)=7,BN21+2,BN21)))+COUNTIF(ClosedDays!$J$4:$J$32,IF(WEEKDAY(BN21)=1,BN21+1,IF(WEEKDAY(BN21)=7,BN21+2,BN21)))+COUNTIF(ClosedDays!$N$4:$N$32,IF(WEEKDAY(BN21)=1,BN21+1,IF(WEEKDAY(BN21)=7,BN21+2,BN21)))</f>
        <v>44473</v>
      </c>
      <c r="BP21" s="405">
        <f>BO21+IF(WEEKDAY(BO21)=1,1,IF(WEEKDAY(BO21)=7,2,0))+COUNTIF(ClosedDays!$B$4:$B$32,IF(WEEKDAY(BO21)=1,BO21+1,IF(WEEKDAY(BO21)=7,BO21+2,BO21)))+COUNTIF(ClosedDays!$F$4:$F$32,IF(WEEKDAY(BO21)=1,BO21+1,IF(WEEKDAY(BO21)=7,BO21+2,BO21)))+COUNTIF(ClosedDays!$J$4:$J$32,IF(WEEKDAY(BO21)=1,BO21+1,IF(WEEKDAY(BO21)=7,BO21+2,BO21)))+COUNTIF(ClosedDays!$N$4:$N$32,IF(WEEKDAY(BO21)=1,BO21+1,IF(WEEKDAY(BO21)=7,BO21+2,BO21)))</f>
        <v>44473</v>
      </c>
      <c r="BQ21" s="405">
        <f t="shared" si="16"/>
        <v>44473</v>
      </c>
      <c r="BR21" s="446">
        <f>IF(AND($D21&lt;='Outline Info'!$H$31,BQ21&gt;='Outline Info'!$H$31,$BS$4=1,$AC21&gt;10,$AC21&lt;9997),1,0)</f>
        <v>0</v>
      </c>
      <c r="BS21" s="405">
        <f>IF(BR21=1,BQ21+'Outline Info'!$I$31-'Outline Info'!$H$31+1,BQ21)</f>
        <v>44473</v>
      </c>
      <c r="BT21" s="405">
        <f>BS21+IF(WEEKDAY(BS21)=1,1,IF(WEEKDAY(BS21)=7,2,0))+COUNTIF(ClosedDays!$B$4:$B$32,IF(WEEKDAY(BS21)=1,BS21+1,IF(WEEKDAY(BS21)=7,BS21+2,BS21)))+COUNTIF(ClosedDays!$F$4:$F$32,IF(WEEKDAY(BS21)=1,BS21+1,IF(WEEKDAY(BS21)=7,BS21+2,BS21)))+COUNTIF(ClosedDays!$J$4:$J$32,IF(WEEKDAY(BS21)=1,BS21+1,IF(WEEKDAY(BS21)=7,BS21+2,BS21)))+COUNTIF(ClosedDays!$N$4:$N$32,IF(WEEKDAY(BS21)=1,BS21+1,IF(WEEKDAY(BS21)=7,BS21+2,BS21)))</f>
        <v>44473</v>
      </c>
      <c r="BU21" s="405">
        <f>BT21+IF(WEEKDAY(BT21)=1,1,IF(WEEKDAY(BT21)=7,2,0))+COUNTIF(ClosedDays!$B$4:$B$32,IF(WEEKDAY(BT21)=1,BT21+1,IF(WEEKDAY(BT21)=7,BT21+2,BT21)))+COUNTIF(ClosedDays!$F$4:$F$32,IF(WEEKDAY(BT21)=1,BT21+1,IF(WEEKDAY(BT21)=7,BT21+2,BT21)))+COUNTIF(ClosedDays!$J$4:$J$32,IF(WEEKDAY(BT21)=1,BT21+1,IF(WEEKDAY(BT21)=7,BT21+2,BT21)))+COUNTIF(ClosedDays!$N$4:$N$32,IF(WEEKDAY(BT21)=1,BT21+1,IF(WEEKDAY(BT21)=7,BT21+2,BT21)))</f>
        <v>44473</v>
      </c>
      <c r="BV21" s="405">
        <f>BU21+IF(WEEKDAY(BU21)=1,1,IF(WEEKDAY(BU21)=7,2,0))+COUNTIF(ClosedDays!$B$4:$B$32,IF(WEEKDAY(BU21)=1,BU21+1,IF(WEEKDAY(BU21)=7,BU21+2,BU21)))+COUNTIF(ClosedDays!$F$4:$F$32,IF(WEEKDAY(BU21)=1,BU21+1,IF(WEEKDAY(BU21)=7,BU21+2,BU21)))+COUNTIF(ClosedDays!$J$4:$J$32,IF(WEEKDAY(BU21)=1,BU21+1,IF(WEEKDAY(BU21)=7,BU21+2,BU21)))+COUNTIF(ClosedDays!$N$4:$N$32,IF(WEEKDAY(BU21)=1,BU21+1,IF(WEEKDAY(BU21)=7,BU21+2,BU21)))</f>
        <v>44473</v>
      </c>
      <c r="BW21" s="405">
        <f>BV21+IF(WEEKDAY(BV21)=1,1,IF(WEEKDAY(BV21)=7,2,0))+COUNTIF(ClosedDays!$B$4:$B$32,IF(WEEKDAY(BV21)=1,BV21+1,IF(WEEKDAY(BV21)=7,BV21+2,BV21)))+COUNTIF(ClosedDays!$F$4:$F$32,IF(WEEKDAY(BV21)=1,BV21+1,IF(WEEKDAY(BV21)=7,BV21+2,BV21)))+COUNTIF(ClosedDays!$J$4:$J$32,IF(WEEKDAY(BV21)=1,BV21+1,IF(WEEKDAY(BV21)=7,BV21+2,BV21)))+COUNTIF(ClosedDays!$N$4:$N$32,IF(WEEKDAY(BV21)=1,BV21+1,IF(WEEKDAY(BV21)=7,BV21+2,BV21)))</f>
        <v>44473</v>
      </c>
      <c r="BX21" s="405">
        <f>BW21+IF(WEEKDAY(BW21)=1,1,IF(WEEKDAY(BW21)=7,2,0))+COUNTIF(ClosedDays!$B$4:$B$32,IF(WEEKDAY(BW21)=1,BW21+1,IF(WEEKDAY(BW21)=7,BW21+2,BW21)))+COUNTIF(ClosedDays!$F$4:$F$32,IF(WEEKDAY(BW21)=1,BW21+1,IF(WEEKDAY(BW21)=7,BW21+2,BW21)))+COUNTIF(ClosedDays!$J$4:$J$32,IF(WEEKDAY(BW21)=1,BW21+1,IF(WEEKDAY(BW21)=7,BW21+2,BW21)))+COUNTIF(ClosedDays!$N$4:$N$32,IF(WEEKDAY(BW21)=1,BW21+1,IF(WEEKDAY(BW21)=7,BW21+2,BW21)))</f>
        <v>44473</v>
      </c>
      <c r="BY21" s="405">
        <f>BX21+IF(WEEKDAY(BX21)=1,1,IF(WEEKDAY(BX21)=7,2,0))+COUNTIF(ClosedDays!$B$4:$B$32,IF(WEEKDAY(BX21)=1,BX21+1,IF(WEEKDAY(BX21)=7,BX21+2,BX21)))+COUNTIF(ClosedDays!$F$4:$F$32,IF(WEEKDAY(BX21)=1,BX21+1,IF(WEEKDAY(BX21)=7,BX21+2,BX21)))+COUNTIF(ClosedDays!$J$4:$J$32,IF(WEEKDAY(BX21)=1,BX21+1,IF(WEEKDAY(BX21)=7,BX21+2,BX21)))+COUNTIF(ClosedDays!$N$4:$N$32,IF(WEEKDAY(BX21)=1,BX21+1,IF(WEEKDAY(BX21)=7,BX21+2,BX21)))</f>
        <v>44473</v>
      </c>
      <c r="BZ21" s="405">
        <f>BY21+IF(WEEKDAY(BY21)=1,1,IF(WEEKDAY(BY21)=7,2,0))+COUNTIF(ClosedDays!$B$4:$B$32,IF(WEEKDAY(BY21)=1,BY21+1,IF(WEEKDAY(BY21)=7,BY21+2,BY21)))+COUNTIF(ClosedDays!$F$4:$F$32,IF(WEEKDAY(BY21)=1,BY21+1,IF(WEEKDAY(BY21)=7,BY21+2,BY21)))+COUNTIF(ClosedDays!$J$4:$J$32,IF(WEEKDAY(BY21)=1,BY21+1,IF(WEEKDAY(BY21)=7,BY21+2,BY21)))+COUNTIF(ClosedDays!$N$4:$N$32,IF(WEEKDAY(BY21)=1,BY21+1,IF(WEEKDAY(BY21)=7,BY21+2,BY21)))</f>
        <v>44473</v>
      </c>
      <c r="CA21" s="405">
        <f>BZ21+IF(WEEKDAY(BZ21)=1,1,IF(WEEKDAY(BZ21)=7,2,0))+COUNTIF(ClosedDays!$B$4:$B$32,IF(WEEKDAY(BZ21)=1,BZ21+1,IF(WEEKDAY(BZ21)=7,BZ21+2,BZ21)))+COUNTIF(ClosedDays!$F$4:$F$32,IF(WEEKDAY(BZ21)=1,BZ21+1,IF(WEEKDAY(BZ21)=7,BZ21+2,BZ21)))+COUNTIF(ClosedDays!$J$4:$J$32,IF(WEEKDAY(BZ21)=1,BZ21+1,IF(WEEKDAY(BZ21)=7,BZ21+2,BZ21)))+COUNTIF(ClosedDays!$N$4:$N$32,IF(WEEKDAY(BZ21)=1,BZ21+1,IF(WEEKDAY(BZ21)=7,BZ21+2,BZ21)))</f>
        <v>44473</v>
      </c>
      <c r="CB21" s="405">
        <f>CA21+IF(WEEKDAY(CA21)=1,1,IF(WEEKDAY(CA21)=7,2,0))+COUNTIF(ClosedDays!$B$4:$B$32,IF(WEEKDAY(CA21)=1,CA21+1,IF(WEEKDAY(CA21)=7,CA21+2,CA21)))+COUNTIF(ClosedDays!$F$4:$F$32,IF(WEEKDAY(CA21)=1,CA21+1,IF(WEEKDAY(CA21)=7,CA21+2,CA21)))+COUNTIF(ClosedDays!$J$4:$J$32,IF(WEEKDAY(CA21)=1,CA21+1,IF(WEEKDAY(CA21)=7,CA21+2,CA21)))+COUNTIF(ClosedDays!$N$4:$N$32,IF(WEEKDAY(CA21)=1,CA21+1,IF(WEEKDAY(CA21)=7,CA21+2,CA21)))</f>
        <v>44473</v>
      </c>
      <c r="CC21" s="405">
        <f>CB21+IF(WEEKDAY(CB21)=1,1,IF(WEEKDAY(CB21)=7,2,0))+COUNTIF(ClosedDays!$B$4:$B$32,IF(WEEKDAY(CB21)=1,CB21+1,IF(WEEKDAY(CB21)=7,CB21+2,CB21)))+COUNTIF(ClosedDays!$F$4:$F$32,IF(WEEKDAY(CB21)=1,CB21+1,IF(WEEKDAY(CB21)=7,CB21+2,CB21)))+COUNTIF(ClosedDays!$J$4:$J$32,IF(WEEKDAY(CB21)=1,CB21+1,IF(WEEKDAY(CB21)=7,CB21+2,CB21)))+COUNTIF(ClosedDays!$N$4:$N$32,IF(WEEKDAY(CB21)=1,CB21+1,IF(WEEKDAY(CB21)=7,CB21+2,CB21)))</f>
        <v>44473</v>
      </c>
      <c r="CD21" s="405">
        <f>CC21+IF(WEEKDAY(CC21)=1,1,IF(WEEKDAY(CC21)=7,2,0))+COUNTIF(ClosedDays!$B$4:$B$32,IF(WEEKDAY(CC21)=1,CC21+1,IF(WEEKDAY(CC21)=7,CC21+2,CC21)))+COUNTIF(ClosedDays!$F$4:$F$32,IF(WEEKDAY(CC21)=1,CC21+1,IF(WEEKDAY(CC21)=7,CC21+2,CC21)))+COUNTIF(ClosedDays!$J$4:$J$32,IF(WEEKDAY(CC21)=1,CC21+1,IF(WEEKDAY(CC21)=7,CC21+2,CC21)))+COUNTIF(ClosedDays!$N$4:$N$32,IF(WEEKDAY(CC21)=1,CC21+1,IF(WEEKDAY(CC21)=7,CC21+2,CC21)))</f>
        <v>44473</v>
      </c>
      <c r="CE21" s="405">
        <f>CD21+IF(WEEKDAY(CD21)=1,1,IF(WEEKDAY(CD21)=7,2,0))+COUNTIF(ClosedDays!$B$4:$B$32,IF(WEEKDAY(CD21)=1,CD21+1,IF(WEEKDAY(CD21)=7,CD21+2,CD21)))+COUNTIF(ClosedDays!$F$4:$F$32,IF(WEEKDAY(CD21)=1,CD21+1,IF(WEEKDAY(CD21)=7,CD21+2,CD21)))+COUNTIF(ClosedDays!$J$4:$J$32,IF(WEEKDAY(CD21)=1,CD21+1,IF(WEEKDAY(CD21)=7,CD21+2,CD21)))+COUNTIF(ClosedDays!$N$4:$N$32,IF(WEEKDAY(CD21)=1,CD21+1,IF(WEEKDAY(CD21)=7,CD21+2,CD21)))</f>
        <v>44473</v>
      </c>
      <c r="CF21" s="405">
        <f>CE21+IF(WEEKDAY(CE21)=1,1,IF(WEEKDAY(CE21)=7,2,0))+COUNTIF(ClosedDays!$B$4:$B$32,IF(WEEKDAY(CE21)=1,CE21+1,IF(WEEKDAY(CE21)=7,CE21+2,CE21)))+COUNTIF(ClosedDays!$F$4:$F$32,IF(WEEKDAY(CE21)=1,CE21+1,IF(WEEKDAY(CE21)=7,CE21+2,CE21)))+COUNTIF(ClosedDays!$J$4:$J$32,IF(WEEKDAY(CE21)=1,CE21+1,IF(WEEKDAY(CE21)=7,CE21+2,CE21)))+COUNTIF(ClosedDays!$N$4:$N$32,IF(WEEKDAY(CE21)=1,CE21+1,IF(WEEKDAY(CE21)=7,CE21+2,CE21)))</f>
        <v>44473</v>
      </c>
      <c r="CG21" s="405">
        <f>CF21+IF(WEEKDAY(CF21)=1,1,IF(WEEKDAY(CF21)=7,2,0))+COUNTIF(ClosedDays!$B$4:$B$32,IF(WEEKDAY(CF21)=1,CF21+1,IF(WEEKDAY(CF21)=7,CF21+2,CF21)))+COUNTIF(ClosedDays!$F$4:$F$32,IF(WEEKDAY(CF21)=1,CF21+1,IF(WEEKDAY(CF21)=7,CF21+2,CF21)))+COUNTIF(ClosedDays!$J$4:$J$32,IF(WEEKDAY(CF21)=1,CF21+1,IF(WEEKDAY(CF21)=7,CF21+2,CF21)))+COUNTIF(ClosedDays!$N$4:$N$32,IF(WEEKDAY(CF21)=1,CF21+1,IF(WEEKDAY(CF21)=7,CF21+2,CF21)))</f>
        <v>44473</v>
      </c>
      <c r="CH21" s="405">
        <f t="shared" si="17"/>
        <v>44473</v>
      </c>
      <c r="CI21" s="446">
        <f>IF(AND($D21&lt;='Outline Info'!$H$33,CH21&gt;='Outline Info'!$H$33,$CJ$4=1,$AC21&gt;10,$AC21&lt;9997),1,0)</f>
        <v>0</v>
      </c>
      <c r="CJ21" s="405">
        <f>IF(CI21=1,CH21+'Outline Info'!$I$33-'Outline Info'!$H$33+1,CH21)</f>
        <v>44473</v>
      </c>
      <c r="CK21" s="405">
        <f>CJ21+IF(WEEKDAY(CJ21)=1,1,IF(WEEKDAY(CJ21)=7,2,0))+COUNTIF(ClosedDays!$B$4:$B$32,IF(WEEKDAY(CJ21)=1,CJ21+1,IF(WEEKDAY(CJ21)=7,CJ21+2,CJ21)))+COUNTIF(ClosedDays!$F$4:$F$32,IF(WEEKDAY(CJ21)=1,CJ21+1,IF(WEEKDAY(CJ21)=7,CJ21+2,CJ21)))+COUNTIF(ClosedDays!$J$4:$J$32,IF(WEEKDAY(CJ21)=1,CJ21+1,IF(WEEKDAY(CJ21)=7,CJ21+2,CJ21)))+COUNTIF(ClosedDays!$N$4:$N$32,IF(WEEKDAY(CJ21)=1,CJ21+1,IF(WEEKDAY(CJ21)=7,CJ21+2,CJ21)))</f>
        <v>44473</v>
      </c>
      <c r="CL21" s="405">
        <f>CK21+IF(WEEKDAY(CK21)=1,1,IF(WEEKDAY(CK21)=7,2,0))+COUNTIF(ClosedDays!$B$4:$B$32,IF(WEEKDAY(CK21)=1,CK21+1,IF(WEEKDAY(CK21)=7,CK21+2,CK21)))+COUNTIF(ClosedDays!$F$4:$F$32,IF(WEEKDAY(CK21)=1,CK21+1,IF(WEEKDAY(CK21)=7,CK21+2,CK21)))+COUNTIF(ClosedDays!$J$4:$J$32,IF(WEEKDAY(CK21)=1,CK21+1,IF(WEEKDAY(CK21)=7,CK21+2,CK21)))+COUNTIF(ClosedDays!$N$4:$N$32,IF(WEEKDAY(CK21)=1,CK21+1,IF(WEEKDAY(CK21)=7,CK21+2,CK21)))</f>
        <v>44473</v>
      </c>
      <c r="CM21" s="405">
        <f>CL21+IF(WEEKDAY(CL21)=1,1,IF(WEEKDAY(CL21)=7,2,0))+COUNTIF(ClosedDays!$B$4:$B$32,IF(WEEKDAY(CL21)=1,CL21+1,IF(WEEKDAY(CL21)=7,CL21+2,CL21)))+COUNTIF(ClosedDays!$F$4:$F$32,IF(WEEKDAY(CL21)=1,CL21+1,IF(WEEKDAY(CL21)=7,CL21+2,CL21)))+COUNTIF(ClosedDays!$J$4:$J$32,IF(WEEKDAY(CL21)=1,CL21+1,IF(WEEKDAY(CL21)=7,CL21+2,CL21)))+COUNTIF(ClosedDays!$N$4:$N$32,IF(WEEKDAY(CL21)=1,CL21+1,IF(WEEKDAY(CL21)=7,CL21+2,CL21)))</f>
        <v>44473</v>
      </c>
      <c r="CN21" s="405">
        <f>CM21+IF(WEEKDAY(CM21)=1,1,IF(WEEKDAY(CM21)=7,2,0))+COUNTIF(ClosedDays!$B$4:$B$32,IF(WEEKDAY(CM21)=1,CM21+1,IF(WEEKDAY(CM21)=7,CM21+2,CM21)))+COUNTIF(ClosedDays!$F$4:$F$32,IF(WEEKDAY(CM21)=1,CM21+1,IF(WEEKDAY(CM21)=7,CM21+2,CM21)))+COUNTIF(ClosedDays!$J$4:$J$32,IF(WEEKDAY(CM21)=1,CM21+1,IF(WEEKDAY(CM21)=7,CM21+2,CM21)))+COUNTIF(ClosedDays!$N$4:$N$32,IF(WEEKDAY(CM21)=1,CM21+1,IF(WEEKDAY(CM21)=7,CM21+2,CM21)))</f>
        <v>44473</v>
      </c>
      <c r="CO21" s="405">
        <f>CN21+IF(WEEKDAY(CN21)=1,1,IF(WEEKDAY(CN21)=7,2,0))+COUNTIF(ClosedDays!$B$4:$B$32,IF(WEEKDAY(CN21)=1,CN21+1,IF(WEEKDAY(CN21)=7,CN21+2,CN21)))+COUNTIF(ClosedDays!$F$4:$F$32,IF(WEEKDAY(CN21)=1,CN21+1,IF(WEEKDAY(CN21)=7,CN21+2,CN21)))+COUNTIF(ClosedDays!$J$4:$J$32,IF(WEEKDAY(CN21)=1,CN21+1,IF(WEEKDAY(CN21)=7,CN21+2,CN21)))+COUNTIF(ClosedDays!$N$4:$N$32,IF(WEEKDAY(CN21)=1,CN21+1,IF(WEEKDAY(CN21)=7,CN21+2,CN21)))</f>
        <v>44473</v>
      </c>
      <c r="CP21" s="405">
        <f>CO21+IF(WEEKDAY(CO21)=1,1,IF(WEEKDAY(CO21)=7,2,0))+COUNTIF(ClosedDays!$B$4:$B$32,IF(WEEKDAY(CO21)=1,CO21+1,IF(WEEKDAY(CO21)=7,CO21+2,CO21)))+COUNTIF(ClosedDays!$F$4:$F$32,IF(WEEKDAY(CO21)=1,CO21+1,IF(WEEKDAY(CO21)=7,CO21+2,CO21)))+COUNTIF(ClosedDays!$J$4:$J$32,IF(WEEKDAY(CO21)=1,CO21+1,IF(WEEKDAY(CO21)=7,CO21+2,CO21)))+COUNTIF(ClosedDays!$N$4:$N$32,IF(WEEKDAY(CO21)=1,CO21+1,IF(WEEKDAY(CO21)=7,CO21+2,CO21)))</f>
        <v>44473</v>
      </c>
      <c r="CQ21" s="405">
        <f>CP21+IF(WEEKDAY(CP21)=1,1,IF(WEEKDAY(CP21)=7,2,0))+COUNTIF(ClosedDays!$B$4:$B$32,IF(WEEKDAY(CP21)=1,CP21+1,IF(WEEKDAY(CP21)=7,CP21+2,CP21)))+COUNTIF(ClosedDays!$F$4:$F$32,IF(WEEKDAY(CP21)=1,CP21+1,IF(WEEKDAY(CP21)=7,CP21+2,CP21)))+COUNTIF(ClosedDays!$J$4:$J$32,IF(WEEKDAY(CP21)=1,CP21+1,IF(WEEKDAY(CP21)=7,CP21+2,CP21)))+COUNTIF(ClosedDays!$N$4:$N$32,IF(WEEKDAY(CP21)=1,CP21+1,IF(WEEKDAY(CP21)=7,CP21+2,CP21)))</f>
        <v>44473</v>
      </c>
      <c r="CR21" s="405">
        <f>CQ21+IF(WEEKDAY(CQ21)=1,1,IF(WEEKDAY(CQ21)=7,2,0))+COUNTIF(ClosedDays!$B$4:$B$32,IF(WEEKDAY(CQ21)=1,CQ21+1,IF(WEEKDAY(CQ21)=7,CQ21+2,CQ21)))+COUNTIF(ClosedDays!$F$4:$F$32,IF(WEEKDAY(CQ21)=1,CQ21+1,IF(WEEKDAY(CQ21)=7,CQ21+2,CQ21)))+COUNTIF(ClosedDays!$J$4:$J$32,IF(WEEKDAY(CQ21)=1,CQ21+1,IF(WEEKDAY(CQ21)=7,CQ21+2,CQ21)))+COUNTIF(ClosedDays!$N$4:$N$32,IF(WEEKDAY(CQ21)=1,CQ21+1,IF(WEEKDAY(CQ21)=7,CQ21+2,CQ21)))</f>
        <v>44473</v>
      </c>
      <c r="CS21" s="405">
        <f>CR21+IF(WEEKDAY(CR21)=1,1,IF(WEEKDAY(CR21)=7,2,0))+COUNTIF(ClosedDays!$B$4:$B$32,IF(WEEKDAY(CR21)=1,CR21+1,IF(WEEKDAY(CR21)=7,CR21+2,CR21)))+COUNTIF(ClosedDays!$F$4:$F$32,IF(WEEKDAY(CR21)=1,CR21+1,IF(WEEKDAY(CR21)=7,CR21+2,CR21)))+COUNTIF(ClosedDays!$J$4:$J$32,IF(WEEKDAY(CR21)=1,CR21+1,IF(WEEKDAY(CR21)=7,CR21+2,CR21)))+COUNTIF(ClosedDays!$N$4:$N$32,IF(WEEKDAY(CR21)=1,CR21+1,IF(WEEKDAY(CR21)=7,CR21+2,CR21)))</f>
        <v>44473</v>
      </c>
      <c r="CT21" s="405">
        <f>CS21+IF(WEEKDAY(CS21)=1,1,IF(WEEKDAY(CS21)=7,2,0))+COUNTIF(ClosedDays!$B$4:$B$32,IF(WEEKDAY(CS21)=1,CS21+1,IF(WEEKDAY(CS21)=7,CS21+2,CS21)))+COUNTIF(ClosedDays!$F$4:$F$32,IF(WEEKDAY(CS21)=1,CS21+1,IF(WEEKDAY(CS21)=7,CS21+2,CS21)))+COUNTIF(ClosedDays!$J$4:$J$32,IF(WEEKDAY(CS21)=1,CS21+1,IF(WEEKDAY(CS21)=7,CS21+2,CS21)))+COUNTIF(ClosedDays!$N$4:$N$32,IF(WEEKDAY(CS21)=1,CS21+1,IF(WEEKDAY(CS21)=7,CS21+2,CS21)))</f>
        <v>44473</v>
      </c>
      <c r="CU21" s="405">
        <f>CT21+IF(WEEKDAY(CT21)=1,1,IF(WEEKDAY(CT21)=7,2,0))+COUNTIF(ClosedDays!$B$4:$B$32,IF(WEEKDAY(CT21)=1,CT21+1,IF(WEEKDAY(CT21)=7,CT21+2,CT21)))+COUNTIF(ClosedDays!$F$4:$F$32,IF(WEEKDAY(CT21)=1,CT21+1,IF(WEEKDAY(CT21)=7,CT21+2,CT21)))+COUNTIF(ClosedDays!$J$4:$J$32,IF(WEEKDAY(CT21)=1,CT21+1,IF(WEEKDAY(CT21)=7,CT21+2,CT21)))+COUNTIF(ClosedDays!$N$4:$N$32,IF(WEEKDAY(CT21)=1,CT21+1,IF(WEEKDAY(CT21)=7,CT21+2,CT21)))</f>
        <v>44473</v>
      </c>
      <c r="CV21" s="405">
        <f>CU21+IF(WEEKDAY(CU21)=1,1,IF(WEEKDAY(CU21)=7,2,0))+COUNTIF(ClosedDays!$B$4:$B$32,IF(WEEKDAY(CU21)=1,CU21+1,IF(WEEKDAY(CU21)=7,CU21+2,CU21)))+COUNTIF(ClosedDays!$F$4:$F$32,IF(WEEKDAY(CU21)=1,CU21+1,IF(WEEKDAY(CU21)=7,CU21+2,CU21)))+COUNTIF(ClosedDays!$J$4:$J$32,IF(WEEKDAY(CU21)=1,CU21+1,IF(WEEKDAY(CU21)=7,CU21+2,CU21)))+COUNTIF(ClosedDays!$N$4:$N$32,IF(WEEKDAY(CU21)=1,CU21+1,IF(WEEKDAY(CU21)=7,CU21+2,CU21)))</f>
        <v>44473</v>
      </c>
      <c r="CW21" s="405">
        <f>CV21+IF(WEEKDAY(CV21)=1,1,IF(WEEKDAY(CV21)=7,2,0))+COUNTIF(ClosedDays!$B$4:$B$32,IF(WEEKDAY(CV21)=1,CV21+1,IF(WEEKDAY(CV21)=7,CV21+2,CV21)))+COUNTIF(ClosedDays!$F$4:$F$32,IF(WEEKDAY(CV21)=1,CV21+1,IF(WEEKDAY(CV21)=7,CV21+2,CV21)))+COUNTIF(ClosedDays!$J$4:$J$32,IF(WEEKDAY(CV21)=1,CV21+1,IF(WEEKDAY(CV21)=7,CV21+2,CV21)))+COUNTIF(ClosedDays!$N$4:$N$32,IF(WEEKDAY(CV21)=1,CV21+1,IF(WEEKDAY(CV21)=7,CV21+2,CV21)))</f>
        <v>44473</v>
      </c>
      <c r="CX21" s="405">
        <f>CW21+IF(WEEKDAY(CW21)=1,1,IF(WEEKDAY(CW21)=7,2,0))+COUNTIF(ClosedDays!$B$4:$B$32,IF(WEEKDAY(CW21)=1,CW21+1,IF(WEEKDAY(CW21)=7,CW21+2,CW21)))+COUNTIF(ClosedDays!$F$4:$F$32,IF(WEEKDAY(CW21)=1,CW21+1,IF(WEEKDAY(CW21)=7,CW21+2,CW21)))+COUNTIF(ClosedDays!$J$4:$J$32,IF(WEEKDAY(CW21)=1,CW21+1,IF(WEEKDAY(CW21)=7,CW21+2,CW21)))+COUNTIF(ClosedDays!$N$4:$N$32,IF(WEEKDAY(CW21)=1,CW21+1,IF(WEEKDAY(CW21)=7,CW21+2,CW21)))</f>
        <v>44473</v>
      </c>
      <c r="CY21" s="405">
        <f t="shared" si="18"/>
        <v>44473</v>
      </c>
      <c r="CZ21" s="446">
        <f>IF(AND($D21&lt;='Outline Info'!$E$33,CY21&gt;='Outline Info'!$E$33,$AC21&gt;10,$AC21&lt;9997),1,0)</f>
        <v>0</v>
      </c>
      <c r="DA21" s="405">
        <f>IF(AND($D21&lt;='Outline Info'!$E$33,CY21&gt;='Outline Info'!$E$33),CY21+'Outline Info'!$F$33-'Outline Info'!$E$33+1,CY21)</f>
        <v>44473</v>
      </c>
      <c r="DB21" s="405">
        <f>DA21+IF(WEEKDAY(DA21)=1,1,IF(WEEKDAY(DA21)=7,2,0))+COUNTIF(ClosedDays!$B$4:$B$32,IF(WEEKDAY(DA21)=1,DA21+1,IF(WEEKDAY(DA21)=7,DA21+2,DA21)))+COUNTIF(ClosedDays!$F$4:$F$32,IF(WEEKDAY(DA21)=1,DA21+1,IF(WEEKDAY(DA21)=7,DA21+2,DA21)))+COUNTIF(ClosedDays!$J$4:$J$32,IF(WEEKDAY(DA21)=1,DA21+1,IF(WEEKDAY(DA21)=7,DA21+2,DA21)))+COUNTIF(ClosedDays!$N$4:$N$32,IF(WEEKDAY(DA21)=1,DA21+1,IF(WEEKDAY(DA21)=7,DA21+2,DA21)))</f>
        <v>44473</v>
      </c>
      <c r="DC21" s="405">
        <f>DB21+IF(WEEKDAY(DB21)=1,1,IF(WEEKDAY(DB21)=7,2,0))+COUNTIF(ClosedDays!$B$4:$B$32,IF(WEEKDAY(DB21)=1,DB21+1,IF(WEEKDAY(DB21)=7,DB21+2,DB21)))+COUNTIF(ClosedDays!$F$4:$F$32,IF(WEEKDAY(DB21)=1,DB21+1,IF(WEEKDAY(DB21)=7,DB21+2,DB21)))+COUNTIF(ClosedDays!$J$4:$J$32,IF(WEEKDAY(DB21)=1,DB21+1,IF(WEEKDAY(DB21)=7,DB21+2,DB21)))+COUNTIF(ClosedDays!$N$4:$N$32,IF(WEEKDAY(DB21)=1,DB21+1,IF(WEEKDAY(DB21)=7,DB21+2,DB21)))</f>
        <v>44473</v>
      </c>
      <c r="DD21" s="405">
        <f>DC21+IF(WEEKDAY(DC21)=1,1,IF(WEEKDAY(DC21)=7,2,0))+COUNTIF(ClosedDays!$B$4:$B$32,IF(WEEKDAY(DC21)=1,DC21+1,IF(WEEKDAY(DC21)=7,DC21+2,DC21)))+COUNTIF(ClosedDays!$F$4:$F$32,IF(WEEKDAY(DC21)=1,DC21+1,IF(WEEKDAY(DC21)=7,DC21+2,DC21)))+COUNTIF(ClosedDays!$J$4:$J$32,IF(WEEKDAY(DC21)=1,DC21+1,IF(WEEKDAY(DC21)=7,DC21+2,DC21)))+COUNTIF(ClosedDays!$N$4:$N$32,IF(WEEKDAY(DC21)=1,DC21+1,IF(WEEKDAY(DC21)=7,DC21+2,DC21)))</f>
        <v>44473</v>
      </c>
      <c r="DE21" s="405">
        <f>DD21+IF(WEEKDAY(DD21)=1,1,IF(WEEKDAY(DD21)=7,2,0))+COUNTIF(ClosedDays!$B$4:$B$32,IF(WEEKDAY(DD21)=1,DD21+1,IF(WEEKDAY(DD21)=7,DD21+2,DD21)))+COUNTIF(ClosedDays!$F$4:$F$32,IF(WEEKDAY(DD21)=1,DD21+1,IF(WEEKDAY(DD21)=7,DD21+2,DD21)))+COUNTIF(ClosedDays!$J$4:$J$32,IF(WEEKDAY(DD21)=1,DD21+1,IF(WEEKDAY(DD21)=7,DD21+2,DD21)))+COUNTIF(ClosedDays!$N$4:$N$32,IF(WEEKDAY(DD21)=1,DD21+1,IF(WEEKDAY(DD21)=7,DD21+2,DD21)))</f>
        <v>44473</v>
      </c>
      <c r="DF21" s="405">
        <f>DE21+IF(WEEKDAY(DE21)=1,1,IF(WEEKDAY(DE21)=7,2,0))+COUNTIF(ClosedDays!$B$4:$B$32,IF(WEEKDAY(DE21)=1,DE21+1,IF(WEEKDAY(DE21)=7,DE21+2,DE21)))+COUNTIF(ClosedDays!$F$4:$F$32,IF(WEEKDAY(DE21)=1,DE21+1,IF(WEEKDAY(DE21)=7,DE21+2,DE21)))+COUNTIF(ClosedDays!$J$4:$J$32,IF(WEEKDAY(DE21)=1,DE21+1,IF(WEEKDAY(DE21)=7,DE21+2,DE21)))+COUNTIF(ClosedDays!$N$4:$N$32,IF(WEEKDAY(DE21)=1,DE21+1,IF(WEEKDAY(DE21)=7,DE21+2,DE21)))</f>
        <v>44473</v>
      </c>
      <c r="DG21" s="405">
        <f>DF21+IF(WEEKDAY(DF21)=1,1,IF(WEEKDAY(DF21)=7,2,0))+COUNTIF(ClosedDays!$B$4:$B$32,IF(WEEKDAY(DF21)=1,DF21+1,IF(WEEKDAY(DF21)=7,DF21+2,DF21)))+COUNTIF(ClosedDays!$F$4:$F$32,IF(WEEKDAY(DF21)=1,DF21+1,IF(WEEKDAY(DF21)=7,DF21+2,DF21)))+COUNTIF(ClosedDays!$J$4:$J$32,IF(WEEKDAY(DF21)=1,DF21+1,IF(WEEKDAY(DF21)=7,DF21+2,DF21)))+COUNTIF(ClosedDays!$N$4:$N$32,IF(WEEKDAY(DF21)=1,DF21+1,IF(WEEKDAY(DF21)=7,DF21+2,DF21)))</f>
        <v>44473</v>
      </c>
      <c r="DH21" s="405">
        <f>DG21+IF(WEEKDAY(DG21)=1,1,IF(WEEKDAY(DG21)=7,2,0))+COUNTIF(ClosedDays!$B$4:$B$32,IF(WEEKDAY(DG21)=1,DG21+1,IF(WEEKDAY(DG21)=7,DG21+2,DG21)))+COUNTIF(ClosedDays!$F$4:$F$32,IF(WEEKDAY(DG21)=1,DG21+1,IF(WEEKDAY(DG21)=7,DG21+2,DG21)))+COUNTIF(ClosedDays!$J$4:$J$32,IF(WEEKDAY(DG21)=1,DG21+1,IF(WEEKDAY(DG21)=7,DG21+2,DG21)))+COUNTIF(ClosedDays!$N$4:$N$32,IF(WEEKDAY(DG21)=1,DG21+1,IF(WEEKDAY(DG21)=7,DG21+2,DG21)))</f>
        <v>44473</v>
      </c>
      <c r="DI21" s="405">
        <f>DH21+IF(WEEKDAY(DH21)=1,1,IF(WEEKDAY(DH21)=7,2,0))+COUNTIF(ClosedDays!$B$4:$B$32,IF(WEEKDAY(DH21)=1,DH21+1,IF(WEEKDAY(DH21)=7,DH21+2,DH21)))+COUNTIF(ClosedDays!$F$4:$F$32,IF(WEEKDAY(DH21)=1,DH21+1,IF(WEEKDAY(DH21)=7,DH21+2,DH21)))+COUNTIF(ClosedDays!$J$4:$J$32,IF(WEEKDAY(DH21)=1,DH21+1,IF(WEEKDAY(DH21)=7,DH21+2,DH21)))+COUNTIF(ClosedDays!$N$4:$N$32,IF(WEEKDAY(DH21)=1,DH21+1,IF(WEEKDAY(DH21)=7,DH21+2,DH21)))</f>
        <v>44473</v>
      </c>
      <c r="DJ21" s="405">
        <f>DI21+IF(WEEKDAY(DI21)=1,1,IF(WEEKDAY(DI21)=7,2,0))+COUNTIF(ClosedDays!$B$4:$B$32,IF(WEEKDAY(DI21)=1,DI21+1,IF(WEEKDAY(DI21)=7,DI21+2,DI21)))+COUNTIF(ClosedDays!$F$4:$F$32,IF(WEEKDAY(DI21)=1,DI21+1,IF(WEEKDAY(DI21)=7,DI21+2,DI21)))+COUNTIF(ClosedDays!$J$4:$J$32,IF(WEEKDAY(DI21)=1,DI21+1,IF(WEEKDAY(DI21)=7,DI21+2,DI21)))+COUNTIF(ClosedDays!$N$4:$N$32,IF(WEEKDAY(DI21)=1,DI21+1,IF(WEEKDAY(DI21)=7,DI21+2,DI21)))</f>
        <v>44473</v>
      </c>
      <c r="DK21" s="405">
        <f>DJ21+IF(WEEKDAY(DJ21)=1,1,IF(WEEKDAY(DJ21)=7,2,0))+COUNTIF(ClosedDays!$B$4:$B$32,IF(WEEKDAY(DJ21)=1,DJ21+1,IF(WEEKDAY(DJ21)=7,DJ21+2,DJ21)))+COUNTIF(ClosedDays!$F$4:$F$32,IF(WEEKDAY(DJ21)=1,DJ21+1,IF(WEEKDAY(DJ21)=7,DJ21+2,DJ21)))+COUNTIF(ClosedDays!$J$4:$J$32,IF(WEEKDAY(DJ21)=1,DJ21+1,IF(WEEKDAY(DJ21)=7,DJ21+2,DJ21)))+COUNTIF(ClosedDays!$N$4:$N$32,IF(WEEKDAY(DJ21)=1,DJ21+1,IF(WEEKDAY(DJ21)=7,DJ21+2,DJ21)))</f>
        <v>44473</v>
      </c>
      <c r="DL21" s="405">
        <f>DK21+IF(WEEKDAY(DK21)=1,1,IF(WEEKDAY(DK21)=7,2,0))+COUNTIF(ClosedDays!$B$4:$B$32,IF(WEEKDAY(DK21)=1,DK21+1,IF(WEEKDAY(DK21)=7,DK21+2,DK21)))+COUNTIF(ClosedDays!$F$4:$F$32,IF(WEEKDAY(DK21)=1,DK21+1,IF(WEEKDAY(DK21)=7,DK21+2,DK21)))+COUNTIF(ClosedDays!$J$4:$J$32,IF(WEEKDAY(DK21)=1,DK21+1,IF(WEEKDAY(DK21)=7,DK21+2,DK21)))+COUNTIF(ClosedDays!$N$4:$N$32,IF(WEEKDAY(DK21)=1,DK21+1,IF(WEEKDAY(DK21)=7,DK21+2,DK21)))</f>
        <v>44473</v>
      </c>
      <c r="DM21" s="405">
        <f>DL21+IF(WEEKDAY(DL21)=1,1,IF(WEEKDAY(DL21)=7,2,0))+COUNTIF(ClosedDays!$B$4:$B$32,IF(WEEKDAY(DL21)=1,DL21+1,IF(WEEKDAY(DL21)=7,DL21+2,DL21)))+COUNTIF(ClosedDays!$F$4:$F$32,IF(WEEKDAY(DL21)=1,DL21+1,IF(WEEKDAY(DL21)=7,DL21+2,DL21)))+COUNTIF(ClosedDays!$J$4:$J$32,IF(WEEKDAY(DL21)=1,DL21+1,IF(WEEKDAY(DL21)=7,DL21+2,DL21)))+COUNTIF(ClosedDays!$N$4:$N$32,IF(WEEKDAY(DL21)=1,DL21+1,IF(WEEKDAY(DL21)=7,DL21+2,DL21)))</f>
        <v>44473</v>
      </c>
      <c r="DN21" s="405">
        <f>DM21+IF(WEEKDAY(DM21)=1,1,IF(WEEKDAY(DM21)=7,2,0))+COUNTIF(ClosedDays!$B$4:$B$32,IF(WEEKDAY(DM21)=1,DM21+1,IF(WEEKDAY(DM21)=7,DM21+2,DM21)))+COUNTIF(ClosedDays!$F$4:$F$32,IF(WEEKDAY(DM21)=1,DM21+1,IF(WEEKDAY(DM21)=7,DM21+2,DM21)))+COUNTIF(ClosedDays!$J$4:$J$32,IF(WEEKDAY(DM21)=1,DM21+1,IF(WEEKDAY(DM21)=7,DM21+2,DM21)))+COUNTIF(ClosedDays!$N$4:$N$32,IF(WEEKDAY(DM21)=1,DM21+1,IF(WEEKDAY(DM21)=7,DM21+2,DM21)))</f>
        <v>44473</v>
      </c>
      <c r="DO21" s="405">
        <f>DN21+IF(WEEKDAY(DN21)=1,1,IF(WEEKDAY(DN21)=7,2,0))+COUNTIF(ClosedDays!$B$4:$B$32,IF(WEEKDAY(DN21)=1,DN21+1,IF(WEEKDAY(DN21)=7,DN21+2,DN21)))+COUNTIF(ClosedDays!$F$4:$F$32,IF(WEEKDAY(DN21)=1,DN21+1,IF(WEEKDAY(DN21)=7,DN21+2,DN21)))+COUNTIF(ClosedDays!$J$4:$J$32,IF(WEEKDAY(DN21)=1,DN21+1,IF(WEEKDAY(DN21)=7,DN21+2,DN21)))+COUNTIF(ClosedDays!$N$4:$N$32,IF(WEEKDAY(DN21)=1,DN21+1,IF(WEEKDAY(DN21)=7,DN21+2,DN21)))</f>
        <v>44473</v>
      </c>
      <c r="DP21" s="405">
        <f>IF(NOT(ISBLANK(EA21)),EA21,IF(WEEKDAY(DO21)=1,DO21+1,IF(WEEKDAY(DO21)=7,DO21+2,DO21)))</f>
        <v>44473</v>
      </c>
      <c r="DQ21" s="405">
        <f t="shared" si="20"/>
        <v>44473</v>
      </c>
      <c r="DR21" s="394">
        <f t="shared" si="19"/>
        <v>1</v>
      </c>
      <c r="DS21" s="394">
        <f>IF(AND(DR21=1,COUNTIF(DS$7:DS20,1)&lt;12,VLOOKUP(COUNTIF(DS$7:DS20,1)+1,'Outline Info'!$A$21:$C$32,2)&lt;=I21),1,0)</f>
        <v>0</v>
      </c>
      <c r="DT21" s="405" t="str">
        <f>IF(DS21=1,IF(VLOOKUP(COUNTIF(DS$7:DS21,1),'Outline Info'!$A$21:$C$32,2)=0,"",VLOOKUP(COUNTIF(DS$7:DS21,1),'Outline Info'!$A$21:$C$32,2)),"")</f>
        <v/>
      </c>
      <c r="DU21" s="447">
        <f>IF(DS21=1,VLOOKUP(COUNTIF(DS$7:DS21,1),'Outline Info'!$A$21:$C$32,3),0)</f>
        <v>0</v>
      </c>
      <c r="DV21" s="445">
        <f>IF('Outline Info'!$B$8="Y",IF(B21="*",'Outline Info'!$B$19,IF(OR($A21="",B21="X",B21="x"),0,VLOOKUP($A21,'Course Table'!$A$2:$J$331,4,TRUE))),0)</f>
        <v>0</v>
      </c>
      <c r="DW21" s="447">
        <f t="shared" si="6"/>
        <v>0</v>
      </c>
      <c r="DX21" s="447">
        <f>IF('Outline Info'!$B$8="Y",$DV21,$DW21)</f>
        <v>0</v>
      </c>
      <c r="DY21" s="394"/>
      <c r="DZ21" s="934"/>
      <c r="EA21" s="934"/>
      <c r="EB21" s="394"/>
      <c r="EC21" s="394"/>
      <c r="ED21" s="394"/>
    </row>
    <row r="22" spans="1:134" s="400" customFormat="1" ht="20.100000000000001" customHeight="1">
      <c r="A22" s="874" t="str">
        <f t="shared" si="7"/>
        <v/>
      </c>
      <c r="B22" s="876" t="str">
        <f t="shared" si="8"/>
        <v/>
      </c>
      <c r="C22" s="878" t="str">
        <f t="shared" si="9"/>
        <v/>
      </c>
      <c r="D22" s="463">
        <f>IF(NOT(ISBLANK(DZ22)),DZ22,IF(AND($AC22=9998,'Outline Info'!$H$33&gt;='Outline Info'!$B$6,'Outline Info'!$H$33&lt;='Outline Info'!$C$6),'Outline Info'!$H$33,IF(AND($AC22=9997,'Outline Info'!$H$31&gt;='Outline Info'!$B$6,'Outline Info'!$H$31&lt;='Outline Info'!$C$6),'Outline Info'!$H$31,IF(AE22="*",DQ21,IF(OR(AE22="x",AE22="X"),I21,IF(AND(AC22&gt;6,AC21&lt;6),DQ21,IF(AND($AC22=9998,$AC21=9997),I20,I21)))))))</f>
        <v>44470</v>
      </c>
      <c r="E22" s="1286"/>
      <c r="F22" s="1287"/>
      <c r="G22" s="1282"/>
      <c r="H22" s="1283"/>
      <c r="I22" s="464">
        <f>IF(NOT(ISBLANK(EA22)),EA22,IF(AND($AC22=9998,'Outline Info'!$I$33&gt;='Outline Info'!$B$6,'Outline Info'!$I$33&lt;='Outline Info'!$C$6),'Outline Info'!$I$33,IF(AND($AC22=9997,'Outline Info'!$I$31&gt;='Outline Info'!$B$6,'Outline Info'!$I$31&lt;='Outline Info'!$C$6),'Outline Info'!$I$31,IF(DP22&gt;$V$4,$V$4,DP22))))</f>
        <v>44470</v>
      </c>
      <c r="J22" s="436"/>
      <c r="K22" s="437"/>
      <c r="L22" s="438"/>
      <c r="M22" s="438"/>
      <c r="N22" s="435"/>
      <c r="O22" s="435"/>
      <c r="P22" s="438"/>
      <c r="Q22" s="438"/>
      <c r="R22" s="439"/>
      <c r="S22" s="872">
        <f>IF($V$5-SUM($DX$7:$DX22)&lt;0,IF($V$5-SUM($DX$7:$DX21)&lt;0,0,$V$5-SUM($DX$7:$DX21)),DX22)</f>
        <v>0</v>
      </c>
      <c r="T22" s="440" t="str">
        <f>IF(S22&gt;0,IF('Outline Info'!$B$8="Y",D22,DT22),"")</f>
        <v/>
      </c>
      <c r="U22" s="441"/>
      <c r="V22" s="442"/>
      <c r="W22" s="870" t="str">
        <f>IF('Outline Info'!$C$33&gt;0,ROUND(IF('Outline Info'!$B$8="Y",SUM(S$7:S22)-SUM(AJ$7:AJ22)-'Outline Info'!$B$14-'Outline Info'!$B$15-'Outline Info'!$B$17,IF(AL22=0,SUM(S$7:S22)-SUM(AK$7:AK22)-SUM(AP22:AS22)-'Outline Info'!$B$14-'Outline Info'!$B$15-'Outline Info'!$B$17,0)),0),IF('Outline Info'!$T$4&lt;&gt;1,"",IF(OR(AD22="",AL22=1),"",SUM(AK$7:AK22)+SUM(AP22:AS22)+'Outline Info'!$B$14+'Outline Info'!$B$15+'Outline Info'!$B$17)))</f>
        <v/>
      </c>
      <c r="X22" s="448"/>
      <c r="Y22" s="443">
        <f>IF(OR(AE22="X",AE22="x",AE22="*",AC22=99999),0,IF(AC22&lt;50,0,IF($S$4-SUM($Y$7:$Y21)&gt;0,1,0)))</f>
        <v>0</v>
      </c>
      <c r="Z22" s="444">
        <f>IF(AC22&lt;99999,IF(AE22="*",AH22,IF(OR(AE22="x",AE22="X",AC22&lt;10),0,IF(AND(AC22&lt;&gt;9998,AC22&lt;&gt;9997),IF(AM22=1,(AH22+$AM$5)*(1+('Outline Info'!$B$16)),IF(AN22=1,(AH22+$AN$5)*(1+('Outline Info'!$B$16)),0)),AH22))),0)</f>
        <v>0</v>
      </c>
      <c r="AA22" s="395">
        <f>Z22/'Outline Info'!$C$11+Y22</f>
        <v>0</v>
      </c>
      <c r="AB22" s="395">
        <f>ROUND(AA22/'Outline Info'!$B$11*7,0)</f>
        <v>0</v>
      </c>
      <c r="AC22" s="445">
        <f>IF($AD22&lt;&gt;"",VLOOKUP($AD22,'Course Table'!$A$2:$J$331,10,TRUE),99999)</f>
        <v>99999</v>
      </c>
      <c r="AD22" s="394"/>
      <c r="AE22" s="394"/>
      <c r="AF22" s="394"/>
      <c r="AG22" s="394"/>
      <c r="AH22" s="394"/>
      <c r="AI22" s="394">
        <v>399</v>
      </c>
      <c r="AJ22" s="394">
        <v>399</v>
      </c>
      <c r="AK22" s="394">
        <f t="shared" si="10"/>
        <v>399</v>
      </c>
      <c r="AL22" s="394">
        <f t="shared" si="11"/>
        <v>0</v>
      </c>
      <c r="AM22" s="394">
        <f t="shared" si="12"/>
        <v>0</v>
      </c>
      <c r="AN22" s="394">
        <f t="shared" si="13"/>
        <v>0</v>
      </c>
      <c r="AO22" s="394">
        <f>IF(AN22=1,SUMPRODUCT($AJ$7:$AJ22,$AN$7:$AN22),0)</f>
        <v>0</v>
      </c>
      <c r="AP22" s="394">
        <f t="shared" si="14"/>
        <v>0</v>
      </c>
      <c r="AQ22" s="394">
        <f t="shared" si="14"/>
        <v>0</v>
      </c>
      <c r="AR22" s="394">
        <f t="shared" si="14"/>
        <v>0</v>
      </c>
      <c r="AS22" s="394">
        <f t="shared" si="14"/>
        <v>0</v>
      </c>
      <c r="AT22" s="394">
        <f t="shared" si="15"/>
        <v>0</v>
      </c>
      <c r="AU22" s="394">
        <f t="shared" si="15"/>
        <v>0</v>
      </c>
      <c r="AV22" s="394">
        <f t="shared" si="15"/>
        <v>0</v>
      </c>
      <c r="AW22" s="394">
        <f t="shared" si="15"/>
        <v>0</v>
      </c>
      <c r="AX22" s="394">
        <f t="shared" si="1"/>
        <v>0</v>
      </c>
      <c r="AY22" s="394">
        <f t="shared" si="2"/>
        <v>0</v>
      </c>
      <c r="AZ22" s="394">
        <f t="shared" si="3"/>
        <v>0</v>
      </c>
      <c r="BA22" s="394">
        <f t="shared" si="4"/>
        <v>0</v>
      </c>
      <c r="BB22" s="405">
        <f t="shared" ref="BB22:BB47" si="22">IF(OR(AE22="X",AE22="x"),I21,IF(AE22="*",I21+AB22,IF(AC22&gt;6,IF(NOT(ISBLANK(DZ22)),DZ22+AB22,DQ21+AB22),$V$3-7+ROUND(($V$4-$V$3)/4*(AC22),0))))</f>
        <v>44473</v>
      </c>
      <c r="BC22" s="405">
        <f>BB22+IF(WEEKDAY(BB22)=1,1,IF(WEEKDAY(BB22)=7,2,0))+COUNTIF(ClosedDays!$B$4:$B$32,IF(WEEKDAY(BB22)=1,BB22+1,IF(WEEKDAY(BB22)=7,BB22+2,BB22)))+COUNTIF(ClosedDays!$F$4:$F$32,IF(WEEKDAY(BB22)=1,BB22+1,IF(WEEKDAY(BB22)=7,BB22+2,BB22)))+COUNTIF(ClosedDays!$J$4:$J$32,IF(WEEKDAY(BB22)=1,BB22+1,IF(WEEKDAY(BB22)=7,BB22+2,BB22)))+COUNTIF(ClosedDays!$N$4:$N$32,IF(WEEKDAY(BB22)=1,BB22+1,IF(WEEKDAY(BB22)=7,BB22+2,BB22)))</f>
        <v>44473</v>
      </c>
      <c r="BD22" s="405">
        <f>BC22+IF(WEEKDAY(BC22)=1,1,IF(WEEKDAY(BC22)=7,2,0))+COUNTIF(ClosedDays!$B$4:$B$32,IF(WEEKDAY(BC22)=1,BC22+1,IF(WEEKDAY(BC22)=7,BC22+2,BC22)))+COUNTIF(ClosedDays!$F$4:$F$32,IF(WEEKDAY(BC22)=1,BC22+1,IF(WEEKDAY(BC22)=7,BC22+2,BC22)))+COUNTIF(ClosedDays!$J$4:$J$32,IF(WEEKDAY(BC22)=1,BC22+1,IF(WEEKDAY(BC22)=7,BC22+2,BC22)))+COUNTIF(ClosedDays!$N$4:$N$32,IF(WEEKDAY(BC22)=1,BC22+1,IF(WEEKDAY(BC22)=7,BC22+2,BC22)))</f>
        <v>44473</v>
      </c>
      <c r="BE22" s="405">
        <f>BD22+IF(WEEKDAY(BD22)=1,1,IF(WEEKDAY(BD22)=7,2,0))+COUNTIF(ClosedDays!$B$4:$B$32,IF(WEEKDAY(BD22)=1,BD22+1,IF(WEEKDAY(BD22)=7,BD22+2,BD22)))+COUNTIF(ClosedDays!$F$4:$F$32,IF(WEEKDAY(BD22)=1,BD22+1,IF(WEEKDAY(BD22)=7,BD22+2,BD22)))+COUNTIF(ClosedDays!$J$4:$J$32,IF(WEEKDAY(BD22)=1,BD22+1,IF(WEEKDAY(BD22)=7,BD22+2,BD22)))+COUNTIF(ClosedDays!$N$4:$N$32,IF(WEEKDAY(BD22)=1,BD22+1,IF(WEEKDAY(BD22)=7,BD22+2,BD22)))</f>
        <v>44473</v>
      </c>
      <c r="BF22" s="405">
        <f>BE22+IF(WEEKDAY(BE22)=1,1,IF(WEEKDAY(BE22)=7,2,0))+COUNTIF(ClosedDays!$B$4:$B$32,IF(WEEKDAY(BE22)=1,BE22+1,IF(WEEKDAY(BE22)=7,BE22+2,BE22)))+COUNTIF(ClosedDays!$F$4:$F$32,IF(WEEKDAY(BE22)=1,BE22+1,IF(WEEKDAY(BE22)=7,BE22+2,BE22)))+COUNTIF(ClosedDays!$J$4:$J$32,IF(WEEKDAY(BE22)=1,BE22+1,IF(WEEKDAY(BE22)=7,BE22+2,BE22)))+COUNTIF(ClosedDays!$N$4:$N$32,IF(WEEKDAY(BE22)=1,BE22+1,IF(WEEKDAY(BE22)=7,BE22+2,BE22)))</f>
        <v>44473</v>
      </c>
      <c r="BG22" s="405">
        <f>BF22+IF(WEEKDAY(BF22)=1,1,IF(WEEKDAY(BF22)=7,2,0))+COUNTIF(ClosedDays!$B$4:$B$32,IF(WEEKDAY(BF22)=1,BF22+1,IF(WEEKDAY(BF22)=7,BF22+2,BF22)))+COUNTIF(ClosedDays!$F$4:$F$32,IF(WEEKDAY(BF22)=1,BF22+1,IF(WEEKDAY(BF22)=7,BF22+2,BF22)))+COUNTIF(ClosedDays!$J$4:$J$32,IF(WEEKDAY(BF22)=1,BF22+1,IF(WEEKDAY(BF22)=7,BF22+2,BF22)))+COUNTIF(ClosedDays!$N$4:$N$32,IF(WEEKDAY(BF22)=1,BF22+1,IF(WEEKDAY(BF22)=7,BF22+2,BF22)))</f>
        <v>44473</v>
      </c>
      <c r="BH22" s="405">
        <f>BG22+IF(WEEKDAY(BG22)=1,1,IF(WEEKDAY(BG22)=7,2,0))+COUNTIF(ClosedDays!$B$4:$B$32,IF(WEEKDAY(BG22)=1,BG22+1,IF(WEEKDAY(BG22)=7,BG22+2,BG22)))+COUNTIF(ClosedDays!$F$4:$F$32,IF(WEEKDAY(BG22)=1,BG22+1,IF(WEEKDAY(BG22)=7,BG22+2,BG22)))+COUNTIF(ClosedDays!$J$4:$J$32,IF(WEEKDAY(BG22)=1,BG22+1,IF(WEEKDAY(BG22)=7,BG22+2,BG22)))+COUNTIF(ClosedDays!$N$4:$N$32,IF(WEEKDAY(BG22)=1,BG22+1,IF(WEEKDAY(BG22)=7,BG22+2,BG22)))</f>
        <v>44473</v>
      </c>
      <c r="BI22" s="405">
        <f>BH22+IF(WEEKDAY(BH22)=1,1,IF(WEEKDAY(BH22)=7,2,0))+COUNTIF(ClosedDays!$B$4:$B$32,IF(WEEKDAY(BH22)=1,BH22+1,IF(WEEKDAY(BH22)=7,BH22+2,BH22)))+COUNTIF(ClosedDays!$F$4:$F$32,IF(WEEKDAY(BH22)=1,BH22+1,IF(WEEKDAY(BH22)=7,BH22+2,BH22)))+COUNTIF(ClosedDays!$J$4:$J$32,IF(WEEKDAY(BH22)=1,BH22+1,IF(WEEKDAY(BH22)=7,BH22+2,BH22)))+COUNTIF(ClosedDays!$N$4:$N$32,IF(WEEKDAY(BH22)=1,BH22+1,IF(WEEKDAY(BH22)=7,BH22+2,BH22)))</f>
        <v>44473</v>
      </c>
      <c r="BJ22" s="405">
        <f>BI22+IF(WEEKDAY(BI22)=1,1,IF(WEEKDAY(BI22)=7,2,0))+COUNTIF(ClosedDays!$B$4:$B$32,IF(WEEKDAY(BI22)=1,BI22+1,IF(WEEKDAY(BI22)=7,BI22+2,BI22)))+COUNTIF(ClosedDays!$F$4:$F$32,IF(WEEKDAY(BI22)=1,BI22+1,IF(WEEKDAY(BI22)=7,BI22+2,BI22)))+COUNTIF(ClosedDays!$J$4:$J$32,IF(WEEKDAY(BI22)=1,BI22+1,IF(WEEKDAY(BI22)=7,BI22+2,BI22)))+COUNTIF(ClosedDays!$N$4:$N$32,IF(WEEKDAY(BI22)=1,BI22+1,IF(WEEKDAY(BI22)=7,BI22+2,BI22)))</f>
        <v>44473</v>
      </c>
      <c r="BK22" s="405">
        <f>BJ22+IF(WEEKDAY(BJ22)=1,1,IF(WEEKDAY(BJ22)=7,2,0))+COUNTIF(ClosedDays!$B$4:$B$32,IF(WEEKDAY(BJ22)=1,BJ22+1,IF(WEEKDAY(BJ22)=7,BJ22+2,BJ22)))+COUNTIF(ClosedDays!$F$4:$F$32,IF(WEEKDAY(BJ22)=1,BJ22+1,IF(WEEKDAY(BJ22)=7,BJ22+2,BJ22)))+COUNTIF(ClosedDays!$J$4:$J$32,IF(WEEKDAY(BJ22)=1,BJ22+1,IF(WEEKDAY(BJ22)=7,BJ22+2,BJ22)))+COUNTIF(ClosedDays!$N$4:$N$32,IF(WEEKDAY(BJ22)=1,BJ22+1,IF(WEEKDAY(BJ22)=7,BJ22+2,BJ22)))</f>
        <v>44473</v>
      </c>
      <c r="BL22" s="405">
        <f>BK22+IF(WEEKDAY(BK22)=1,1,IF(WEEKDAY(BK22)=7,2,0))+COUNTIF(ClosedDays!$B$4:$B$32,IF(WEEKDAY(BK22)=1,BK22+1,IF(WEEKDAY(BK22)=7,BK22+2,BK22)))+COUNTIF(ClosedDays!$F$4:$F$32,IF(WEEKDAY(BK22)=1,BK22+1,IF(WEEKDAY(BK22)=7,BK22+2,BK22)))+COUNTIF(ClosedDays!$J$4:$J$32,IF(WEEKDAY(BK22)=1,BK22+1,IF(WEEKDAY(BK22)=7,BK22+2,BK22)))+COUNTIF(ClosedDays!$N$4:$N$32,IF(WEEKDAY(BK22)=1,BK22+1,IF(WEEKDAY(BK22)=7,BK22+2,BK22)))</f>
        <v>44473</v>
      </c>
      <c r="BM22" s="405">
        <f>BL22+IF(WEEKDAY(BL22)=1,1,IF(WEEKDAY(BL22)=7,2,0))+COUNTIF(ClosedDays!$B$4:$B$32,IF(WEEKDAY(BL22)=1,BL22+1,IF(WEEKDAY(BL22)=7,BL22+2,BL22)))+COUNTIF(ClosedDays!$F$4:$F$32,IF(WEEKDAY(BL22)=1,BL22+1,IF(WEEKDAY(BL22)=7,BL22+2,BL22)))+COUNTIF(ClosedDays!$J$4:$J$32,IF(WEEKDAY(BL22)=1,BL22+1,IF(WEEKDAY(BL22)=7,BL22+2,BL22)))+COUNTIF(ClosedDays!$N$4:$N$32,IF(WEEKDAY(BL22)=1,BL22+1,IF(WEEKDAY(BL22)=7,BL22+2,BL22)))</f>
        <v>44473</v>
      </c>
      <c r="BN22" s="405">
        <f>BM22+IF(WEEKDAY(BM22)=1,1,IF(WEEKDAY(BM22)=7,2,0))+COUNTIF(ClosedDays!$B$4:$B$32,IF(WEEKDAY(BM22)=1,BM22+1,IF(WEEKDAY(BM22)=7,BM22+2,BM22)))+COUNTIF(ClosedDays!$F$4:$F$32,IF(WEEKDAY(BM22)=1,BM22+1,IF(WEEKDAY(BM22)=7,BM22+2,BM22)))+COUNTIF(ClosedDays!$J$4:$J$32,IF(WEEKDAY(BM22)=1,BM22+1,IF(WEEKDAY(BM22)=7,BM22+2,BM22)))+COUNTIF(ClosedDays!$N$4:$N$32,IF(WEEKDAY(BM22)=1,BM22+1,IF(WEEKDAY(BM22)=7,BM22+2,BM22)))</f>
        <v>44473</v>
      </c>
      <c r="BO22" s="405">
        <f>BN22+IF(WEEKDAY(BN22)=1,1,IF(WEEKDAY(BN22)=7,2,0))+COUNTIF(ClosedDays!$B$4:$B$32,IF(WEEKDAY(BN22)=1,BN22+1,IF(WEEKDAY(BN22)=7,BN22+2,BN22)))+COUNTIF(ClosedDays!$F$4:$F$32,IF(WEEKDAY(BN22)=1,BN22+1,IF(WEEKDAY(BN22)=7,BN22+2,BN22)))+COUNTIF(ClosedDays!$J$4:$J$32,IF(WEEKDAY(BN22)=1,BN22+1,IF(WEEKDAY(BN22)=7,BN22+2,BN22)))+COUNTIF(ClosedDays!$N$4:$N$32,IF(WEEKDAY(BN22)=1,BN22+1,IF(WEEKDAY(BN22)=7,BN22+2,BN22)))</f>
        <v>44473</v>
      </c>
      <c r="BP22" s="405">
        <f>BO22+IF(WEEKDAY(BO22)=1,1,IF(WEEKDAY(BO22)=7,2,0))+COUNTIF(ClosedDays!$B$4:$B$32,IF(WEEKDAY(BO22)=1,BO22+1,IF(WEEKDAY(BO22)=7,BO22+2,BO22)))+COUNTIF(ClosedDays!$F$4:$F$32,IF(WEEKDAY(BO22)=1,BO22+1,IF(WEEKDAY(BO22)=7,BO22+2,BO22)))+COUNTIF(ClosedDays!$J$4:$J$32,IF(WEEKDAY(BO22)=1,BO22+1,IF(WEEKDAY(BO22)=7,BO22+2,BO22)))+COUNTIF(ClosedDays!$N$4:$N$32,IF(WEEKDAY(BO22)=1,BO22+1,IF(WEEKDAY(BO22)=7,BO22+2,BO22)))</f>
        <v>44473</v>
      </c>
      <c r="BQ22" s="405">
        <f t="shared" si="16"/>
        <v>44473</v>
      </c>
      <c r="BR22" s="446">
        <f>IF(AND($D22&lt;='Outline Info'!$H$31,BQ22&gt;='Outline Info'!$H$31,$BS$4=1,$AC22&gt;10,$AC22&lt;9997),1,0)</f>
        <v>0</v>
      </c>
      <c r="BS22" s="405">
        <f>IF(BR22=1,BQ22+'Outline Info'!$I$31-'Outline Info'!$H$31+1,BQ22)</f>
        <v>44473</v>
      </c>
      <c r="BT22" s="405">
        <f>BS22+IF(WEEKDAY(BS22)=1,1,IF(WEEKDAY(BS22)=7,2,0))+COUNTIF(ClosedDays!$B$4:$B$32,IF(WEEKDAY(BS22)=1,BS22+1,IF(WEEKDAY(BS22)=7,BS22+2,BS22)))+COUNTIF(ClosedDays!$F$4:$F$32,IF(WEEKDAY(BS22)=1,BS22+1,IF(WEEKDAY(BS22)=7,BS22+2,BS22)))+COUNTIF(ClosedDays!$J$4:$J$32,IF(WEEKDAY(BS22)=1,BS22+1,IF(WEEKDAY(BS22)=7,BS22+2,BS22)))+COUNTIF(ClosedDays!$N$4:$N$32,IF(WEEKDAY(BS22)=1,BS22+1,IF(WEEKDAY(BS22)=7,BS22+2,BS22)))</f>
        <v>44473</v>
      </c>
      <c r="BU22" s="405">
        <f>BT22+IF(WEEKDAY(BT22)=1,1,IF(WEEKDAY(BT22)=7,2,0))+COUNTIF(ClosedDays!$B$4:$B$32,IF(WEEKDAY(BT22)=1,BT22+1,IF(WEEKDAY(BT22)=7,BT22+2,BT22)))+COUNTIF(ClosedDays!$F$4:$F$32,IF(WEEKDAY(BT22)=1,BT22+1,IF(WEEKDAY(BT22)=7,BT22+2,BT22)))+COUNTIF(ClosedDays!$J$4:$J$32,IF(WEEKDAY(BT22)=1,BT22+1,IF(WEEKDAY(BT22)=7,BT22+2,BT22)))+COUNTIF(ClosedDays!$N$4:$N$32,IF(WEEKDAY(BT22)=1,BT22+1,IF(WEEKDAY(BT22)=7,BT22+2,BT22)))</f>
        <v>44473</v>
      </c>
      <c r="BV22" s="405">
        <f>BU22+IF(WEEKDAY(BU22)=1,1,IF(WEEKDAY(BU22)=7,2,0))+COUNTIF(ClosedDays!$B$4:$B$32,IF(WEEKDAY(BU22)=1,BU22+1,IF(WEEKDAY(BU22)=7,BU22+2,BU22)))+COUNTIF(ClosedDays!$F$4:$F$32,IF(WEEKDAY(BU22)=1,BU22+1,IF(WEEKDAY(BU22)=7,BU22+2,BU22)))+COUNTIF(ClosedDays!$J$4:$J$32,IF(WEEKDAY(BU22)=1,BU22+1,IF(WEEKDAY(BU22)=7,BU22+2,BU22)))+COUNTIF(ClosedDays!$N$4:$N$32,IF(WEEKDAY(BU22)=1,BU22+1,IF(WEEKDAY(BU22)=7,BU22+2,BU22)))</f>
        <v>44473</v>
      </c>
      <c r="BW22" s="405">
        <f>BV22+IF(WEEKDAY(BV22)=1,1,IF(WEEKDAY(BV22)=7,2,0))+COUNTIF(ClosedDays!$B$4:$B$32,IF(WEEKDAY(BV22)=1,BV22+1,IF(WEEKDAY(BV22)=7,BV22+2,BV22)))+COUNTIF(ClosedDays!$F$4:$F$32,IF(WEEKDAY(BV22)=1,BV22+1,IF(WEEKDAY(BV22)=7,BV22+2,BV22)))+COUNTIF(ClosedDays!$J$4:$J$32,IF(WEEKDAY(BV22)=1,BV22+1,IF(WEEKDAY(BV22)=7,BV22+2,BV22)))+COUNTIF(ClosedDays!$N$4:$N$32,IF(WEEKDAY(BV22)=1,BV22+1,IF(WEEKDAY(BV22)=7,BV22+2,BV22)))</f>
        <v>44473</v>
      </c>
      <c r="BX22" s="405">
        <f>BW22+IF(WEEKDAY(BW22)=1,1,IF(WEEKDAY(BW22)=7,2,0))+COUNTIF(ClosedDays!$B$4:$B$32,IF(WEEKDAY(BW22)=1,BW22+1,IF(WEEKDAY(BW22)=7,BW22+2,BW22)))+COUNTIF(ClosedDays!$F$4:$F$32,IF(WEEKDAY(BW22)=1,BW22+1,IF(WEEKDAY(BW22)=7,BW22+2,BW22)))+COUNTIF(ClosedDays!$J$4:$J$32,IF(WEEKDAY(BW22)=1,BW22+1,IF(WEEKDAY(BW22)=7,BW22+2,BW22)))+COUNTIF(ClosedDays!$N$4:$N$32,IF(WEEKDAY(BW22)=1,BW22+1,IF(WEEKDAY(BW22)=7,BW22+2,BW22)))</f>
        <v>44473</v>
      </c>
      <c r="BY22" s="405">
        <f>BX22+IF(WEEKDAY(BX22)=1,1,IF(WEEKDAY(BX22)=7,2,0))+COUNTIF(ClosedDays!$B$4:$B$32,IF(WEEKDAY(BX22)=1,BX22+1,IF(WEEKDAY(BX22)=7,BX22+2,BX22)))+COUNTIF(ClosedDays!$F$4:$F$32,IF(WEEKDAY(BX22)=1,BX22+1,IF(WEEKDAY(BX22)=7,BX22+2,BX22)))+COUNTIF(ClosedDays!$J$4:$J$32,IF(WEEKDAY(BX22)=1,BX22+1,IF(WEEKDAY(BX22)=7,BX22+2,BX22)))+COUNTIF(ClosedDays!$N$4:$N$32,IF(WEEKDAY(BX22)=1,BX22+1,IF(WEEKDAY(BX22)=7,BX22+2,BX22)))</f>
        <v>44473</v>
      </c>
      <c r="BZ22" s="405">
        <f>BY22+IF(WEEKDAY(BY22)=1,1,IF(WEEKDAY(BY22)=7,2,0))+COUNTIF(ClosedDays!$B$4:$B$32,IF(WEEKDAY(BY22)=1,BY22+1,IF(WEEKDAY(BY22)=7,BY22+2,BY22)))+COUNTIF(ClosedDays!$F$4:$F$32,IF(WEEKDAY(BY22)=1,BY22+1,IF(WEEKDAY(BY22)=7,BY22+2,BY22)))+COUNTIF(ClosedDays!$J$4:$J$32,IF(WEEKDAY(BY22)=1,BY22+1,IF(WEEKDAY(BY22)=7,BY22+2,BY22)))+COUNTIF(ClosedDays!$N$4:$N$32,IF(WEEKDAY(BY22)=1,BY22+1,IF(WEEKDAY(BY22)=7,BY22+2,BY22)))</f>
        <v>44473</v>
      </c>
      <c r="CA22" s="405">
        <f>BZ22+IF(WEEKDAY(BZ22)=1,1,IF(WEEKDAY(BZ22)=7,2,0))+COUNTIF(ClosedDays!$B$4:$B$32,IF(WEEKDAY(BZ22)=1,BZ22+1,IF(WEEKDAY(BZ22)=7,BZ22+2,BZ22)))+COUNTIF(ClosedDays!$F$4:$F$32,IF(WEEKDAY(BZ22)=1,BZ22+1,IF(WEEKDAY(BZ22)=7,BZ22+2,BZ22)))+COUNTIF(ClosedDays!$J$4:$J$32,IF(WEEKDAY(BZ22)=1,BZ22+1,IF(WEEKDAY(BZ22)=7,BZ22+2,BZ22)))+COUNTIF(ClosedDays!$N$4:$N$32,IF(WEEKDAY(BZ22)=1,BZ22+1,IF(WEEKDAY(BZ22)=7,BZ22+2,BZ22)))</f>
        <v>44473</v>
      </c>
      <c r="CB22" s="405">
        <f>CA22+IF(WEEKDAY(CA22)=1,1,IF(WEEKDAY(CA22)=7,2,0))+COUNTIF(ClosedDays!$B$4:$B$32,IF(WEEKDAY(CA22)=1,CA22+1,IF(WEEKDAY(CA22)=7,CA22+2,CA22)))+COUNTIF(ClosedDays!$F$4:$F$32,IF(WEEKDAY(CA22)=1,CA22+1,IF(WEEKDAY(CA22)=7,CA22+2,CA22)))+COUNTIF(ClosedDays!$J$4:$J$32,IF(WEEKDAY(CA22)=1,CA22+1,IF(WEEKDAY(CA22)=7,CA22+2,CA22)))+COUNTIF(ClosedDays!$N$4:$N$32,IF(WEEKDAY(CA22)=1,CA22+1,IF(WEEKDAY(CA22)=7,CA22+2,CA22)))</f>
        <v>44473</v>
      </c>
      <c r="CC22" s="405">
        <f>CB22+IF(WEEKDAY(CB22)=1,1,IF(WEEKDAY(CB22)=7,2,0))+COUNTIF(ClosedDays!$B$4:$B$32,IF(WEEKDAY(CB22)=1,CB22+1,IF(WEEKDAY(CB22)=7,CB22+2,CB22)))+COUNTIF(ClosedDays!$F$4:$F$32,IF(WEEKDAY(CB22)=1,CB22+1,IF(WEEKDAY(CB22)=7,CB22+2,CB22)))+COUNTIF(ClosedDays!$J$4:$J$32,IF(WEEKDAY(CB22)=1,CB22+1,IF(WEEKDAY(CB22)=7,CB22+2,CB22)))+COUNTIF(ClosedDays!$N$4:$N$32,IF(WEEKDAY(CB22)=1,CB22+1,IF(WEEKDAY(CB22)=7,CB22+2,CB22)))</f>
        <v>44473</v>
      </c>
      <c r="CD22" s="405">
        <f>CC22+IF(WEEKDAY(CC22)=1,1,IF(WEEKDAY(CC22)=7,2,0))+COUNTIF(ClosedDays!$B$4:$B$32,IF(WEEKDAY(CC22)=1,CC22+1,IF(WEEKDAY(CC22)=7,CC22+2,CC22)))+COUNTIF(ClosedDays!$F$4:$F$32,IF(WEEKDAY(CC22)=1,CC22+1,IF(WEEKDAY(CC22)=7,CC22+2,CC22)))+COUNTIF(ClosedDays!$J$4:$J$32,IF(WEEKDAY(CC22)=1,CC22+1,IF(WEEKDAY(CC22)=7,CC22+2,CC22)))+COUNTIF(ClosedDays!$N$4:$N$32,IF(WEEKDAY(CC22)=1,CC22+1,IF(WEEKDAY(CC22)=7,CC22+2,CC22)))</f>
        <v>44473</v>
      </c>
      <c r="CE22" s="405">
        <f>CD22+IF(WEEKDAY(CD22)=1,1,IF(WEEKDAY(CD22)=7,2,0))+COUNTIF(ClosedDays!$B$4:$B$32,IF(WEEKDAY(CD22)=1,CD22+1,IF(WEEKDAY(CD22)=7,CD22+2,CD22)))+COUNTIF(ClosedDays!$F$4:$F$32,IF(WEEKDAY(CD22)=1,CD22+1,IF(WEEKDAY(CD22)=7,CD22+2,CD22)))+COUNTIF(ClosedDays!$J$4:$J$32,IF(WEEKDAY(CD22)=1,CD22+1,IF(WEEKDAY(CD22)=7,CD22+2,CD22)))+COUNTIF(ClosedDays!$N$4:$N$32,IF(WEEKDAY(CD22)=1,CD22+1,IF(WEEKDAY(CD22)=7,CD22+2,CD22)))</f>
        <v>44473</v>
      </c>
      <c r="CF22" s="405">
        <f>CE22+IF(WEEKDAY(CE22)=1,1,IF(WEEKDAY(CE22)=7,2,0))+COUNTIF(ClosedDays!$B$4:$B$32,IF(WEEKDAY(CE22)=1,CE22+1,IF(WEEKDAY(CE22)=7,CE22+2,CE22)))+COUNTIF(ClosedDays!$F$4:$F$32,IF(WEEKDAY(CE22)=1,CE22+1,IF(WEEKDAY(CE22)=7,CE22+2,CE22)))+COUNTIF(ClosedDays!$J$4:$J$32,IF(WEEKDAY(CE22)=1,CE22+1,IF(WEEKDAY(CE22)=7,CE22+2,CE22)))+COUNTIF(ClosedDays!$N$4:$N$32,IF(WEEKDAY(CE22)=1,CE22+1,IF(WEEKDAY(CE22)=7,CE22+2,CE22)))</f>
        <v>44473</v>
      </c>
      <c r="CG22" s="405">
        <f>CF22+IF(WEEKDAY(CF22)=1,1,IF(WEEKDAY(CF22)=7,2,0))+COUNTIF(ClosedDays!$B$4:$B$32,IF(WEEKDAY(CF22)=1,CF22+1,IF(WEEKDAY(CF22)=7,CF22+2,CF22)))+COUNTIF(ClosedDays!$F$4:$F$32,IF(WEEKDAY(CF22)=1,CF22+1,IF(WEEKDAY(CF22)=7,CF22+2,CF22)))+COUNTIF(ClosedDays!$J$4:$J$32,IF(WEEKDAY(CF22)=1,CF22+1,IF(WEEKDAY(CF22)=7,CF22+2,CF22)))+COUNTIF(ClosedDays!$N$4:$N$32,IF(WEEKDAY(CF22)=1,CF22+1,IF(WEEKDAY(CF22)=7,CF22+2,CF22)))</f>
        <v>44473</v>
      </c>
      <c r="CH22" s="405">
        <f t="shared" si="17"/>
        <v>44473</v>
      </c>
      <c r="CI22" s="446">
        <f>IF(AND($D22&lt;='Outline Info'!$H$33,CH22&gt;='Outline Info'!$H$33,$CJ$4=1,$AC22&gt;10,$AC22&lt;9997),1,0)</f>
        <v>0</v>
      </c>
      <c r="CJ22" s="405">
        <f>IF(CI22=1,CH22+'Outline Info'!$I$33-'Outline Info'!$H$33+1,CH22)</f>
        <v>44473</v>
      </c>
      <c r="CK22" s="405">
        <f>CJ22+IF(WEEKDAY(CJ22)=1,1,IF(WEEKDAY(CJ22)=7,2,0))+COUNTIF(ClosedDays!$B$4:$B$32,IF(WEEKDAY(CJ22)=1,CJ22+1,IF(WEEKDAY(CJ22)=7,CJ22+2,CJ22)))+COUNTIF(ClosedDays!$F$4:$F$32,IF(WEEKDAY(CJ22)=1,CJ22+1,IF(WEEKDAY(CJ22)=7,CJ22+2,CJ22)))+COUNTIF(ClosedDays!$J$4:$J$32,IF(WEEKDAY(CJ22)=1,CJ22+1,IF(WEEKDAY(CJ22)=7,CJ22+2,CJ22)))+COUNTIF(ClosedDays!$N$4:$N$32,IF(WEEKDAY(CJ22)=1,CJ22+1,IF(WEEKDAY(CJ22)=7,CJ22+2,CJ22)))</f>
        <v>44473</v>
      </c>
      <c r="CL22" s="405">
        <f>CK22+IF(WEEKDAY(CK22)=1,1,IF(WEEKDAY(CK22)=7,2,0))+COUNTIF(ClosedDays!$B$4:$B$32,IF(WEEKDAY(CK22)=1,CK22+1,IF(WEEKDAY(CK22)=7,CK22+2,CK22)))+COUNTIF(ClosedDays!$F$4:$F$32,IF(WEEKDAY(CK22)=1,CK22+1,IF(WEEKDAY(CK22)=7,CK22+2,CK22)))+COUNTIF(ClosedDays!$J$4:$J$32,IF(WEEKDAY(CK22)=1,CK22+1,IF(WEEKDAY(CK22)=7,CK22+2,CK22)))+COUNTIF(ClosedDays!$N$4:$N$32,IF(WEEKDAY(CK22)=1,CK22+1,IF(WEEKDAY(CK22)=7,CK22+2,CK22)))</f>
        <v>44473</v>
      </c>
      <c r="CM22" s="405">
        <f>CL22+IF(WEEKDAY(CL22)=1,1,IF(WEEKDAY(CL22)=7,2,0))+COUNTIF(ClosedDays!$B$4:$B$32,IF(WEEKDAY(CL22)=1,CL22+1,IF(WEEKDAY(CL22)=7,CL22+2,CL22)))+COUNTIF(ClosedDays!$F$4:$F$32,IF(WEEKDAY(CL22)=1,CL22+1,IF(WEEKDAY(CL22)=7,CL22+2,CL22)))+COUNTIF(ClosedDays!$J$4:$J$32,IF(WEEKDAY(CL22)=1,CL22+1,IF(WEEKDAY(CL22)=7,CL22+2,CL22)))+COUNTIF(ClosedDays!$N$4:$N$32,IF(WEEKDAY(CL22)=1,CL22+1,IF(WEEKDAY(CL22)=7,CL22+2,CL22)))</f>
        <v>44473</v>
      </c>
      <c r="CN22" s="405">
        <f>CM22+IF(WEEKDAY(CM22)=1,1,IF(WEEKDAY(CM22)=7,2,0))+COUNTIF(ClosedDays!$B$4:$B$32,IF(WEEKDAY(CM22)=1,CM22+1,IF(WEEKDAY(CM22)=7,CM22+2,CM22)))+COUNTIF(ClosedDays!$F$4:$F$32,IF(WEEKDAY(CM22)=1,CM22+1,IF(WEEKDAY(CM22)=7,CM22+2,CM22)))+COUNTIF(ClosedDays!$J$4:$J$32,IF(WEEKDAY(CM22)=1,CM22+1,IF(WEEKDAY(CM22)=7,CM22+2,CM22)))+COUNTIF(ClosedDays!$N$4:$N$32,IF(WEEKDAY(CM22)=1,CM22+1,IF(WEEKDAY(CM22)=7,CM22+2,CM22)))</f>
        <v>44473</v>
      </c>
      <c r="CO22" s="405">
        <f>CN22+IF(WEEKDAY(CN22)=1,1,IF(WEEKDAY(CN22)=7,2,0))+COUNTIF(ClosedDays!$B$4:$B$32,IF(WEEKDAY(CN22)=1,CN22+1,IF(WEEKDAY(CN22)=7,CN22+2,CN22)))+COUNTIF(ClosedDays!$F$4:$F$32,IF(WEEKDAY(CN22)=1,CN22+1,IF(WEEKDAY(CN22)=7,CN22+2,CN22)))+COUNTIF(ClosedDays!$J$4:$J$32,IF(WEEKDAY(CN22)=1,CN22+1,IF(WEEKDAY(CN22)=7,CN22+2,CN22)))+COUNTIF(ClosedDays!$N$4:$N$32,IF(WEEKDAY(CN22)=1,CN22+1,IF(WEEKDAY(CN22)=7,CN22+2,CN22)))</f>
        <v>44473</v>
      </c>
      <c r="CP22" s="405">
        <f>CO22+IF(WEEKDAY(CO22)=1,1,IF(WEEKDAY(CO22)=7,2,0))+COUNTIF(ClosedDays!$B$4:$B$32,IF(WEEKDAY(CO22)=1,CO22+1,IF(WEEKDAY(CO22)=7,CO22+2,CO22)))+COUNTIF(ClosedDays!$F$4:$F$32,IF(WEEKDAY(CO22)=1,CO22+1,IF(WEEKDAY(CO22)=7,CO22+2,CO22)))+COUNTIF(ClosedDays!$J$4:$J$32,IF(WEEKDAY(CO22)=1,CO22+1,IF(WEEKDAY(CO22)=7,CO22+2,CO22)))+COUNTIF(ClosedDays!$N$4:$N$32,IF(WEEKDAY(CO22)=1,CO22+1,IF(WEEKDAY(CO22)=7,CO22+2,CO22)))</f>
        <v>44473</v>
      </c>
      <c r="CQ22" s="405">
        <f>CP22+IF(WEEKDAY(CP22)=1,1,IF(WEEKDAY(CP22)=7,2,0))+COUNTIF(ClosedDays!$B$4:$B$32,IF(WEEKDAY(CP22)=1,CP22+1,IF(WEEKDAY(CP22)=7,CP22+2,CP22)))+COUNTIF(ClosedDays!$F$4:$F$32,IF(WEEKDAY(CP22)=1,CP22+1,IF(WEEKDAY(CP22)=7,CP22+2,CP22)))+COUNTIF(ClosedDays!$J$4:$J$32,IF(WEEKDAY(CP22)=1,CP22+1,IF(WEEKDAY(CP22)=7,CP22+2,CP22)))+COUNTIF(ClosedDays!$N$4:$N$32,IF(WEEKDAY(CP22)=1,CP22+1,IF(WEEKDAY(CP22)=7,CP22+2,CP22)))</f>
        <v>44473</v>
      </c>
      <c r="CR22" s="405">
        <f>CQ22+IF(WEEKDAY(CQ22)=1,1,IF(WEEKDAY(CQ22)=7,2,0))+COUNTIF(ClosedDays!$B$4:$B$32,IF(WEEKDAY(CQ22)=1,CQ22+1,IF(WEEKDAY(CQ22)=7,CQ22+2,CQ22)))+COUNTIF(ClosedDays!$F$4:$F$32,IF(WEEKDAY(CQ22)=1,CQ22+1,IF(WEEKDAY(CQ22)=7,CQ22+2,CQ22)))+COUNTIF(ClosedDays!$J$4:$J$32,IF(WEEKDAY(CQ22)=1,CQ22+1,IF(WEEKDAY(CQ22)=7,CQ22+2,CQ22)))+COUNTIF(ClosedDays!$N$4:$N$32,IF(WEEKDAY(CQ22)=1,CQ22+1,IF(WEEKDAY(CQ22)=7,CQ22+2,CQ22)))</f>
        <v>44473</v>
      </c>
      <c r="CS22" s="405">
        <f>CR22+IF(WEEKDAY(CR22)=1,1,IF(WEEKDAY(CR22)=7,2,0))+COUNTIF(ClosedDays!$B$4:$B$32,IF(WEEKDAY(CR22)=1,CR22+1,IF(WEEKDAY(CR22)=7,CR22+2,CR22)))+COUNTIF(ClosedDays!$F$4:$F$32,IF(WEEKDAY(CR22)=1,CR22+1,IF(WEEKDAY(CR22)=7,CR22+2,CR22)))+COUNTIF(ClosedDays!$J$4:$J$32,IF(WEEKDAY(CR22)=1,CR22+1,IF(WEEKDAY(CR22)=7,CR22+2,CR22)))+COUNTIF(ClosedDays!$N$4:$N$32,IF(WEEKDAY(CR22)=1,CR22+1,IF(WEEKDAY(CR22)=7,CR22+2,CR22)))</f>
        <v>44473</v>
      </c>
      <c r="CT22" s="405">
        <f>CS22+IF(WEEKDAY(CS22)=1,1,IF(WEEKDAY(CS22)=7,2,0))+COUNTIF(ClosedDays!$B$4:$B$32,IF(WEEKDAY(CS22)=1,CS22+1,IF(WEEKDAY(CS22)=7,CS22+2,CS22)))+COUNTIF(ClosedDays!$F$4:$F$32,IF(WEEKDAY(CS22)=1,CS22+1,IF(WEEKDAY(CS22)=7,CS22+2,CS22)))+COUNTIF(ClosedDays!$J$4:$J$32,IF(WEEKDAY(CS22)=1,CS22+1,IF(WEEKDAY(CS22)=7,CS22+2,CS22)))+COUNTIF(ClosedDays!$N$4:$N$32,IF(WEEKDAY(CS22)=1,CS22+1,IF(WEEKDAY(CS22)=7,CS22+2,CS22)))</f>
        <v>44473</v>
      </c>
      <c r="CU22" s="405">
        <f>CT22+IF(WEEKDAY(CT22)=1,1,IF(WEEKDAY(CT22)=7,2,0))+COUNTIF(ClosedDays!$B$4:$B$32,IF(WEEKDAY(CT22)=1,CT22+1,IF(WEEKDAY(CT22)=7,CT22+2,CT22)))+COUNTIF(ClosedDays!$F$4:$F$32,IF(WEEKDAY(CT22)=1,CT22+1,IF(WEEKDAY(CT22)=7,CT22+2,CT22)))+COUNTIF(ClosedDays!$J$4:$J$32,IF(WEEKDAY(CT22)=1,CT22+1,IF(WEEKDAY(CT22)=7,CT22+2,CT22)))+COUNTIF(ClosedDays!$N$4:$N$32,IF(WEEKDAY(CT22)=1,CT22+1,IF(WEEKDAY(CT22)=7,CT22+2,CT22)))</f>
        <v>44473</v>
      </c>
      <c r="CV22" s="405">
        <f>CU22+IF(WEEKDAY(CU22)=1,1,IF(WEEKDAY(CU22)=7,2,0))+COUNTIF(ClosedDays!$B$4:$B$32,IF(WEEKDAY(CU22)=1,CU22+1,IF(WEEKDAY(CU22)=7,CU22+2,CU22)))+COUNTIF(ClosedDays!$F$4:$F$32,IF(WEEKDAY(CU22)=1,CU22+1,IF(WEEKDAY(CU22)=7,CU22+2,CU22)))+COUNTIF(ClosedDays!$J$4:$J$32,IF(WEEKDAY(CU22)=1,CU22+1,IF(WEEKDAY(CU22)=7,CU22+2,CU22)))+COUNTIF(ClosedDays!$N$4:$N$32,IF(WEEKDAY(CU22)=1,CU22+1,IF(WEEKDAY(CU22)=7,CU22+2,CU22)))</f>
        <v>44473</v>
      </c>
      <c r="CW22" s="405">
        <f>CV22+IF(WEEKDAY(CV22)=1,1,IF(WEEKDAY(CV22)=7,2,0))+COUNTIF(ClosedDays!$B$4:$B$32,IF(WEEKDAY(CV22)=1,CV22+1,IF(WEEKDAY(CV22)=7,CV22+2,CV22)))+COUNTIF(ClosedDays!$F$4:$F$32,IF(WEEKDAY(CV22)=1,CV22+1,IF(WEEKDAY(CV22)=7,CV22+2,CV22)))+COUNTIF(ClosedDays!$J$4:$J$32,IF(WEEKDAY(CV22)=1,CV22+1,IF(WEEKDAY(CV22)=7,CV22+2,CV22)))+COUNTIF(ClosedDays!$N$4:$N$32,IF(WEEKDAY(CV22)=1,CV22+1,IF(WEEKDAY(CV22)=7,CV22+2,CV22)))</f>
        <v>44473</v>
      </c>
      <c r="CX22" s="405">
        <f>CW22+IF(WEEKDAY(CW22)=1,1,IF(WEEKDAY(CW22)=7,2,0))+COUNTIF(ClosedDays!$B$4:$B$32,IF(WEEKDAY(CW22)=1,CW22+1,IF(WEEKDAY(CW22)=7,CW22+2,CW22)))+COUNTIF(ClosedDays!$F$4:$F$32,IF(WEEKDAY(CW22)=1,CW22+1,IF(WEEKDAY(CW22)=7,CW22+2,CW22)))+COUNTIF(ClosedDays!$J$4:$J$32,IF(WEEKDAY(CW22)=1,CW22+1,IF(WEEKDAY(CW22)=7,CW22+2,CW22)))+COUNTIF(ClosedDays!$N$4:$N$32,IF(WEEKDAY(CW22)=1,CW22+1,IF(WEEKDAY(CW22)=7,CW22+2,CW22)))</f>
        <v>44473</v>
      </c>
      <c r="CY22" s="405">
        <f t="shared" si="18"/>
        <v>44473</v>
      </c>
      <c r="CZ22" s="446">
        <f>IF(AND($D22&lt;='Outline Info'!$E$33,CY22&gt;='Outline Info'!$E$33,$AC22&gt;10,$AC22&lt;9997),1,0)</f>
        <v>0</v>
      </c>
      <c r="DA22" s="405">
        <f>IF(AND($D22&lt;='Outline Info'!$E$33,CY22&gt;='Outline Info'!$E$33),CY22+'Outline Info'!$F$33-'Outline Info'!$E$33+1,CY22)</f>
        <v>44473</v>
      </c>
      <c r="DB22" s="405">
        <f>DA22+IF(WEEKDAY(DA22)=1,1,IF(WEEKDAY(DA22)=7,2,0))+COUNTIF(ClosedDays!$B$4:$B$32,IF(WEEKDAY(DA22)=1,DA22+1,IF(WEEKDAY(DA22)=7,DA22+2,DA22)))+COUNTIF(ClosedDays!$F$4:$F$32,IF(WEEKDAY(DA22)=1,DA22+1,IF(WEEKDAY(DA22)=7,DA22+2,DA22)))+COUNTIF(ClosedDays!$J$4:$J$32,IF(WEEKDAY(DA22)=1,DA22+1,IF(WEEKDAY(DA22)=7,DA22+2,DA22)))+COUNTIF(ClosedDays!$N$4:$N$32,IF(WEEKDAY(DA22)=1,DA22+1,IF(WEEKDAY(DA22)=7,DA22+2,DA22)))</f>
        <v>44473</v>
      </c>
      <c r="DC22" s="405">
        <f>DB22+IF(WEEKDAY(DB22)=1,1,IF(WEEKDAY(DB22)=7,2,0))+COUNTIF(ClosedDays!$B$4:$B$32,IF(WEEKDAY(DB22)=1,DB22+1,IF(WEEKDAY(DB22)=7,DB22+2,DB22)))+COUNTIF(ClosedDays!$F$4:$F$32,IF(WEEKDAY(DB22)=1,DB22+1,IF(WEEKDAY(DB22)=7,DB22+2,DB22)))+COUNTIF(ClosedDays!$J$4:$J$32,IF(WEEKDAY(DB22)=1,DB22+1,IF(WEEKDAY(DB22)=7,DB22+2,DB22)))+COUNTIF(ClosedDays!$N$4:$N$32,IF(WEEKDAY(DB22)=1,DB22+1,IF(WEEKDAY(DB22)=7,DB22+2,DB22)))</f>
        <v>44473</v>
      </c>
      <c r="DD22" s="405">
        <f>DC22+IF(WEEKDAY(DC22)=1,1,IF(WEEKDAY(DC22)=7,2,0))+COUNTIF(ClosedDays!$B$4:$B$32,IF(WEEKDAY(DC22)=1,DC22+1,IF(WEEKDAY(DC22)=7,DC22+2,DC22)))+COUNTIF(ClosedDays!$F$4:$F$32,IF(WEEKDAY(DC22)=1,DC22+1,IF(WEEKDAY(DC22)=7,DC22+2,DC22)))+COUNTIF(ClosedDays!$J$4:$J$32,IF(WEEKDAY(DC22)=1,DC22+1,IF(WEEKDAY(DC22)=7,DC22+2,DC22)))+COUNTIF(ClosedDays!$N$4:$N$32,IF(WEEKDAY(DC22)=1,DC22+1,IF(WEEKDAY(DC22)=7,DC22+2,DC22)))</f>
        <v>44473</v>
      </c>
      <c r="DE22" s="405">
        <f>DD22+IF(WEEKDAY(DD22)=1,1,IF(WEEKDAY(DD22)=7,2,0))+COUNTIF(ClosedDays!$B$4:$B$32,IF(WEEKDAY(DD22)=1,DD22+1,IF(WEEKDAY(DD22)=7,DD22+2,DD22)))+COUNTIF(ClosedDays!$F$4:$F$32,IF(WEEKDAY(DD22)=1,DD22+1,IF(WEEKDAY(DD22)=7,DD22+2,DD22)))+COUNTIF(ClosedDays!$J$4:$J$32,IF(WEEKDAY(DD22)=1,DD22+1,IF(WEEKDAY(DD22)=7,DD22+2,DD22)))+COUNTIF(ClosedDays!$N$4:$N$32,IF(WEEKDAY(DD22)=1,DD22+1,IF(WEEKDAY(DD22)=7,DD22+2,DD22)))</f>
        <v>44473</v>
      </c>
      <c r="DF22" s="405">
        <f>DE22+IF(WEEKDAY(DE22)=1,1,IF(WEEKDAY(DE22)=7,2,0))+COUNTIF(ClosedDays!$B$4:$B$32,IF(WEEKDAY(DE22)=1,DE22+1,IF(WEEKDAY(DE22)=7,DE22+2,DE22)))+COUNTIF(ClosedDays!$F$4:$F$32,IF(WEEKDAY(DE22)=1,DE22+1,IF(WEEKDAY(DE22)=7,DE22+2,DE22)))+COUNTIF(ClosedDays!$J$4:$J$32,IF(WEEKDAY(DE22)=1,DE22+1,IF(WEEKDAY(DE22)=7,DE22+2,DE22)))+COUNTIF(ClosedDays!$N$4:$N$32,IF(WEEKDAY(DE22)=1,DE22+1,IF(WEEKDAY(DE22)=7,DE22+2,DE22)))</f>
        <v>44473</v>
      </c>
      <c r="DG22" s="405">
        <f>DF22+IF(WEEKDAY(DF22)=1,1,IF(WEEKDAY(DF22)=7,2,0))+COUNTIF(ClosedDays!$B$4:$B$32,IF(WEEKDAY(DF22)=1,DF22+1,IF(WEEKDAY(DF22)=7,DF22+2,DF22)))+COUNTIF(ClosedDays!$F$4:$F$32,IF(WEEKDAY(DF22)=1,DF22+1,IF(WEEKDAY(DF22)=7,DF22+2,DF22)))+COUNTIF(ClosedDays!$J$4:$J$32,IF(WEEKDAY(DF22)=1,DF22+1,IF(WEEKDAY(DF22)=7,DF22+2,DF22)))+COUNTIF(ClosedDays!$N$4:$N$32,IF(WEEKDAY(DF22)=1,DF22+1,IF(WEEKDAY(DF22)=7,DF22+2,DF22)))</f>
        <v>44473</v>
      </c>
      <c r="DH22" s="405">
        <f>DG22+IF(WEEKDAY(DG22)=1,1,IF(WEEKDAY(DG22)=7,2,0))+COUNTIF(ClosedDays!$B$4:$B$32,IF(WEEKDAY(DG22)=1,DG22+1,IF(WEEKDAY(DG22)=7,DG22+2,DG22)))+COUNTIF(ClosedDays!$F$4:$F$32,IF(WEEKDAY(DG22)=1,DG22+1,IF(WEEKDAY(DG22)=7,DG22+2,DG22)))+COUNTIF(ClosedDays!$J$4:$J$32,IF(WEEKDAY(DG22)=1,DG22+1,IF(WEEKDAY(DG22)=7,DG22+2,DG22)))+COUNTIF(ClosedDays!$N$4:$N$32,IF(WEEKDAY(DG22)=1,DG22+1,IF(WEEKDAY(DG22)=7,DG22+2,DG22)))</f>
        <v>44473</v>
      </c>
      <c r="DI22" s="405">
        <f>DH22+IF(WEEKDAY(DH22)=1,1,IF(WEEKDAY(DH22)=7,2,0))+COUNTIF(ClosedDays!$B$4:$B$32,IF(WEEKDAY(DH22)=1,DH22+1,IF(WEEKDAY(DH22)=7,DH22+2,DH22)))+COUNTIF(ClosedDays!$F$4:$F$32,IF(WEEKDAY(DH22)=1,DH22+1,IF(WEEKDAY(DH22)=7,DH22+2,DH22)))+COUNTIF(ClosedDays!$J$4:$J$32,IF(WEEKDAY(DH22)=1,DH22+1,IF(WEEKDAY(DH22)=7,DH22+2,DH22)))+COUNTIF(ClosedDays!$N$4:$N$32,IF(WEEKDAY(DH22)=1,DH22+1,IF(WEEKDAY(DH22)=7,DH22+2,DH22)))</f>
        <v>44473</v>
      </c>
      <c r="DJ22" s="405">
        <f>DI22+IF(WEEKDAY(DI22)=1,1,IF(WEEKDAY(DI22)=7,2,0))+COUNTIF(ClosedDays!$B$4:$B$32,IF(WEEKDAY(DI22)=1,DI22+1,IF(WEEKDAY(DI22)=7,DI22+2,DI22)))+COUNTIF(ClosedDays!$F$4:$F$32,IF(WEEKDAY(DI22)=1,DI22+1,IF(WEEKDAY(DI22)=7,DI22+2,DI22)))+COUNTIF(ClosedDays!$J$4:$J$32,IF(WEEKDAY(DI22)=1,DI22+1,IF(WEEKDAY(DI22)=7,DI22+2,DI22)))+COUNTIF(ClosedDays!$N$4:$N$32,IF(WEEKDAY(DI22)=1,DI22+1,IF(WEEKDAY(DI22)=7,DI22+2,DI22)))</f>
        <v>44473</v>
      </c>
      <c r="DK22" s="405">
        <f>DJ22+IF(WEEKDAY(DJ22)=1,1,IF(WEEKDAY(DJ22)=7,2,0))+COUNTIF(ClosedDays!$B$4:$B$32,IF(WEEKDAY(DJ22)=1,DJ22+1,IF(WEEKDAY(DJ22)=7,DJ22+2,DJ22)))+COUNTIF(ClosedDays!$F$4:$F$32,IF(WEEKDAY(DJ22)=1,DJ22+1,IF(WEEKDAY(DJ22)=7,DJ22+2,DJ22)))+COUNTIF(ClosedDays!$J$4:$J$32,IF(WEEKDAY(DJ22)=1,DJ22+1,IF(WEEKDAY(DJ22)=7,DJ22+2,DJ22)))+COUNTIF(ClosedDays!$N$4:$N$32,IF(WEEKDAY(DJ22)=1,DJ22+1,IF(WEEKDAY(DJ22)=7,DJ22+2,DJ22)))</f>
        <v>44473</v>
      </c>
      <c r="DL22" s="405">
        <f>DK22+IF(WEEKDAY(DK22)=1,1,IF(WEEKDAY(DK22)=7,2,0))+COUNTIF(ClosedDays!$B$4:$B$32,IF(WEEKDAY(DK22)=1,DK22+1,IF(WEEKDAY(DK22)=7,DK22+2,DK22)))+COUNTIF(ClosedDays!$F$4:$F$32,IF(WEEKDAY(DK22)=1,DK22+1,IF(WEEKDAY(DK22)=7,DK22+2,DK22)))+COUNTIF(ClosedDays!$J$4:$J$32,IF(WEEKDAY(DK22)=1,DK22+1,IF(WEEKDAY(DK22)=7,DK22+2,DK22)))+COUNTIF(ClosedDays!$N$4:$N$32,IF(WEEKDAY(DK22)=1,DK22+1,IF(WEEKDAY(DK22)=7,DK22+2,DK22)))</f>
        <v>44473</v>
      </c>
      <c r="DM22" s="405">
        <f>DL22+IF(WEEKDAY(DL22)=1,1,IF(WEEKDAY(DL22)=7,2,0))+COUNTIF(ClosedDays!$B$4:$B$32,IF(WEEKDAY(DL22)=1,DL22+1,IF(WEEKDAY(DL22)=7,DL22+2,DL22)))+COUNTIF(ClosedDays!$F$4:$F$32,IF(WEEKDAY(DL22)=1,DL22+1,IF(WEEKDAY(DL22)=7,DL22+2,DL22)))+COUNTIF(ClosedDays!$J$4:$J$32,IF(WEEKDAY(DL22)=1,DL22+1,IF(WEEKDAY(DL22)=7,DL22+2,DL22)))+COUNTIF(ClosedDays!$N$4:$N$32,IF(WEEKDAY(DL22)=1,DL22+1,IF(WEEKDAY(DL22)=7,DL22+2,DL22)))</f>
        <v>44473</v>
      </c>
      <c r="DN22" s="405">
        <f>DM22+IF(WEEKDAY(DM22)=1,1,IF(WEEKDAY(DM22)=7,2,0))+COUNTIF(ClosedDays!$B$4:$B$32,IF(WEEKDAY(DM22)=1,DM22+1,IF(WEEKDAY(DM22)=7,DM22+2,DM22)))+COUNTIF(ClosedDays!$F$4:$F$32,IF(WEEKDAY(DM22)=1,DM22+1,IF(WEEKDAY(DM22)=7,DM22+2,DM22)))+COUNTIF(ClosedDays!$J$4:$J$32,IF(WEEKDAY(DM22)=1,DM22+1,IF(WEEKDAY(DM22)=7,DM22+2,DM22)))+COUNTIF(ClosedDays!$N$4:$N$32,IF(WEEKDAY(DM22)=1,DM22+1,IF(WEEKDAY(DM22)=7,DM22+2,DM22)))</f>
        <v>44473</v>
      </c>
      <c r="DO22" s="405">
        <f>DN22+IF(WEEKDAY(DN22)=1,1,IF(WEEKDAY(DN22)=7,2,0))+COUNTIF(ClosedDays!$B$4:$B$32,IF(WEEKDAY(DN22)=1,DN22+1,IF(WEEKDAY(DN22)=7,DN22+2,DN22)))+COUNTIF(ClosedDays!$F$4:$F$32,IF(WEEKDAY(DN22)=1,DN22+1,IF(WEEKDAY(DN22)=7,DN22+2,DN22)))+COUNTIF(ClosedDays!$J$4:$J$32,IF(WEEKDAY(DN22)=1,DN22+1,IF(WEEKDAY(DN22)=7,DN22+2,DN22)))+COUNTIF(ClosedDays!$N$4:$N$32,IF(WEEKDAY(DN22)=1,DN22+1,IF(WEEKDAY(DN22)=7,DN22+2,DN22)))</f>
        <v>44473</v>
      </c>
      <c r="DP22" s="405">
        <f t="shared" ref="DP22:DP47" si="23">IF(NOT(ISBLANK(EA22)),EA22,IF(WEEKDAY(DO22)=1,DO22+1,IF(WEEKDAY(DO22)=7,DO22+2,DO22)))</f>
        <v>44473</v>
      </c>
      <c r="DQ22" s="405">
        <f t="shared" si="20"/>
        <v>44473</v>
      </c>
      <c r="DR22" s="394">
        <f t="shared" si="19"/>
        <v>1</v>
      </c>
      <c r="DS22" s="394">
        <f>IF(AND(DR22=1,COUNTIF(DS$7:DS21,1)&lt;12,VLOOKUP(COUNTIF(DS$7:DS21,1)+1,'Outline Info'!$A$21:$C$32,2)&lt;=I22),1,0)</f>
        <v>0</v>
      </c>
      <c r="DT22" s="405" t="str">
        <f>IF(DS22=1,IF(VLOOKUP(COUNTIF(DS$7:DS22,1),'Outline Info'!$A$21:$C$32,2)=0,"",VLOOKUP(COUNTIF(DS$7:DS22,1),'Outline Info'!$A$21:$C$32,2)),"")</f>
        <v/>
      </c>
      <c r="DU22" s="447">
        <f>IF(DS22=1,VLOOKUP(COUNTIF(DS$7:DS22,1),'Outline Info'!$A$21:$C$32,3),0)</f>
        <v>0</v>
      </c>
      <c r="DV22" s="445">
        <f>IF('Outline Info'!$B$8="Y",IF(B22="*",'Outline Info'!$B$19,IF(OR($A22="",B22="X",B22="x"),0,VLOOKUP($A22,'Course Table'!$A$2:$J$331,4,TRUE))),0)</f>
        <v>0</v>
      </c>
      <c r="DW22" s="447">
        <f t="shared" si="6"/>
        <v>0</v>
      </c>
      <c r="DX22" s="447">
        <f>IF('Outline Info'!$B$8="Y",$DV22,$DW22)</f>
        <v>0</v>
      </c>
      <c r="DY22" s="394"/>
      <c r="DZ22" s="934"/>
      <c r="EA22" s="934"/>
      <c r="EB22" s="394"/>
      <c r="EC22" s="394"/>
      <c r="ED22" s="394"/>
    </row>
    <row r="23" spans="1:134" s="400" customFormat="1" ht="20.100000000000001" customHeight="1">
      <c r="A23" s="874" t="str">
        <f t="shared" si="7"/>
        <v/>
      </c>
      <c r="B23" s="876" t="str">
        <f t="shared" si="8"/>
        <v/>
      </c>
      <c r="C23" s="878" t="str">
        <f t="shared" si="9"/>
        <v/>
      </c>
      <c r="D23" s="463">
        <f>IF(NOT(ISBLANK(DZ23)),DZ23,IF(AND($AC23=9998,'Outline Info'!$H$33&gt;='Outline Info'!$B$6,'Outline Info'!$H$33&lt;='Outline Info'!$C$6),'Outline Info'!$H$33,IF(AND($AC23=9997,'Outline Info'!$H$31&gt;='Outline Info'!$B$6,'Outline Info'!$H$31&lt;='Outline Info'!$C$6),'Outline Info'!$H$31,IF(AE23="*",DQ22,IF(OR(AE23="x",AE23="X"),I22,IF(AND(AC23&gt;6,AC22&lt;6),DQ22,IF(AND($AC23=9998,$AC22=9997),I21,I22)))))))</f>
        <v>44470</v>
      </c>
      <c r="E23" s="1286"/>
      <c r="F23" s="1287"/>
      <c r="G23" s="1282"/>
      <c r="H23" s="1283"/>
      <c r="I23" s="464">
        <f>IF(AND($AC23=9998,'Outline Info'!$I$33&gt;='Outline Info'!$B$6,'Outline Info'!$I$33&lt;='Outline Info'!$C$6),'Outline Info'!$I$33,IF(AND($AC23=9997,'Outline Info'!$I$31&gt;='Outline Info'!$B$6,'Outline Info'!$I$31&lt;='Outline Info'!$C$6),'Outline Info'!$I$31,IF(DP23&gt;$V$4,$V$4,DP23)))</f>
        <v>44470</v>
      </c>
      <c r="J23" s="436"/>
      <c r="K23" s="437"/>
      <c r="L23" s="438"/>
      <c r="M23" s="438"/>
      <c r="N23" s="435"/>
      <c r="O23" s="435"/>
      <c r="P23" s="438"/>
      <c r="Q23" s="438"/>
      <c r="R23" s="439"/>
      <c r="S23" s="872">
        <f>IF($V$5-SUM($DX$7:$DX23)&lt;0,IF($V$5-SUM($DX$7:$DX22)&lt;0,0,$V$5-SUM($DX$7:$DX22)),DX23)</f>
        <v>0</v>
      </c>
      <c r="T23" s="440" t="str">
        <f>IF(S23&gt;0,IF('Outline Info'!$B$8="Y",D23,DT23),"")</f>
        <v/>
      </c>
      <c r="U23" s="441"/>
      <c r="V23" s="442"/>
      <c r="W23" s="870" t="str">
        <f>IF('Outline Info'!$C$33&gt;0,ROUND(IF('Outline Info'!$B$8="Y",SUM(S$7:S23)-SUM(AJ$7:AJ23)-'Outline Info'!$B$14-'Outline Info'!$B$15-'Outline Info'!$B$17,IF(AL23=0,SUM(S$7:S23)-SUM(AK$7:AK23)-SUM(AP23:AS23)-'Outline Info'!$B$14-'Outline Info'!$B$15-'Outline Info'!$B$17,0)),0),IF('Outline Info'!$T$4&lt;&gt;1,"",IF(OR(AD23="",AL23=1),"",SUM(AK$7:AK23)+SUM(AP23:AS23)+'Outline Info'!$B$14+'Outline Info'!$B$15+'Outline Info'!$B$17)))</f>
        <v/>
      </c>
      <c r="X23" s="448"/>
      <c r="Y23" s="443">
        <f>IF(OR(AE23="X",AE23="x",AE23="*",AC23=99999),0,IF(AC23&lt;50,0,IF($S$4-SUM($Y$7:$Y22)&gt;0,1,0)))</f>
        <v>0</v>
      </c>
      <c r="Z23" s="444">
        <f>IF(AC23&lt;99999,IF(AE23="*",AH23,IF(OR(AE23="x",AE23="X",AC23&lt;10),0,IF(AND(AC23&lt;&gt;9998,AC23&lt;&gt;9997),IF(AM23=1,(AH23+$AM$5)*(1+('Outline Info'!$B$16)),IF(AN23=1,(AH23+$AN$5)*(1+('Outline Info'!$B$16)),0)),AH23))),0)</f>
        <v>0</v>
      </c>
      <c r="AA23" s="395">
        <f>Z23/'Outline Info'!$C$11+Y23</f>
        <v>0</v>
      </c>
      <c r="AB23" s="395">
        <f>ROUND(AA23/'Outline Info'!$B$11*7,0)</f>
        <v>0</v>
      </c>
      <c r="AC23" s="445">
        <f>IF($AD23&lt;&gt;"",VLOOKUP($AD23,'Course Table'!$A$2:$J$331,10,TRUE),99999)</f>
        <v>99999</v>
      </c>
      <c r="AD23" s="394"/>
      <c r="AE23" s="394"/>
      <c r="AF23" s="394"/>
      <c r="AG23" s="394"/>
      <c r="AH23" s="394"/>
      <c r="AI23" s="394">
        <v>399</v>
      </c>
      <c r="AJ23" s="394">
        <v>399</v>
      </c>
      <c r="AK23" s="394">
        <f t="shared" si="10"/>
        <v>399</v>
      </c>
      <c r="AL23" s="394">
        <f t="shared" si="11"/>
        <v>0</v>
      </c>
      <c r="AM23" s="394">
        <f t="shared" si="12"/>
        <v>0</v>
      </c>
      <c r="AN23" s="394">
        <f t="shared" si="13"/>
        <v>0</v>
      </c>
      <c r="AO23" s="394">
        <f>IF(AN23=1,SUMPRODUCT($AJ$7:$AJ23,$AN$7:$AN23),0)</f>
        <v>0</v>
      </c>
      <c r="AP23" s="394">
        <f t="shared" si="14"/>
        <v>0</v>
      </c>
      <c r="AQ23" s="394">
        <f t="shared" si="14"/>
        <v>0</v>
      </c>
      <c r="AR23" s="394">
        <f t="shared" si="14"/>
        <v>0</v>
      </c>
      <c r="AS23" s="394">
        <f t="shared" si="14"/>
        <v>0</v>
      </c>
      <c r="AT23" s="394">
        <f t="shared" si="15"/>
        <v>0</v>
      </c>
      <c r="AU23" s="394">
        <f t="shared" si="15"/>
        <v>0</v>
      </c>
      <c r="AV23" s="394">
        <f t="shared" si="15"/>
        <v>0</v>
      </c>
      <c r="AW23" s="394">
        <f t="shared" si="15"/>
        <v>0</v>
      </c>
      <c r="AX23" s="394">
        <f t="shared" si="1"/>
        <v>0</v>
      </c>
      <c r="AY23" s="394">
        <f t="shared" si="2"/>
        <v>0</v>
      </c>
      <c r="AZ23" s="394">
        <f t="shared" si="3"/>
        <v>0</v>
      </c>
      <c r="BA23" s="394">
        <f t="shared" si="4"/>
        <v>0</v>
      </c>
      <c r="BB23" s="405">
        <f t="shared" si="22"/>
        <v>44473</v>
      </c>
      <c r="BC23" s="405">
        <f>BB23+IF(WEEKDAY(BB23)=1,1,IF(WEEKDAY(BB23)=7,2,0))+COUNTIF(ClosedDays!$B$4:$B$32,IF(WEEKDAY(BB23)=1,BB23+1,IF(WEEKDAY(BB23)=7,BB23+2,BB23)))+COUNTIF(ClosedDays!$F$4:$F$32,IF(WEEKDAY(BB23)=1,BB23+1,IF(WEEKDAY(BB23)=7,BB23+2,BB23)))+COUNTIF(ClosedDays!$J$4:$J$32,IF(WEEKDAY(BB23)=1,BB23+1,IF(WEEKDAY(BB23)=7,BB23+2,BB23)))+COUNTIF(ClosedDays!$N$4:$N$32,IF(WEEKDAY(BB23)=1,BB23+1,IF(WEEKDAY(BB23)=7,BB23+2,BB23)))</f>
        <v>44473</v>
      </c>
      <c r="BD23" s="405">
        <f>BC23+IF(WEEKDAY(BC23)=1,1,IF(WEEKDAY(BC23)=7,2,0))+COUNTIF(ClosedDays!$B$4:$B$32,IF(WEEKDAY(BC23)=1,BC23+1,IF(WEEKDAY(BC23)=7,BC23+2,BC23)))+COUNTIF(ClosedDays!$F$4:$F$32,IF(WEEKDAY(BC23)=1,BC23+1,IF(WEEKDAY(BC23)=7,BC23+2,BC23)))+COUNTIF(ClosedDays!$J$4:$J$32,IF(WEEKDAY(BC23)=1,BC23+1,IF(WEEKDAY(BC23)=7,BC23+2,BC23)))+COUNTIF(ClosedDays!$N$4:$N$32,IF(WEEKDAY(BC23)=1,BC23+1,IF(WEEKDAY(BC23)=7,BC23+2,BC23)))</f>
        <v>44473</v>
      </c>
      <c r="BE23" s="405">
        <f>BD23+IF(WEEKDAY(BD23)=1,1,IF(WEEKDAY(BD23)=7,2,0))+COUNTIF(ClosedDays!$B$4:$B$32,IF(WEEKDAY(BD23)=1,BD23+1,IF(WEEKDAY(BD23)=7,BD23+2,BD23)))+COUNTIF(ClosedDays!$F$4:$F$32,IF(WEEKDAY(BD23)=1,BD23+1,IF(WEEKDAY(BD23)=7,BD23+2,BD23)))+COUNTIF(ClosedDays!$J$4:$J$32,IF(WEEKDAY(BD23)=1,BD23+1,IF(WEEKDAY(BD23)=7,BD23+2,BD23)))+COUNTIF(ClosedDays!$N$4:$N$32,IF(WEEKDAY(BD23)=1,BD23+1,IF(WEEKDAY(BD23)=7,BD23+2,BD23)))</f>
        <v>44473</v>
      </c>
      <c r="BF23" s="405">
        <f>BE23+IF(WEEKDAY(BE23)=1,1,IF(WEEKDAY(BE23)=7,2,0))+COUNTIF(ClosedDays!$B$4:$B$32,IF(WEEKDAY(BE23)=1,BE23+1,IF(WEEKDAY(BE23)=7,BE23+2,BE23)))+COUNTIF(ClosedDays!$F$4:$F$32,IF(WEEKDAY(BE23)=1,BE23+1,IF(WEEKDAY(BE23)=7,BE23+2,BE23)))+COUNTIF(ClosedDays!$J$4:$J$32,IF(WEEKDAY(BE23)=1,BE23+1,IF(WEEKDAY(BE23)=7,BE23+2,BE23)))+COUNTIF(ClosedDays!$N$4:$N$32,IF(WEEKDAY(BE23)=1,BE23+1,IF(WEEKDAY(BE23)=7,BE23+2,BE23)))</f>
        <v>44473</v>
      </c>
      <c r="BG23" s="405">
        <f>BF23+IF(WEEKDAY(BF23)=1,1,IF(WEEKDAY(BF23)=7,2,0))+COUNTIF(ClosedDays!$B$4:$B$32,IF(WEEKDAY(BF23)=1,BF23+1,IF(WEEKDAY(BF23)=7,BF23+2,BF23)))+COUNTIF(ClosedDays!$F$4:$F$32,IF(WEEKDAY(BF23)=1,BF23+1,IF(WEEKDAY(BF23)=7,BF23+2,BF23)))+COUNTIF(ClosedDays!$J$4:$J$32,IF(WEEKDAY(BF23)=1,BF23+1,IF(WEEKDAY(BF23)=7,BF23+2,BF23)))+COUNTIF(ClosedDays!$N$4:$N$32,IF(WEEKDAY(BF23)=1,BF23+1,IF(WEEKDAY(BF23)=7,BF23+2,BF23)))</f>
        <v>44473</v>
      </c>
      <c r="BH23" s="405">
        <f>BG23+IF(WEEKDAY(BG23)=1,1,IF(WEEKDAY(BG23)=7,2,0))+COUNTIF(ClosedDays!$B$4:$B$32,IF(WEEKDAY(BG23)=1,BG23+1,IF(WEEKDAY(BG23)=7,BG23+2,BG23)))+COUNTIF(ClosedDays!$F$4:$F$32,IF(WEEKDAY(BG23)=1,BG23+1,IF(WEEKDAY(BG23)=7,BG23+2,BG23)))+COUNTIF(ClosedDays!$J$4:$J$32,IF(WEEKDAY(BG23)=1,BG23+1,IF(WEEKDAY(BG23)=7,BG23+2,BG23)))+COUNTIF(ClosedDays!$N$4:$N$32,IF(WEEKDAY(BG23)=1,BG23+1,IF(WEEKDAY(BG23)=7,BG23+2,BG23)))</f>
        <v>44473</v>
      </c>
      <c r="BI23" s="405">
        <f>BH23+IF(WEEKDAY(BH23)=1,1,IF(WEEKDAY(BH23)=7,2,0))+COUNTIF(ClosedDays!$B$4:$B$32,IF(WEEKDAY(BH23)=1,BH23+1,IF(WEEKDAY(BH23)=7,BH23+2,BH23)))+COUNTIF(ClosedDays!$F$4:$F$32,IF(WEEKDAY(BH23)=1,BH23+1,IF(WEEKDAY(BH23)=7,BH23+2,BH23)))+COUNTIF(ClosedDays!$J$4:$J$32,IF(WEEKDAY(BH23)=1,BH23+1,IF(WEEKDAY(BH23)=7,BH23+2,BH23)))+COUNTIF(ClosedDays!$N$4:$N$32,IF(WEEKDAY(BH23)=1,BH23+1,IF(WEEKDAY(BH23)=7,BH23+2,BH23)))</f>
        <v>44473</v>
      </c>
      <c r="BJ23" s="405">
        <f>BI23+IF(WEEKDAY(BI23)=1,1,IF(WEEKDAY(BI23)=7,2,0))+COUNTIF(ClosedDays!$B$4:$B$32,IF(WEEKDAY(BI23)=1,BI23+1,IF(WEEKDAY(BI23)=7,BI23+2,BI23)))+COUNTIF(ClosedDays!$F$4:$F$32,IF(WEEKDAY(BI23)=1,BI23+1,IF(WEEKDAY(BI23)=7,BI23+2,BI23)))+COUNTIF(ClosedDays!$J$4:$J$32,IF(WEEKDAY(BI23)=1,BI23+1,IF(WEEKDAY(BI23)=7,BI23+2,BI23)))+COUNTIF(ClosedDays!$N$4:$N$32,IF(WEEKDAY(BI23)=1,BI23+1,IF(WEEKDAY(BI23)=7,BI23+2,BI23)))</f>
        <v>44473</v>
      </c>
      <c r="BK23" s="405">
        <f>BJ23+IF(WEEKDAY(BJ23)=1,1,IF(WEEKDAY(BJ23)=7,2,0))+COUNTIF(ClosedDays!$B$4:$B$32,IF(WEEKDAY(BJ23)=1,BJ23+1,IF(WEEKDAY(BJ23)=7,BJ23+2,BJ23)))+COUNTIF(ClosedDays!$F$4:$F$32,IF(WEEKDAY(BJ23)=1,BJ23+1,IF(WEEKDAY(BJ23)=7,BJ23+2,BJ23)))+COUNTIF(ClosedDays!$J$4:$J$32,IF(WEEKDAY(BJ23)=1,BJ23+1,IF(WEEKDAY(BJ23)=7,BJ23+2,BJ23)))+COUNTIF(ClosedDays!$N$4:$N$32,IF(WEEKDAY(BJ23)=1,BJ23+1,IF(WEEKDAY(BJ23)=7,BJ23+2,BJ23)))</f>
        <v>44473</v>
      </c>
      <c r="BL23" s="405">
        <f>BK23+IF(WEEKDAY(BK23)=1,1,IF(WEEKDAY(BK23)=7,2,0))+COUNTIF(ClosedDays!$B$4:$B$32,IF(WEEKDAY(BK23)=1,BK23+1,IF(WEEKDAY(BK23)=7,BK23+2,BK23)))+COUNTIF(ClosedDays!$F$4:$F$32,IF(WEEKDAY(BK23)=1,BK23+1,IF(WEEKDAY(BK23)=7,BK23+2,BK23)))+COUNTIF(ClosedDays!$J$4:$J$32,IF(WEEKDAY(BK23)=1,BK23+1,IF(WEEKDAY(BK23)=7,BK23+2,BK23)))+COUNTIF(ClosedDays!$N$4:$N$32,IF(WEEKDAY(BK23)=1,BK23+1,IF(WEEKDAY(BK23)=7,BK23+2,BK23)))</f>
        <v>44473</v>
      </c>
      <c r="BM23" s="405">
        <f>BL23+IF(WEEKDAY(BL23)=1,1,IF(WEEKDAY(BL23)=7,2,0))+COUNTIF(ClosedDays!$B$4:$B$32,IF(WEEKDAY(BL23)=1,BL23+1,IF(WEEKDAY(BL23)=7,BL23+2,BL23)))+COUNTIF(ClosedDays!$F$4:$F$32,IF(WEEKDAY(BL23)=1,BL23+1,IF(WEEKDAY(BL23)=7,BL23+2,BL23)))+COUNTIF(ClosedDays!$J$4:$J$32,IF(WEEKDAY(BL23)=1,BL23+1,IF(WEEKDAY(BL23)=7,BL23+2,BL23)))+COUNTIF(ClosedDays!$N$4:$N$32,IF(WEEKDAY(BL23)=1,BL23+1,IF(WEEKDAY(BL23)=7,BL23+2,BL23)))</f>
        <v>44473</v>
      </c>
      <c r="BN23" s="405">
        <f>BM23+IF(WEEKDAY(BM23)=1,1,IF(WEEKDAY(BM23)=7,2,0))+COUNTIF(ClosedDays!$B$4:$B$32,IF(WEEKDAY(BM23)=1,BM23+1,IF(WEEKDAY(BM23)=7,BM23+2,BM23)))+COUNTIF(ClosedDays!$F$4:$F$32,IF(WEEKDAY(BM23)=1,BM23+1,IF(WEEKDAY(BM23)=7,BM23+2,BM23)))+COUNTIF(ClosedDays!$J$4:$J$32,IF(WEEKDAY(BM23)=1,BM23+1,IF(WEEKDAY(BM23)=7,BM23+2,BM23)))+COUNTIF(ClosedDays!$N$4:$N$32,IF(WEEKDAY(BM23)=1,BM23+1,IF(WEEKDAY(BM23)=7,BM23+2,BM23)))</f>
        <v>44473</v>
      </c>
      <c r="BO23" s="405">
        <f>BN23+IF(WEEKDAY(BN23)=1,1,IF(WEEKDAY(BN23)=7,2,0))+COUNTIF(ClosedDays!$B$4:$B$32,IF(WEEKDAY(BN23)=1,BN23+1,IF(WEEKDAY(BN23)=7,BN23+2,BN23)))+COUNTIF(ClosedDays!$F$4:$F$32,IF(WEEKDAY(BN23)=1,BN23+1,IF(WEEKDAY(BN23)=7,BN23+2,BN23)))+COUNTIF(ClosedDays!$J$4:$J$32,IF(WEEKDAY(BN23)=1,BN23+1,IF(WEEKDAY(BN23)=7,BN23+2,BN23)))+COUNTIF(ClosedDays!$N$4:$N$32,IF(WEEKDAY(BN23)=1,BN23+1,IF(WEEKDAY(BN23)=7,BN23+2,BN23)))</f>
        <v>44473</v>
      </c>
      <c r="BP23" s="405">
        <f>BO23+IF(WEEKDAY(BO23)=1,1,IF(WEEKDAY(BO23)=7,2,0))+COUNTIF(ClosedDays!$B$4:$B$32,IF(WEEKDAY(BO23)=1,BO23+1,IF(WEEKDAY(BO23)=7,BO23+2,BO23)))+COUNTIF(ClosedDays!$F$4:$F$32,IF(WEEKDAY(BO23)=1,BO23+1,IF(WEEKDAY(BO23)=7,BO23+2,BO23)))+COUNTIF(ClosedDays!$J$4:$J$32,IF(WEEKDAY(BO23)=1,BO23+1,IF(WEEKDAY(BO23)=7,BO23+2,BO23)))+COUNTIF(ClosedDays!$N$4:$N$32,IF(WEEKDAY(BO23)=1,BO23+1,IF(WEEKDAY(BO23)=7,BO23+2,BO23)))</f>
        <v>44473</v>
      </c>
      <c r="BQ23" s="405">
        <f t="shared" si="16"/>
        <v>44473</v>
      </c>
      <c r="BR23" s="446">
        <f>IF(AND($D23&lt;='Outline Info'!$H$31,BQ23&gt;='Outline Info'!$H$31,$BS$4=1,$AC23&gt;10,$AC23&lt;9997),1,0)</f>
        <v>0</v>
      </c>
      <c r="BS23" s="405">
        <f>IF(BR23=1,BQ23+'Outline Info'!$I$31-'Outline Info'!$H$31+1,BQ23)</f>
        <v>44473</v>
      </c>
      <c r="BT23" s="405">
        <f>BS23+IF(WEEKDAY(BS23)=1,1,IF(WEEKDAY(BS23)=7,2,0))+COUNTIF(ClosedDays!$B$4:$B$32,IF(WEEKDAY(BS23)=1,BS23+1,IF(WEEKDAY(BS23)=7,BS23+2,BS23)))+COUNTIF(ClosedDays!$F$4:$F$32,IF(WEEKDAY(BS23)=1,BS23+1,IF(WEEKDAY(BS23)=7,BS23+2,BS23)))+COUNTIF(ClosedDays!$J$4:$J$32,IF(WEEKDAY(BS23)=1,BS23+1,IF(WEEKDAY(BS23)=7,BS23+2,BS23)))+COUNTIF(ClosedDays!$N$4:$N$32,IF(WEEKDAY(BS23)=1,BS23+1,IF(WEEKDAY(BS23)=7,BS23+2,BS23)))</f>
        <v>44473</v>
      </c>
      <c r="BU23" s="405">
        <f>BT23+IF(WEEKDAY(BT23)=1,1,IF(WEEKDAY(BT23)=7,2,0))+COUNTIF(ClosedDays!$B$4:$B$32,IF(WEEKDAY(BT23)=1,BT23+1,IF(WEEKDAY(BT23)=7,BT23+2,BT23)))+COUNTIF(ClosedDays!$F$4:$F$32,IF(WEEKDAY(BT23)=1,BT23+1,IF(WEEKDAY(BT23)=7,BT23+2,BT23)))+COUNTIF(ClosedDays!$J$4:$J$32,IF(WEEKDAY(BT23)=1,BT23+1,IF(WEEKDAY(BT23)=7,BT23+2,BT23)))+COUNTIF(ClosedDays!$N$4:$N$32,IF(WEEKDAY(BT23)=1,BT23+1,IF(WEEKDAY(BT23)=7,BT23+2,BT23)))</f>
        <v>44473</v>
      </c>
      <c r="BV23" s="405">
        <f>BU23+IF(WEEKDAY(BU23)=1,1,IF(WEEKDAY(BU23)=7,2,0))+COUNTIF(ClosedDays!$B$4:$B$32,IF(WEEKDAY(BU23)=1,BU23+1,IF(WEEKDAY(BU23)=7,BU23+2,BU23)))+COUNTIF(ClosedDays!$F$4:$F$32,IF(WEEKDAY(BU23)=1,BU23+1,IF(WEEKDAY(BU23)=7,BU23+2,BU23)))+COUNTIF(ClosedDays!$J$4:$J$32,IF(WEEKDAY(BU23)=1,BU23+1,IF(WEEKDAY(BU23)=7,BU23+2,BU23)))+COUNTIF(ClosedDays!$N$4:$N$32,IF(WEEKDAY(BU23)=1,BU23+1,IF(WEEKDAY(BU23)=7,BU23+2,BU23)))</f>
        <v>44473</v>
      </c>
      <c r="BW23" s="405">
        <f>BV23+IF(WEEKDAY(BV23)=1,1,IF(WEEKDAY(BV23)=7,2,0))+COUNTIF(ClosedDays!$B$4:$B$32,IF(WEEKDAY(BV23)=1,BV23+1,IF(WEEKDAY(BV23)=7,BV23+2,BV23)))+COUNTIF(ClosedDays!$F$4:$F$32,IF(WEEKDAY(BV23)=1,BV23+1,IF(WEEKDAY(BV23)=7,BV23+2,BV23)))+COUNTIF(ClosedDays!$J$4:$J$32,IF(WEEKDAY(BV23)=1,BV23+1,IF(WEEKDAY(BV23)=7,BV23+2,BV23)))+COUNTIF(ClosedDays!$N$4:$N$32,IF(WEEKDAY(BV23)=1,BV23+1,IF(WEEKDAY(BV23)=7,BV23+2,BV23)))</f>
        <v>44473</v>
      </c>
      <c r="BX23" s="405">
        <f>BW23+IF(WEEKDAY(BW23)=1,1,IF(WEEKDAY(BW23)=7,2,0))+COUNTIF(ClosedDays!$B$4:$B$32,IF(WEEKDAY(BW23)=1,BW23+1,IF(WEEKDAY(BW23)=7,BW23+2,BW23)))+COUNTIF(ClosedDays!$F$4:$F$32,IF(WEEKDAY(BW23)=1,BW23+1,IF(WEEKDAY(BW23)=7,BW23+2,BW23)))+COUNTIF(ClosedDays!$J$4:$J$32,IF(WEEKDAY(BW23)=1,BW23+1,IF(WEEKDAY(BW23)=7,BW23+2,BW23)))+COUNTIF(ClosedDays!$N$4:$N$32,IF(WEEKDAY(BW23)=1,BW23+1,IF(WEEKDAY(BW23)=7,BW23+2,BW23)))</f>
        <v>44473</v>
      </c>
      <c r="BY23" s="405">
        <f>BX23+IF(WEEKDAY(BX23)=1,1,IF(WEEKDAY(BX23)=7,2,0))+COUNTIF(ClosedDays!$B$4:$B$32,IF(WEEKDAY(BX23)=1,BX23+1,IF(WEEKDAY(BX23)=7,BX23+2,BX23)))+COUNTIF(ClosedDays!$F$4:$F$32,IF(WEEKDAY(BX23)=1,BX23+1,IF(WEEKDAY(BX23)=7,BX23+2,BX23)))+COUNTIF(ClosedDays!$J$4:$J$32,IF(WEEKDAY(BX23)=1,BX23+1,IF(WEEKDAY(BX23)=7,BX23+2,BX23)))+COUNTIF(ClosedDays!$N$4:$N$32,IF(WEEKDAY(BX23)=1,BX23+1,IF(WEEKDAY(BX23)=7,BX23+2,BX23)))</f>
        <v>44473</v>
      </c>
      <c r="BZ23" s="405">
        <f>BY23+IF(WEEKDAY(BY23)=1,1,IF(WEEKDAY(BY23)=7,2,0))+COUNTIF(ClosedDays!$B$4:$B$32,IF(WEEKDAY(BY23)=1,BY23+1,IF(WEEKDAY(BY23)=7,BY23+2,BY23)))+COUNTIF(ClosedDays!$F$4:$F$32,IF(WEEKDAY(BY23)=1,BY23+1,IF(WEEKDAY(BY23)=7,BY23+2,BY23)))+COUNTIF(ClosedDays!$J$4:$J$32,IF(WEEKDAY(BY23)=1,BY23+1,IF(WEEKDAY(BY23)=7,BY23+2,BY23)))+COUNTIF(ClosedDays!$N$4:$N$32,IF(WEEKDAY(BY23)=1,BY23+1,IF(WEEKDAY(BY23)=7,BY23+2,BY23)))</f>
        <v>44473</v>
      </c>
      <c r="CA23" s="405">
        <f>BZ23+IF(WEEKDAY(BZ23)=1,1,IF(WEEKDAY(BZ23)=7,2,0))+COUNTIF(ClosedDays!$B$4:$B$32,IF(WEEKDAY(BZ23)=1,BZ23+1,IF(WEEKDAY(BZ23)=7,BZ23+2,BZ23)))+COUNTIF(ClosedDays!$F$4:$F$32,IF(WEEKDAY(BZ23)=1,BZ23+1,IF(WEEKDAY(BZ23)=7,BZ23+2,BZ23)))+COUNTIF(ClosedDays!$J$4:$J$32,IF(WEEKDAY(BZ23)=1,BZ23+1,IF(WEEKDAY(BZ23)=7,BZ23+2,BZ23)))+COUNTIF(ClosedDays!$N$4:$N$32,IF(WEEKDAY(BZ23)=1,BZ23+1,IF(WEEKDAY(BZ23)=7,BZ23+2,BZ23)))</f>
        <v>44473</v>
      </c>
      <c r="CB23" s="405">
        <f>CA23+IF(WEEKDAY(CA23)=1,1,IF(WEEKDAY(CA23)=7,2,0))+COUNTIF(ClosedDays!$B$4:$B$32,IF(WEEKDAY(CA23)=1,CA23+1,IF(WEEKDAY(CA23)=7,CA23+2,CA23)))+COUNTIF(ClosedDays!$F$4:$F$32,IF(WEEKDAY(CA23)=1,CA23+1,IF(WEEKDAY(CA23)=7,CA23+2,CA23)))+COUNTIF(ClosedDays!$J$4:$J$32,IF(WEEKDAY(CA23)=1,CA23+1,IF(WEEKDAY(CA23)=7,CA23+2,CA23)))+COUNTIF(ClosedDays!$N$4:$N$32,IF(WEEKDAY(CA23)=1,CA23+1,IF(WEEKDAY(CA23)=7,CA23+2,CA23)))</f>
        <v>44473</v>
      </c>
      <c r="CC23" s="405">
        <f>CB23+IF(WEEKDAY(CB23)=1,1,IF(WEEKDAY(CB23)=7,2,0))+COUNTIF(ClosedDays!$B$4:$B$32,IF(WEEKDAY(CB23)=1,CB23+1,IF(WEEKDAY(CB23)=7,CB23+2,CB23)))+COUNTIF(ClosedDays!$F$4:$F$32,IF(WEEKDAY(CB23)=1,CB23+1,IF(WEEKDAY(CB23)=7,CB23+2,CB23)))+COUNTIF(ClosedDays!$J$4:$J$32,IF(WEEKDAY(CB23)=1,CB23+1,IF(WEEKDAY(CB23)=7,CB23+2,CB23)))+COUNTIF(ClosedDays!$N$4:$N$32,IF(WEEKDAY(CB23)=1,CB23+1,IF(WEEKDAY(CB23)=7,CB23+2,CB23)))</f>
        <v>44473</v>
      </c>
      <c r="CD23" s="405">
        <f>CC23+IF(WEEKDAY(CC23)=1,1,IF(WEEKDAY(CC23)=7,2,0))+COUNTIF(ClosedDays!$B$4:$B$32,IF(WEEKDAY(CC23)=1,CC23+1,IF(WEEKDAY(CC23)=7,CC23+2,CC23)))+COUNTIF(ClosedDays!$F$4:$F$32,IF(WEEKDAY(CC23)=1,CC23+1,IF(WEEKDAY(CC23)=7,CC23+2,CC23)))+COUNTIF(ClosedDays!$J$4:$J$32,IF(WEEKDAY(CC23)=1,CC23+1,IF(WEEKDAY(CC23)=7,CC23+2,CC23)))+COUNTIF(ClosedDays!$N$4:$N$32,IF(WEEKDAY(CC23)=1,CC23+1,IF(WEEKDAY(CC23)=7,CC23+2,CC23)))</f>
        <v>44473</v>
      </c>
      <c r="CE23" s="405">
        <f>CD23+IF(WEEKDAY(CD23)=1,1,IF(WEEKDAY(CD23)=7,2,0))+COUNTIF(ClosedDays!$B$4:$B$32,IF(WEEKDAY(CD23)=1,CD23+1,IF(WEEKDAY(CD23)=7,CD23+2,CD23)))+COUNTIF(ClosedDays!$F$4:$F$32,IF(WEEKDAY(CD23)=1,CD23+1,IF(WEEKDAY(CD23)=7,CD23+2,CD23)))+COUNTIF(ClosedDays!$J$4:$J$32,IF(WEEKDAY(CD23)=1,CD23+1,IF(WEEKDAY(CD23)=7,CD23+2,CD23)))+COUNTIF(ClosedDays!$N$4:$N$32,IF(WEEKDAY(CD23)=1,CD23+1,IF(WEEKDAY(CD23)=7,CD23+2,CD23)))</f>
        <v>44473</v>
      </c>
      <c r="CF23" s="405">
        <f>CE23+IF(WEEKDAY(CE23)=1,1,IF(WEEKDAY(CE23)=7,2,0))+COUNTIF(ClosedDays!$B$4:$B$32,IF(WEEKDAY(CE23)=1,CE23+1,IF(WEEKDAY(CE23)=7,CE23+2,CE23)))+COUNTIF(ClosedDays!$F$4:$F$32,IF(WEEKDAY(CE23)=1,CE23+1,IF(WEEKDAY(CE23)=7,CE23+2,CE23)))+COUNTIF(ClosedDays!$J$4:$J$32,IF(WEEKDAY(CE23)=1,CE23+1,IF(WEEKDAY(CE23)=7,CE23+2,CE23)))+COUNTIF(ClosedDays!$N$4:$N$32,IF(WEEKDAY(CE23)=1,CE23+1,IF(WEEKDAY(CE23)=7,CE23+2,CE23)))</f>
        <v>44473</v>
      </c>
      <c r="CG23" s="405">
        <f>CF23+IF(WEEKDAY(CF23)=1,1,IF(WEEKDAY(CF23)=7,2,0))+COUNTIF(ClosedDays!$B$4:$B$32,IF(WEEKDAY(CF23)=1,CF23+1,IF(WEEKDAY(CF23)=7,CF23+2,CF23)))+COUNTIF(ClosedDays!$F$4:$F$32,IF(WEEKDAY(CF23)=1,CF23+1,IF(WEEKDAY(CF23)=7,CF23+2,CF23)))+COUNTIF(ClosedDays!$J$4:$J$32,IF(WEEKDAY(CF23)=1,CF23+1,IF(WEEKDAY(CF23)=7,CF23+2,CF23)))+COUNTIF(ClosedDays!$N$4:$N$32,IF(WEEKDAY(CF23)=1,CF23+1,IF(WEEKDAY(CF23)=7,CF23+2,CF23)))</f>
        <v>44473</v>
      </c>
      <c r="CH23" s="405">
        <f t="shared" si="17"/>
        <v>44473</v>
      </c>
      <c r="CI23" s="446">
        <f>IF(AND($D23&lt;='Outline Info'!$H$33,CH23&gt;='Outline Info'!$H$33,$CJ$4=1,$AC23&gt;10,$AC23&lt;9997),1,0)</f>
        <v>0</v>
      </c>
      <c r="CJ23" s="405">
        <f>IF(CI23=1,CH23+'Outline Info'!$I$33-'Outline Info'!$H$33+1,CH23)</f>
        <v>44473</v>
      </c>
      <c r="CK23" s="405">
        <f>CJ23+IF(WEEKDAY(CJ23)=1,1,IF(WEEKDAY(CJ23)=7,2,0))+COUNTIF(ClosedDays!$B$4:$B$32,IF(WEEKDAY(CJ23)=1,CJ23+1,IF(WEEKDAY(CJ23)=7,CJ23+2,CJ23)))+COUNTIF(ClosedDays!$F$4:$F$32,IF(WEEKDAY(CJ23)=1,CJ23+1,IF(WEEKDAY(CJ23)=7,CJ23+2,CJ23)))+COUNTIF(ClosedDays!$J$4:$J$32,IF(WEEKDAY(CJ23)=1,CJ23+1,IF(WEEKDAY(CJ23)=7,CJ23+2,CJ23)))+COUNTIF(ClosedDays!$N$4:$N$32,IF(WEEKDAY(CJ23)=1,CJ23+1,IF(WEEKDAY(CJ23)=7,CJ23+2,CJ23)))</f>
        <v>44473</v>
      </c>
      <c r="CL23" s="405">
        <f>CK23+IF(WEEKDAY(CK23)=1,1,IF(WEEKDAY(CK23)=7,2,0))+COUNTIF(ClosedDays!$B$4:$B$32,IF(WEEKDAY(CK23)=1,CK23+1,IF(WEEKDAY(CK23)=7,CK23+2,CK23)))+COUNTIF(ClosedDays!$F$4:$F$32,IF(WEEKDAY(CK23)=1,CK23+1,IF(WEEKDAY(CK23)=7,CK23+2,CK23)))+COUNTIF(ClosedDays!$J$4:$J$32,IF(WEEKDAY(CK23)=1,CK23+1,IF(WEEKDAY(CK23)=7,CK23+2,CK23)))+COUNTIF(ClosedDays!$N$4:$N$32,IF(WEEKDAY(CK23)=1,CK23+1,IF(WEEKDAY(CK23)=7,CK23+2,CK23)))</f>
        <v>44473</v>
      </c>
      <c r="CM23" s="405">
        <f>CL23+IF(WEEKDAY(CL23)=1,1,IF(WEEKDAY(CL23)=7,2,0))+COUNTIF(ClosedDays!$B$4:$B$32,IF(WEEKDAY(CL23)=1,CL23+1,IF(WEEKDAY(CL23)=7,CL23+2,CL23)))+COUNTIF(ClosedDays!$F$4:$F$32,IF(WEEKDAY(CL23)=1,CL23+1,IF(WEEKDAY(CL23)=7,CL23+2,CL23)))+COUNTIF(ClosedDays!$J$4:$J$32,IF(WEEKDAY(CL23)=1,CL23+1,IF(WEEKDAY(CL23)=7,CL23+2,CL23)))+COUNTIF(ClosedDays!$N$4:$N$32,IF(WEEKDAY(CL23)=1,CL23+1,IF(WEEKDAY(CL23)=7,CL23+2,CL23)))</f>
        <v>44473</v>
      </c>
      <c r="CN23" s="405">
        <f>CM23+IF(WEEKDAY(CM23)=1,1,IF(WEEKDAY(CM23)=7,2,0))+COUNTIF(ClosedDays!$B$4:$B$32,IF(WEEKDAY(CM23)=1,CM23+1,IF(WEEKDAY(CM23)=7,CM23+2,CM23)))+COUNTIF(ClosedDays!$F$4:$F$32,IF(WEEKDAY(CM23)=1,CM23+1,IF(WEEKDAY(CM23)=7,CM23+2,CM23)))+COUNTIF(ClosedDays!$J$4:$J$32,IF(WEEKDAY(CM23)=1,CM23+1,IF(WEEKDAY(CM23)=7,CM23+2,CM23)))+COUNTIF(ClosedDays!$N$4:$N$32,IF(WEEKDAY(CM23)=1,CM23+1,IF(WEEKDAY(CM23)=7,CM23+2,CM23)))</f>
        <v>44473</v>
      </c>
      <c r="CO23" s="405">
        <f>CN23+IF(WEEKDAY(CN23)=1,1,IF(WEEKDAY(CN23)=7,2,0))+COUNTIF(ClosedDays!$B$4:$B$32,IF(WEEKDAY(CN23)=1,CN23+1,IF(WEEKDAY(CN23)=7,CN23+2,CN23)))+COUNTIF(ClosedDays!$F$4:$F$32,IF(WEEKDAY(CN23)=1,CN23+1,IF(WEEKDAY(CN23)=7,CN23+2,CN23)))+COUNTIF(ClosedDays!$J$4:$J$32,IF(WEEKDAY(CN23)=1,CN23+1,IF(WEEKDAY(CN23)=7,CN23+2,CN23)))+COUNTIF(ClosedDays!$N$4:$N$32,IF(WEEKDAY(CN23)=1,CN23+1,IF(WEEKDAY(CN23)=7,CN23+2,CN23)))</f>
        <v>44473</v>
      </c>
      <c r="CP23" s="405">
        <f>CO23+IF(WEEKDAY(CO23)=1,1,IF(WEEKDAY(CO23)=7,2,0))+COUNTIF(ClosedDays!$B$4:$B$32,IF(WEEKDAY(CO23)=1,CO23+1,IF(WEEKDAY(CO23)=7,CO23+2,CO23)))+COUNTIF(ClosedDays!$F$4:$F$32,IF(WEEKDAY(CO23)=1,CO23+1,IF(WEEKDAY(CO23)=7,CO23+2,CO23)))+COUNTIF(ClosedDays!$J$4:$J$32,IF(WEEKDAY(CO23)=1,CO23+1,IF(WEEKDAY(CO23)=7,CO23+2,CO23)))+COUNTIF(ClosedDays!$N$4:$N$32,IF(WEEKDAY(CO23)=1,CO23+1,IF(WEEKDAY(CO23)=7,CO23+2,CO23)))</f>
        <v>44473</v>
      </c>
      <c r="CQ23" s="405">
        <f>CP23+IF(WEEKDAY(CP23)=1,1,IF(WEEKDAY(CP23)=7,2,0))+COUNTIF(ClosedDays!$B$4:$B$32,IF(WEEKDAY(CP23)=1,CP23+1,IF(WEEKDAY(CP23)=7,CP23+2,CP23)))+COUNTIF(ClosedDays!$F$4:$F$32,IF(WEEKDAY(CP23)=1,CP23+1,IF(WEEKDAY(CP23)=7,CP23+2,CP23)))+COUNTIF(ClosedDays!$J$4:$J$32,IF(WEEKDAY(CP23)=1,CP23+1,IF(WEEKDAY(CP23)=7,CP23+2,CP23)))+COUNTIF(ClosedDays!$N$4:$N$32,IF(WEEKDAY(CP23)=1,CP23+1,IF(WEEKDAY(CP23)=7,CP23+2,CP23)))</f>
        <v>44473</v>
      </c>
      <c r="CR23" s="405">
        <f>CQ23+IF(WEEKDAY(CQ23)=1,1,IF(WEEKDAY(CQ23)=7,2,0))+COUNTIF(ClosedDays!$B$4:$B$32,IF(WEEKDAY(CQ23)=1,CQ23+1,IF(WEEKDAY(CQ23)=7,CQ23+2,CQ23)))+COUNTIF(ClosedDays!$F$4:$F$32,IF(WEEKDAY(CQ23)=1,CQ23+1,IF(WEEKDAY(CQ23)=7,CQ23+2,CQ23)))+COUNTIF(ClosedDays!$J$4:$J$32,IF(WEEKDAY(CQ23)=1,CQ23+1,IF(WEEKDAY(CQ23)=7,CQ23+2,CQ23)))+COUNTIF(ClosedDays!$N$4:$N$32,IF(WEEKDAY(CQ23)=1,CQ23+1,IF(WEEKDAY(CQ23)=7,CQ23+2,CQ23)))</f>
        <v>44473</v>
      </c>
      <c r="CS23" s="405">
        <f>CR23+IF(WEEKDAY(CR23)=1,1,IF(WEEKDAY(CR23)=7,2,0))+COUNTIF(ClosedDays!$B$4:$B$32,IF(WEEKDAY(CR23)=1,CR23+1,IF(WEEKDAY(CR23)=7,CR23+2,CR23)))+COUNTIF(ClosedDays!$F$4:$F$32,IF(WEEKDAY(CR23)=1,CR23+1,IF(WEEKDAY(CR23)=7,CR23+2,CR23)))+COUNTIF(ClosedDays!$J$4:$J$32,IF(WEEKDAY(CR23)=1,CR23+1,IF(WEEKDAY(CR23)=7,CR23+2,CR23)))+COUNTIF(ClosedDays!$N$4:$N$32,IF(WEEKDAY(CR23)=1,CR23+1,IF(WEEKDAY(CR23)=7,CR23+2,CR23)))</f>
        <v>44473</v>
      </c>
      <c r="CT23" s="405">
        <f>CS23+IF(WEEKDAY(CS23)=1,1,IF(WEEKDAY(CS23)=7,2,0))+COUNTIF(ClosedDays!$B$4:$B$32,IF(WEEKDAY(CS23)=1,CS23+1,IF(WEEKDAY(CS23)=7,CS23+2,CS23)))+COUNTIF(ClosedDays!$F$4:$F$32,IF(WEEKDAY(CS23)=1,CS23+1,IF(WEEKDAY(CS23)=7,CS23+2,CS23)))+COUNTIF(ClosedDays!$J$4:$J$32,IF(WEEKDAY(CS23)=1,CS23+1,IF(WEEKDAY(CS23)=7,CS23+2,CS23)))+COUNTIF(ClosedDays!$N$4:$N$32,IF(WEEKDAY(CS23)=1,CS23+1,IF(WEEKDAY(CS23)=7,CS23+2,CS23)))</f>
        <v>44473</v>
      </c>
      <c r="CU23" s="405">
        <f>CT23+IF(WEEKDAY(CT23)=1,1,IF(WEEKDAY(CT23)=7,2,0))+COUNTIF(ClosedDays!$B$4:$B$32,IF(WEEKDAY(CT23)=1,CT23+1,IF(WEEKDAY(CT23)=7,CT23+2,CT23)))+COUNTIF(ClosedDays!$F$4:$F$32,IF(WEEKDAY(CT23)=1,CT23+1,IF(WEEKDAY(CT23)=7,CT23+2,CT23)))+COUNTIF(ClosedDays!$J$4:$J$32,IF(WEEKDAY(CT23)=1,CT23+1,IF(WEEKDAY(CT23)=7,CT23+2,CT23)))+COUNTIF(ClosedDays!$N$4:$N$32,IF(WEEKDAY(CT23)=1,CT23+1,IF(WEEKDAY(CT23)=7,CT23+2,CT23)))</f>
        <v>44473</v>
      </c>
      <c r="CV23" s="405">
        <f>CU23+IF(WEEKDAY(CU23)=1,1,IF(WEEKDAY(CU23)=7,2,0))+COUNTIF(ClosedDays!$B$4:$B$32,IF(WEEKDAY(CU23)=1,CU23+1,IF(WEEKDAY(CU23)=7,CU23+2,CU23)))+COUNTIF(ClosedDays!$F$4:$F$32,IF(WEEKDAY(CU23)=1,CU23+1,IF(WEEKDAY(CU23)=7,CU23+2,CU23)))+COUNTIF(ClosedDays!$J$4:$J$32,IF(WEEKDAY(CU23)=1,CU23+1,IF(WEEKDAY(CU23)=7,CU23+2,CU23)))+COUNTIF(ClosedDays!$N$4:$N$32,IF(WEEKDAY(CU23)=1,CU23+1,IF(WEEKDAY(CU23)=7,CU23+2,CU23)))</f>
        <v>44473</v>
      </c>
      <c r="CW23" s="405">
        <f>CV23+IF(WEEKDAY(CV23)=1,1,IF(WEEKDAY(CV23)=7,2,0))+COUNTIF(ClosedDays!$B$4:$B$32,IF(WEEKDAY(CV23)=1,CV23+1,IF(WEEKDAY(CV23)=7,CV23+2,CV23)))+COUNTIF(ClosedDays!$F$4:$F$32,IF(WEEKDAY(CV23)=1,CV23+1,IF(WEEKDAY(CV23)=7,CV23+2,CV23)))+COUNTIF(ClosedDays!$J$4:$J$32,IF(WEEKDAY(CV23)=1,CV23+1,IF(WEEKDAY(CV23)=7,CV23+2,CV23)))+COUNTIF(ClosedDays!$N$4:$N$32,IF(WEEKDAY(CV23)=1,CV23+1,IF(WEEKDAY(CV23)=7,CV23+2,CV23)))</f>
        <v>44473</v>
      </c>
      <c r="CX23" s="405">
        <f>CW23+IF(WEEKDAY(CW23)=1,1,IF(WEEKDAY(CW23)=7,2,0))+COUNTIF(ClosedDays!$B$4:$B$32,IF(WEEKDAY(CW23)=1,CW23+1,IF(WEEKDAY(CW23)=7,CW23+2,CW23)))+COUNTIF(ClosedDays!$F$4:$F$32,IF(WEEKDAY(CW23)=1,CW23+1,IF(WEEKDAY(CW23)=7,CW23+2,CW23)))+COUNTIF(ClosedDays!$J$4:$J$32,IF(WEEKDAY(CW23)=1,CW23+1,IF(WEEKDAY(CW23)=7,CW23+2,CW23)))+COUNTIF(ClosedDays!$N$4:$N$32,IF(WEEKDAY(CW23)=1,CW23+1,IF(WEEKDAY(CW23)=7,CW23+2,CW23)))</f>
        <v>44473</v>
      </c>
      <c r="CY23" s="405">
        <f t="shared" si="18"/>
        <v>44473</v>
      </c>
      <c r="CZ23" s="446">
        <f>IF(AND($D23&lt;='Outline Info'!$E$33,CY23&gt;='Outline Info'!$E$33,$AC23&gt;10,$AC23&lt;9997),1,0)</f>
        <v>0</v>
      </c>
      <c r="DA23" s="405">
        <f>IF(AND($D23&lt;='Outline Info'!$E$33,CY23&gt;='Outline Info'!$E$33),CY23+'Outline Info'!$F$33-'Outline Info'!$E$33+1,CY23)</f>
        <v>44473</v>
      </c>
      <c r="DB23" s="405">
        <f>DA23+IF(WEEKDAY(DA23)=1,1,IF(WEEKDAY(DA23)=7,2,0))+COUNTIF(ClosedDays!$B$4:$B$32,IF(WEEKDAY(DA23)=1,DA23+1,IF(WEEKDAY(DA23)=7,DA23+2,DA23)))+COUNTIF(ClosedDays!$F$4:$F$32,IF(WEEKDAY(DA23)=1,DA23+1,IF(WEEKDAY(DA23)=7,DA23+2,DA23)))+COUNTIF(ClosedDays!$J$4:$J$32,IF(WEEKDAY(DA23)=1,DA23+1,IF(WEEKDAY(DA23)=7,DA23+2,DA23)))+COUNTIF(ClosedDays!$N$4:$N$32,IF(WEEKDAY(DA23)=1,DA23+1,IF(WEEKDAY(DA23)=7,DA23+2,DA23)))</f>
        <v>44473</v>
      </c>
      <c r="DC23" s="405">
        <f>DB23+IF(WEEKDAY(DB23)=1,1,IF(WEEKDAY(DB23)=7,2,0))+COUNTIF(ClosedDays!$B$4:$B$32,IF(WEEKDAY(DB23)=1,DB23+1,IF(WEEKDAY(DB23)=7,DB23+2,DB23)))+COUNTIF(ClosedDays!$F$4:$F$32,IF(WEEKDAY(DB23)=1,DB23+1,IF(WEEKDAY(DB23)=7,DB23+2,DB23)))+COUNTIF(ClosedDays!$J$4:$J$32,IF(WEEKDAY(DB23)=1,DB23+1,IF(WEEKDAY(DB23)=7,DB23+2,DB23)))+COUNTIF(ClosedDays!$N$4:$N$32,IF(WEEKDAY(DB23)=1,DB23+1,IF(WEEKDAY(DB23)=7,DB23+2,DB23)))</f>
        <v>44473</v>
      </c>
      <c r="DD23" s="405">
        <f>DC23+IF(WEEKDAY(DC23)=1,1,IF(WEEKDAY(DC23)=7,2,0))+COUNTIF(ClosedDays!$B$4:$B$32,IF(WEEKDAY(DC23)=1,DC23+1,IF(WEEKDAY(DC23)=7,DC23+2,DC23)))+COUNTIF(ClosedDays!$F$4:$F$32,IF(WEEKDAY(DC23)=1,DC23+1,IF(WEEKDAY(DC23)=7,DC23+2,DC23)))+COUNTIF(ClosedDays!$J$4:$J$32,IF(WEEKDAY(DC23)=1,DC23+1,IF(WEEKDAY(DC23)=7,DC23+2,DC23)))+COUNTIF(ClosedDays!$N$4:$N$32,IF(WEEKDAY(DC23)=1,DC23+1,IF(WEEKDAY(DC23)=7,DC23+2,DC23)))</f>
        <v>44473</v>
      </c>
      <c r="DE23" s="405">
        <f>DD23+IF(WEEKDAY(DD23)=1,1,IF(WEEKDAY(DD23)=7,2,0))+COUNTIF(ClosedDays!$B$4:$B$32,IF(WEEKDAY(DD23)=1,DD23+1,IF(WEEKDAY(DD23)=7,DD23+2,DD23)))+COUNTIF(ClosedDays!$F$4:$F$32,IF(WEEKDAY(DD23)=1,DD23+1,IF(WEEKDAY(DD23)=7,DD23+2,DD23)))+COUNTIF(ClosedDays!$J$4:$J$32,IF(WEEKDAY(DD23)=1,DD23+1,IF(WEEKDAY(DD23)=7,DD23+2,DD23)))+COUNTIF(ClosedDays!$N$4:$N$32,IF(WEEKDAY(DD23)=1,DD23+1,IF(WEEKDAY(DD23)=7,DD23+2,DD23)))</f>
        <v>44473</v>
      </c>
      <c r="DF23" s="405">
        <f>DE23+IF(WEEKDAY(DE23)=1,1,IF(WEEKDAY(DE23)=7,2,0))+COUNTIF(ClosedDays!$B$4:$B$32,IF(WEEKDAY(DE23)=1,DE23+1,IF(WEEKDAY(DE23)=7,DE23+2,DE23)))+COUNTIF(ClosedDays!$F$4:$F$32,IF(WEEKDAY(DE23)=1,DE23+1,IF(WEEKDAY(DE23)=7,DE23+2,DE23)))+COUNTIF(ClosedDays!$J$4:$J$32,IF(WEEKDAY(DE23)=1,DE23+1,IF(WEEKDAY(DE23)=7,DE23+2,DE23)))+COUNTIF(ClosedDays!$N$4:$N$32,IF(WEEKDAY(DE23)=1,DE23+1,IF(WEEKDAY(DE23)=7,DE23+2,DE23)))</f>
        <v>44473</v>
      </c>
      <c r="DG23" s="405">
        <f>DF23+IF(WEEKDAY(DF23)=1,1,IF(WEEKDAY(DF23)=7,2,0))+COUNTIF(ClosedDays!$B$4:$B$32,IF(WEEKDAY(DF23)=1,DF23+1,IF(WEEKDAY(DF23)=7,DF23+2,DF23)))+COUNTIF(ClosedDays!$F$4:$F$32,IF(WEEKDAY(DF23)=1,DF23+1,IF(WEEKDAY(DF23)=7,DF23+2,DF23)))+COUNTIF(ClosedDays!$J$4:$J$32,IF(WEEKDAY(DF23)=1,DF23+1,IF(WEEKDAY(DF23)=7,DF23+2,DF23)))+COUNTIF(ClosedDays!$N$4:$N$32,IF(WEEKDAY(DF23)=1,DF23+1,IF(WEEKDAY(DF23)=7,DF23+2,DF23)))</f>
        <v>44473</v>
      </c>
      <c r="DH23" s="405">
        <f>DG23+IF(WEEKDAY(DG23)=1,1,IF(WEEKDAY(DG23)=7,2,0))+COUNTIF(ClosedDays!$B$4:$B$32,IF(WEEKDAY(DG23)=1,DG23+1,IF(WEEKDAY(DG23)=7,DG23+2,DG23)))+COUNTIF(ClosedDays!$F$4:$F$32,IF(WEEKDAY(DG23)=1,DG23+1,IF(WEEKDAY(DG23)=7,DG23+2,DG23)))+COUNTIF(ClosedDays!$J$4:$J$32,IF(WEEKDAY(DG23)=1,DG23+1,IF(WEEKDAY(DG23)=7,DG23+2,DG23)))+COUNTIF(ClosedDays!$N$4:$N$32,IF(WEEKDAY(DG23)=1,DG23+1,IF(WEEKDAY(DG23)=7,DG23+2,DG23)))</f>
        <v>44473</v>
      </c>
      <c r="DI23" s="405">
        <f>DH23+IF(WEEKDAY(DH23)=1,1,IF(WEEKDAY(DH23)=7,2,0))+COUNTIF(ClosedDays!$B$4:$B$32,IF(WEEKDAY(DH23)=1,DH23+1,IF(WEEKDAY(DH23)=7,DH23+2,DH23)))+COUNTIF(ClosedDays!$F$4:$F$32,IF(WEEKDAY(DH23)=1,DH23+1,IF(WEEKDAY(DH23)=7,DH23+2,DH23)))+COUNTIF(ClosedDays!$J$4:$J$32,IF(WEEKDAY(DH23)=1,DH23+1,IF(WEEKDAY(DH23)=7,DH23+2,DH23)))+COUNTIF(ClosedDays!$N$4:$N$32,IF(WEEKDAY(DH23)=1,DH23+1,IF(WEEKDAY(DH23)=7,DH23+2,DH23)))</f>
        <v>44473</v>
      </c>
      <c r="DJ23" s="405">
        <f>DI23+IF(WEEKDAY(DI23)=1,1,IF(WEEKDAY(DI23)=7,2,0))+COUNTIF(ClosedDays!$B$4:$B$32,IF(WEEKDAY(DI23)=1,DI23+1,IF(WEEKDAY(DI23)=7,DI23+2,DI23)))+COUNTIF(ClosedDays!$F$4:$F$32,IF(WEEKDAY(DI23)=1,DI23+1,IF(WEEKDAY(DI23)=7,DI23+2,DI23)))+COUNTIF(ClosedDays!$J$4:$J$32,IF(WEEKDAY(DI23)=1,DI23+1,IF(WEEKDAY(DI23)=7,DI23+2,DI23)))+COUNTIF(ClosedDays!$N$4:$N$32,IF(WEEKDAY(DI23)=1,DI23+1,IF(WEEKDAY(DI23)=7,DI23+2,DI23)))</f>
        <v>44473</v>
      </c>
      <c r="DK23" s="405">
        <f>DJ23+IF(WEEKDAY(DJ23)=1,1,IF(WEEKDAY(DJ23)=7,2,0))+COUNTIF(ClosedDays!$B$4:$B$32,IF(WEEKDAY(DJ23)=1,DJ23+1,IF(WEEKDAY(DJ23)=7,DJ23+2,DJ23)))+COUNTIF(ClosedDays!$F$4:$F$32,IF(WEEKDAY(DJ23)=1,DJ23+1,IF(WEEKDAY(DJ23)=7,DJ23+2,DJ23)))+COUNTIF(ClosedDays!$J$4:$J$32,IF(WEEKDAY(DJ23)=1,DJ23+1,IF(WEEKDAY(DJ23)=7,DJ23+2,DJ23)))+COUNTIF(ClosedDays!$N$4:$N$32,IF(WEEKDAY(DJ23)=1,DJ23+1,IF(WEEKDAY(DJ23)=7,DJ23+2,DJ23)))</f>
        <v>44473</v>
      </c>
      <c r="DL23" s="405">
        <f>DK23+IF(WEEKDAY(DK23)=1,1,IF(WEEKDAY(DK23)=7,2,0))+COUNTIF(ClosedDays!$B$4:$B$32,IF(WEEKDAY(DK23)=1,DK23+1,IF(WEEKDAY(DK23)=7,DK23+2,DK23)))+COUNTIF(ClosedDays!$F$4:$F$32,IF(WEEKDAY(DK23)=1,DK23+1,IF(WEEKDAY(DK23)=7,DK23+2,DK23)))+COUNTIF(ClosedDays!$J$4:$J$32,IF(WEEKDAY(DK23)=1,DK23+1,IF(WEEKDAY(DK23)=7,DK23+2,DK23)))+COUNTIF(ClosedDays!$N$4:$N$32,IF(WEEKDAY(DK23)=1,DK23+1,IF(WEEKDAY(DK23)=7,DK23+2,DK23)))</f>
        <v>44473</v>
      </c>
      <c r="DM23" s="405">
        <f>DL23+IF(WEEKDAY(DL23)=1,1,IF(WEEKDAY(DL23)=7,2,0))+COUNTIF(ClosedDays!$B$4:$B$32,IF(WEEKDAY(DL23)=1,DL23+1,IF(WEEKDAY(DL23)=7,DL23+2,DL23)))+COUNTIF(ClosedDays!$F$4:$F$32,IF(WEEKDAY(DL23)=1,DL23+1,IF(WEEKDAY(DL23)=7,DL23+2,DL23)))+COUNTIF(ClosedDays!$J$4:$J$32,IF(WEEKDAY(DL23)=1,DL23+1,IF(WEEKDAY(DL23)=7,DL23+2,DL23)))+COUNTIF(ClosedDays!$N$4:$N$32,IF(WEEKDAY(DL23)=1,DL23+1,IF(WEEKDAY(DL23)=7,DL23+2,DL23)))</f>
        <v>44473</v>
      </c>
      <c r="DN23" s="405">
        <f>DM23+IF(WEEKDAY(DM23)=1,1,IF(WEEKDAY(DM23)=7,2,0))+COUNTIF(ClosedDays!$B$4:$B$32,IF(WEEKDAY(DM23)=1,DM23+1,IF(WEEKDAY(DM23)=7,DM23+2,DM23)))+COUNTIF(ClosedDays!$F$4:$F$32,IF(WEEKDAY(DM23)=1,DM23+1,IF(WEEKDAY(DM23)=7,DM23+2,DM23)))+COUNTIF(ClosedDays!$J$4:$J$32,IF(WEEKDAY(DM23)=1,DM23+1,IF(WEEKDAY(DM23)=7,DM23+2,DM23)))+COUNTIF(ClosedDays!$N$4:$N$32,IF(WEEKDAY(DM23)=1,DM23+1,IF(WEEKDAY(DM23)=7,DM23+2,DM23)))</f>
        <v>44473</v>
      </c>
      <c r="DO23" s="405">
        <f>DN23+IF(WEEKDAY(DN23)=1,1,IF(WEEKDAY(DN23)=7,2,0))+COUNTIF(ClosedDays!$B$4:$B$32,IF(WEEKDAY(DN23)=1,DN23+1,IF(WEEKDAY(DN23)=7,DN23+2,DN23)))+COUNTIF(ClosedDays!$F$4:$F$32,IF(WEEKDAY(DN23)=1,DN23+1,IF(WEEKDAY(DN23)=7,DN23+2,DN23)))+COUNTIF(ClosedDays!$J$4:$J$32,IF(WEEKDAY(DN23)=1,DN23+1,IF(WEEKDAY(DN23)=7,DN23+2,DN23)))+COUNTIF(ClosedDays!$N$4:$N$32,IF(WEEKDAY(DN23)=1,DN23+1,IF(WEEKDAY(DN23)=7,DN23+2,DN23)))</f>
        <v>44473</v>
      </c>
      <c r="DP23" s="405">
        <f t="shared" si="23"/>
        <v>44473</v>
      </c>
      <c r="DQ23" s="405">
        <f t="shared" si="20"/>
        <v>44473</v>
      </c>
      <c r="DR23" s="394">
        <f t="shared" si="19"/>
        <v>1</v>
      </c>
      <c r="DS23" s="394">
        <f>IF(AND(DR23=1,COUNTIF(DS$7:DS22,1)&lt;12,VLOOKUP(COUNTIF(DS$7:DS22,1)+1,'Outline Info'!$A$21:$C$32,2)&lt;=I23),1,0)</f>
        <v>0</v>
      </c>
      <c r="DT23" s="405" t="str">
        <f>IF(DS23=1,IF(VLOOKUP(COUNTIF(DS$7:DS23,1),'Outline Info'!$A$21:$C$32,2)=0,"",VLOOKUP(COUNTIF(DS$7:DS23,1),'Outline Info'!$A$21:$C$32,2)),"")</f>
        <v/>
      </c>
      <c r="DU23" s="447">
        <f>IF(DS23=1,VLOOKUP(COUNTIF(DS$7:DS23,1),'Outline Info'!$A$21:$C$32,3),0)</f>
        <v>0</v>
      </c>
      <c r="DV23" s="445">
        <f>IF('Outline Info'!$B$8="Y",IF(B23="*",'Outline Info'!$B$19,IF(OR($A23="",B23="X",B23="x"),0,VLOOKUP($A23,'Course Table'!$A$2:$J$331,4,TRUE))),0)</f>
        <v>0</v>
      </c>
      <c r="DW23" s="447">
        <f t="shared" si="6"/>
        <v>0</v>
      </c>
      <c r="DX23" s="447">
        <f>IF('Outline Info'!$B$8="Y",$DV23,$DW23)</f>
        <v>0</v>
      </c>
      <c r="DY23" s="394"/>
      <c r="DZ23" s="934"/>
      <c r="EA23" s="934"/>
      <c r="EB23" s="394"/>
      <c r="EC23" s="394"/>
      <c r="ED23" s="394"/>
    </row>
    <row r="24" spans="1:134" s="400" customFormat="1" ht="20.100000000000001" customHeight="1">
      <c r="A24" s="874" t="str">
        <f t="shared" si="7"/>
        <v/>
      </c>
      <c r="B24" s="876" t="str">
        <f t="shared" si="8"/>
        <v/>
      </c>
      <c r="C24" s="878" t="str">
        <f t="shared" si="9"/>
        <v/>
      </c>
      <c r="D24" s="463">
        <f>IF(NOT(ISBLANK(DZ24)),DZ24,IF(AND($AC24=9998,'Outline Info'!$H$33&gt;='Outline Info'!$B$6,'Outline Info'!$H$33&lt;='Outline Info'!$C$6),'Outline Info'!$H$33,IF(AND($AC24=9997,'Outline Info'!$H$31&gt;='Outline Info'!$B$6,'Outline Info'!$H$31&lt;='Outline Info'!$C$6),'Outline Info'!$H$31,IF(AE24="*",DQ23,IF(OR(AE24="x",AE24="X"),I23,IF(AND(AC24&gt;6,AC23&lt;6),DQ23,IF(AND($AC24=9998,$AC23=9997),I22,I23)))))))</f>
        <v>44470</v>
      </c>
      <c r="E24" s="1286"/>
      <c r="F24" s="1287"/>
      <c r="G24" s="1282"/>
      <c r="H24" s="1283"/>
      <c r="I24" s="464">
        <f>IF(AND($AC24=9998,'Outline Info'!$I$33&gt;='Outline Info'!$B$6,'Outline Info'!$I$33&lt;='Outline Info'!$C$6),'Outline Info'!$I$33,IF(AND($AC24=9997,'Outline Info'!$I$31&gt;='Outline Info'!$B$6,'Outline Info'!$I$31&lt;='Outline Info'!$C$6),'Outline Info'!$I$31,IF(DP24&gt;$V$4,$V$4,DP24)))</f>
        <v>44470</v>
      </c>
      <c r="J24" s="436"/>
      <c r="K24" s="437"/>
      <c r="L24" s="438"/>
      <c r="M24" s="438"/>
      <c r="N24" s="435"/>
      <c r="O24" s="435"/>
      <c r="P24" s="438"/>
      <c r="Q24" s="438"/>
      <c r="R24" s="439"/>
      <c r="S24" s="872">
        <f>IF($V$5-SUM($DX$7:$DX24)&lt;0,IF($V$5-SUM($DX$7:$DX23)&lt;0,0,$V$5-SUM($DX$7:$DX23)),DX24)</f>
        <v>0</v>
      </c>
      <c r="T24" s="440" t="str">
        <f>IF(S24&gt;0,IF('Outline Info'!$B$8="Y",D24,DT24),"")</f>
        <v/>
      </c>
      <c r="U24" s="441"/>
      <c r="V24" s="442"/>
      <c r="W24" s="870" t="str">
        <f>IF('Outline Info'!$C$33&gt;0,ROUND(IF('Outline Info'!$B$8="Y",SUM(S$7:S24)-SUM(AJ$7:AJ24)-'Outline Info'!$B$14-'Outline Info'!$B$15-'Outline Info'!$B$17,IF(AL24=0,SUM(S$7:S24)-SUM(AK$7:AK24)-SUM(AP24:AS24)-'Outline Info'!$B$14-'Outline Info'!$B$15-'Outline Info'!$B$17,0)),0),IF('Outline Info'!$T$4&lt;&gt;1,"",IF(OR(AD24="",AL24=1),"",SUM(AK$7:AK24)+SUM(AP24:AS24)+'Outline Info'!$B$14+'Outline Info'!$B$15+'Outline Info'!$B$17)))</f>
        <v/>
      </c>
      <c r="X24" s="448"/>
      <c r="Y24" s="443">
        <f>IF(OR(AE24="X",AE24="x",AE24="*",AC24=99999),0,IF(AC24&lt;50,0,IF($S$4-SUM($Y$7:$Y23)&gt;0,1,0)))</f>
        <v>0</v>
      </c>
      <c r="Z24" s="444">
        <f>IF(AC24&lt;99999,IF(AE24="*",AH24,IF(OR(AE24="x",AE24="X",AC24&lt;10),0,IF(AND(AC24&lt;&gt;9998,AC24&lt;&gt;9997),IF(AM24=1,(AH24+$AM$5)*(1+('Outline Info'!$B$16)),IF(AN24=1,(AH24+$AN$5)*(1+('Outline Info'!$B$16)),0)),AH24))),0)</f>
        <v>0</v>
      </c>
      <c r="AA24" s="395">
        <f>Z24/'Outline Info'!$C$11+Y24</f>
        <v>0</v>
      </c>
      <c r="AB24" s="395">
        <f>ROUND(AA24/'Outline Info'!$B$11*7,0)</f>
        <v>0</v>
      </c>
      <c r="AC24" s="445">
        <f>IF($AD24&lt;&gt;"",VLOOKUP($AD24,'Course Table'!$A$2:$J$331,10,TRUE),99999)</f>
        <v>99999</v>
      </c>
      <c r="AD24" s="394"/>
      <c r="AE24" s="394"/>
      <c r="AF24" s="394"/>
      <c r="AG24" s="394"/>
      <c r="AH24" s="394"/>
      <c r="AI24" s="394">
        <v>399</v>
      </c>
      <c r="AJ24" s="394">
        <v>399</v>
      </c>
      <c r="AK24" s="394">
        <f t="shared" si="10"/>
        <v>399</v>
      </c>
      <c r="AL24" s="394">
        <f t="shared" si="11"/>
        <v>0</v>
      </c>
      <c r="AM24" s="394">
        <f t="shared" si="12"/>
        <v>0</v>
      </c>
      <c r="AN24" s="394">
        <f t="shared" si="13"/>
        <v>0</v>
      </c>
      <c r="AO24" s="394">
        <f>IF(AN24=1,SUMPRODUCT($AJ$7:$AJ24,$AN$7:$AN24),0)</f>
        <v>0</v>
      </c>
      <c r="AP24" s="394">
        <f t="shared" si="14"/>
        <v>0</v>
      </c>
      <c r="AQ24" s="394">
        <f t="shared" si="14"/>
        <v>0</v>
      </c>
      <c r="AR24" s="394">
        <f t="shared" si="14"/>
        <v>0</v>
      </c>
      <c r="AS24" s="394">
        <f t="shared" si="14"/>
        <v>0</v>
      </c>
      <c r="AT24" s="394">
        <f t="shared" si="15"/>
        <v>0</v>
      </c>
      <c r="AU24" s="394">
        <f t="shared" si="15"/>
        <v>0</v>
      </c>
      <c r="AV24" s="394">
        <f t="shared" si="15"/>
        <v>0</v>
      </c>
      <c r="AW24" s="394">
        <f t="shared" si="15"/>
        <v>0</v>
      </c>
      <c r="AX24" s="394">
        <f t="shared" si="1"/>
        <v>0</v>
      </c>
      <c r="AY24" s="394">
        <f t="shared" si="2"/>
        <v>0</v>
      </c>
      <c r="AZ24" s="394">
        <f t="shared" si="3"/>
        <v>0</v>
      </c>
      <c r="BA24" s="394">
        <f t="shared" si="4"/>
        <v>0</v>
      </c>
      <c r="BB24" s="405">
        <f t="shared" si="22"/>
        <v>44473</v>
      </c>
      <c r="BC24" s="405">
        <f>BB24+IF(WEEKDAY(BB24)=1,1,IF(WEEKDAY(BB24)=7,2,0))+COUNTIF(ClosedDays!$B$4:$B$32,IF(WEEKDAY(BB24)=1,BB24+1,IF(WEEKDAY(BB24)=7,BB24+2,BB24)))+COUNTIF(ClosedDays!$F$4:$F$32,IF(WEEKDAY(BB24)=1,BB24+1,IF(WEEKDAY(BB24)=7,BB24+2,BB24)))+COUNTIF(ClosedDays!$J$4:$J$32,IF(WEEKDAY(BB24)=1,BB24+1,IF(WEEKDAY(BB24)=7,BB24+2,BB24)))+COUNTIF(ClosedDays!$N$4:$N$32,IF(WEEKDAY(BB24)=1,BB24+1,IF(WEEKDAY(BB24)=7,BB24+2,BB24)))</f>
        <v>44473</v>
      </c>
      <c r="BD24" s="405">
        <f>BC24+IF(WEEKDAY(BC24)=1,1,IF(WEEKDAY(BC24)=7,2,0))+COUNTIF(ClosedDays!$B$4:$B$32,IF(WEEKDAY(BC24)=1,BC24+1,IF(WEEKDAY(BC24)=7,BC24+2,BC24)))+COUNTIF(ClosedDays!$F$4:$F$32,IF(WEEKDAY(BC24)=1,BC24+1,IF(WEEKDAY(BC24)=7,BC24+2,BC24)))+COUNTIF(ClosedDays!$J$4:$J$32,IF(WEEKDAY(BC24)=1,BC24+1,IF(WEEKDAY(BC24)=7,BC24+2,BC24)))+COUNTIF(ClosedDays!$N$4:$N$32,IF(WEEKDAY(BC24)=1,BC24+1,IF(WEEKDAY(BC24)=7,BC24+2,BC24)))</f>
        <v>44473</v>
      </c>
      <c r="BE24" s="405">
        <f>BD24+IF(WEEKDAY(BD24)=1,1,IF(WEEKDAY(BD24)=7,2,0))+COUNTIF(ClosedDays!$B$4:$B$32,IF(WEEKDAY(BD24)=1,BD24+1,IF(WEEKDAY(BD24)=7,BD24+2,BD24)))+COUNTIF(ClosedDays!$F$4:$F$32,IF(WEEKDAY(BD24)=1,BD24+1,IF(WEEKDAY(BD24)=7,BD24+2,BD24)))+COUNTIF(ClosedDays!$J$4:$J$32,IF(WEEKDAY(BD24)=1,BD24+1,IF(WEEKDAY(BD24)=7,BD24+2,BD24)))+COUNTIF(ClosedDays!$N$4:$N$32,IF(WEEKDAY(BD24)=1,BD24+1,IF(WEEKDAY(BD24)=7,BD24+2,BD24)))</f>
        <v>44473</v>
      </c>
      <c r="BF24" s="405">
        <f>BE24+IF(WEEKDAY(BE24)=1,1,IF(WEEKDAY(BE24)=7,2,0))+COUNTIF(ClosedDays!$B$4:$B$32,IF(WEEKDAY(BE24)=1,BE24+1,IF(WEEKDAY(BE24)=7,BE24+2,BE24)))+COUNTIF(ClosedDays!$F$4:$F$32,IF(WEEKDAY(BE24)=1,BE24+1,IF(WEEKDAY(BE24)=7,BE24+2,BE24)))+COUNTIF(ClosedDays!$J$4:$J$32,IF(WEEKDAY(BE24)=1,BE24+1,IF(WEEKDAY(BE24)=7,BE24+2,BE24)))+COUNTIF(ClosedDays!$N$4:$N$32,IF(WEEKDAY(BE24)=1,BE24+1,IF(WEEKDAY(BE24)=7,BE24+2,BE24)))</f>
        <v>44473</v>
      </c>
      <c r="BG24" s="405">
        <f>BF24+IF(WEEKDAY(BF24)=1,1,IF(WEEKDAY(BF24)=7,2,0))+COUNTIF(ClosedDays!$B$4:$B$32,IF(WEEKDAY(BF24)=1,BF24+1,IF(WEEKDAY(BF24)=7,BF24+2,BF24)))+COUNTIF(ClosedDays!$F$4:$F$32,IF(WEEKDAY(BF24)=1,BF24+1,IF(WEEKDAY(BF24)=7,BF24+2,BF24)))+COUNTIF(ClosedDays!$J$4:$J$32,IF(WEEKDAY(BF24)=1,BF24+1,IF(WEEKDAY(BF24)=7,BF24+2,BF24)))+COUNTIF(ClosedDays!$N$4:$N$32,IF(WEEKDAY(BF24)=1,BF24+1,IF(WEEKDAY(BF24)=7,BF24+2,BF24)))</f>
        <v>44473</v>
      </c>
      <c r="BH24" s="405">
        <f>BG24+IF(WEEKDAY(BG24)=1,1,IF(WEEKDAY(BG24)=7,2,0))+COUNTIF(ClosedDays!$B$4:$B$32,IF(WEEKDAY(BG24)=1,BG24+1,IF(WEEKDAY(BG24)=7,BG24+2,BG24)))+COUNTIF(ClosedDays!$F$4:$F$32,IF(WEEKDAY(BG24)=1,BG24+1,IF(WEEKDAY(BG24)=7,BG24+2,BG24)))+COUNTIF(ClosedDays!$J$4:$J$32,IF(WEEKDAY(BG24)=1,BG24+1,IF(WEEKDAY(BG24)=7,BG24+2,BG24)))+COUNTIF(ClosedDays!$N$4:$N$32,IF(WEEKDAY(BG24)=1,BG24+1,IF(WEEKDAY(BG24)=7,BG24+2,BG24)))</f>
        <v>44473</v>
      </c>
      <c r="BI24" s="405">
        <f>BH24+IF(WEEKDAY(BH24)=1,1,IF(WEEKDAY(BH24)=7,2,0))+COUNTIF(ClosedDays!$B$4:$B$32,IF(WEEKDAY(BH24)=1,BH24+1,IF(WEEKDAY(BH24)=7,BH24+2,BH24)))+COUNTIF(ClosedDays!$F$4:$F$32,IF(WEEKDAY(BH24)=1,BH24+1,IF(WEEKDAY(BH24)=7,BH24+2,BH24)))+COUNTIF(ClosedDays!$J$4:$J$32,IF(WEEKDAY(BH24)=1,BH24+1,IF(WEEKDAY(BH24)=7,BH24+2,BH24)))+COUNTIF(ClosedDays!$N$4:$N$32,IF(WEEKDAY(BH24)=1,BH24+1,IF(WEEKDAY(BH24)=7,BH24+2,BH24)))</f>
        <v>44473</v>
      </c>
      <c r="BJ24" s="405">
        <f>BI24+IF(WEEKDAY(BI24)=1,1,IF(WEEKDAY(BI24)=7,2,0))+COUNTIF(ClosedDays!$B$4:$B$32,IF(WEEKDAY(BI24)=1,BI24+1,IF(WEEKDAY(BI24)=7,BI24+2,BI24)))+COUNTIF(ClosedDays!$F$4:$F$32,IF(WEEKDAY(BI24)=1,BI24+1,IF(WEEKDAY(BI24)=7,BI24+2,BI24)))+COUNTIF(ClosedDays!$J$4:$J$32,IF(WEEKDAY(BI24)=1,BI24+1,IF(WEEKDAY(BI24)=7,BI24+2,BI24)))+COUNTIF(ClosedDays!$N$4:$N$32,IF(WEEKDAY(BI24)=1,BI24+1,IF(WEEKDAY(BI24)=7,BI24+2,BI24)))</f>
        <v>44473</v>
      </c>
      <c r="BK24" s="405">
        <f>BJ24+IF(WEEKDAY(BJ24)=1,1,IF(WEEKDAY(BJ24)=7,2,0))+COUNTIF(ClosedDays!$B$4:$B$32,IF(WEEKDAY(BJ24)=1,BJ24+1,IF(WEEKDAY(BJ24)=7,BJ24+2,BJ24)))+COUNTIF(ClosedDays!$F$4:$F$32,IF(WEEKDAY(BJ24)=1,BJ24+1,IF(WEEKDAY(BJ24)=7,BJ24+2,BJ24)))+COUNTIF(ClosedDays!$J$4:$J$32,IF(WEEKDAY(BJ24)=1,BJ24+1,IF(WEEKDAY(BJ24)=7,BJ24+2,BJ24)))+COUNTIF(ClosedDays!$N$4:$N$32,IF(WEEKDAY(BJ24)=1,BJ24+1,IF(WEEKDAY(BJ24)=7,BJ24+2,BJ24)))</f>
        <v>44473</v>
      </c>
      <c r="BL24" s="405">
        <f>BK24+IF(WEEKDAY(BK24)=1,1,IF(WEEKDAY(BK24)=7,2,0))+COUNTIF(ClosedDays!$B$4:$B$32,IF(WEEKDAY(BK24)=1,BK24+1,IF(WEEKDAY(BK24)=7,BK24+2,BK24)))+COUNTIF(ClosedDays!$F$4:$F$32,IF(WEEKDAY(BK24)=1,BK24+1,IF(WEEKDAY(BK24)=7,BK24+2,BK24)))+COUNTIF(ClosedDays!$J$4:$J$32,IF(WEEKDAY(BK24)=1,BK24+1,IF(WEEKDAY(BK24)=7,BK24+2,BK24)))+COUNTIF(ClosedDays!$N$4:$N$32,IF(WEEKDAY(BK24)=1,BK24+1,IF(WEEKDAY(BK24)=7,BK24+2,BK24)))</f>
        <v>44473</v>
      </c>
      <c r="BM24" s="405">
        <f>BL24+IF(WEEKDAY(BL24)=1,1,IF(WEEKDAY(BL24)=7,2,0))+COUNTIF(ClosedDays!$B$4:$B$32,IF(WEEKDAY(BL24)=1,BL24+1,IF(WEEKDAY(BL24)=7,BL24+2,BL24)))+COUNTIF(ClosedDays!$F$4:$F$32,IF(WEEKDAY(BL24)=1,BL24+1,IF(WEEKDAY(BL24)=7,BL24+2,BL24)))+COUNTIF(ClosedDays!$J$4:$J$32,IF(WEEKDAY(BL24)=1,BL24+1,IF(WEEKDAY(BL24)=7,BL24+2,BL24)))+COUNTIF(ClosedDays!$N$4:$N$32,IF(WEEKDAY(BL24)=1,BL24+1,IF(WEEKDAY(BL24)=7,BL24+2,BL24)))</f>
        <v>44473</v>
      </c>
      <c r="BN24" s="405">
        <f>BM24+IF(WEEKDAY(BM24)=1,1,IF(WEEKDAY(BM24)=7,2,0))+COUNTIF(ClosedDays!$B$4:$B$32,IF(WEEKDAY(BM24)=1,BM24+1,IF(WEEKDAY(BM24)=7,BM24+2,BM24)))+COUNTIF(ClosedDays!$F$4:$F$32,IF(WEEKDAY(BM24)=1,BM24+1,IF(WEEKDAY(BM24)=7,BM24+2,BM24)))+COUNTIF(ClosedDays!$J$4:$J$32,IF(WEEKDAY(BM24)=1,BM24+1,IF(WEEKDAY(BM24)=7,BM24+2,BM24)))+COUNTIF(ClosedDays!$N$4:$N$32,IF(WEEKDAY(BM24)=1,BM24+1,IF(WEEKDAY(BM24)=7,BM24+2,BM24)))</f>
        <v>44473</v>
      </c>
      <c r="BO24" s="405">
        <f>BN24+IF(WEEKDAY(BN24)=1,1,IF(WEEKDAY(BN24)=7,2,0))+COUNTIF(ClosedDays!$B$4:$B$32,IF(WEEKDAY(BN24)=1,BN24+1,IF(WEEKDAY(BN24)=7,BN24+2,BN24)))+COUNTIF(ClosedDays!$F$4:$F$32,IF(WEEKDAY(BN24)=1,BN24+1,IF(WEEKDAY(BN24)=7,BN24+2,BN24)))+COUNTIF(ClosedDays!$J$4:$J$32,IF(WEEKDAY(BN24)=1,BN24+1,IF(WEEKDAY(BN24)=7,BN24+2,BN24)))+COUNTIF(ClosedDays!$N$4:$N$32,IF(WEEKDAY(BN24)=1,BN24+1,IF(WEEKDAY(BN24)=7,BN24+2,BN24)))</f>
        <v>44473</v>
      </c>
      <c r="BP24" s="405">
        <f>BO24+IF(WEEKDAY(BO24)=1,1,IF(WEEKDAY(BO24)=7,2,0))+COUNTIF(ClosedDays!$B$4:$B$32,IF(WEEKDAY(BO24)=1,BO24+1,IF(WEEKDAY(BO24)=7,BO24+2,BO24)))+COUNTIF(ClosedDays!$F$4:$F$32,IF(WEEKDAY(BO24)=1,BO24+1,IF(WEEKDAY(BO24)=7,BO24+2,BO24)))+COUNTIF(ClosedDays!$J$4:$J$32,IF(WEEKDAY(BO24)=1,BO24+1,IF(WEEKDAY(BO24)=7,BO24+2,BO24)))+COUNTIF(ClosedDays!$N$4:$N$32,IF(WEEKDAY(BO24)=1,BO24+1,IF(WEEKDAY(BO24)=7,BO24+2,BO24)))</f>
        <v>44473</v>
      </c>
      <c r="BQ24" s="405">
        <f t="shared" si="16"/>
        <v>44473</v>
      </c>
      <c r="BR24" s="446">
        <f>IF(AND($D24&lt;='Outline Info'!$H$31,BQ24&gt;='Outline Info'!$H$31,$BS$4=1,$AC24&gt;10,$AC24&lt;9997),1,0)</f>
        <v>0</v>
      </c>
      <c r="BS24" s="405">
        <f>IF(BR24=1,BQ24+'Outline Info'!$I$31-'Outline Info'!$H$31+1,BQ24)</f>
        <v>44473</v>
      </c>
      <c r="BT24" s="405">
        <f>BS24+IF(WEEKDAY(BS24)=1,1,IF(WEEKDAY(BS24)=7,2,0))+COUNTIF(ClosedDays!$B$4:$B$32,IF(WEEKDAY(BS24)=1,BS24+1,IF(WEEKDAY(BS24)=7,BS24+2,BS24)))+COUNTIF(ClosedDays!$F$4:$F$32,IF(WEEKDAY(BS24)=1,BS24+1,IF(WEEKDAY(BS24)=7,BS24+2,BS24)))+COUNTIF(ClosedDays!$J$4:$J$32,IF(WEEKDAY(BS24)=1,BS24+1,IF(WEEKDAY(BS24)=7,BS24+2,BS24)))+COUNTIF(ClosedDays!$N$4:$N$32,IF(WEEKDAY(BS24)=1,BS24+1,IF(WEEKDAY(BS24)=7,BS24+2,BS24)))</f>
        <v>44473</v>
      </c>
      <c r="BU24" s="405">
        <f>BT24+IF(WEEKDAY(BT24)=1,1,IF(WEEKDAY(BT24)=7,2,0))+COUNTIF(ClosedDays!$B$4:$B$32,IF(WEEKDAY(BT24)=1,BT24+1,IF(WEEKDAY(BT24)=7,BT24+2,BT24)))+COUNTIF(ClosedDays!$F$4:$F$32,IF(WEEKDAY(BT24)=1,BT24+1,IF(WEEKDAY(BT24)=7,BT24+2,BT24)))+COUNTIF(ClosedDays!$J$4:$J$32,IF(WEEKDAY(BT24)=1,BT24+1,IF(WEEKDAY(BT24)=7,BT24+2,BT24)))+COUNTIF(ClosedDays!$N$4:$N$32,IF(WEEKDAY(BT24)=1,BT24+1,IF(WEEKDAY(BT24)=7,BT24+2,BT24)))</f>
        <v>44473</v>
      </c>
      <c r="BV24" s="405">
        <f>BU24+IF(WEEKDAY(BU24)=1,1,IF(WEEKDAY(BU24)=7,2,0))+COUNTIF(ClosedDays!$B$4:$B$32,IF(WEEKDAY(BU24)=1,BU24+1,IF(WEEKDAY(BU24)=7,BU24+2,BU24)))+COUNTIF(ClosedDays!$F$4:$F$32,IF(WEEKDAY(BU24)=1,BU24+1,IF(WEEKDAY(BU24)=7,BU24+2,BU24)))+COUNTIF(ClosedDays!$J$4:$J$32,IF(WEEKDAY(BU24)=1,BU24+1,IF(WEEKDAY(BU24)=7,BU24+2,BU24)))+COUNTIF(ClosedDays!$N$4:$N$32,IF(WEEKDAY(BU24)=1,BU24+1,IF(WEEKDAY(BU24)=7,BU24+2,BU24)))</f>
        <v>44473</v>
      </c>
      <c r="BW24" s="405">
        <f>BV24+IF(WEEKDAY(BV24)=1,1,IF(WEEKDAY(BV24)=7,2,0))+COUNTIF(ClosedDays!$B$4:$B$32,IF(WEEKDAY(BV24)=1,BV24+1,IF(WEEKDAY(BV24)=7,BV24+2,BV24)))+COUNTIF(ClosedDays!$F$4:$F$32,IF(WEEKDAY(BV24)=1,BV24+1,IF(WEEKDAY(BV24)=7,BV24+2,BV24)))+COUNTIF(ClosedDays!$J$4:$J$32,IF(WEEKDAY(BV24)=1,BV24+1,IF(WEEKDAY(BV24)=7,BV24+2,BV24)))+COUNTIF(ClosedDays!$N$4:$N$32,IF(WEEKDAY(BV24)=1,BV24+1,IF(WEEKDAY(BV24)=7,BV24+2,BV24)))</f>
        <v>44473</v>
      </c>
      <c r="BX24" s="405">
        <f>BW24+IF(WEEKDAY(BW24)=1,1,IF(WEEKDAY(BW24)=7,2,0))+COUNTIF(ClosedDays!$B$4:$B$32,IF(WEEKDAY(BW24)=1,BW24+1,IF(WEEKDAY(BW24)=7,BW24+2,BW24)))+COUNTIF(ClosedDays!$F$4:$F$32,IF(WEEKDAY(BW24)=1,BW24+1,IF(WEEKDAY(BW24)=7,BW24+2,BW24)))+COUNTIF(ClosedDays!$J$4:$J$32,IF(WEEKDAY(BW24)=1,BW24+1,IF(WEEKDAY(BW24)=7,BW24+2,BW24)))+COUNTIF(ClosedDays!$N$4:$N$32,IF(WEEKDAY(BW24)=1,BW24+1,IF(WEEKDAY(BW24)=7,BW24+2,BW24)))</f>
        <v>44473</v>
      </c>
      <c r="BY24" s="405">
        <f>BX24+IF(WEEKDAY(BX24)=1,1,IF(WEEKDAY(BX24)=7,2,0))+COUNTIF(ClosedDays!$B$4:$B$32,IF(WEEKDAY(BX24)=1,BX24+1,IF(WEEKDAY(BX24)=7,BX24+2,BX24)))+COUNTIF(ClosedDays!$F$4:$F$32,IF(WEEKDAY(BX24)=1,BX24+1,IF(WEEKDAY(BX24)=7,BX24+2,BX24)))+COUNTIF(ClosedDays!$J$4:$J$32,IF(WEEKDAY(BX24)=1,BX24+1,IF(WEEKDAY(BX24)=7,BX24+2,BX24)))+COUNTIF(ClosedDays!$N$4:$N$32,IF(WEEKDAY(BX24)=1,BX24+1,IF(WEEKDAY(BX24)=7,BX24+2,BX24)))</f>
        <v>44473</v>
      </c>
      <c r="BZ24" s="405">
        <f>BY24+IF(WEEKDAY(BY24)=1,1,IF(WEEKDAY(BY24)=7,2,0))+COUNTIF(ClosedDays!$B$4:$B$32,IF(WEEKDAY(BY24)=1,BY24+1,IF(WEEKDAY(BY24)=7,BY24+2,BY24)))+COUNTIF(ClosedDays!$F$4:$F$32,IF(WEEKDAY(BY24)=1,BY24+1,IF(WEEKDAY(BY24)=7,BY24+2,BY24)))+COUNTIF(ClosedDays!$J$4:$J$32,IF(WEEKDAY(BY24)=1,BY24+1,IF(WEEKDAY(BY24)=7,BY24+2,BY24)))+COUNTIF(ClosedDays!$N$4:$N$32,IF(WEEKDAY(BY24)=1,BY24+1,IF(WEEKDAY(BY24)=7,BY24+2,BY24)))</f>
        <v>44473</v>
      </c>
      <c r="CA24" s="405">
        <f>BZ24+IF(WEEKDAY(BZ24)=1,1,IF(WEEKDAY(BZ24)=7,2,0))+COUNTIF(ClosedDays!$B$4:$B$32,IF(WEEKDAY(BZ24)=1,BZ24+1,IF(WEEKDAY(BZ24)=7,BZ24+2,BZ24)))+COUNTIF(ClosedDays!$F$4:$F$32,IF(WEEKDAY(BZ24)=1,BZ24+1,IF(WEEKDAY(BZ24)=7,BZ24+2,BZ24)))+COUNTIF(ClosedDays!$J$4:$J$32,IF(WEEKDAY(BZ24)=1,BZ24+1,IF(WEEKDAY(BZ24)=7,BZ24+2,BZ24)))+COUNTIF(ClosedDays!$N$4:$N$32,IF(WEEKDAY(BZ24)=1,BZ24+1,IF(WEEKDAY(BZ24)=7,BZ24+2,BZ24)))</f>
        <v>44473</v>
      </c>
      <c r="CB24" s="405">
        <f>CA24+IF(WEEKDAY(CA24)=1,1,IF(WEEKDAY(CA24)=7,2,0))+COUNTIF(ClosedDays!$B$4:$B$32,IF(WEEKDAY(CA24)=1,CA24+1,IF(WEEKDAY(CA24)=7,CA24+2,CA24)))+COUNTIF(ClosedDays!$F$4:$F$32,IF(WEEKDAY(CA24)=1,CA24+1,IF(WEEKDAY(CA24)=7,CA24+2,CA24)))+COUNTIF(ClosedDays!$J$4:$J$32,IF(WEEKDAY(CA24)=1,CA24+1,IF(WEEKDAY(CA24)=7,CA24+2,CA24)))+COUNTIF(ClosedDays!$N$4:$N$32,IF(WEEKDAY(CA24)=1,CA24+1,IF(WEEKDAY(CA24)=7,CA24+2,CA24)))</f>
        <v>44473</v>
      </c>
      <c r="CC24" s="405">
        <f>CB24+IF(WEEKDAY(CB24)=1,1,IF(WEEKDAY(CB24)=7,2,0))+COUNTIF(ClosedDays!$B$4:$B$32,IF(WEEKDAY(CB24)=1,CB24+1,IF(WEEKDAY(CB24)=7,CB24+2,CB24)))+COUNTIF(ClosedDays!$F$4:$F$32,IF(WEEKDAY(CB24)=1,CB24+1,IF(WEEKDAY(CB24)=7,CB24+2,CB24)))+COUNTIF(ClosedDays!$J$4:$J$32,IF(WEEKDAY(CB24)=1,CB24+1,IF(WEEKDAY(CB24)=7,CB24+2,CB24)))+COUNTIF(ClosedDays!$N$4:$N$32,IF(WEEKDAY(CB24)=1,CB24+1,IF(WEEKDAY(CB24)=7,CB24+2,CB24)))</f>
        <v>44473</v>
      </c>
      <c r="CD24" s="405">
        <f>CC24+IF(WEEKDAY(CC24)=1,1,IF(WEEKDAY(CC24)=7,2,0))+COUNTIF(ClosedDays!$B$4:$B$32,IF(WEEKDAY(CC24)=1,CC24+1,IF(WEEKDAY(CC24)=7,CC24+2,CC24)))+COUNTIF(ClosedDays!$F$4:$F$32,IF(WEEKDAY(CC24)=1,CC24+1,IF(WEEKDAY(CC24)=7,CC24+2,CC24)))+COUNTIF(ClosedDays!$J$4:$J$32,IF(WEEKDAY(CC24)=1,CC24+1,IF(WEEKDAY(CC24)=7,CC24+2,CC24)))+COUNTIF(ClosedDays!$N$4:$N$32,IF(WEEKDAY(CC24)=1,CC24+1,IF(WEEKDAY(CC24)=7,CC24+2,CC24)))</f>
        <v>44473</v>
      </c>
      <c r="CE24" s="405">
        <f>CD24+IF(WEEKDAY(CD24)=1,1,IF(WEEKDAY(CD24)=7,2,0))+COUNTIF(ClosedDays!$B$4:$B$32,IF(WEEKDAY(CD24)=1,CD24+1,IF(WEEKDAY(CD24)=7,CD24+2,CD24)))+COUNTIF(ClosedDays!$F$4:$F$32,IF(WEEKDAY(CD24)=1,CD24+1,IF(WEEKDAY(CD24)=7,CD24+2,CD24)))+COUNTIF(ClosedDays!$J$4:$J$32,IF(WEEKDAY(CD24)=1,CD24+1,IF(WEEKDAY(CD24)=7,CD24+2,CD24)))+COUNTIF(ClosedDays!$N$4:$N$32,IF(WEEKDAY(CD24)=1,CD24+1,IF(WEEKDAY(CD24)=7,CD24+2,CD24)))</f>
        <v>44473</v>
      </c>
      <c r="CF24" s="405">
        <f>CE24+IF(WEEKDAY(CE24)=1,1,IF(WEEKDAY(CE24)=7,2,0))+COUNTIF(ClosedDays!$B$4:$B$32,IF(WEEKDAY(CE24)=1,CE24+1,IF(WEEKDAY(CE24)=7,CE24+2,CE24)))+COUNTIF(ClosedDays!$F$4:$F$32,IF(WEEKDAY(CE24)=1,CE24+1,IF(WEEKDAY(CE24)=7,CE24+2,CE24)))+COUNTIF(ClosedDays!$J$4:$J$32,IF(WEEKDAY(CE24)=1,CE24+1,IF(WEEKDAY(CE24)=7,CE24+2,CE24)))+COUNTIF(ClosedDays!$N$4:$N$32,IF(WEEKDAY(CE24)=1,CE24+1,IF(WEEKDAY(CE24)=7,CE24+2,CE24)))</f>
        <v>44473</v>
      </c>
      <c r="CG24" s="405">
        <f>CF24+IF(WEEKDAY(CF24)=1,1,IF(WEEKDAY(CF24)=7,2,0))+COUNTIF(ClosedDays!$B$4:$B$32,IF(WEEKDAY(CF24)=1,CF24+1,IF(WEEKDAY(CF24)=7,CF24+2,CF24)))+COUNTIF(ClosedDays!$F$4:$F$32,IF(WEEKDAY(CF24)=1,CF24+1,IF(WEEKDAY(CF24)=7,CF24+2,CF24)))+COUNTIF(ClosedDays!$J$4:$J$32,IF(WEEKDAY(CF24)=1,CF24+1,IF(WEEKDAY(CF24)=7,CF24+2,CF24)))+COUNTIF(ClosedDays!$N$4:$N$32,IF(WEEKDAY(CF24)=1,CF24+1,IF(WEEKDAY(CF24)=7,CF24+2,CF24)))</f>
        <v>44473</v>
      </c>
      <c r="CH24" s="405">
        <f t="shared" si="17"/>
        <v>44473</v>
      </c>
      <c r="CI24" s="446">
        <f>IF(AND($D24&lt;='Outline Info'!$H$33,CH24&gt;='Outline Info'!$H$33,$CJ$4=1,$AC24&gt;10,$AC24&lt;9997),1,0)</f>
        <v>0</v>
      </c>
      <c r="CJ24" s="405">
        <f>IF(CI24=1,CH24+'Outline Info'!$I$33-'Outline Info'!$H$33+1,CH24)</f>
        <v>44473</v>
      </c>
      <c r="CK24" s="405">
        <f>CJ24+IF(WEEKDAY(CJ24)=1,1,IF(WEEKDAY(CJ24)=7,2,0))+COUNTIF(ClosedDays!$B$4:$B$32,IF(WEEKDAY(CJ24)=1,CJ24+1,IF(WEEKDAY(CJ24)=7,CJ24+2,CJ24)))+COUNTIF(ClosedDays!$F$4:$F$32,IF(WEEKDAY(CJ24)=1,CJ24+1,IF(WEEKDAY(CJ24)=7,CJ24+2,CJ24)))+COUNTIF(ClosedDays!$J$4:$J$32,IF(WEEKDAY(CJ24)=1,CJ24+1,IF(WEEKDAY(CJ24)=7,CJ24+2,CJ24)))+COUNTIF(ClosedDays!$N$4:$N$32,IF(WEEKDAY(CJ24)=1,CJ24+1,IF(WEEKDAY(CJ24)=7,CJ24+2,CJ24)))</f>
        <v>44473</v>
      </c>
      <c r="CL24" s="405">
        <f>CK24+IF(WEEKDAY(CK24)=1,1,IF(WEEKDAY(CK24)=7,2,0))+COUNTIF(ClosedDays!$B$4:$B$32,IF(WEEKDAY(CK24)=1,CK24+1,IF(WEEKDAY(CK24)=7,CK24+2,CK24)))+COUNTIF(ClosedDays!$F$4:$F$32,IF(WEEKDAY(CK24)=1,CK24+1,IF(WEEKDAY(CK24)=7,CK24+2,CK24)))+COUNTIF(ClosedDays!$J$4:$J$32,IF(WEEKDAY(CK24)=1,CK24+1,IF(WEEKDAY(CK24)=7,CK24+2,CK24)))+COUNTIF(ClosedDays!$N$4:$N$32,IF(WEEKDAY(CK24)=1,CK24+1,IF(WEEKDAY(CK24)=7,CK24+2,CK24)))</f>
        <v>44473</v>
      </c>
      <c r="CM24" s="405">
        <f>CL24+IF(WEEKDAY(CL24)=1,1,IF(WEEKDAY(CL24)=7,2,0))+COUNTIF(ClosedDays!$B$4:$B$32,IF(WEEKDAY(CL24)=1,CL24+1,IF(WEEKDAY(CL24)=7,CL24+2,CL24)))+COUNTIF(ClosedDays!$F$4:$F$32,IF(WEEKDAY(CL24)=1,CL24+1,IF(WEEKDAY(CL24)=7,CL24+2,CL24)))+COUNTIF(ClosedDays!$J$4:$J$32,IF(WEEKDAY(CL24)=1,CL24+1,IF(WEEKDAY(CL24)=7,CL24+2,CL24)))+COUNTIF(ClosedDays!$N$4:$N$32,IF(WEEKDAY(CL24)=1,CL24+1,IF(WEEKDAY(CL24)=7,CL24+2,CL24)))</f>
        <v>44473</v>
      </c>
      <c r="CN24" s="405">
        <f>CM24+IF(WEEKDAY(CM24)=1,1,IF(WEEKDAY(CM24)=7,2,0))+COUNTIF(ClosedDays!$B$4:$B$32,IF(WEEKDAY(CM24)=1,CM24+1,IF(WEEKDAY(CM24)=7,CM24+2,CM24)))+COUNTIF(ClosedDays!$F$4:$F$32,IF(WEEKDAY(CM24)=1,CM24+1,IF(WEEKDAY(CM24)=7,CM24+2,CM24)))+COUNTIF(ClosedDays!$J$4:$J$32,IF(WEEKDAY(CM24)=1,CM24+1,IF(WEEKDAY(CM24)=7,CM24+2,CM24)))+COUNTIF(ClosedDays!$N$4:$N$32,IF(WEEKDAY(CM24)=1,CM24+1,IF(WEEKDAY(CM24)=7,CM24+2,CM24)))</f>
        <v>44473</v>
      </c>
      <c r="CO24" s="405">
        <f>CN24+IF(WEEKDAY(CN24)=1,1,IF(WEEKDAY(CN24)=7,2,0))+COUNTIF(ClosedDays!$B$4:$B$32,IF(WEEKDAY(CN24)=1,CN24+1,IF(WEEKDAY(CN24)=7,CN24+2,CN24)))+COUNTIF(ClosedDays!$F$4:$F$32,IF(WEEKDAY(CN24)=1,CN24+1,IF(WEEKDAY(CN24)=7,CN24+2,CN24)))+COUNTIF(ClosedDays!$J$4:$J$32,IF(WEEKDAY(CN24)=1,CN24+1,IF(WEEKDAY(CN24)=7,CN24+2,CN24)))+COUNTIF(ClosedDays!$N$4:$N$32,IF(WEEKDAY(CN24)=1,CN24+1,IF(WEEKDAY(CN24)=7,CN24+2,CN24)))</f>
        <v>44473</v>
      </c>
      <c r="CP24" s="405">
        <f>CO24+IF(WEEKDAY(CO24)=1,1,IF(WEEKDAY(CO24)=7,2,0))+COUNTIF(ClosedDays!$B$4:$B$32,IF(WEEKDAY(CO24)=1,CO24+1,IF(WEEKDAY(CO24)=7,CO24+2,CO24)))+COUNTIF(ClosedDays!$F$4:$F$32,IF(WEEKDAY(CO24)=1,CO24+1,IF(WEEKDAY(CO24)=7,CO24+2,CO24)))+COUNTIF(ClosedDays!$J$4:$J$32,IF(WEEKDAY(CO24)=1,CO24+1,IF(WEEKDAY(CO24)=7,CO24+2,CO24)))+COUNTIF(ClosedDays!$N$4:$N$32,IF(WEEKDAY(CO24)=1,CO24+1,IF(WEEKDAY(CO24)=7,CO24+2,CO24)))</f>
        <v>44473</v>
      </c>
      <c r="CQ24" s="405">
        <f>CP24+IF(WEEKDAY(CP24)=1,1,IF(WEEKDAY(CP24)=7,2,0))+COUNTIF(ClosedDays!$B$4:$B$32,IF(WEEKDAY(CP24)=1,CP24+1,IF(WEEKDAY(CP24)=7,CP24+2,CP24)))+COUNTIF(ClosedDays!$F$4:$F$32,IF(WEEKDAY(CP24)=1,CP24+1,IF(WEEKDAY(CP24)=7,CP24+2,CP24)))+COUNTIF(ClosedDays!$J$4:$J$32,IF(WEEKDAY(CP24)=1,CP24+1,IF(WEEKDAY(CP24)=7,CP24+2,CP24)))+COUNTIF(ClosedDays!$N$4:$N$32,IF(WEEKDAY(CP24)=1,CP24+1,IF(WEEKDAY(CP24)=7,CP24+2,CP24)))</f>
        <v>44473</v>
      </c>
      <c r="CR24" s="405">
        <f>CQ24+IF(WEEKDAY(CQ24)=1,1,IF(WEEKDAY(CQ24)=7,2,0))+COUNTIF(ClosedDays!$B$4:$B$32,IF(WEEKDAY(CQ24)=1,CQ24+1,IF(WEEKDAY(CQ24)=7,CQ24+2,CQ24)))+COUNTIF(ClosedDays!$F$4:$F$32,IF(WEEKDAY(CQ24)=1,CQ24+1,IF(WEEKDAY(CQ24)=7,CQ24+2,CQ24)))+COUNTIF(ClosedDays!$J$4:$J$32,IF(WEEKDAY(CQ24)=1,CQ24+1,IF(WEEKDAY(CQ24)=7,CQ24+2,CQ24)))+COUNTIF(ClosedDays!$N$4:$N$32,IF(WEEKDAY(CQ24)=1,CQ24+1,IF(WEEKDAY(CQ24)=7,CQ24+2,CQ24)))</f>
        <v>44473</v>
      </c>
      <c r="CS24" s="405">
        <f>CR24+IF(WEEKDAY(CR24)=1,1,IF(WEEKDAY(CR24)=7,2,0))+COUNTIF(ClosedDays!$B$4:$B$32,IF(WEEKDAY(CR24)=1,CR24+1,IF(WEEKDAY(CR24)=7,CR24+2,CR24)))+COUNTIF(ClosedDays!$F$4:$F$32,IF(WEEKDAY(CR24)=1,CR24+1,IF(WEEKDAY(CR24)=7,CR24+2,CR24)))+COUNTIF(ClosedDays!$J$4:$J$32,IF(WEEKDAY(CR24)=1,CR24+1,IF(WEEKDAY(CR24)=7,CR24+2,CR24)))+COUNTIF(ClosedDays!$N$4:$N$32,IF(WEEKDAY(CR24)=1,CR24+1,IF(WEEKDAY(CR24)=7,CR24+2,CR24)))</f>
        <v>44473</v>
      </c>
      <c r="CT24" s="405">
        <f>CS24+IF(WEEKDAY(CS24)=1,1,IF(WEEKDAY(CS24)=7,2,0))+COUNTIF(ClosedDays!$B$4:$B$32,IF(WEEKDAY(CS24)=1,CS24+1,IF(WEEKDAY(CS24)=7,CS24+2,CS24)))+COUNTIF(ClosedDays!$F$4:$F$32,IF(WEEKDAY(CS24)=1,CS24+1,IF(WEEKDAY(CS24)=7,CS24+2,CS24)))+COUNTIF(ClosedDays!$J$4:$J$32,IF(WEEKDAY(CS24)=1,CS24+1,IF(WEEKDAY(CS24)=7,CS24+2,CS24)))+COUNTIF(ClosedDays!$N$4:$N$32,IF(WEEKDAY(CS24)=1,CS24+1,IF(WEEKDAY(CS24)=7,CS24+2,CS24)))</f>
        <v>44473</v>
      </c>
      <c r="CU24" s="405">
        <f>CT24+IF(WEEKDAY(CT24)=1,1,IF(WEEKDAY(CT24)=7,2,0))+COUNTIF(ClosedDays!$B$4:$B$32,IF(WEEKDAY(CT24)=1,CT24+1,IF(WEEKDAY(CT24)=7,CT24+2,CT24)))+COUNTIF(ClosedDays!$F$4:$F$32,IF(WEEKDAY(CT24)=1,CT24+1,IF(WEEKDAY(CT24)=7,CT24+2,CT24)))+COUNTIF(ClosedDays!$J$4:$J$32,IF(WEEKDAY(CT24)=1,CT24+1,IF(WEEKDAY(CT24)=7,CT24+2,CT24)))+COUNTIF(ClosedDays!$N$4:$N$32,IF(WEEKDAY(CT24)=1,CT24+1,IF(WEEKDAY(CT24)=7,CT24+2,CT24)))</f>
        <v>44473</v>
      </c>
      <c r="CV24" s="405">
        <f>CU24+IF(WEEKDAY(CU24)=1,1,IF(WEEKDAY(CU24)=7,2,0))+COUNTIF(ClosedDays!$B$4:$B$32,IF(WEEKDAY(CU24)=1,CU24+1,IF(WEEKDAY(CU24)=7,CU24+2,CU24)))+COUNTIF(ClosedDays!$F$4:$F$32,IF(WEEKDAY(CU24)=1,CU24+1,IF(WEEKDAY(CU24)=7,CU24+2,CU24)))+COUNTIF(ClosedDays!$J$4:$J$32,IF(WEEKDAY(CU24)=1,CU24+1,IF(WEEKDAY(CU24)=7,CU24+2,CU24)))+COUNTIF(ClosedDays!$N$4:$N$32,IF(WEEKDAY(CU24)=1,CU24+1,IF(WEEKDAY(CU24)=7,CU24+2,CU24)))</f>
        <v>44473</v>
      </c>
      <c r="CW24" s="405">
        <f>CV24+IF(WEEKDAY(CV24)=1,1,IF(WEEKDAY(CV24)=7,2,0))+COUNTIF(ClosedDays!$B$4:$B$32,IF(WEEKDAY(CV24)=1,CV24+1,IF(WEEKDAY(CV24)=7,CV24+2,CV24)))+COUNTIF(ClosedDays!$F$4:$F$32,IF(WEEKDAY(CV24)=1,CV24+1,IF(WEEKDAY(CV24)=7,CV24+2,CV24)))+COUNTIF(ClosedDays!$J$4:$J$32,IF(WEEKDAY(CV24)=1,CV24+1,IF(WEEKDAY(CV24)=7,CV24+2,CV24)))+COUNTIF(ClosedDays!$N$4:$N$32,IF(WEEKDAY(CV24)=1,CV24+1,IF(WEEKDAY(CV24)=7,CV24+2,CV24)))</f>
        <v>44473</v>
      </c>
      <c r="CX24" s="405">
        <f>CW24+IF(WEEKDAY(CW24)=1,1,IF(WEEKDAY(CW24)=7,2,0))+COUNTIF(ClosedDays!$B$4:$B$32,IF(WEEKDAY(CW24)=1,CW24+1,IF(WEEKDAY(CW24)=7,CW24+2,CW24)))+COUNTIF(ClosedDays!$F$4:$F$32,IF(WEEKDAY(CW24)=1,CW24+1,IF(WEEKDAY(CW24)=7,CW24+2,CW24)))+COUNTIF(ClosedDays!$J$4:$J$32,IF(WEEKDAY(CW24)=1,CW24+1,IF(WEEKDAY(CW24)=7,CW24+2,CW24)))+COUNTIF(ClosedDays!$N$4:$N$32,IF(WEEKDAY(CW24)=1,CW24+1,IF(WEEKDAY(CW24)=7,CW24+2,CW24)))</f>
        <v>44473</v>
      </c>
      <c r="CY24" s="405">
        <f t="shared" si="18"/>
        <v>44473</v>
      </c>
      <c r="CZ24" s="446">
        <f>IF(AND($D24&lt;='Outline Info'!$E$33,CY24&gt;='Outline Info'!$E$33,$AC24&gt;10,$AC24&lt;9997),1,0)</f>
        <v>0</v>
      </c>
      <c r="DA24" s="405">
        <f>IF(AND($D24&lt;='Outline Info'!$E$33,CY24&gt;='Outline Info'!$E$33),CY24+'Outline Info'!$F$33-'Outline Info'!$E$33+1,CY24)</f>
        <v>44473</v>
      </c>
      <c r="DB24" s="405">
        <f>DA24+IF(WEEKDAY(DA24)=1,1,IF(WEEKDAY(DA24)=7,2,0))+COUNTIF(ClosedDays!$B$4:$B$32,IF(WEEKDAY(DA24)=1,DA24+1,IF(WEEKDAY(DA24)=7,DA24+2,DA24)))+COUNTIF(ClosedDays!$F$4:$F$32,IF(WEEKDAY(DA24)=1,DA24+1,IF(WEEKDAY(DA24)=7,DA24+2,DA24)))+COUNTIF(ClosedDays!$J$4:$J$32,IF(WEEKDAY(DA24)=1,DA24+1,IF(WEEKDAY(DA24)=7,DA24+2,DA24)))+COUNTIF(ClosedDays!$N$4:$N$32,IF(WEEKDAY(DA24)=1,DA24+1,IF(WEEKDAY(DA24)=7,DA24+2,DA24)))</f>
        <v>44473</v>
      </c>
      <c r="DC24" s="405">
        <f>DB24+IF(WEEKDAY(DB24)=1,1,IF(WEEKDAY(DB24)=7,2,0))+COUNTIF(ClosedDays!$B$4:$B$32,IF(WEEKDAY(DB24)=1,DB24+1,IF(WEEKDAY(DB24)=7,DB24+2,DB24)))+COUNTIF(ClosedDays!$F$4:$F$32,IF(WEEKDAY(DB24)=1,DB24+1,IF(WEEKDAY(DB24)=7,DB24+2,DB24)))+COUNTIF(ClosedDays!$J$4:$J$32,IF(WEEKDAY(DB24)=1,DB24+1,IF(WEEKDAY(DB24)=7,DB24+2,DB24)))+COUNTIF(ClosedDays!$N$4:$N$32,IF(WEEKDAY(DB24)=1,DB24+1,IF(WEEKDAY(DB24)=7,DB24+2,DB24)))</f>
        <v>44473</v>
      </c>
      <c r="DD24" s="405">
        <f>DC24+IF(WEEKDAY(DC24)=1,1,IF(WEEKDAY(DC24)=7,2,0))+COUNTIF(ClosedDays!$B$4:$B$32,IF(WEEKDAY(DC24)=1,DC24+1,IF(WEEKDAY(DC24)=7,DC24+2,DC24)))+COUNTIF(ClosedDays!$F$4:$F$32,IF(WEEKDAY(DC24)=1,DC24+1,IF(WEEKDAY(DC24)=7,DC24+2,DC24)))+COUNTIF(ClosedDays!$J$4:$J$32,IF(WEEKDAY(DC24)=1,DC24+1,IF(WEEKDAY(DC24)=7,DC24+2,DC24)))+COUNTIF(ClosedDays!$N$4:$N$32,IF(WEEKDAY(DC24)=1,DC24+1,IF(WEEKDAY(DC24)=7,DC24+2,DC24)))</f>
        <v>44473</v>
      </c>
      <c r="DE24" s="405">
        <f>DD24+IF(WEEKDAY(DD24)=1,1,IF(WEEKDAY(DD24)=7,2,0))+COUNTIF(ClosedDays!$B$4:$B$32,IF(WEEKDAY(DD24)=1,DD24+1,IF(WEEKDAY(DD24)=7,DD24+2,DD24)))+COUNTIF(ClosedDays!$F$4:$F$32,IF(WEEKDAY(DD24)=1,DD24+1,IF(WEEKDAY(DD24)=7,DD24+2,DD24)))+COUNTIF(ClosedDays!$J$4:$J$32,IF(WEEKDAY(DD24)=1,DD24+1,IF(WEEKDAY(DD24)=7,DD24+2,DD24)))+COUNTIF(ClosedDays!$N$4:$N$32,IF(WEEKDAY(DD24)=1,DD24+1,IF(WEEKDAY(DD24)=7,DD24+2,DD24)))</f>
        <v>44473</v>
      </c>
      <c r="DF24" s="405">
        <f>DE24+IF(WEEKDAY(DE24)=1,1,IF(WEEKDAY(DE24)=7,2,0))+COUNTIF(ClosedDays!$B$4:$B$32,IF(WEEKDAY(DE24)=1,DE24+1,IF(WEEKDAY(DE24)=7,DE24+2,DE24)))+COUNTIF(ClosedDays!$F$4:$F$32,IF(WEEKDAY(DE24)=1,DE24+1,IF(WEEKDAY(DE24)=7,DE24+2,DE24)))+COUNTIF(ClosedDays!$J$4:$J$32,IF(WEEKDAY(DE24)=1,DE24+1,IF(WEEKDAY(DE24)=7,DE24+2,DE24)))+COUNTIF(ClosedDays!$N$4:$N$32,IF(WEEKDAY(DE24)=1,DE24+1,IF(WEEKDAY(DE24)=7,DE24+2,DE24)))</f>
        <v>44473</v>
      </c>
      <c r="DG24" s="405">
        <f>DF24+IF(WEEKDAY(DF24)=1,1,IF(WEEKDAY(DF24)=7,2,0))+COUNTIF(ClosedDays!$B$4:$B$32,IF(WEEKDAY(DF24)=1,DF24+1,IF(WEEKDAY(DF24)=7,DF24+2,DF24)))+COUNTIF(ClosedDays!$F$4:$F$32,IF(WEEKDAY(DF24)=1,DF24+1,IF(WEEKDAY(DF24)=7,DF24+2,DF24)))+COUNTIF(ClosedDays!$J$4:$J$32,IF(WEEKDAY(DF24)=1,DF24+1,IF(WEEKDAY(DF24)=7,DF24+2,DF24)))+COUNTIF(ClosedDays!$N$4:$N$32,IF(WEEKDAY(DF24)=1,DF24+1,IF(WEEKDAY(DF24)=7,DF24+2,DF24)))</f>
        <v>44473</v>
      </c>
      <c r="DH24" s="405">
        <f>DG24+IF(WEEKDAY(DG24)=1,1,IF(WEEKDAY(DG24)=7,2,0))+COUNTIF(ClosedDays!$B$4:$B$32,IF(WEEKDAY(DG24)=1,DG24+1,IF(WEEKDAY(DG24)=7,DG24+2,DG24)))+COUNTIF(ClosedDays!$F$4:$F$32,IF(WEEKDAY(DG24)=1,DG24+1,IF(WEEKDAY(DG24)=7,DG24+2,DG24)))+COUNTIF(ClosedDays!$J$4:$J$32,IF(WEEKDAY(DG24)=1,DG24+1,IF(WEEKDAY(DG24)=7,DG24+2,DG24)))+COUNTIF(ClosedDays!$N$4:$N$32,IF(WEEKDAY(DG24)=1,DG24+1,IF(WEEKDAY(DG24)=7,DG24+2,DG24)))</f>
        <v>44473</v>
      </c>
      <c r="DI24" s="405">
        <f>DH24+IF(WEEKDAY(DH24)=1,1,IF(WEEKDAY(DH24)=7,2,0))+COUNTIF(ClosedDays!$B$4:$B$32,IF(WEEKDAY(DH24)=1,DH24+1,IF(WEEKDAY(DH24)=7,DH24+2,DH24)))+COUNTIF(ClosedDays!$F$4:$F$32,IF(WEEKDAY(DH24)=1,DH24+1,IF(WEEKDAY(DH24)=7,DH24+2,DH24)))+COUNTIF(ClosedDays!$J$4:$J$32,IF(WEEKDAY(DH24)=1,DH24+1,IF(WEEKDAY(DH24)=7,DH24+2,DH24)))+COUNTIF(ClosedDays!$N$4:$N$32,IF(WEEKDAY(DH24)=1,DH24+1,IF(WEEKDAY(DH24)=7,DH24+2,DH24)))</f>
        <v>44473</v>
      </c>
      <c r="DJ24" s="405">
        <f>DI24+IF(WEEKDAY(DI24)=1,1,IF(WEEKDAY(DI24)=7,2,0))+COUNTIF(ClosedDays!$B$4:$B$32,IF(WEEKDAY(DI24)=1,DI24+1,IF(WEEKDAY(DI24)=7,DI24+2,DI24)))+COUNTIF(ClosedDays!$F$4:$F$32,IF(WEEKDAY(DI24)=1,DI24+1,IF(WEEKDAY(DI24)=7,DI24+2,DI24)))+COUNTIF(ClosedDays!$J$4:$J$32,IF(WEEKDAY(DI24)=1,DI24+1,IF(WEEKDAY(DI24)=7,DI24+2,DI24)))+COUNTIF(ClosedDays!$N$4:$N$32,IF(WEEKDAY(DI24)=1,DI24+1,IF(WEEKDAY(DI24)=7,DI24+2,DI24)))</f>
        <v>44473</v>
      </c>
      <c r="DK24" s="405">
        <f>DJ24+IF(WEEKDAY(DJ24)=1,1,IF(WEEKDAY(DJ24)=7,2,0))+COUNTIF(ClosedDays!$B$4:$B$32,IF(WEEKDAY(DJ24)=1,DJ24+1,IF(WEEKDAY(DJ24)=7,DJ24+2,DJ24)))+COUNTIF(ClosedDays!$F$4:$F$32,IF(WEEKDAY(DJ24)=1,DJ24+1,IF(WEEKDAY(DJ24)=7,DJ24+2,DJ24)))+COUNTIF(ClosedDays!$J$4:$J$32,IF(WEEKDAY(DJ24)=1,DJ24+1,IF(WEEKDAY(DJ24)=7,DJ24+2,DJ24)))+COUNTIF(ClosedDays!$N$4:$N$32,IF(WEEKDAY(DJ24)=1,DJ24+1,IF(WEEKDAY(DJ24)=7,DJ24+2,DJ24)))</f>
        <v>44473</v>
      </c>
      <c r="DL24" s="405">
        <f>DK24+IF(WEEKDAY(DK24)=1,1,IF(WEEKDAY(DK24)=7,2,0))+COUNTIF(ClosedDays!$B$4:$B$32,IF(WEEKDAY(DK24)=1,DK24+1,IF(WEEKDAY(DK24)=7,DK24+2,DK24)))+COUNTIF(ClosedDays!$F$4:$F$32,IF(WEEKDAY(DK24)=1,DK24+1,IF(WEEKDAY(DK24)=7,DK24+2,DK24)))+COUNTIF(ClosedDays!$J$4:$J$32,IF(WEEKDAY(DK24)=1,DK24+1,IF(WEEKDAY(DK24)=7,DK24+2,DK24)))+COUNTIF(ClosedDays!$N$4:$N$32,IF(WEEKDAY(DK24)=1,DK24+1,IF(WEEKDAY(DK24)=7,DK24+2,DK24)))</f>
        <v>44473</v>
      </c>
      <c r="DM24" s="405">
        <f>DL24+IF(WEEKDAY(DL24)=1,1,IF(WEEKDAY(DL24)=7,2,0))+COUNTIF(ClosedDays!$B$4:$B$32,IF(WEEKDAY(DL24)=1,DL24+1,IF(WEEKDAY(DL24)=7,DL24+2,DL24)))+COUNTIF(ClosedDays!$F$4:$F$32,IF(WEEKDAY(DL24)=1,DL24+1,IF(WEEKDAY(DL24)=7,DL24+2,DL24)))+COUNTIF(ClosedDays!$J$4:$J$32,IF(WEEKDAY(DL24)=1,DL24+1,IF(WEEKDAY(DL24)=7,DL24+2,DL24)))+COUNTIF(ClosedDays!$N$4:$N$32,IF(WEEKDAY(DL24)=1,DL24+1,IF(WEEKDAY(DL24)=7,DL24+2,DL24)))</f>
        <v>44473</v>
      </c>
      <c r="DN24" s="405">
        <f>DM24+IF(WEEKDAY(DM24)=1,1,IF(WEEKDAY(DM24)=7,2,0))+COUNTIF(ClosedDays!$B$4:$B$32,IF(WEEKDAY(DM24)=1,DM24+1,IF(WEEKDAY(DM24)=7,DM24+2,DM24)))+COUNTIF(ClosedDays!$F$4:$F$32,IF(WEEKDAY(DM24)=1,DM24+1,IF(WEEKDAY(DM24)=7,DM24+2,DM24)))+COUNTIF(ClosedDays!$J$4:$J$32,IF(WEEKDAY(DM24)=1,DM24+1,IF(WEEKDAY(DM24)=7,DM24+2,DM24)))+COUNTIF(ClosedDays!$N$4:$N$32,IF(WEEKDAY(DM24)=1,DM24+1,IF(WEEKDAY(DM24)=7,DM24+2,DM24)))</f>
        <v>44473</v>
      </c>
      <c r="DO24" s="405">
        <f>DN24+IF(WEEKDAY(DN24)=1,1,IF(WEEKDAY(DN24)=7,2,0))+COUNTIF(ClosedDays!$B$4:$B$32,IF(WEEKDAY(DN24)=1,DN24+1,IF(WEEKDAY(DN24)=7,DN24+2,DN24)))+COUNTIF(ClosedDays!$F$4:$F$32,IF(WEEKDAY(DN24)=1,DN24+1,IF(WEEKDAY(DN24)=7,DN24+2,DN24)))+COUNTIF(ClosedDays!$J$4:$J$32,IF(WEEKDAY(DN24)=1,DN24+1,IF(WEEKDAY(DN24)=7,DN24+2,DN24)))+COUNTIF(ClosedDays!$N$4:$N$32,IF(WEEKDAY(DN24)=1,DN24+1,IF(WEEKDAY(DN24)=7,DN24+2,DN24)))</f>
        <v>44473</v>
      </c>
      <c r="DP24" s="405">
        <f t="shared" si="23"/>
        <v>44473</v>
      </c>
      <c r="DQ24" s="405">
        <f t="shared" si="20"/>
        <v>44473</v>
      </c>
      <c r="DR24" s="394">
        <f t="shared" si="19"/>
        <v>1</v>
      </c>
      <c r="DS24" s="394">
        <f>IF(AND(DR24=1,COUNTIF(DS$7:DS23,1)&lt;12,VLOOKUP(COUNTIF(DS$7:DS23,1)+1,'Outline Info'!$A$21:$C$32,2)&lt;=I24),1,0)</f>
        <v>0</v>
      </c>
      <c r="DT24" s="405" t="str">
        <f>IF(DS24=1,IF(VLOOKUP(COUNTIF(DS$7:DS24,1),'Outline Info'!$A$21:$C$32,2)=0,"",VLOOKUP(COUNTIF(DS$7:DS24,1),'Outline Info'!$A$21:$C$32,2)),"")</f>
        <v/>
      </c>
      <c r="DU24" s="447">
        <f>IF(DS24=1,VLOOKUP(COUNTIF(DS$7:DS24,1),'Outline Info'!$A$21:$C$32,3),0)</f>
        <v>0</v>
      </c>
      <c r="DV24" s="445">
        <f>IF('Outline Info'!$B$8="Y",IF(B24="*",'Outline Info'!$B$19,IF(OR($A24="",B24="X",B24="x"),0,VLOOKUP($A24,'Course Table'!$A$2:$J$331,4,TRUE))),0)</f>
        <v>0</v>
      </c>
      <c r="DW24" s="447">
        <f t="shared" si="6"/>
        <v>0</v>
      </c>
      <c r="DX24" s="447">
        <f>IF('Outline Info'!$B$8="Y",$DV24,$DW24)</f>
        <v>0</v>
      </c>
      <c r="DY24" s="394"/>
      <c r="DZ24" s="934"/>
      <c r="EA24" s="934"/>
      <c r="EB24" s="394"/>
      <c r="EC24" s="394"/>
      <c r="ED24" s="394"/>
    </row>
    <row r="25" spans="1:134" s="400" customFormat="1" ht="20.100000000000001" customHeight="1">
      <c r="A25" s="874" t="str">
        <f t="shared" si="7"/>
        <v/>
      </c>
      <c r="B25" s="876" t="str">
        <f t="shared" si="8"/>
        <v/>
      </c>
      <c r="C25" s="878" t="str">
        <f t="shared" si="9"/>
        <v/>
      </c>
      <c r="D25" s="463">
        <f>IF(NOT(ISBLANK(DZ25)),DZ25,IF(AND($AC25=9998,'Outline Info'!$H$33&gt;='Outline Info'!$B$6,'Outline Info'!$H$33&lt;='Outline Info'!$C$6),'Outline Info'!$H$33,IF(AND($AC25=9997,'Outline Info'!$H$31&gt;='Outline Info'!$B$6,'Outline Info'!$H$31&lt;='Outline Info'!$C$6),'Outline Info'!$H$31,IF(AE25="*",DQ24,IF(OR(AE25="x",AE25="X"),I24,IF(AND(AC25&gt;6,AC24&lt;6),DQ24,IF(AND($AC25=9998,$AC24=9997),I23,I24)))))))</f>
        <v>44470</v>
      </c>
      <c r="E25" s="1286"/>
      <c r="F25" s="1287"/>
      <c r="G25" s="1282"/>
      <c r="H25" s="1283"/>
      <c r="I25" s="464">
        <f>IF(AND($AC25=9998,'Outline Info'!$I$33&gt;='Outline Info'!$B$6,'Outline Info'!$I$33&lt;='Outline Info'!$C$6),'Outline Info'!$I$33,IF(AND($AC25=9997,'Outline Info'!$I$31&gt;='Outline Info'!$B$6,'Outline Info'!$I$31&lt;='Outline Info'!$C$6),'Outline Info'!$I$31,IF(DP25&gt;$V$4,$V$4,DP25)))</f>
        <v>44470</v>
      </c>
      <c r="J25" s="436"/>
      <c r="K25" s="437"/>
      <c r="L25" s="438"/>
      <c r="M25" s="438"/>
      <c r="N25" s="435"/>
      <c r="O25" s="435"/>
      <c r="P25" s="438"/>
      <c r="Q25" s="438"/>
      <c r="R25" s="439"/>
      <c r="S25" s="872">
        <f>IF($V$5-SUM($DX$7:$DX25)&lt;0,IF($V$5-SUM($DX$7:$DX24)&lt;0,0,$V$5-SUM($DX$7:$DX24)),DX25)</f>
        <v>0</v>
      </c>
      <c r="T25" s="440" t="str">
        <f>IF(S25&gt;0,IF('Outline Info'!$B$8="Y",D25,DT25),"")</f>
        <v/>
      </c>
      <c r="U25" s="441"/>
      <c r="V25" s="442"/>
      <c r="W25" s="870" t="str">
        <f>IF('Outline Info'!$C$33&gt;0,ROUND(IF('Outline Info'!$B$8="Y",SUM(S$7:S25)-SUM(AJ$7:AJ25)-'Outline Info'!$B$14-'Outline Info'!$B$15-'Outline Info'!$B$17,IF(AL25=0,SUM(S$7:S25)-SUM(AK$7:AK25)-SUM(AP25:AS25)-'Outline Info'!$B$14-'Outline Info'!$B$15-'Outline Info'!$B$17,0)),0),IF('Outline Info'!$T$4&lt;&gt;1,"",IF(OR(AD25="",AL25=1),"",SUM(AK$7:AK25)+SUM(AP25:AS25)+'Outline Info'!$B$14+'Outline Info'!$B$15+'Outline Info'!$B$17)))</f>
        <v/>
      </c>
      <c r="X25" s="448"/>
      <c r="Y25" s="452">
        <f>IF(OR(AE25="X",AE25="x",AE25="*",AC25=99999),0,IF(AC25&lt;50,0,IF($S$4-SUM($Y$7:$Y24)&gt;0,1,0)))</f>
        <v>0</v>
      </c>
      <c r="Z25" s="453">
        <f>IF(AC25&lt;99999,IF(AE25="*",AH25,IF(OR(AE25="x",AE25="X",AC25&lt;10),0,IF(AND(AC25&lt;&gt;9998,AC25&lt;&gt;9997),IF(AM25=1,(AH25+$AM$5)*(1+('Outline Info'!$B$16)),IF(AN25=1,(AH25+$AN$5)*(1+('Outline Info'!$B$16)),0)),AH25))),0)</f>
        <v>0</v>
      </c>
      <c r="AA25" s="454">
        <f>Z25/'Outline Info'!$C$11+Y25</f>
        <v>0</v>
      </c>
      <c r="AB25" s="454">
        <f>ROUND(AA25/'Outline Info'!$B$11*7,0)</f>
        <v>0</v>
      </c>
      <c r="AC25" s="445">
        <f>IF($AD25&lt;&gt;"",VLOOKUP($AD25,'Course Table'!$A$2:$J$331,10,TRUE),99999)</f>
        <v>99999</v>
      </c>
      <c r="AD25" s="394"/>
      <c r="AE25" s="394"/>
      <c r="AF25" s="394"/>
      <c r="AG25" s="394"/>
      <c r="AH25" s="394"/>
      <c r="AI25" s="394">
        <v>399</v>
      </c>
      <c r="AJ25" s="394">
        <v>399</v>
      </c>
      <c r="AK25" s="394">
        <f t="shared" si="10"/>
        <v>399</v>
      </c>
      <c r="AL25" s="394">
        <f t="shared" si="11"/>
        <v>0</v>
      </c>
      <c r="AM25" s="394">
        <f t="shared" si="12"/>
        <v>0</v>
      </c>
      <c r="AN25" s="394">
        <f t="shared" si="13"/>
        <v>0</v>
      </c>
      <c r="AO25" s="394">
        <f>IF(AN25=1,SUMPRODUCT($AJ$7:$AJ25,$AN$7:$AN25),0)</f>
        <v>0</v>
      </c>
      <c r="AP25" s="394">
        <f t="shared" si="14"/>
        <v>0</v>
      </c>
      <c r="AQ25" s="394">
        <f t="shared" si="14"/>
        <v>0</v>
      </c>
      <c r="AR25" s="394">
        <f t="shared" si="14"/>
        <v>0</v>
      </c>
      <c r="AS25" s="394">
        <f t="shared" si="14"/>
        <v>0</v>
      </c>
      <c r="AT25" s="394">
        <f t="shared" si="15"/>
        <v>0</v>
      </c>
      <c r="AU25" s="394">
        <f t="shared" si="15"/>
        <v>0</v>
      </c>
      <c r="AV25" s="394">
        <f t="shared" si="15"/>
        <v>0</v>
      </c>
      <c r="AW25" s="394">
        <f t="shared" si="15"/>
        <v>0</v>
      </c>
      <c r="AX25" s="394">
        <f t="shared" si="1"/>
        <v>0</v>
      </c>
      <c r="AY25" s="394">
        <f t="shared" si="2"/>
        <v>0</v>
      </c>
      <c r="AZ25" s="394">
        <f t="shared" si="3"/>
        <v>0</v>
      </c>
      <c r="BA25" s="394">
        <f t="shared" si="4"/>
        <v>0</v>
      </c>
      <c r="BB25" s="405">
        <f t="shared" si="22"/>
        <v>44473</v>
      </c>
      <c r="BC25" s="405">
        <f>BB25+IF(WEEKDAY(BB25)=1,1,IF(WEEKDAY(BB25)=7,2,0))+COUNTIF(ClosedDays!$B$4:$B$32,IF(WEEKDAY(BB25)=1,BB25+1,IF(WEEKDAY(BB25)=7,BB25+2,BB25)))+COUNTIF(ClosedDays!$F$4:$F$32,IF(WEEKDAY(BB25)=1,BB25+1,IF(WEEKDAY(BB25)=7,BB25+2,BB25)))+COUNTIF(ClosedDays!$J$4:$J$32,IF(WEEKDAY(BB25)=1,BB25+1,IF(WEEKDAY(BB25)=7,BB25+2,BB25)))+COUNTIF(ClosedDays!$N$4:$N$32,IF(WEEKDAY(BB25)=1,BB25+1,IF(WEEKDAY(BB25)=7,BB25+2,BB25)))</f>
        <v>44473</v>
      </c>
      <c r="BD25" s="405">
        <f>BC25+IF(WEEKDAY(BC25)=1,1,IF(WEEKDAY(BC25)=7,2,0))+COUNTIF(ClosedDays!$B$4:$B$32,IF(WEEKDAY(BC25)=1,BC25+1,IF(WEEKDAY(BC25)=7,BC25+2,BC25)))+COUNTIF(ClosedDays!$F$4:$F$32,IF(WEEKDAY(BC25)=1,BC25+1,IF(WEEKDAY(BC25)=7,BC25+2,BC25)))+COUNTIF(ClosedDays!$J$4:$J$32,IF(WEEKDAY(BC25)=1,BC25+1,IF(WEEKDAY(BC25)=7,BC25+2,BC25)))+COUNTIF(ClosedDays!$N$4:$N$32,IF(WEEKDAY(BC25)=1,BC25+1,IF(WEEKDAY(BC25)=7,BC25+2,BC25)))</f>
        <v>44473</v>
      </c>
      <c r="BE25" s="405">
        <f>BD25+IF(WEEKDAY(BD25)=1,1,IF(WEEKDAY(BD25)=7,2,0))+COUNTIF(ClosedDays!$B$4:$B$32,IF(WEEKDAY(BD25)=1,BD25+1,IF(WEEKDAY(BD25)=7,BD25+2,BD25)))+COUNTIF(ClosedDays!$F$4:$F$32,IF(WEEKDAY(BD25)=1,BD25+1,IF(WEEKDAY(BD25)=7,BD25+2,BD25)))+COUNTIF(ClosedDays!$J$4:$J$32,IF(WEEKDAY(BD25)=1,BD25+1,IF(WEEKDAY(BD25)=7,BD25+2,BD25)))+COUNTIF(ClosedDays!$N$4:$N$32,IF(WEEKDAY(BD25)=1,BD25+1,IF(WEEKDAY(BD25)=7,BD25+2,BD25)))</f>
        <v>44473</v>
      </c>
      <c r="BF25" s="405">
        <f>BE25+IF(WEEKDAY(BE25)=1,1,IF(WEEKDAY(BE25)=7,2,0))+COUNTIF(ClosedDays!$B$4:$B$32,IF(WEEKDAY(BE25)=1,BE25+1,IF(WEEKDAY(BE25)=7,BE25+2,BE25)))+COUNTIF(ClosedDays!$F$4:$F$32,IF(WEEKDAY(BE25)=1,BE25+1,IF(WEEKDAY(BE25)=7,BE25+2,BE25)))+COUNTIF(ClosedDays!$J$4:$J$32,IF(WEEKDAY(BE25)=1,BE25+1,IF(WEEKDAY(BE25)=7,BE25+2,BE25)))+COUNTIF(ClosedDays!$N$4:$N$32,IF(WEEKDAY(BE25)=1,BE25+1,IF(WEEKDAY(BE25)=7,BE25+2,BE25)))</f>
        <v>44473</v>
      </c>
      <c r="BG25" s="405">
        <f>BF25+IF(WEEKDAY(BF25)=1,1,IF(WEEKDAY(BF25)=7,2,0))+COUNTIF(ClosedDays!$B$4:$B$32,IF(WEEKDAY(BF25)=1,BF25+1,IF(WEEKDAY(BF25)=7,BF25+2,BF25)))+COUNTIF(ClosedDays!$F$4:$F$32,IF(WEEKDAY(BF25)=1,BF25+1,IF(WEEKDAY(BF25)=7,BF25+2,BF25)))+COUNTIF(ClosedDays!$J$4:$J$32,IF(WEEKDAY(BF25)=1,BF25+1,IF(WEEKDAY(BF25)=7,BF25+2,BF25)))+COUNTIF(ClosedDays!$N$4:$N$32,IF(WEEKDAY(BF25)=1,BF25+1,IF(WEEKDAY(BF25)=7,BF25+2,BF25)))</f>
        <v>44473</v>
      </c>
      <c r="BH25" s="405">
        <f>BG25+IF(WEEKDAY(BG25)=1,1,IF(WEEKDAY(BG25)=7,2,0))+COUNTIF(ClosedDays!$B$4:$B$32,IF(WEEKDAY(BG25)=1,BG25+1,IF(WEEKDAY(BG25)=7,BG25+2,BG25)))+COUNTIF(ClosedDays!$F$4:$F$32,IF(WEEKDAY(BG25)=1,BG25+1,IF(WEEKDAY(BG25)=7,BG25+2,BG25)))+COUNTIF(ClosedDays!$J$4:$J$32,IF(WEEKDAY(BG25)=1,BG25+1,IF(WEEKDAY(BG25)=7,BG25+2,BG25)))+COUNTIF(ClosedDays!$N$4:$N$32,IF(WEEKDAY(BG25)=1,BG25+1,IF(WEEKDAY(BG25)=7,BG25+2,BG25)))</f>
        <v>44473</v>
      </c>
      <c r="BI25" s="405">
        <f>BH25+IF(WEEKDAY(BH25)=1,1,IF(WEEKDAY(BH25)=7,2,0))+COUNTIF(ClosedDays!$B$4:$B$32,IF(WEEKDAY(BH25)=1,BH25+1,IF(WEEKDAY(BH25)=7,BH25+2,BH25)))+COUNTIF(ClosedDays!$F$4:$F$32,IF(WEEKDAY(BH25)=1,BH25+1,IF(WEEKDAY(BH25)=7,BH25+2,BH25)))+COUNTIF(ClosedDays!$J$4:$J$32,IF(WEEKDAY(BH25)=1,BH25+1,IF(WEEKDAY(BH25)=7,BH25+2,BH25)))+COUNTIF(ClosedDays!$N$4:$N$32,IF(WEEKDAY(BH25)=1,BH25+1,IF(WEEKDAY(BH25)=7,BH25+2,BH25)))</f>
        <v>44473</v>
      </c>
      <c r="BJ25" s="405">
        <f>BI25+IF(WEEKDAY(BI25)=1,1,IF(WEEKDAY(BI25)=7,2,0))+COUNTIF(ClosedDays!$B$4:$B$32,IF(WEEKDAY(BI25)=1,BI25+1,IF(WEEKDAY(BI25)=7,BI25+2,BI25)))+COUNTIF(ClosedDays!$F$4:$F$32,IF(WEEKDAY(BI25)=1,BI25+1,IF(WEEKDAY(BI25)=7,BI25+2,BI25)))+COUNTIF(ClosedDays!$J$4:$J$32,IF(WEEKDAY(BI25)=1,BI25+1,IF(WEEKDAY(BI25)=7,BI25+2,BI25)))+COUNTIF(ClosedDays!$N$4:$N$32,IF(WEEKDAY(BI25)=1,BI25+1,IF(WEEKDAY(BI25)=7,BI25+2,BI25)))</f>
        <v>44473</v>
      </c>
      <c r="BK25" s="405">
        <f>BJ25+IF(WEEKDAY(BJ25)=1,1,IF(WEEKDAY(BJ25)=7,2,0))+COUNTIF(ClosedDays!$B$4:$B$32,IF(WEEKDAY(BJ25)=1,BJ25+1,IF(WEEKDAY(BJ25)=7,BJ25+2,BJ25)))+COUNTIF(ClosedDays!$F$4:$F$32,IF(WEEKDAY(BJ25)=1,BJ25+1,IF(WEEKDAY(BJ25)=7,BJ25+2,BJ25)))+COUNTIF(ClosedDays!$J$4:$J$32,IF(WEEKDAY(BJ25)=1,BJ25+1,IF(WEEKDAY(BJ25)=7,BJ25+2,BJ25)))+COUNTIF(ClosedDays!$N$4:$N$32,IF(WEEKDAY(BJ25)=1,BJ25+1,IF(WEEKDAY(BJ25)=7,BJ25+2,BJ25)))</f>
        <v>44473</v>
      </c>
      <c r="BL25" s="405">
        <f>BK25+IF(WEEKDAY(BK25)=1,1,IF(WEEKDAY(BK25)=7,2,0))+COUNTIF(ClosedDays!$B$4:$B$32,IF(WEEKDAY(BK25)=1,BK25+1,IF(WEEKDAY(BK25)=7,BK25+2,BK25)))+COUNTIF(ClosedDays!$F$4:$F$32,IF(WEEKDAY(BK25)=1,BK25+1,IF(WEEKDAY(BK25)=7,BK25+2,BK25)))+COUNTIF(ClosedDays!$J$4:$J$32,IF(WEEKDAY(BK25)=1,BK25+1,IF(WEEKDAY(BK25)=7,BK25+2,BK25)))+COUNTIF(ClosedDays!$N$4:$N$32,IF(WEEKDAY(BK25)=1,BK25+1,IF(WEEKDAY(BK25)=7,BK25+2,BK25)))</f>
        <v>44473</v>
      </c>
      <c r="BM25" s="405">
        <f>BL25+IF(WEEKDAY(BL25)=1,1,IF(WEEKDAY(BL25)=7,2,0))+COUNTIF(ClosedDays!$B$4:$B$32,IF(WEEKDAY(BL25)=1,BL25+1,IF(WEEKDAY(BL25)=7,BL25+2,BL25)))+COUNTIF(ClosedDays!$F$4:$F$32,IF(WEEKDAY(BL25)=1,BL25+1,IF(WEEKDAY(BL25)=7,BL25+2,BL25)))+COUNTIF(ClosedDays!$J$4:$J$32,IF(WEEKDAY(BL25)=1,BL25+1,IF(WEEKDAY(BL25)=7,BL25+2,BL25)))+COUNTIF(ClosedDays!$N$4:$N$32,IF(WEEKDAY(BL25)=1,BL25+1,IF(WEEKDAY(BL25)=7,BL25+2,BL25)))</f>
        <v>44473</v>
      </c>
      <c r="BN25" s="405">
        <f>BM25+IF(WEEKDAY(BM25)=1,1,IF(WEEKDAY(BM25)=7,2,0))+COUNTIF(ClosedDays!$B$4:$B$32,IF(WEEKDAY(BM25)=1,BM25+1,IF(WEEKDAY(BM25)=7,BM25+2,BM25)))+COUNTIF(ClosedDays!$F$4:$F$32,IF(WEEKDAY(BM25)=1,BM25+1,IF(WEEKDAY(BM25)=7,BM25+2,BM25)))+COUNTIF(ClosedDays!$J$4:$J$32,IF(WEEKDAY(BM25)=1,BM25+1,IF(WEEKDAY(BM25)=7,BM25+2,BM25)))+COUNTIF(ClosedDays!$N$4:$N$32,IF(WEEKDAY(BM25)=1,BM25+1,IF(WEEKDAY(BM25)=7,BM25+2,BM25)))</f>
        <v>44473</v>
      </c>
      <c r="BO25" s="405">
        <f>BN25+IF(WEEKDAY(BN25)=1,1,IF(WEEKDAY(BN25)=7,2,0))+COUNTIF(ClosedDays!$B$4:$B$32,IF(WEEKDAY(BN25)=1,BN25+1,IF(WEEKDAY(BN25)=7,BN25+2,BN25)))+COUNTIF(ClosedDays!$F$4:$F$32,IF(WEEKDAY(BN25)=1,BN25+1,IF(WEEKDAY(BN25)=7,BN25+2,BN25)))+COUNTIF(ClosedDays!$J$4:$J$32,IF(WEEKDAY(BN25)=1,BN25+1,IF(WEEKDAY(BN25)=7,BN25+2,BN25)))+COUNTIF(ClosedDays!$N$4:$N$32,IF(WEEKDAY(BN25)=1,BN25+1,IF(WEEKDAY(BN25)=7,BN25+2,BN25)))</f>
        <v>44473</v>
      </c>
      <c r="BP25" s="405">
        <f>BO25+IF(WEEKDAY(BO25)=1,1,IF(WEEKDAY(BO25)=7,2,0))+COUNTIF(ClosedDays!$B$4:$B$32,IF(WEEKDAY(BO25)=1,BO25+1,IF(WEEKDAY(BO25)=7,BO25+2,BO25)))+COUNTIF(ClosedDays!$F$4:$F$32,IF(WEEKDAY(BO25)=1,BO25+1,IF(WEEKDAY(BO25)=7,BO25+2,BO25)))+COUNTIF(ClosedDays!$J$4:$J$32,IF(WEEKDAY(BO25)=1,BO25+1,IF(WEEKDAY(BO25)=7,BO25+2,BO25)))+COUNTIF(ClosedDays!$N$4:$N$32,IF(WEEKDAY(BO25)=1,BO25+1,IF(WEEKDAY(BO25)=7,BO25+2,BO25)))</f>
        <v>44473</v>
      </c>
      <c r="BQ25" s="405">
        <f t="shared" si="16"/>
        <v>44473</v>
      </c>
      <c r="BR25" s="446">
        <f>IF(AND($D25&lt;='Outline Info'!$H$31,BQ25&gt;='Outline Info'!$H$31,$BS$4=1,$AC25&gt;10,$AC25&lt;9997),1,0)</f>
        <v>0</v>
      </c>
      <c r="BS25" s="405">
        <f>IF(BR25=1,BQ25+'Outline Info'!$I$31-'Outline Info'!$H$31+1,BQ25)</f>
        <v>44473</v>
      </c>
      <c r="BT25" s="405">
        <f>BS25+IF(WEEKDAY(BS25)=1,1,IF(WEEKDAY(BS25)=7,2,0))+COUNTIF(ClosedDays!$B$4:$B$32,IF(WEEKDAY(BS25)=1,BS25+1,IF(WEEKDAY(BS25)=7,BS25+2,BS25)))+COUNTIF(ClosedDays!$F$4:$F$32,IF(WEEKDAY(BS25)=1,BS25+1,IF(WEEKDAY(BS25)=7,BS25+2,BS25)))+COUNTIF(ClosedDays!$J$4:$J$32,IF(WEEKDAY(BS25)=1,BS25+1,IF(WEEKDAY(BS25)=7,BS25+2,BS25)))+COUNTIF(ClosedDays!$N$4:$N$32,IF(WEEKDAY(BS25)=1,BS25+1,IF(WEEKDAY(BS25)=7,BS25+2,BS25)))</f>
        <v>44473</v>
      </c>
      <c r="BU25" s="405">
        <f>BT25+IF(WEEKDAY(BT25)=1,1,IF(WEEKDAY(BT25)=7,2,0))+COUNTIF(ClosedDays!$B$4:$B$32,IF(WEEKDAY(BT25)=1,BT25+1,IF(WEEKDAY(BT25)=7,BT25+2,BT25)))+COUNTIF(ClosedDays!$F$4:$F$32,IF(WEEKDAY(BT25)=1,BT25+1,IF(WEEKDAY(BT25)=7,BT25+2,BT25)))+COUNTIF(ClosedDays!$J$4:$J$32,IF(WEEKDAY(BT25)=1,BT25+1,IF(WEEKDAY(BT25)=7,BT25+2,BT25)))+COUNTIF(ClosedDays!$N$4:$N$32,IF(WEEKDAY(BT25)=1,BT25+1,IF(WEEKDAY(BT25)=7,BT25+2,BT25)))</f>
        <v>44473</v>
      </c>
      <c r="BV25" s="405">
        <f>BU25+IF(WEEKDAY(BU25)=1,1,IF(WEEKDAY(BU25)=7,2,0))+COUNTIF(ClosedDays!$B$4:$B$32,IF(WEEKDAY(BU25)=1,BU25+1,IF(WEEKDAY(BU25)=7,BU25+2,BU25)))+COUNTIF(ClosedDays!$F$4:$F$32,IF(WEEKDAY(BU25)=1,BU25+1,IF(WEEKDAY(BU25)=7,BU25+2,BU25)))+COUNTIF(ClosedDays!$J$4:$J$32,IF(WEEKDAY(BU25)=1,BU25+1,IF(WEEKDAY(BU25)=7,BU25+2,BU25)))+COUNTIF(ClosedDays!$N$4:$N$32,IF(WEEKDAY(BU25)=1,BU25+1,IF(WEEKDAY(BU25)=7,BU25+2,BU25)))</f>
        <v>44473</v>
      </c>
      <c r="BW25" s="405">
        <f>BV25+IF(WEEKDAY(BV25)=1,1,IF(WEEKDAY(BV25)=7,2,0))+COUNTIF(ClosedDays!$B$4:$B$32,IF(WEEKDAY(BV25)=1,BV25+1,IF(WEEKDAY(BV25)=7,BV25+2,BV25)))+COUNTIF(ClosedDays!$F$4:$F$32,IF(WEEKDAY(BV25)=1,BV25+1,IF(WEEKDAY(BV25)=7,BV25+2,BV25)))+COUNTIF(ClosedDays!$J$4:$J$32,IF(WEEKDAY(BV25)=1,BV25+1,IF(WEEKDAY(BV25)=7,BV25+2,BV25)))+COUNTIF(ClosedDays!$N$4:$N$32,IF(WEEKDAY(BV25)=1,BV25+1,IF(WEEKDAY(BV25)=7,BV25+2,BV25)))</f>
        <v>44473</v>
      </c>
      <c r="BX25" s="405">
        <f>BW25+IF(WEEKDAY(BW25)=1,1,IF(WEEKDAY(BW25)=7,2,0))+COUNTIF(ClosedDays!$B$4:$B$32,IF(WEEKDAY(BW25)=1,BW25+1,IF(WEEKDAY(BW25)=7,BW25+2,BW25)))+COUNTIF(ClosedDays!$F$4:$F$32,IF(WEEKDAY(BW25)=1,BW25+1,IF(WEEKDAY(BW25)=7,BW25+2,BW25)))+COUNTIF(ClosedDays!$J$4:$J$32,IF(WEEKDAY(BW25)=1,BW25+1,IF(WEEKDAY(BW25)=7,BW25+2,BW25)))+COUNTIF(ClosedDays!$N$4:$N$32,IF(WEEKDAY(BW25)=1,BW25+1,IF(WEEKDAY(BW25)=7,BW25+2,BW25)))</f>
        <v>44473</v>
      </c>
      <c r="BY25" s="405">
        <f>BX25+IF(WEEKDAY(BX25)=1,1,IF(WEEKDAY(BX25)=7,2,0))+COUNTIF(ClosedDays!$B$4:$B$32,IF(WEEKDAY(BX25)=1,BX25+1,IF(WEEKDAY(BX25)=7,BX25+2,BX25)))+COUNTIF(ClosedDays!$F$4:$F$32,IF(WEEKDAY(BX25)=1,BX25+1,IF(WEEKDAY(BX25)=7,BX25+2,BX25)))+COUNTIF(ClosedDays!$J$4:$J$32,IF(WEEKDAY(BX25)=1,BX25+1,IF(WEEKDAY(BX25)=7,BX25+2,BX25)))+COUNTIF(ClosedDays!$N$4:$N$32,IF(WEEKDAY(BX25)=1,BX25+1,IF(WEEKDAY(BX25)=7,BX25+2,BX25)))</f>
        <v>44473</v>
      </c>
      <c r="BZ25" s="405">
        <f>BY25+IF(WEEKDAY(BY25)=1,1,IF(WEEKDAY(BY25)=7,2,0))+COUNTIF(ClosedDays!$B$4:$B$32,IF(WEEKDAY(BY25)=1,BY25+1,IF(WEEKDAY(BY25)=7,BY25+2,BY25)))+COUNTIF(ClosedDays!$F$4:$F$32,IF(WEEKDAY(BY25)=1,BY25+1,IF(WEEKDAY(BY25)=7,BY25+2,BY25)))+COUNTIF(ClosedDays!$J$4:$J$32,IF(WEEKDAY(BY25)=1,BY25+1,IF(WEEKDAY(BY25)=7,BY25+2,BY25)))+COUNTIF(ClosedDays!$N$4:$N$32,IF(WEEKDAY(BY25)=1,BY25+1,IF(WEEKDAY(BY25)=7,BY25+2,BY25)))</f>
        <v>44473</v>
      </c>
      <c r="CA25" s="405">
        <f>BZ25+IF(WEEKDAY(BZ25)=1,1,IF(WEEKDAY(BZ25)=7,2,0))+COUNTIF(ClosedDays!$B$4:$B$32,IF(WEEKDAY(BZ25)=1,BZ25+1,IF(WEEKDAY(BZ25)=7,BZ25+2,BZ25)))+COUNTIF(ClosedDays!$F$4:$F$32,IF(WEEKDAY(BZ25)=1,BZ25+1,IF(WEEKDAY(BZ25)=7,BZ25+2,BZ25)))+COUNTIF(ClosedDays!$J$4:$J$32,IF(WEEKDAY(BZ25)=1,BZ25+1,IF(WEEKDAY(BZ25)=7,BZ25+2,BZ25)))+COUNTIF(ClosedDays!$N$4:$N$32,IF(WEEKDAY(BZ25)=1,BZ25+1,IF(WEEKDAY(BZ25)=7,BZ25+2,BZ25)))</f>
        <v>44473</v>
      </c>
      <c r="CB25" s="405">
        <f>CA25+IF(WEEKDAY(CA25)=1,1,IF(WEEKDAY(CA25)=7,2,0))+COUNTIF(ClosedDays!$B$4:$B$32,IF(WEEKDAY(CA25)=1,CA25+1,IF(WEEKDAY(CA25)=7,CA25+2,CA25)))+COUNTIF(ClosedDays!$F$4:$F$32,IF(WEEKDAY(CA25)=1,CA25+1,IF(WEEKDAY(CA25)=7,CA25+2,CA25)))+COUNTIF(ClosedDays!$J$4:$J$32,IF(WEEKDAY(CA25)=1,CA25+1,IF(WEEKDAY(CA25)=7,CA25+2,CA25)))+COUNTIF(ClosedDays!$N$4:$N$32,IF(WEEKDAY(CA25)=1,CA25+1,IF(WEEKDAY(CA25)=7,CA25+2,CA25)))</f>
        <v>44473</v>
      </c>
      <c r="CC25" s="405">
        <f>CB25+IF(WEEKDAY(CB25)=1,1,IF(WEEKDAY(CB25)=7,2,0))+COUNTIF(ClosedDays!$B$4:$B$32,IF(WEEKDAY(CB25)=1,CB25+1,IF(WEEKDAY(CB25)=7,CB25+2,CB25)))+COUNTIF(ClosedDays!$F$4:$F$32,IF(WEEKDAY(CB25)=1,CB25+1,IF(WEEKDAY(CB25)=7,CB25+2,CB25)))+COUNTIF(ClosedDays!$J$4:$J$32,IF(WEEKDAY(CB25)=1,CB25+1,IF(WEEKDAY(CB25)=7,CB25+2,CB25)))+COUNTIF(ClosedDays!$N$4:$N$32,IF(WEEKDAY(CB25)=1,CB25+1,IF(WEEKDAY(CB25)=7,CB25+2,CB25)))</f>
        <v>44473</v>
      </c>
      <c r="CD25" s="405">
        <f>CC25+IF(WEEKDAY(CC25)=1,1,IF(WEEKDAY(CC25)=7,2,0))+COUNTIF(ClosedDays!$B$4:$B$32,IF(WEEKDAY(CC25)=1,CC25+1,IF(WEEKDAY(CC25)=7,CC25+2,CC25)))+COUNTIF(ClosedDays!$F$4:$F$32,IF(WEEKDAY(CC25)=1,CC25+1,IF(WEEKDAY(CC25)=7,CC25+2,CC25)))+COUNTIF(ClosedDays!$J$4:$J$32,IF(WEEKDAY(CC25)=1,CC25+1,IF(WEEKDAY(CC25)=7,CC25+2,CC25)))+COUNTIF(ClosedDays!$N$4:$N$32,IF(WEEKDAY(CC25)=1,CC25+1,IF(WEEKDAY(CC25)=7,CC25+2,CC25)))</f>
        <v>44473</v>
      </c>
      <c r="CE25" s="405">
        <f>CD25+IF(WEEKDAY(CD25)=1,1,IF(WEEKDAY(CD25)=7,2,0))+COUNTIF(ClosedDays!$B$4:$B$32,IF(WEEKDAY(CD25)=1,CD25+1,IF(WEEKDAY(CD25)=7,CD25+2,CD25)))+COUNTIF(ClosedDays!$F$4:$F$32,IF(WEEKDAY(CD25)=1,CD25+1,IF(WEEKDAY(CD25)=7,CD25+2,CD25)))+COUNTIF(ClosedDays!$J$4:$J$32,IF(WEEKDAY(CD25)=1,CD25+1,IF(WEEKDAY(CD25)=7,CD25+2,CD25)))+COUNTIF(ClosedDays!$N$4:$N$32,IF(WEEKDAY(CD25)=1,CD25+1,IF(WEEKDAY(CD25)=7,CD25+2,CD25)))</f>
        <v>44473</v>
      </c>
      <c r="CF25" s="405">
        <f>CE25+IF(WEEKDAY(CE25)=1,1,IF(WEEKDAY(CE25)=7,2,0))+COUNTIF(ClosedDays!$B$4:$B$32,IF(WEEKDAY(CE25)=1,CE25+1,IF(WEEKDAY(CE25)=7,CE25+2,CE25)))+COUNTIF(ClosedDays!$F$4:$F$32,IF(WEEKDAY(CE25)=1,CE25+1,IF(WEEKDAY(CE25)=7,CE25+2,CE25)))+COUNTIF(ClosedDays!$J$4:$J$32,IF(WEEKDAY(CE25)=1,CE25+1,IF(WEEKDAY(CE25)=7,CE25+2,CE25)))+COUNTIF(ClosedDays!$N$4:$N$32,IF(WEEKDAY(CE25)=1,CE25+1,IF(WEEKDAY(CE25)=7,CE25+2,CE25)))</f>
        <v>44473</v>
      </c>
      <c r="CG25" s="405">
        <f>CF25+IF(WEEKDAY(CF25)=1,1,IF(WEEKDAY(CF25)=7,2,0))+COUNTIF(ClosedDays!$B$4:$B$32,IF(WEEKDAY(CF25)=1,CF25+1,IF(WEEKDAY(CF25)=7,CF25+2,CF25)))+COUNTIF(ClosedDays!$F$4:$F$32,IF(WEEKDAY(CF25)=1,CF25+1,IF(WEEKDAY(CF25)=7,CF25+2,CF25)))+COUNTIF(ClosedDays!$J$4:$J$32,IF(WEEKDAY(CF25)=1,CF25+1,IF(WEEKDAY(CF25)=7,CF25+2,CF25)))+COUNTIF(ClosedDays!$N$4:$N$32,IF(WEEKDAY(CF25)=1,CF25+1,IF(WEEKDAY(CF25)=7,CF25+2,CF25)))</f>
        <v>44473</v>
      </c>
      <c r="CH25" s="405">
        <f t="shared" si="17"/>
        <v>44473</v>
      </c>
      <c r="CI25" s="446">
        <f>IF(AND($D25&lt;='Outline Info'!$H$33,CH25&gt;='Outline Info'!$H$33,$CJ$4=1,$AC25&gt;10,$AC25&lt;9997),1,0)</f>
        <v>0</v>
      </c>
      <c r="CJ25" s="405">
        <f>IF(CI25=1,CH25+'Outline Info'!$I$33-'Outline Info'!$H$33+1,CH25)</f>
        <v>44473</v>
      </c>
      <c r="CK25" s="405">
        <f>CJ25+IF(WEEKDAY(CJ25)=1,1,IF(WEEKDAY(CJ25)=7,2,0))+COUNTIF(ClosedDays!$B$4:$B$32,IF(WEEKDAY(CJ25)=1,CJ25+1,IF(WEEKDAY(CJ25)=7,CJ25+2,CJ25)))+COUNTIF(ClosedDays!$F$4:$F$32,IF(WEEKDAY(CJ25)=1,CJ25+1,IF(WEEKDAY(CJ25)=7,CJ25+2,CJ25)))+COUNTIF(ClosedDays!$J$4:$J$32,IF(WEEKDAY(CJ25)=1,CJ25+1,IF(WEEKDAY(CJ25)=7,CJ25+2,CJ25)))+COUNTIF(ClosedDays!$N$4:$N$32,IF(WEEKDAY(CJ25)=1,CJ25+1,IF(WEEKDAY(CJ25)=7,CJ25+2,CJ25)))</f>
        <v>44473</v>
      </c>
      <c r="CL25" s="405">
        <f>CK25+IF(WEEKDAY(CK25)=1,1,IF(WEEKDAY(CK25)=7,2,0))+COUNTIF(ClosedDays!$B$4:$B$32,IF(WEEKDAY(CK25)=1,CK25+1,IF(WEEKDAY(CK25)=7,CK25+2,CK25)))+COUNTIF(ClosedDays!$F$4:$F$32,IF(WEEKDAY(CK25)=1,CK25+1,IF(WEEKDAY(CK25)=7,CK25+2,CK25)))+COUNTIF(ClosedDays!$J$4:$J$32,IF(WEEKDAY(CK25)=1,CK25+1,IF(WEEKDAY(CK25)=7,CK25+2,CK25)))+COUNTIF(ClosedDays!$N$4:$N$32,IF(WEEKDAY(CK25)=1,CK25+1,IF(WEEKDAY(CK25)=7,CK25+2,CK25)))</f>
        <v>44473</v>
      </c>
      <c r="CM25" s="405">
        <f>CL25+IF(WEEKDAY(CL25)=1,1,IF(WEEKDAY(CL25)=7,2,0))+COUNTIF(ClosedDays!$B$4:$B$32,IF(WEEKDAY(CL25)=1,CL25+1,IF(WEEKDAY(CL25)=7,CL25+2,CL25)))+COUNTIF(ClosedDays!$F$4:$F$32,IF(WEEKDAY(CL25)=1,CL25+1,IF(WEEKDAY(CL25)=7,CL25+2,CL25)))+COUNTIF(ClosedDays!$J$4:$J$32,IF(WEEKDAY(CL25)=1,CL25+1,IF(WEEKDAY(CL25)=7,CL25+2,CL25)))+COUNTIF(ClosedDays!$N$4:$N$32,IF(WEEKDAY(CL25)=1,CL25+1,IF(WEEKDAY(CL25)=7,CL25+2,CL25)))</f>
        <v>44473</v>
      </c>
      <c r="CN25" s="405">
        <f>CM25+IF(WEEKDAY(CM25)=1,1,IF(WEEKDAY(CM25)=7,2,0))+COUNTIF(ClosedDays!$B$4:$B$32,IF(WEEKDAY(CM25)=1,CM25+1,IF(WEEKDAY(CM25)=7,CM25+2,CM25)))+COUNTIF(ClosedDays!$F$4:$F$32,IF(WEEKDAY(CM25)=1,CM25+1,IF(WEEKDAY(CM25)=7,CM25+2,CM25)))+COUNTIF(ClosedDays!$J$4:$J$32,IF(WEEKDAY(CM25)=1,CM25+1,IF(WEEKDAY(CM25)=7,CM25+2,CM25)))+COUNTIF(ClosedDays!$N$4:$N$32,IF(WEEKDAY(CM25)=1,CM25+1,IF(WEEKDAY(CM25)=7,CM25+2,CM25)))</f>
        <v>44473</v>
      </c>
      <c r="CO25" s="405">
        <f>CN25+IF(WEEKDAY(CN25)=1,1,IF(WEEKDAY(CN25)=7,2,0))+COUNTIF(ClosedDays!$B$4:$B$32,IF(WEEKDAY(CN25)=1,CN25+1,IF(WEEKDAY(CN25)=7,CN25+2,CN25)))+COUNTIF(ClosedDays!$F$4:$F$32,IF(WEEKDAY(CN25)=1,CN25+1,IF(WEEKDAY(CN25)=7,CN25+2,CN25)))+COUNTIF(ClosedDays!$J$4:$J$32,IF(WEEKDAY(CN25)=1,CN25+1,IF(WEEKDAY(CN25)=7,CN25+2,CN25)))+COUNTIF(ClosedDays!$N$4:$N$32,IF(WEEKDAY(CN25)=1,CN25+1,IF(WEEKDAY(CN25)=7,CN25+2,CN25)))</f>
        <v>44473</v>
      </c>
      <c r="CP25" s="405">
        <f>CO25+IF(WEEKDAY(CO25)=1,1,IF(WEEKDAY(CO25)=7,2,0))+COUNTIF(ClosedDays!$B$4:$B$32,IF(WEEKDAY(CO25)=1,CO25+1,IF(WEEKDAY(CO25)=7,CO25+2,CO25)))+COUNTIF(ClosedDays!$F$4:$F$32,IF(WEEKDAY(CO25)=1,CO25+1,IF(WEEKDAY(CO25)=7,CO25+2,CO25)))+COUNTIF(ClosedDays!$J$4:$J$32,IF(WEEKDAY(CO25)=1,CO25+1,IF(WEEKDAY(CO25)=7,CO25+2,CO25)))+COUNTIF(ClosedDays!$N$4:$N$32,IF(WEEKDAY(CO25)=1,CO25+1,IF(WEEKDAY(CO25)=7,CO25+2,CO25)))</f>
        <v>44473</v>
      </c>
      <c r="CQ25" s="405">
        <f>CP25+IF(WEEKDAY(CP25)=1,1,IF(WEEKDAY(CP25)=7,2,0))+COUNTIF(ClosedDays!$B$4:$B$32,IF(WEEKDAY(CP25)=1,CP25+1,IF(WEEKDAY(CP25)=7,CP25+2,CP25)))+COUNTIF(ClosedDays!$F$4:$F$32,IF(WEEKDAY(CP25)=1,CP25+1,IF(WEEKDAY(CP25)=7,CP25+2,CP25)))+COUNTIF(ClosedDays!$J$4:$J$32,IF(WEEKDAY(CP25)=1,CP25+1,IF(WEEKDAY(CP25)=7,CP25+2,CP25)))+COUNTIF(ClosedDays!$N$4:$N$32,IF(WEEKDAY(CP25)=1,CP25+1,IF(WEEKDAY(CP25)=7,CP25+2,CP25)))</f>
        <v>44473</v>
      </c>
      <c r="CR25" s="405">
        <f>CQ25+IF(WEEKDAY(CQ25)=1,1,IF(WEEKDAY(CQ25)=7,2,0))+COUNTIF(ClosedDays!$B$4:$B$32,IF(WEEKDAY(CQ25)=1,CQ25+1,IF(WEEKDAY(CQ25)=7,CQ25+2,CQ25)))+COUNTIF(ClosedDays!$F$4:$F$32,IF(WEEKDAY(CQ25)=1,CQ25+1,IF(WEEKDAY(CQ25)=7,CQ25+2,CQ25)))+COUNTIF(ClosedDays!$J$4:$J$32,IF(WEEKDAY(CQ25)=1,CQ25+1,IF(WEEKDAY(CQ25)=7,CQ25+2,CQ25)))+COUNTIF(ClosedDays!$N$4:$N$32,IF(WEEKDAY(CQ25)=1,CQ25+1,IF(WEEKDAY(CQ25)=7,CQ25+2,CQ25)))</f>
        <v>44473</v>
      </c>
      <c r="CS25" s="405">
        <f>CR25+IF(WEEKDAY(CR25)=1,1,IF(WEEKDAY(CR25)=7,2,0))+COUNTIF(ClosedDays!$B$4:$B$32,IF(WEEKDAY(CR25)=1,CR25+1,IF(WEEKDAY(CR25)=7,CR25+2,CR25)))+COUNTIF(ClosedDays!$F$4:$F$32,IF(WEEKDAY(CR25)=1,CR25+1,IF(WEEKDAY(CR25)=7,CR25+2,CR25)))+COUNTIF(ClosedDays!$J$4:$J$32,IF(WEEKDAY(CR25)=1,CR25+1,IF(WEEKDAY(CR25)=7,CR25+2,CR25)))+COUNTIF(ClosedDays!$N$4:$N$32,IF(WEEKDAY(CR25)=1,CR25+1,IF(WEEKDAY(CR25)=7,CR25+2,CR25)))</f>
        <v>44473</v>
      </c>
      <c r="CT25" s="405">
        <f>CS25+IF(WEEKDAY(CS25)=1,1,IF(WEEKDAY(CS25)=7,2,0))+COUNTIF(ClosedDays!$B$4:$B$32,IF(WEEKDAY(CS25)=1,CS25+1,IF(WEEKDAY(CS25)=7,CS25+2,CS25)))+COUNTIF(ClosedDays!$F$4:$F$32,IF(WEEKDAY(CS25)=1,CS25+1,IF(WEEKDAY(CS25)=7,CS25+2,CS25)))+COUNTIF(ClosedDays!$J$4:$J$32,IF(WEEKDAY(CS25)=1,CS25+1,IF(WEEKDAY(CS25)=7,CS25+2,CS25)))+COUNTIF(ClosedDays!$N$4:$N$32,IF(WEEKDAY(CS25)=1,CS25+1,IF(WEEKDAY(CS25)=7,CS25+2,CS25)))</f>
        <v>44473</v>
      </c>
      <c r="CU25" s="405">
        <f>CT25+IF(WEEKDAY(CT25)=1,1,IF(WEEKDAY(CT25)=7,2,0))+COUNTIF(ClosedDays!$B$4:$B$32,IF(WEEKDAY(CT25)=1,CT25+1,IF(WEEKDAY(CT25)=7,CT25+2,CT25)))+COUNTIF(ClosedDays!$F$4:$F$32,IF(WEEKDAY(CT25)=1,CT25+1,IF(WEEKDAY(CT25)=7,CT25+2,CT25)))+COUNTIF(ClosedDays!$J$4:$J$32,IF(WEEKDAY(CT25)=1,CT25+1,IF(WEEKDAY(CT25)=7,CT25+2,CT25)))+COUNTIF(ClosedDays!$N$4:$N$32,IF(WEEKDAY(CT25)=1,CT25+1,IF(WEEKDAY(CT25)=7,CT25+2,CT25)))</f>
        <v>44473</v>
      </c>
      <c r="CV25" s="405">
        <f>CU25+IF(WEEKDAY(CU25)=1,1,IF(WEEKDAY(CU25)=7,2,0))+COUNTIF(ClosedDays!$B$4:$B$32,IF(WEEKDAY(CU25)=1,CU25+1,IF(WEEKDAY(CU25)=7,CU25+2,CU25)))+COUNTIF(ClosedDays!$F$4:$F$32,IF(WEEKDAY(CU25)=1,CU25+1,IF(WEEKDAY(CU25)=7,CU25+2,CU25)))+COUNTIF(ClosedDays!$J$4:$J$32,IF(WEEKDAY(CU25)=1,CU25+1,IF(WEEKDAY(CU25)=7,CU25+2,CU25)))+COUNTIF(ClosedDays!$N$4:$N$32,IF(WEEKDAY(CU25)=1,CU25+1,IF(WEEKDAY(CU25)=7,CU25+2,CU25)))</f>
        <v>44473</v>
      </c>
      <c r="CW25" s="405">
        <f>CV25+IF(WEEKDAY(CV25)=1,1,IF(WEEKDAY(CV25)=7,2,0))+COUNTIF(ClosedDays!$B$4:$B$32,IF(WEEKDAY(CV25)=1,CV25+1,IF(WEEKDAY(CV25)=7,CV25+2,CV25)))+COUNTIF(ClosedDays!$F$4:$F$32,IF(WEEKDAY(CV25)=1,CV25+1,IF(WEEKDAY(CV25)=7,CV25+2,CV25)))+COUNTIF(ClosedDays!$J$4:$J$32,IF(WEEKDAY(CV25)=1,CV25+1,IF(WEEKDAY(CV25)=7,CV25+2,CV25)))+COUNTIF(ClosedDays!$N$4:$N$32,IF(WEEKDAY(CV25)=1,CV25+1,IF(WEEKDAY(CV25)=7,CV25+2,CV25)))</f>
        <v>44473</v>
      </c>
      <c r="CX25" s="405">
        <f>CW25+IF(WEEKDAY(CW25)=1,1,IF(WEEKDAY(CW25)=7,2,0))+COUNTIF(ClosedDays!$B$4:$B$32,IF(WEEKDAY(CW25)=1,CW25+1,IF(WEEKDAY(CW25)=7,CW25+2,CW25)))+COUNTIF(ClosedDays!$F$4:$F$32,IF(WEEKDAY(CW25)=1,CW25+1,IF(WEEKDAY(CW25)=7,CW25+2,CW25)))+COUNTIF(ClosedDays!$J$4:$J$32,IF(WEEKDAY(CW25)=1,CW25+1,IF(WEEKDAY(CW25)=7,CW25+2,CW25)))+COUNTIF(ClosedDays!$N$4:$N$32,IF(WEEKDAY(CW25)=1,CW25+1,IF(WEEKDAY(CW25)=7,CW25+2,CW25)))</f>
        <v>44473</v>
      </c>
      <c r="CY25" s="405">
        <f t="shared" si="18"/>
        <v>44473</v>
      </c>
      <c r="CZ25" s="446">
        <f>IF(AND($D25&lt;='Outline Info'!$E$33,CY25&gt;='Outline Info'!$E$33,$AC25&gt;10,$AC25&lt;9997),1,0)</f>
        <v>0</v>
      </c>
      <c r="DA25" s="405">
        <f>IF(AND($D25&lt;='Outline Info'!$E$33,CY25&gt;='Outline Info'!$E$33),CY25+'Outline Info'!$F$33-'Outline Info'!$E$33+1,CY25)</f>
        <v>44473</v>
      </c>
      <c r="DB25" s="405">
        <f>DA25+IF(WEEKDAY(DA25)=1,1,IF(WEEKDAY(DA25)=7,2,0))+COUNTIF(ClosedDays!$B$4:$B$32,IF(WEEKDAY(DA25)=1,DA25+1,IF(WEEKDAY(DA25)=7,DA25+2,DA25)))+COUNTIF(ClosedDays!$F$4:$F$32,IF(WEEKDAY(DA25)=1,DA25+1,IF(WEEKDAY(DA25)=7,DA25+2,DA25)))+COUNTIF(ClosedDays!$J$4:$J$32,IF(WEEKDAY(DA25)=1,DA25+1,IF(WEEKDAY(DA25)=7,DA25+2,DA25)))+COUNTIF(ClosedDays!$N$4:$N$32,IF(WEEKDAY(DA25)=1,DA25+1,IF(WEEKDAY(DA25)=7,DA25+2,DA25)))</f>
        <v>44473</v>
      </c>
      <c r="DC25" s="405">
        <f>DB25+IF(WEEKDAY(DB25)=1,1,IF(WEEKDAY(DB25)=7,2,0))+COUNTIF(ClosedDays!$B$4:$B$32,IF(WEEKDAY(DB25)=1,DB25+1,IF(WEEKDAY(DB25)=7,DB25+2,DB25)))+COUNTIF(ClosedDays!$F$4:$F$32,IF(WEEKDAY(DB25)=1,DB25+1,IF(WEEKDAY(DB25)=7,DB25+2,DB25)))+COUNTIF(ClosedDays!$J$4:$J$32,IF(WEEKDAY(DB25)=1,DB25+1,IF(WEEKDAY(DB25)=7,DB25+2,DB25)))+COUNTIF(ClosedDays!$N$4:$N$32,IF(WEEKDAY(DB25)=1,DB25+1,IF(WEEKDAY(DB25)=7,DB25+2,DB25)))</f>
        <v>44473</v>
      </c>
      <c r="DD25" s="405">
        <f>DC25+IF(WEEKDAY(DC25)=1,1,IF(WEEKDAY(DC25)=7,2,0))+COUNTIF(ClosedDays!$B$4:$B$32,IF(WEEKDAY(DC25)=1,DC25+1,IF(WEEKDAY(DC25)=7,DC25+2,DC25)))+COUNTIF(ClosedDays!$F$4:$F$32,IF(WEEKDAY(DC25)=1,DC25+1,IF(WEEKDAY(DC25)=7,DC25+2,DC25)))+COUNTIF(ClosedDays!$J$4:$J$32,IF(WEEKDAY(DC25)=1,DC25+1,IF(WEEKDAY(DC25)=7,DC25+2,DC25)))+COUNTIF(ClosedDays!$N$4:$N$32,IF(WEEKDAY(DC25)=1,DC25+1,IF(WEEKDAY(DC25)=7,DC25+2,DC25)))</f>
        <v>44473</v>
      </c>
      <c r="DE25" s="405">
        <f>DD25+IF(WEEKDAY(DD25)=1,1,IF(WEEKDAY(DD25)=7,2,0))+COUNTIF(ClosedDays!$B$4:$B$32,IF(WEEKDAY(DD25)=1,DD25+1,IF(WEEKDAY(DD25)=7,DD25+2,DD25)))+COUNTIF(ClosedDays!$F$4:$F$32,IF(WEEKDAY(DD25)=1,DD25+1,IF(WEEKDAY(DD25)=7,DD25+2,DD25)))+COUNTIF(ClosedDays!$J$4:$J$32,IF(WEEKDAY(DD25)=1,DD25+1,IF(WEEKDAY(DD25)=7,DD25+2,DD25)))+COUNTIF(ClosedDays!$N$4:$N$32,IF(WEEKDAY(DD25)=1,DD25+1,IF(WEEKDAY(DD25)=7,DD25+2,DD25)))</f>
        <v>44473</v>
      </c>
      <c r="DF25" s="405">
        <f>DE25+IF(WEEKDAY(DE25)=1,1,IF(WEEKDAY(DE25)=7,2,0))+COUNTIF(ClosedDays!$B$4:$B$32,IF(WEEKDAY(DE25)=1,DE25+1,IF(WEEKDAY(DE25)=7,DE25+2,DE25)))+COUNTIF(ClosedDays!$F$4:$F$32,IF(WEEKDAY(DE25)=1,DE25+1,IF(WEEKDAY(DE25)=7,DE25+2,DE25)))+COUNTIF(ClosedDays!$J$4:$J$32,IF(WEEKDAY(DE25)=1,DE25+1,IF(WEEKDAY(DE25)=7,DE25+2,DE25)))+COUNTIF(ClosedDays!$N$4:$N$32,IF(WEEKDAY(DE25)=1,DE25+1,IF(WEEKDAY(DE25)=7,DE25+2,DE25)))</f>
        <v>44473</v>
      </c>
      <c r="DG25" s="405">
        <f>DF25+IF(WEEKDAY(DF25)=1,1,IF(WEEKDAY(DF25)=7,2,0))+COUNTIF(ClosedDays!$B$4:$B$32,IF(WEEKDAY(DF25)=1,DF25+1,IF(WEEKDAY(DF25)=7,DF25+2,DF25)))+COUNTIF(ClosedDays!$F$4:$F$32,IF(WEEKDAY(DF25)=1,DF25+1,IF(WEEKDAY(DF25)=7,DF25+2,DF25)))+COUNTIF(ClosedDays!$J$4:$J$32,IF(WEEKDAY(DF25)=1,DF25+1,IF(WEEKDAY(DF25)=7,DF25+2,DF25)))+COUNTIF(ClosedDays!$N$4:$N$32,IF(WEEKDAY(DF25)=1,DF25+1,IF(WEEKDAY(DF25)=7,DF25+2,DF25)))</f>
        <v>44473</v>
      </c>
      <c r="DH25" s="405">
        <f>DG25+IF(WEEKDAY(DG25)=1,1,IF(WEEKDAY(DG25)=7,2,0))+COUNTIF(ClosedDays!$B$4:$B$32,IF(WEEKDAY(DG25)=1,DG25+1,IF(WEEKDAY(DG25)=7,DG25+2,DG25)))+COUNTIF(ClosedDays!$F$4:$F$32,IF(WEEKDAY(DG25)=1,DG25+1,IF(WEEKDAY(DG25)=7,DG25+2,DG25)))+COUNTIF(ClosedDays!$J$4:$J$32,IF(WEEKDAY(DG25)=1,DG25+1,IF(WEEKDAY(DG25)=7,DG25+2,DG25)))+COUNTIF(ClosedDays!$N$4:$N$32,IF(WEEKDAY(DG25)=1,DG25+1,IF(WEEKDAY(DG25)=7,DG25+2,DG25)))</f>
        <v>44473</v>
      </c>
      <c r="DI25" s="405">
        <f>DH25+IF(WEEKDAY(DH25)=1,1,IF(WEEKDAY(DH25)=7,2,0))+COUNTIF(ClosedDays!$B$4:$B$32,IF(WEEKDAY(DH25)=1,DH25+1,IF(WEEKDAY(DH25)=7,DH25+2,DH25)))+COUNTIF(ClosedDays!$F$4:$F$32,IF(WEEKDAY(DH25)=1,DH25+1,IF(WEEKDAY(DH25)=7,DH25+2,DH25)))+COUNTIF(ClosedDays!$J$4:$J$32,IF(WEEKDAY(DH25)=1,DH25+1,IF(WEEKDAY(DH25)=7,DH25+2,DH25)))+COUNTIF(ClosedDays!$N$4:$N$32,IF(WEEKDAY(DH25)=1,DH25+1,IF(WEEKDAY(DH25)=7,DH25+2,DH25)))</f>
        <v>44473</v>
      </c>
      <c r="DJ25" s="405">
        <f>DI25+IF(WEEKDAY(DI25)=1,1,IF(WEEKDAY(DI25)=7,2,0))+COUNTIF(ClosedDays!$B$4:$B$32,IF(WEEKDAY(DI25)=1,DI25+1,IF(WEEKDAY(DI25)=7,DI25+2,DI25)))+COUNTIF(ClosedDays!$F$4:$F$32,IF(WEEKDAY(DI25)=1,DI25+1,IF(WEEKDAY(DI25)=7,DI25+2,DI25)))+COUNTIF(ClosedDays!$J$4:$J$32,IF(WEEKDAY(DI25)=1,DI25+1,IF(WEEKDAY(DI25)=7,DI25+2,DI25)))+COUNTIF(ClosedDays!$N$4:$N$32,IF(WEEKDAY(DI25)=1,DI25+1,IF(WEEKDAY(DI25)=7,DI25+2,DI25)))</f>
        <v>44473</v>
      </c>
      <c r="DK25" s="405">
        <f>DJ25+IF(WEEKDAY(DJ25)=1,1,IF(WEEKDAY(DJ25)=7,2,0))+COUNTIF(ClosedDays!$B$4:$B$32,IF(WEEKDAY(DJ25)=1,DJ25+1,IF(WEEKDAY(DJ25)=7,DJ25+2,DJ25)))+COUNTIF(ClosedDays!$F$4:$F$32,IF(WEEKDAY(DJ25)=1,DJ25+1,IF(WEEKDAY(DJ25)=7,DJ25+2,DJ25)))+COUNTIF(ClosedDays!$J$4:$J$32,IF(WEEKDAY(DJ25)=1,DJ25+1,IF(WEEKDAY(DJ25)=7,DJ25+2,DJ25)))+COUNTIF(ClosedDays!$N$4:$N$32,IF(WEEKDAY(DJ25)=1,DJ25+1,IF(WEEKDAY(DJ25)=7,DJ25+2,DJ25)))</f>
        <v>44473</v>
      </c>
      <c r="DL25" s="405">
        <f>DK25+IF(WEEKDAY(DK25)=1,1,IF(WEEKDAY(DK25)=7,2,0))+COUNTIF(ClosedDays!$B$4:$B$32,IF(WEEKDAY(DK25)=1,DK25+1,IF(WEEKDAY(DK25)=7,DK25+2,DK25)))+COUNTIF(ClosedDays!$F$4:$F$32,IF(WEEKDAY(DK25)=1,DK25+1,IF(WEEKDAY(DK25)=7,DK25+2,DK25)))+COUNTIF(ClosedDays!$J$4:$J$32,IF(WEEKDAY(DK25)=1,DK25+1,IF(WEEKDAY(DK25)=7,DK25+2,DK25)))+COUNTIF(ClosedDays!$N$4:$N$32,IF(WEEKDAY(DK25)=1,DK25+1,IF(WEEKDAY(DK25)=7,DK25+2,DK25)))</f>
        <v>44473</v>
      </c>
      <c r="DM25" s="405">
        <f>DL25+IF(WEEKDAY(DL25)=1,1,IF(WEEKDAY(DL25)=7,2,0))+COUNTIF(ClosedDays!$B$4:$B$32,IF(WEEKDAY(DL25)=1,DL25+1,IF(WEEKDAY(DL25)=7,DL25+2,DL25)))+COUNTIF(ClosedDays!$F$4:$F$32,IF(WEEKDAY(DL25)=1,DL25+1,IF(WEEKDAY(DL25)=7,DL25+2,DL25)))+COUNTIF(ClosedDays!$J$4:$J$32,IF(WEEKDAY(DL25)=1,DL25+1,IF(WEEKDAY(DL25)=7,DL25+2,DL25)))+COUNTIF(ClosedDays!$N$4:$N$32,IF(WEEKDAY(DL25)=1,DL25+1,IF(WEEKDAY(DL25)=7,DL25+2,DL25)))</f>
        <v>44473</v>
      </c>
      <c r="DN25" s="405">
        <f>DM25+IF(WEEKDAY(DM25)=1,1,IF(WEEKDAY(DM25)=7,2,0))+COUNTIF(ClosedDays!$B$4:$B$32,IF(WEEKDAY(DM25)=1,DM25+1,IF(WEEKDAY(DM25)=7,DM25+2,DM25)))+COUNTIF(ClosedDays!$F$4:$F$32,IF(WEEKDAY(DM25)=1,DM25+1,IF(WEEKDAY(DM25)=7,DM25+2,DM25)))+COUNTIF(ClosedDays!$J$4:$J$32,IF(WEEKDAY(DM25)=1,DM25+1,IF(WEEKDAY(DM25)=7,DM25+2,DM25)))+COUNTIF(ClosedDays!$N$4:$N$32,IF(WEEKDAY(DM25)=1,DM25+1,IF(WEEKDAY(DM25)=7,DM25+2,DM25)))</f>
        <v>44473</v>
      </c>
      <c r="DO25" s="405">
        <f>DN25+IF(WEEKDAY(DN25)=1,1,IF(WEEKDAY(DN25)=7,2,0))+COUNTIF(ClosedDays!$B$4:$B$32,IF(WEEKDAY(DN25)=1,DN25+1,IF(WEEKDAY(DN25)=7,DN25+2,DN25)))+COUNTIF(ClosedDays!$F$4:$F$32,IF(WEEKDAY(DN25)=1,DN25+1,IF(WEEKDAY(DN25)=7,DN25+2,DN25)))+COUNTIF(ClosedDays!$J$4:$J$32,IF(WEEKDAY(DN25)=1,DN25+1,IF(WEEKDAY(DN25)=7,DN25+2,DN25)))+COUNTIF(ClosedDays!$N$4:$N$32,IF(WEEKDAY(DN25)=1,DN25+1,IF(WEEKDAY(DN25)=7,DN25+2,DN25)))</f>
        <v>44473</v>
      </c>
      <c r="DP25" s="405">
        <f t="shared" si="23"/>
        <v>44473</v>
      </c>
      <c r="DQ25" s="405">
        <f t="shared" si="20"/>
        <v>44473</v>
      </c>
      <c r="DR25" s="394">
        <f t="shared" si="19"/>
        <v>1</v>
      </c>
      <c r="DS25" s="394">
        <f>IF(AND(DR25=1,COUNTIF(DS$7:DS24,1)&lt;12,VLOOKUP(COUNTIF(DS$7:DS24,1)+1,'Outline Info'!$A$21:$C$32,2)&lt;=I25),1,0)</f>
        <v>0</v>
      </c>
      <c r="DT25" s="405" t="str">
        <f>IF(DS25=1,IF(VLOOKUP(COUNTIF(DS$7:DS25,1),'Outline Info'!$A$21:$C$32,2)=0,"",VLOOKUP(COUNTIF(DS$7:DS25,1),'Outline Info'!$A$21:$C$32,2)),"")</f>
        <v/>
      </c>
      <c r="DU25" s="447">
        <f>IF(DS25=1,VLOOKUP(COUNTIF(DS$7:DS25,1),'Outline Info'!$A$21:$C$32,3),0)</f>
        <v>0</v>
      </c>
      <c r="DV25" s="445">
        <f>IF('Outline Info'!$B$8="Y",IF(B25="*",'Outline Info'!$B$19,IF(OR($A25="",B25="X",B25="x"),0,VLOOKUP($A25,'Course Table'!$A$2:$J$331,4,TRUE))),0)</f>
        <v>0</v>
      </c>
      <c r="DW25" s="447">
        <f t="shared" si="6"/>
        <v>0</v>
      </c>
      <c r="DX25" s="447">
        <f>IF('Outline Info'!$B$8="Y",$DV25,$DW25)</f>
        <v>0</v>
      </c>
      <c r="DY25" s="394"/>
      <c r="DZ25" s="934"/>
      <c r="EA25" s="934"/>
      <c r="EB25" s="394"/>
      <c r="EC25" s="394"/>
      <c r="ED25" s="394"/>
    </row>
    <row r="26" spans="1:134" s="400" customFormat="1" ht="20.100000000000001" customHeight="1">
      <c r="A26" s="874" t="str">
        <f t="shared" si="7"/>
        <v/>
      </c>
      <c r="B26" s="876" t="str">
        <f t="shared" si="8"/>
        <v/>
      </c>
      <c r="C26" s="878" t="str">
        <f t="shared" si="9"/>
        <v/>
      </c>
      <c r="D26" s="463">
        <f>IF(NOT(ISBLANK(DZ26)),DZ26,IF(AND($AC26=9998,'Outline Info'!$H$33&gt;='Outline Info'!$B$6,'Outline Info'!$H$33&lt;='Outline Info'!$C$6),'Outline Info'!$H$33,IF(AND($AC26=9997,'Outline Info'!$H$31&gt;='Outline Info'!$B$6,'Outline Info'!$H$31&lt;='Outline Info'!$C$6),'Outline Info'!$H$31,IF(AE26="*",DQ25,IF(OR(AE26="x",AE26="X"),I25,IF(AND(AC26&gt;6,AC25&lt;6),DQ25,IF(AND($AC26=9998,$AC25=9997),I24,I25)))))))</f>
        <v>44470</v>
      </c>
      <c r="E26" s="1286"/>
      <c r="F26" s="1287"/>
      <c r="G26" s="1282"/>
      <c r="H26" s="1283"/>
      <c r="I26" s="464">
        <f>IF(AND($AC26=9998,'Outline Info'!$I$33&gt;='Outline Info'!$B$6,'Outline Info'!$I$33&lt;='Outline Info'!$C$6),'Outline Info'!$I$33,IF(AND($AC26=9997,'Outline Info'!$I$31&gt;='Outline Info'!$B$6,'Outline Info'!$I$31&lt;='Outline Info'!$C$6),'Outline Info'!$I$31,IF(DP26&gt;$V$4,$V$4,DP26)))</f>
        <v>44470</v>
      </c>
      <c r="J26" s="436"/>
      <c r="K26" s="437"/>
      <c r="L26" s="438"/>
      <c r="M26" s="438"/>
      <c r="N26" s="435"/>
      <c r="O26" s="435"/>
      <c r="P26" s="438"/>
      <c r="Q26" s="438"/>
      <c r="R26" s="439"/>
      <c r="S26" s="872">
        <f>IF($V$5-SUM($DX$7:$DX26)&lt;0,IF($V$5-SUM($DX$7:$DX25)&lt;0,0,$V$5-SUM($DX$7:$DX25)),DX26)</f>
        <v>0</v>
      </c>
      <c r="T26" s="440" t="str">
        <f>IF(S26&gt;0,IF('Outline Info'!$B$8="Y",D26,DT26),"")</f>
        <v/>
      </c>
      <c r="U26" s="441"/>
      <c r="V26" s="442"/>
      <c r="W26" s="870" t="str">
        <f>IF('Outline Info'!$C$33&gt;0,ROUND(IF('Outline Info'!$B$8="Y",SUM(S$7:S26)-SUM(AJ$7:AJ26)-'Outline Info'!$B$14-'Outline Info'!$B$15-'Outline Info'!$B$17,IF(AL26=0,SUM(S$7:S26)-SUM(AK$7:AK26)-SUM(AP26:AS26)-'Outline Info'!$B$14-'Outline Info'!$B$15-'Outline Info'!$B$17,0)),0),IF('Outline Info'!$T$4&lt;&gt;1,"",IF(OR(AD26="",AL26=1),"",SUM(AK$7:AK26)+SUM(AP26:AS26)+'Outline Info'!$B$14+'Outline Info'!$B$15+'Outline Info'!$B$17)))</f>
        <v/>
      </c>
      <c r="X26" s="448"/>
      <c r="Y26" s="452">
        <f>IF(OR(AE26="X",AE26="x",AE26="*",AC26=99999),0,IF(AC26&lt;50,0,IF($S$4-SUM($Y$7:$Y25)&gt;0,1,0)))</f>
        <v>0</v>
      </c>
      <c r="Z26" s="453">
        <f>IF(AC26&lt;99999,IF(AE26="*",AH26,IF(OR(AE26="x",AE26="X",AC26&lt;10),0,IF(AND(AC26&lt;&gt;9998,AC26&lt;&gt;9997),IF(AM26=1,(AH26+$AM$5)*(1+('Outline Info'!$B$16)),IF(AN26=1,(AH26+$AN$5)*(1+('Outline Info'!$B$16)),0)),AH26))),0)</f>
        <v>0</v>
      </c>
      <c r="AA26" s="454">
        <f>Z26/'Outline Info'!$C$11+Y26</f>
        <v>0</v>
      </c>
      <c r="AB26" s="454">
        <f>ROUND(AA26/'Outline Info'!$B$11*7,0)</f>
        <v>0</v>
      </c>
      <c r="AC26" s="445">
        <f>IF($AD26&lt;&gt;"",VLOOKUP($AD26,'Course Table'!$A$2:$J$331,10,TRUE),99999)</f>
        <v>99999</v>
      </c>
      <c r="AD26" s="394"/>
      <c r="AE26" s="394"/>
      <c r="AF26" s="394"/>
      <c r="AG26" s="394"/>
      <c r="AH26" s="394"/>
      <c r="AI26" s="394">
        <v>499</v>
      </c>
      <c r="AJ26" s="394">
        <v>499</v>
      </c>
      <c r="AK26" s="394">
        <f t="shared" si="10"/>
        <v>499</v>
      </c>
      <c r="AL26" s="394">
        <f t="shared" si="11"/>
        <v>0</v>
      </c>
      <c r="AM26" s="394">
        <f t="shared" si="12"/>
        <v>0</v>
      </c>
      <c r="AN26" s="394">
        <f t="shared" si="13"/>
        <v>0</v>
      </c>
      <c r="AO26" s="394">
        <f>IF(AN26=1,SUMPRODUCT($AJ$7:$AJ26,$AN$7:$AN26),0)</f>
        <v>0</v>
      </c>
      <c r="AP26" s="394">
        <f t="shared" si="14"/>
        <v>0</v>
      </c>
      <c r="AQ26" s="394">
        <f t="shared" si="14"/>
        <v>0</v>
      </c>
      <c r="AR26" s="394">
        <f t="shared" si="14"/>
        <v>0</v>
      </c>
      <c r="AS26" s="394">
        <f t="shared" si="14"/>
        <v>0</v>
      </c>
      <c r="AT26" s="394">
        <f t="shared" si="15"/>
        <v>0</v>
      </c>
      <c r="AU26" s="394">
        <f t="shared" si="15"/>
        <v>0</v>
      </c>
      <c r="AV26" s="394">
        <f t="shared" si="15"/>
        <v>0</v>
      </c>
      <c r="AW26" s="394">
        <f t="shared" si="15"/>
        <v>0</v>
      </c>
      <c r="AX26" s="394">
        <f t="shared" si="1"/>
        <v>0</v>
      </c>
      <c r="AY26" s="394">
        <f t="shared" si="2"/>
        <v>0</v>
      </c>
      <c r="AZ26" s="394">
        <f t="shared" si="3"/>
        <v>0</v>
      </c>
      <c r="BA26" s="394">
        <f t="shared" si="4"/>
        <v>0</v>
      </c>
      <c r="BB26" s="405">
        <f t="shared" si="22"/>
        <v>44473</v>
      </c>
      <c r="BC26" s="405">
        <f>BB26+IF(WEEKDAY(BB26)=1,1,IF(WEEKDAY(BB26)=7,2,0))+COUNTIF(ClosedDays!$B$4:$B$32,IF(WEEKDAY(BB26)=1,BB26+1,IF(WEEKDAY(BB26)=7,BB26+2,BB26)))+COUNTIF(ClosedDays!$F$4:$F$32,IF(WEEKDAY(BB26)=1,BB26+1,IF(WEEKDAY(BB26)=7,BB26+2,BB26)))+COUNTIF(ClosedDays!$J$4:$J$32,IF(WEEKDAY(BB26)=1,BB26+1,IF(WEEKDAY(BB26)=7,BB26+2,BB26)))+COUNTIF(ClosedDays!$N$4:$N$32,IF(WEEKDAY(BB26)=1,BB26+1,IF(WEEKDAY(BB26)=7,BB26+2,BB26)))</f>
        <v>44473</v>
      </c>
      <c r="BD26" s="405">
        <f>BC26+IF(WEEKDAY(BC26)=1,1,IF(WEEKDAY(BC26)=7,2,0))+COUNTIF(ClosedDays!$B$4:$B$32,IF(WEEKDAY(BC26)=1,BC26+1,IF(WEEKDAY(BC26)=7,BC26+2,BC26)))+COUNTIF(ClosedDays!$F$4:$F$32,IF(WEEKDAY(BC26)=1,BC26+1,IF(WEEKDAY(BC26)=7,BC26+2,BC26)))+COUNTIF(ClosedDays!$J$4:$J$32,IF(WEEKDAY(BC26)=1,BC26+1,IF(WEEKDAY(BC26)=7,BC26+2,BC26)))+COUNTIF(ClosedDays!$N$4:$N$32,IF(WEEKDAY(BC26)=1,BC26+1,IF(WEEKDAY(BC26)=7,BC26+2,BC26)))</f>
        <v>44473</v>
      </c>
      <c r="BE26" s="405">
        <f>BD26+IF(WEEKDAY(BD26)=1,1,IF(WEEKDAY(BD26)=7,2,0))+COUNTIF(ClosedDays!$B$4:$B$32,IF(WEEKDAY(BD26)=1,BD26+1,IF(WEEKDAY(BD26)=7,BD26+2,BD26)))+COUNTIF(ClosedDays!$F$4:$F$32,IF(WEEKDAY(BD26)=1,BD26+1,IF(WEEKDAY(BD26)=7,BD26+2,BD26)))+COUNTIF(ClosedDays!$J$4:$J$32,IF(WEEKDAY(BD26)=1,BD26+1,IF(WEEKDAY(BD26)=7,BD26+2,BD26)))+COUNTIF(ClosedDays!$N$4:$N$32,IF(WEEKDAY(BD26)=1,BD26+1,IF(WEEKDAY(BD26)=7,BD26+2,BD26)))</f>
        <v>44473</v>
      </c>
      <c r="BF26" s="405">
        <f>BE26+IF(WEEKDAY(BE26)=1,1,IF(WEEKDAY(BE26)=7,2,0))+COUNTIF(ClosedDays!$B$4:$B$32,IF(WEEKDAY(BE26)=1,BE26+1,IF(WEEKDAY(BE26)=7,BE26+2,BE26)))+COUNTIF(ClosedDays!$F$4:$F$32,IF(WEEKDAY(BE26)=1,BE26+1,IF(WEEKDAY(BE26)=7,BE26+2,BE26)))+COUNTIF(ClosedDays!$J$4:$J$32,IF(WEEKDAY(BE26)=1,BE26+1,IF(WEEKDAY(BE26)=7,BE26+2,BE26)))+COUNTIF(ClosedDays!$N$4:$N$32,IF(WEEKDAY(BE26)=1,BE26+1,IF(WEEKDAY(BE26)=7,BE26+2,BE26)))</f>
        <v>44473</v>
      </c>
      <c r="BG26" s="405">
        <f>BF26+IF(WEEKDAY(BF26)=1,1,IF(WEEKDAY(BF26)=7,2,0))+COUNTIF(ClosedDays!$B$4:$B$32,IF(WEEKDAY(BF26)=1,BF26+1,IF(WEEKDAY(BF26)=7,BF26+2,BF26)))+COUNTIF(ClosedDays!$F$4:$F$32,IF(WEEKDAY(BF26)=1,BF26+1,IF(WEEKDAY(BF26)=7,BF26+2,BF26)))+COUNTIF(ClosedDays!$J$4:$J$32,IF(WEEKDAY(BF26)=1,BF26+1,IF(WEEKDAY(BF26)=7,BF26+2,BF26)))+COUNTIF(ClosedDays!$N$4:$N$32,IF(WEEKDAY(BF26)=1,BF26+1,IF(WEEKDAY(BF26)=7,BF26+2,BF26)))</f>
        <v>44473</v>
      </c>
      <c r="BH26" s="405">
        <f>BG26+IF(WEEKDAY(BG26)=1,1,IF(WEEKDAY(BG26)=7,2,0))+COUNTIF(ClosedDays!$B$4:$B$32,IF(WEEKDAY(BG26)=1,BG26+1,IF(WEEKDAY(BG26)=7,BG26+2,BG26)))+COUNTIF(ClosedDays!$F$4:$F$32,IF(WEEKDAY(BG26)=1,BG26+1,IF(WEEKDAY(BG26)=7,BG26+2,BG26)))+COUNTIF(ClosedDays!$J$4:$J$32,IF(WEEKDAY(BG26)=1,BG26+1,IF(WEEKDAY(BG26)=7,BG26+2,BG26)))+COUNTIF(ClosedDays!$N$4:$N$32,IF(WEEKDAY(BG26)=1,BG26+1,IF(WEEKDAY(BG26)=7,BG26+2,BG26)))</f>
        <v>44473</v>
      </c>
      <c r="BI26" s="405">
        <f>BH26+IF(WEEKDAY(BH26)=1,1,IF(WEEKDAY(BH26)=7,2,0))+COUNTIF(ClosedDays!$B$4:$B$32,IF(WEEKDAY(BH26)=1,BH26+1,IF(WEEKDAY(BH26)=7,BH26+2,BH26)))+COUNTIF(ClosedDays!$F$4:$F$32,IF(WEEKDAY(BH26)=1,BH26+1,IF(WEEKDAY(BH26)=7,BH26+2,BH26)))+COUNTIF(ClosedDays!$J$4:$J$32,IF(WEEKDAY(BH26)=1,BH26+1,IF(WEEKDAY(BH26)=7,BH26+2,BH26)))+COUNTIF(ClosedDays!$N$4:$N$32,IF(WEEKDAY(BH26)=1,BH26+1,IF(WEEKDAY(BH26)=7,BH26+2,BH26)))</f>
        <v>44473</v>
      </c>
      <c r="BJ26" s="405">
        <f>BI26+IF(WEEKDAY(BI26)=1,1,IF(WEEKDAY(BI26)=7,2,0))+COUNTIF(ClosedDays!$B$4:$B$32,IF(WEEKDAY(BI26)=1,BI26+1,IF(WEEKDAY(BI26)=7,BI26+2,BI26)))+COUNTIF(ClosedDays!$F$4:$F$32,IF(WEEKDAY(BI26)=1,BI26+1,IF(WEEKDAY(BI26)=7,BI26+2,BI26)))+COUNTIF(ClosedDays!$J$4:$J$32,IF(WEEKDAY(BI26)=1,BI26+1,IF(WEEKDAY(BI26)=7,BI26+2,BI26)))+COUNTIF(ClosedDays!$N$4:$N$32,IF(WEEKDAY(BI26)=1,BI26+1,IF(WEEKDAY(BI26)=7,BI26+2,BI26)))</f>
        <v>44473</v>
      </c>
      <c r="BK26" s="405">
        <f>BJ26+IF(WEEKDAY(BJ26)=1,1,IF(WEEKDAY(BJ26)=7,2,0))+COUNTIF(ClosedDays!$B$4:$B$32,IF(WEEKDAY(BJ26)=1,BJ26+1,IF(WEEKDAY(BJ26)=7,BJ26+2,BJ26)))+COUNTIF(ClosedDays!$F$4:$F$32,IF(WEEKDAY(BJ26)=1,BJ26+1,IF(WEEKDAY(BJ26)=7,BJ26+2,BJ26)))+COUNTIF(ClosedDays!$J$4:$J$32,IF(WEEKDAY(BJ26)=1,BJ26+1,IF(WEEKDAY(BJ26)=7,BJ26+2,BJ26)))+COUNTIF(ClosedDays!$N$4:$N$32,IF(WEEKDAY(BJ26)=1,BJ26+1,IF(WEEKDAY(BJ26)=7,BJ26+2,BJ26)))</f>
        <v>44473</v>
      </c>
      <c r="BL26" s="405">
        <f>BK26+IF(WEEKDAY(BK26)=1,1,IF(WEEKDAY(BK26)=7,2,0))+COUNTIF(ClosedDays!$B$4:$B$32,IF(WEEKDAY(BK26)=1,BK26+1,IF(WEEKDAY(BK26)=7,BK26+2,BK26)))+COUNTIF(ClosedDays!$F$4:$F$32,IF(WEEKDAY(BK26)=1,BK26+1,IF(WEEKDAY(BK26)=7,BK26+2,BK26)))+COUNTIF(ClosedDays!$J$4:$J$32,IF(WEEKDAY(BK26)=1,BK26+1,IF(WEEKDAY(BK26)=7,BK26+2,BK26)))+COUNTIF(ClosedDays!$N$4:$N$32,IF(WEEKDAY(BK26)=1,BK26+1,IF(WEEKDAY(BK26)=7,BK26+2,BK26)))</f>
        <v>44473</v>
      </c>
      <c r="BM26" s="405">
        <f>BL26+IF(WEEKDAY(BL26)=1,1,IF(WEEKDAY(BL26)=7,2,0))+COUNTIF(ClosedDays!$B$4:$B$32,IF(WEEKDAY(BL26)=1,BL26+1,IF(WEEKDAY(BL26)=7,BL26+2,BL26)))+COUNTIF(ClosedDays!$F$4:$F$32,IF(WEEKDAY(BL26)=1,BL26+1,IF(WEEKDAY(BL26)=7,BL26+2,BL26)))+COUNTIF(ClosedDays!$J$4:$J$32,IF(WEEKDAY(BL26)=1,BL26+1,IF(WEEKDAY(BL26)=7,BL26+2,BL26)))+COUNTIF(ClosedDays!$N$4:$N$32,IF(WEEKDAY(BL26)=1,BL26+1,IF(WEEKDAY(BL26)=7,BL26+2,BL26)))</f>
        <v>44473</v>
      </c>
      <c r="BN26" s="405">
        <f>BM26+IF(WEEKDAY(BM26)=1,1,IF(WEEKDAY(BM26)=7,2,0))+COUNTIF(ClosedDays!$B$4:$B$32,IF(WEEKDAY(BM26)=1,BM26+1,IF(WEEKDAY(BM26)=7,BM26+2,BM26)))+COUNTIF(ClosedDays!$F$4:$F$32,IF(WEEKDAY(BM26)=1,BM26+1,IF(WEEKDAY(BM26)=7,BM26+2,BM26)))+COUNTIF(ClosedDays!$J$4:$J$32,IF(WEEKDAY(BM26)=1,BM26+1,IF(WEEKDAY(BM26)=7,BM26+2,BM26)))+COUNTIF(ClosedDays!$N$4:$N$32,IF(WEEKDAY(BM26)=1,BM26+1,IF(WEEKDAY(BM26)=7,BM26+2,BM26)))</f>
        <v>44473</v>
      </c>
      <c r="BO26" s="405">
        <f>BN26+IF(WEEKDAY(BN26)=1,1,IF(WEEKDAY(BN26)=7,2,0))+COUNTIF(ClosedDays!$B$4:$B$32,IF(WEEKDAY(BN26)=1,BN26+1,IF(WEEKDAY(BN26)=7,BN26+2,BN26)))+COUNTIF(ClosedDays!$F$4:$F$32,IF(WEEKDAY(BN26)=1,BN26+1,IF(WEEKDAY(BN26)=7,BN26+2,BN26)))+COUNTIF(ClosedDays!$J$4:$J$32,IF(WEEKDAY(BN26)=1,BN26+1,IF(WEEKDAY(BN26)=7,BN26+2,BN26)))+COUNTIF(ClosedDays!$N$4:$N$32,IF(WEEKDAY(BN26)=1,BN26+1,IF(WEEKDAY(BN26)=7,BN26+2,BN26)))</f>
        <v>44473</v>
      </c>
      <c r="BP26" s="405">
        <f>BO26+IF(WEEKDAY(BO26)=1,1,IF(WEEKDAY(BO26)=7,2,0))+COUNTIF(ClosedDays!$B$4:$B$32,IF(WEEKDAY(BO26)=1,BO26+1,IF(WEEKDAY(BO26)=7,BO26+2,BO26)))+COUNTIF(ClosedDays!$F$4:$F$32,IF(WEEKDAY(BO26)=1,BO26+1,IF(WEEKDAY(BO26)=7,BO26+2,BO26)))+COUNTIF(ClosedDays!$J$4:$J$32,IF(WEEKDAY(BO26)=1,BO26+1,IF(WEEKDAY(BO26)=7,BO26+2,BO26)))+COUNTIF(ClosedDays!$N$4:$N$32,IF(WEEKDAY(BO26)=1,BO26+1,IF(WEEKDAY(BO26)=7,BO26+2,BO26)))</f>
        <v>44473</v>
      </c>
      <c r="BQ26" s="405">
        <f t="shared" si="16"/>
        <v>44473</v>
      </c>
      <c r="BR26" s="446">
        <f>IF(AND($D26&lt;='Outline Info'!$H$31,BQ26&gt;='Outline Info'!$H$31,$BS$4=1,$AC26&gt;10,$AC26&lt;9997),1,0)</f>
        <v>0</v>
      </c>
      <c r="BS26" s="405">
        <f>IF(BR26=1,BQ26+'Outline Info'!$I$31-'Outline Info'!$H$31+1,BQ26)</f>
        <v>44473</v>
      </c>
      <c r="BT26" s="405">
        <f>BS26+IF(WEEKDAY(BS26)=1,1,IF(WEEKDAY(BS26)=7,2,0))+COUNTIF(ClosedDays!$B$4:$B$32,IF(WEEKDAY(BS26)=1,BS26+1,IF(WEEKDAY(BS26)=7,BS26+2,BS26)))+COUNTIF(ClosedDays!$F$4:$F$32,IF(WEEKDAY(BS26)=1,BS26+1,IF(WEEKDAY(BS26)=7,BS26+2,BS26)))+COUNTIF(ClosedDays!$J$4:$J$32,IF(WEEKDAY(BS26)=1,BS26+1,IF(WEEKDAY(BS26)=7,BS26+2,BS26)))+COUNTIF(ClosedDays!$N$4:$N$32,IF(WEEKDAY(BS26)=1,BS26+1,IF(WEEKDAY(BS26)=7,BS26+2,BS26)))</f>
        <v>44473</v>
      </c>
      <c r="BU26" s="405">
        <f>BT26+IF(WEEKDAY(BT26)=1,1,IF(WEEKDAY(BT26)=7,2,0))+COUNTIF(ClosedDays!$B$4:$B$32,IF(WEEKDAY(BT26)=1,BT26+1,IF(WEEKDAY(BT26)=7,BT26+2,BT26)))+COUNTIF(ClosedDays!$F$4:$F$32,IF(WEEKDAY(BT26)=1,BT26+1,IF(WEEKDAY(BT26)=7,BT26+2,BT26)))+COUNTIF(ClosedDays!$J$4:$J$32,IF(WEEKDAY(BT26)=1,BT26+1,IF(WEEKDAY(BT26)=7,BT26+2,BT26)))+COUNTIF(ClosedDays!$N$4:$N$32,IF(WEEKDAY(BT26)=1,BT26+1,IF(WEEKDAY(BT26)=7,BT26+2,BT26)))</f>
        <v>44473</v>
      </c>
      <c r="BV26" s="405">
        <f>BU26+IF(WEEKDAY(BU26)=1,1,IF(WEEKDAY(BU26)=7,2,0))+COUNTIF(ClosedDays!$B$4:$B$32,IF(WEEKDAY(BU26)=1,BU26+1,IF(WEEKDAY(BU26)=7,BU26+2,BU26)))+COUNTIF(ClosedDays!$F$4:$F$32,IF(WEEKDAY(BU26)=1,BU26+1,IF(WEEKDAY(BU26)=7,BU26+2,BU26)))+COUNTIF(ClosedDays!$J$4:$J$32,IF(WEEKDAY(BU26)=1,BU26+1,IF(WEEKDAY(BU26)=7,BU26+2,BU26)))+COUNTIF(ClosedDays!$N$4:$N$32,IF(WEEKDAY(BU26)=1,BU26+1,IF(WEEKDAY(BU26)=7,BU26+2,BU26)))</f>
        <v>44473</v>
      </c>
      <c r="BW26" s="405">
        <f>BV26+IF(WEEKDAY(BV26)=1,1,IF(WEEKDAY(BV26)=7,2,0))+COUNTIF(ClosedDays!$B$4:$B$32,IF(WEEKDAY(BV26)=1,BV26+1,IF(WEEKDAY(BV26)=7,BV26+2,BV26)))+COUNTIF(ClosedDays!$F$4:$F$32,IF(WEEKDAY(BV26)=1,BV26+1,IF(WEEKDAY(BV26)=7,BV26+2,BV26)))+COUNTIF(ClosedDays!$J$4:$J$32,IF(WEEKDAY(BV26)=1,BV26+1,IF(WEEKDAY(BV26)=7,BV26+2,BV26)))+COUNTIF(ClosedDays!$N$4:$N$32,IF(WEEKDAY(BV26)=1,BV26+1,IF(WEEKDAY(BV26)=7,BV26+2,BV26)))</f>
        <v>44473</v>
      </c>
      <c r="BX26" s="405">
        <f>BW26+IF(WEEKDAY(BW26)=1,1,IF(WEEKDAY(BW26)=7,2,0))+COUNTIF(ClosedDays!$B$4:$B$32,IF(WEEKDAY(BW26)=1,BW26+1,IF(WEEKDAY(BW26)=7,BW26+2,BW26)))+COUNTIF(ClosedDays!$F$4:$F$32,IF(WEEKDAY(BW26)=1,BW26+1,IF(WEEKDAY(BW26)=7,BW26+2,BW26)))+COUNTIF(ClosedDays!$J$4:$J$32,IF(WEEKDAY(BW26)=1,BW26+1,IF(WEEKDAY(BW26)=7,BW26+2,BW26)))+COUNTIF(ClosedDays!$N$4:$N$32,IF(WEEKDAY(BW26)=1,BW26+1,IF(WEEKDAY(BW26)=7,BW26+2,BW26)))</f>
        <v>44473</v>
      </c>
      <c r="BY26" s="405">
        <f>BX26+IF(WEEKDAY(BX26)=1,1,IF(WEEKDAY(BX26)=7,2,0))+COUNTIF(ClosedDays!$B$4:$B$32,IF(WEEKDAY(BX26)=1,BX26+1,IF(WEEKDAY(BX26)=7,BX26+2,BX26)))+COUNTIF(ClosedDays!$F$4:$F$32,IF(WEEKDAY(BX26)=1,BX26+1,IF(WEEKDAY(BX26)=7,BX26+2,BX26)))+COUNTIF(ClosedDays!$J$4:$J$32,IF(WEEKDAY(BX26)=1,BX26+1,IF(WEEKDAY(BX26)=7,BX26+2,BX26)))+COUNTIF(ClosedDays!$N$4:$N$32,IF(WEEKDAY(BX26)=1,BX26+1,IF(WEEKDAY(BX26)=7,BX26+2,BX26)))</f>
        <v>44473</v>
      </c>
      <c r="BZ26" s="405">
        <f>BY26+IF(WEEKDAY(BY26)=1,1,IF(WEEKDAY(BY26)=7,2,0))+COUNTIF(ClosedDays!$B$4:$B$32,IF(WEEKDAY(BY26)=1,BY26+1,IF(WEEKDAY(BY26)=7,BY26+2,BY26)))+COUNTIF(ClosedDays!$F$4:$F$32,IF(WEEKDAY(BY26)=1,BY26+1,IF(WEEKDAY(BY26)=7,BY26+2,BY26)))+COUNTIF(ClosedDays!$J$4:$J$32,IF(WEEKDAY(BY26)=1,BY26+1,IF(WEEKDAY(BY26)=7,BY26+2,BY26)))+COUNTIF(ClosedDays!$N$4:$N$32,IF(WEEKDAY(BY26)=1,BY26+1,IF(WEEKDAY(BY26)=7,BY26+2,BY26)))</f>
        <v>44473</v>
      </c>
      <c r="CA26" s="405">
        <f>BZ26+IF(WEEKDAY(BZ26)=1,1,IF(WEEKDAY(BZ26)=7,2,0))+COUNTIF(ClosedDays!$B$4:$B$32,IF(WEEKDAY(BZ26)=1,BZ26+1,IF(WEEKDAY(BZ26)=7,BZ26+2,BZ26)))+COUNTIF(ClosedDays!$F$4:$F$32,IF(WEEKDAY(BZ26)=1,BZ26+1,IF(WEEKDAY(BZ26)=7,BZ26+2,BZ26)))+COUNTIF(ClosedDays!$J$4:$J$32,IF(WEEKDAY(BZ26)=1,BZ26+1,IF(WEEKDAY(BZ26)=7,BZ26+2,BZ26)))+COUNTIF(ClosedDays!$N$4:$N$32,IF(WEEKDAY(BZ26)=1,BZ26+1,IF(WEEKDAY(BZ26)=7,BZ26+2,BZ26)))</f>
        <v>44473</v>
      </c>
      <c r="CB26" s="405">
        <f>CA26+IF(WEEKDAY(CA26)=1,1,IF(WEEKDAY(CA26)=7,2,0))+COUNTIF(ClosedDays!$B$4:$B$32,IF(WEEKDAY(CA26)=1,CA26+1,IF(WEEKDAY(CA26)=7,CA26+2,CA26)))+COUNTIF(ClosedDays!$F$4:$F$32,IF(WEEKDAY(CA26)=1,CA26+1,IF(WEEKDAY(CA26)=7,CA26+2,CA26)))+COUNTIF(ClosedDays!$J$4:$J$32,IF(WEEKDAY(CA26)=1,CA26+1,IF(WEEKDAY(CA26)=7,CA26+2,CA26)))+COUNTIF(ClosedDays!$N$4:$N$32,IF(WEEKDAY(CA26)=1,CA26+1,IF(WEEKDAY(CA26)=7,CA26+2,CA26)))</f>
        <v>44473</v>
      </c>
      <c r="CC26" s="405">
        <f>CB26+IF(WEEKDAY(CB26)=1,1,IF(WEEKDAY(CB26)=7,2,0))+COUNTIF(ClosedDays!$B$4:$B$32,IF(WEEKDAY(CB26)=1,CB26+1,IF(WEEKDAY(CB26)=7,CB26+2,CB26)))+COUNTIF(ClosedDays!$F$4:$F$32,IF(WEEKDAY(CB26)=1,CB26+1,IF(WEEKDAY(CB26)=7,CB26+2,CB26)))+COUNTIF(ClosedDays!$J$4:$J$32,IF(WEEKDAY(CB26)=1,CB26+1,IF(WEEKDAY(CB26)=7,CB26+2,CB26)))+COUNTIF(ClosedDays!$N$4:$N$32,IF(WEEKDAY(CB26)=1,CB26+1,IF(WEEKDAY(CB26)=7,CB26+2,CB26)))</f>
        <v>44473</v>
      </c>
      <c r="CD26" s="405">
        <f>CC26+IF(WEEKDAY(CC26)=1,1,IF(WEEKDAY(CC26)=7,2,0))+COUNTIF(ClosedDays!$B$4:$B$32,IF(WEEKDAY(CC26)=1,CC26+1,IF(WEEKDAY(CC26)=7,CC26+2,CC26)))+COUNTIF(ClosedDays!$F$4:$F$32,IF(WEEKDAY(CC26)=1,CC26+1,IF(WEEKDAY(CC26)=7,CC26+2,CC26)))+COUNTIF(ClosedDays!$J$4:$J$32,IF(WEEKDAY(CC26)=1,CC26+1,IF(WEEKDAY(CC26)=7,CC26+2,CC26)))+COUNTIF(ClosedDays!$N$4:$N$32,IF(WEEKDAY(CC26)=1,CC26+1,IF(WEEKDAY(CC26)=7,CC26+2,CC26)))</f>
        <v>44473</v>
      </c>
      <c r="CE26" s="405">
        <f>CD26+IF(WEEKDAY(CD26)=1,1,IF(WEEKDAY(CD26)=7,2,0))+COUNTIF(ClosedDays!$B$4:$B$32,IF(WEEKDAY(CD26)=1,CD26+1,IF(WEEKDAY(CD26)=7,CD26+2,CD26)))+COUNTIF(ClosedDays!$F$4:$F$32,IF(WEEKDAY(CD26)=1,CD26+1,IF(WEEKDAY(CD26)=7,CD26+2,CD26)))+COUNTIF(ClosedDays!$J$4:$J$32,IF(WEEKDAY(CD26)=1,CD26+1,IF(WEEKDAY(CD26)=7,CD26+2,CD26)))+COUNTIF(ClosedDays!$N$4:$N$32,IF(WEEKDAY(CD26)=1,CD26+1,IF(WEEKDAY(CD26)=7,CD26+2,CD26)))</f>
        <v>44473</v>
      </c>
      <c r="CF26" s="405">
        <f>CE26+IF(WEEKDAY(CE26)=1,1,IF(WEEKDAY(CE26)=7,2,0))+COUNTIF(ClosedDays!$B$4:$B$32,IF(WEEKDAY(CE26)=1,CE26+1,IF(WEEKDAY(CE26)=7,CE26+2,CE26)))+COUNTIF(ClosedDays!$F$4:$F$32,IF(WEEKDAY(CE26)=1,CE26+1,IF(WEEKDAY(CE26)=7,CE26+2,CE26)))+COUNTIF(ClosedDays!$J$4:$J$32,IF(WEEKDAY(CE26)=1,CE26+1,IF(WEEKDAY(CE26)=7,CE26+2,CE26)))+COUNTIF(ClosedDays!$N$4:$N$32,IF(WEEKDAY(CE26)=1,CE26+1,IF(WEEKDAY(CE26)=7,CE26+2,CE26)))</f>
        <v>44473</v>
      </c>
      <c r="CG26" s="405">
        <f>CF26+IF(WEEKDAY(CF26)=1,1,IF(WEEKDAY(CF26)=7,2,0))+COUNTIF(ClosedDays!$B$4:$B$32,IF(WEEKDAY(CF26)=1,CF26+1,IF(WEEKDAY(CF26)=7,CF26+2,CF26)))+COUNTIF(ClosedDays!$F$4:$F$32,IF(WEEKDAY(CF26)=1,CF26+1,IF(WEEKDAY(CF26)=7,CF26+2,CF26)))+COUNTIF(ClosedDays!$J$4:$J$32,IF(WEEKDAY(CF26)=1,CF26+1,IF(WEEKDAY(CF26)=7,CF26+2,CF26)))+COUNTIF(ClosedDays!$N$4:$N$32,IF(WEEKDAY(CF26)=1,CF26+1,IF(WEEKDAY(CF26)=7,CF26+2,CF26)))</f>
        <v>44473</v>
      </c>
      <c r="CH26" s="405">
        <f t="shared" si="17"/>
        <v>44473</v>
      </c>
      <c r="CI26" s="446">
        <f>IF(AND($D26&lt;='Outline Info'!$H$33,CH26&gt;='Outline Info'!$H$33,$CJ$4=1,$AC26&gt;10,$AC26&lt;9997),1,0)</f>
        <v>0</v>
      </c>
      <c r="CJ26" s="405">
        <f>IF(CI26=1,CH26+'Outline Info'!$I$33-'Outline Info'!$H$33+1,CH26)</f>
        <v>44473</v>
      </c>
      <c r="CK26" s="405">
        <f>CJ26+IF(WEEKDAY(CJ26)=1,1,IF(WEEKDAY(CJ26)=7,2,0))+COUNTIF(ClosedDays!$B$4:$B$32,IF(WEEKDAY(CJ26)=1,CJ26+1,IF(WEEKDAY(CJ26)=7,CJ26+2,CJ26)))+COUNTIF(ClosedDays!$F$4:$F$32,IF(WEEKDAY(CJ26)=1,CJ26+1,IF(WEEKDAY(CJ26)=7,CJ26+2,CJ26)))+COUNTIF(ClosedDays!$J$4:$J$32,IF(WEEKDAY(CJ26)=1,CJ26+1,IF(WEEKDAY(CJ26)=7,CJ26+2,CJ26)))+COUNTIF(ClosedDays!$N$4:$N$32,IF(WEEKDAY(CJ26)=1,CJ26+1,IF(WEEKDAY(CJ26)=7,CJ26+2,CJ26)))</f>
        <v>44473</v>
      </c>
      <c r="CL26" s="405">
        <f>CK26+IF(WEEKDAY(CK26)=1,1,IF(WEEKDAY(CK26)=7,2,0))+COUNTIF(ClosedDays!$B$4:$B$32,IF(WEEKDAY(CK26)=1,CK26+1,IF(WEEKDAY(CK26)=7,CK26+2,CK26)))+COUNTIF(ClosedDays!$F$4:$F$32,IF(WEEKDAY(CK26)=1,CK26+1,IF(WEEKDAY(CK26)=7,CK26+2,CK26)))+COUNTIF(ClosedDays!$J$4:$J$32,IF(WEEKDAY(CK26)=1,CK26+1,IF(WEEKDAY(CK26)=7,CK26+2,CK26)))+COUNTIF(ClosedDays!$N$4:$N$32,IF(WEEKDAY(CK26)=1,CK26+1,IF(WEEKDAY(CK26)=7,CK26+2,CK26)))</f>
        <v>44473</v>
      </c>
      <c r="CM26" s="405">
        <f>CL26+IF(WEEKDAY(CL26)=1,1,IF(WEEKDAY(CL26)=7,2,0))+COUNTIF(ClosedDays!$B$4:$B$32,IF(WEEKDAY(CL26)=1,CL26+1,IF(WEEKDAY(CL26)=7,CL26+2,CL26)))+COUNTIF(ClosedDays!$F$4:$F$32,IF(WEEKDAY(CL26)=1,CL26+1,IF(WEEKDAY(CL26)=7,CL26+2,CL26)))+COUNTIF(ClosedDays!$J$4:$J$32,IF(WEEKDAY(CL26)=1,CL26+1,IF(WEEKDAY(CL26)=7,CL26+2,CL26)))+COUNTIF(ClosedDays!$N$4:$N$32,IF(WEEKDAY(CL26)=1,CL26+1,IF(WEEKDAY(CL26)=7,CL26+2,CL26)))</f>
        <v>44473</v>
      </c>
      <c r="CN26" s="405">
        <f>CM26+IF(WEEKDAY(CM26)=1,1,IF(WEEKDAY(CM26)=7,2,0))+COUNTIF(ClosedDays!$B$4:$B$32,IF(WEEKDAY(CM26)=1,CM26+1,IF(WEEKDAY(CM26)=7,CM26+2,CM26)))+COUNTIF(ClosedDays!$F$4:$F$32,IF(WEEKDAY(CM26)=1,CM26+1,IF(WEEKDAY(CM26)=7,CM26+2,CM26)))+COUNTIF(ClosedDays!$J$4:$J$32,IF(WEEKDAY(CM26)=1,CM26+1,IF(WEEKDAY(CM26)=7,CM26+2,CM26)))+COUNTIF(ClosedDays!$N$4:$N$32,IF(WEEKDAY(CM26)=1,CM26+1,IF(WEEKDAY(CM26)=7,CM26+2,CM26)))</f>
        <v>44473</v>
      </c>
      <c r="CO26" s="405">
        <f>CN26+IF(WEEKDAY(CN26)=1,1,IF(WEEKDAY(CN26)=7,2,0))+COUNTIF(ClosedDays!$B$4:$B$32,IF(WEEKDAY(CN26)=1,CN26+1,IF(WEEKDAY(CN26)=7,CN26+2,CN26)))+COUNTIF(ClosedDays!$F$4:$F$32,IF(WEEKDAY(CN26)=1,CN26+1,IF(WEEKDAY(CN26)=7,CN26+2,CN26)))+COUNTIF(ClosedDays!$J$4:$J$32,IF(WEEKDAY(CN26)=1,CN26+1,IF(WEEKDAY(CN26)=7,CN26+2,CN26)))+COUNTIF(ClosedDays!$N$4:$N$32,IF(WEEKDAY(CN26)=1,CN26+1,IF(WEEKDAY(CN26)=7,CN26+2,CN26)))</f>
        <v>44473</v>
      </c>
      <c r="CP26" s="405">
        <f>CO26+IF(WEEKDAY(CO26)=1,1,IF(WEEKDAY(CO26)=7,2,0))+COUNTIF(ClosedDays!$B$4:$B$32,IF(WEEKDAY(CO26)=1,CO26+1,IF(WEEKDAY(CO26)=7,CO26+2,CO26)))+COUNTIF(ClosedDays!$F$4:$F$32,IF(WEEKDAY(CO26)=1,CO26+1,IF(WEEKDAY(CO26)=7,CO26+2,CO26)))+COUNTIF(ClosedDays!$J$4:$J$32,IF(WEEKDAY(CO26)=1,CO26+1,IF(WEEKDAY(CO26)=7,CO26+2,CO26)))+COUNTIF(ClosedDays!$N$4:$N$32,IF(WEEKDAY(CO26)=1,CO26+1,IF(WEEKDAY(CO26)=7,CO26+2,CO26)))</f>
        <v>44473</v>
      </c>
      <c r="CQ26" s="405">
        <f>CP26+IF(WEEKDAY(CP26)=1,1,IF(WEEKDAY(CP26)=7,2,0))+COUNTIF(ClosedDays!$B$4:$B$32,IF(WEEKDAY(CP26)=1,CP26+1,IF(WEEKDAY(CP26)=7,CP26+2,CP26)))+COUNTIF(ClosedDays!$F$4:$F$32,IF(WEEKDAY(CP26)=1,CP26+1,IF(WEEKDAY(CP26)=7,CP26+2,CP26)))+COUNTIF(ClosedDays!$J$4:$J$32,IF(WEEKDAY(CP26)=1,CP26+1,IF(WEEKDAY(CP26)=7,CP26+2,CP26)))+COUNTIF(ClosedDays!$N$4:$N$32,IF(WEEKDAY(CP26)=1,CP26+1,IF(WEEKDAY(CP26)=7,CP26+2,CP26)))</f>
        <v>44473</v>
      </c>
      <c r="CR26" s="405">
        <f>CQ26+IF(WEEKDAY(CQ26)=1,1,IF(WEEKDAY(CQ26)=7,2,0))+COUNTIF(ClosedDays!$B$4:$B$32,IF(WEEKDAY(CQ26)=1,CQ26+1,IF(WEEKDAY(CQ26)=7,CQ26+2,CQ26)))+COUNTIF(ClosedDays!$F$4:$F$32,IF(WEEKDAY(CQ26)=1,CQ26+1,IF(WEEKDAY(CQ26)=7,CQ26+2,CQ26)))+COUNTIF(ClosedDays!$J$4:$J$32,IF(WEEKDAY(CQ26)=1,CQ26+1,IF(WEEKDAY(CQ26)=7,CQ26+2,CQ26)))+COUNTIF(ClosedDays!$N$4:$N$32,IF(WEEKDAY(CQ26)=1,CQ26+1,IF(WEEKDAY(CQ26)=7,CQ26+2,CQ26)))</f>
        <v>44473</v>
      </c>
      <c r="CS26" s="405">
        <f>CR26+IF(WEEKDAY(CR26)=1,1,IF(WEEKDAY(CR26)=7,2,0))+COUNTIF(ClosedDays!$B$4:$B$32,IF(WEEKDAY(CR26)=1,CR26+1,IF(WEEKDAY(CR26)=7,CR26+2,CR26)))+COUNTIF(ClosedDays!$F$4:$F$32,IF(WEEKDAY(CR26)=1,CR26+1,IF(WEEKDAY(CR26)=7,CR26+2,CR26)))+COUNTIF(ClosedDays!$J$4:$J$32,IF(WEEKDAY(CR26)=1,CR26+1,IF(WEEKDAY(CR26)=7,CR26+2,CR26)))+COUNTIF(ClosedDays!$N$4:$N$32,IF(WEEKDAY(CR26)=1,CR26+1,IF(WEEKDAY(CR26)=7,CR26+2,CR26)))</f>
        <v>44473</v>
      </c>
      <c r="CT26" s="405">
        <f>CS26+IF(WEEKDAY(CS26)=1,1,IF(WEEKDAY(CS26)=7,2,0))+COUNTIF(ClosedDays!$B$4:$B$32,IF(WEEKDAY(CS26)=1,CS26+1,IF(WEEKDAY(CS26)=7,CS26+2,CS26)))+COUNTIF(ClosedDays!$F$4:$F$32,IF(WEEKDAY(CS26)=1,CS26+1,IF(WEEKDAY(CS26)=7,CS26+2,CS26)))+COUNTIF(ClosedDays!$J$4:$J$32,IF(WEEKDAY(CS26)=1,CS26+1,IF(WEEKDAY(CS26)=7,CS26+2,CS26)))+COUNTIF(ClosedDays!$N$4:$N$32,IF(WEEKDAY(CS26)=1,CS26+1,IF(WEEKDAY(CS26)=7,CS26+2,CS26)))</f>
        <v>44473</v>
      </c>
      <c r="CU26" s="405">
        <f>CT26+IF(WEEKDAY(CT26)=1,1,IF(WEEKDAY(CT26)=7,2,0))+COUNTIF(ClosedDays!$B$4:$B$32,IF(WEEKDAY(CT26)=1,CT26+1,IF(WEEKDAY(CT26)=7,CT26+2,CT26)))+COUNTIF(ClosedDays!$F$4:$F$32,IF(WEEKDAY(CT26)=1,CT26+1,IF(WEEKDAY(CT26)=7,CT26+2,CT26)))+COUNTIF(ClosedDays!$J$4:$J$32,IF(WEEKDAY(CT26)=1,CT26+1,IF(WEEKDAY(CT26)=7,CT26+2,CT26)))+COUNTIF(ClosedDays!$N$4:$N$32,IF(WEEKDAY(CT26)=1,CT26+1,IF(WEEKDAY(CT26)=7,CT26+2,CT26)))</f>
        <v>44473</v>
      </c>
      <c r="CV26" s="405">
        <f>CU26+IF(WEEKDAY(CU26)=1,1,IF(WEEKDAY(CU26)=7,2,0))+COUNTIF(ClosedDays!$B$4:$B$32,IF(WEEKDAY(CU26)=1,CU26+1,IF(WEEKDAY(CU26)=7,CU26+2,CU26)))+COUNTIF(ClosedDays!$F$4:$F$32,IF(WEEKDAY(CU26)=1,CU26+1,IF(WEEKDAY(CU26)=7,CU26+2,CU26)))+COUNTIF(ClosedDays!$J$4:$J$32,IF(WEEKDAY(CU26)=1,CU26+1,IF(WEEKDAY(CU26)=7,CU26+2,CU26)))+COUNTIF(ClosedDays!$N$4:$N$32,IF(WEEKDAY(CU26)=1,CU26+1,IF(WEEKDAY(CU26)=7,CU26+2,CU26)))</f>
        <v>44473</v>
      </c>
      <c r="CW26" s="405">
        <f>CV26+IF(WEEKDAY(CV26)=1,1,IF(WEEKDAY(CV26)=7,2,0))+COUNTIF(ClosedDays!$B$4:$B$32,IF(WEEKDAY(CV26)=1,CV26+1,IF(WEEKDAY(CV26)=7,CV26+2,CV26)))+COUNTIF(ClosedDays!$F$4:$F$32,IF(WEEKDAY(CV26)=1,CV26+1,IF(WEEKDAY(CV26)=7,CV26+2,CV26)))+COUNTIF(ClosedDays!$J$4:$J$32,IF(WEEKDAY(CV26)=1,CV26+1,IF(WEEKDAY(CV26)=7,CV26+2,CV26)))+COUNTIF(ClosedDays!$N$4:$N$32,IF(WEEKDAY(CV26)=1,CV26+1,IF(WEEKDAY(CV26)=7,CV26+2,CV26)))</f>
        <v>44473</v>
      </c>
      <c r="CX26" s="405">
        <f>CW26+IF(WEEKDAY(CW26)=1,1,IF(WEEKDAY(CW26)=7,2,0))+COUNTIF(ClosedDays!$B$4:$B$32,IF(WEEKDAY(CW26)=1,CW26+1,IF(WEEKDAY(CW26)=7,CW26+2,CW26)))+COUNTIF(ClosedDays!$F$4:$F$32,IF(WEEKDAY(CW26)=1,CW26+1,IF(WEEKDAY(CW26)=7,CW26+2,CW26)))+COUNTIF(ClosedDays!$J$4:$J$32,IF(WEEKDAY(CW26)=1,CW26+1,IF(WEEKDAY(CW26)=7,CW26+2,CW26)))+COUNTIF(ClosedDays!$N$4:$N$32,IF(WEEKDAY(CW26)=1,CW26+1,IF(WEEKDAY(CW26)=7,CW26+2,CW26)))</f>
        <v>44473</v>
      </c>
      <c r="CY26" s="405">
        <f t="shared" si="18"/>
        <v>44473</v>
      </c>
      <c r="CZ26" s="446">
        <f>IF(AND($D26&lt;='Outline Info'!$E$33,CY26&gt;='Outline Info'!$E$33,$AC26&gt;10,$AC26&lt;9997),1,0)</f>
        <v>0</v>
      </c>
      <c r="DA26" s="405">
        <f>IF(AND($D26&lt;='Outline Info'!$E$33,CY26&gt;='Outline Info'!$E$33),CY26+'Outline Info'!$F$33-'Outline Info'!$E$33+1,CY26)</f>
        <v>44473</v>
      </c>
      <c r="DB26" s="405">
        <f>DA26+IF(WEEKDAY(DA26)=1,1,IF(WEEKDAY(DA26)=7,2,0))+COUNTIF(ClosedDays!$B$4:$B$32,IF(WEEKDAY(DA26)=1,DA26+1,IF(WEEKDAY(DA26)=7,DA26+2,DA26)))+COUNTIF(ClosedDays!$F$4:$F$32,IF(WEEKDAY(DA26)=1,DA26+1,IF(WEEKDAY(DA26)=7,DA26+2,DA26)))+COUNTIF(ClosedDays!$J$4:$J$32,IF(WEEKDAY(DA26)=1,DA26+1,IF(WEEKDAY(DA26)=7,DA26+2,DA26)))+COUNTIF(ClosedDays!$N$4:$N$32,IF(WEEKDAY(DA26)=1,DA26+1,IF(WEEKDAY(DA26)=7,DA26+2,DA26)))</f>
        <v>44473</v>
      </c>
      <c r="DC26" s="405">
        <f>DB26+IF(WEEKDAY(DB26)=1,1,IF(WEEKDAY(DB26)=7,2,0))+COUNTIF(ClosedDays!$B$4:$B$32,IF(WEEKDAY(DB26)=1,DB26+1,IF(WEEKDAY(DB26)=7,DB26+2,DB26)))+COUNTIF(ClosedDays!$F$4:$F$32,IF(WEEKDAY(DB26)=1,DB26+1,IF(WEEKDAY(DB26)=7,DB26+2,DB26)))+COUNTIF(ClosedDays!$J$4:$J$32,IF(WEEKDAY(DB26)=1,DB26+1,IF(WEEKDAY(DB26)=7,DB26+2,DB26)))+COUNTIF(ClosedDays!$N$4:$N$32,IF(WEEKDAY(DB26)=1,DB26+1,IF(WEEKDAY(DB26)=7,DB26+2,DB26)))</f>
        <v>44473</v>
      </c>
      <c r="DD26" s="405">
        <f>DC26+IF(WEEKDAY(DC26)=1,1,IF(WEEKDAY(DC26)=7,2,0))+COUNTIF(ClosedDays!$B$4:$B$32,IF(WEEKDAY(DC26)=1,DC26+1,IF(WEEKDAY(DC26)=7,DC26+2,DC26)))+COUNTIF(ClosedDays!$F$4:$F$32,IF(WEEKDAY(DC26)=1,DC26+1,IF(WEEKDAY(DC26)=7,DC26+2,DC26)))+COUNTIF(ClosedDays!$J$4:$J$32,IF(WEEKDAY(DC26)=1,DC26+1,IF(WEEKDAY(DC26)=7,DC26+2,DC26)))+COUNTIF(ClosedDays!$N$4:$N$32,IF(WEEKDAY(DC26)=1,DC26+1,IF(WEEKDAY(DC26)=7,DC26+2,DC26)))</f>
        <v>44473</v>
      </c>
      <c r="DE26" s="405">
        <f>DD26+IF(WEEKDAY(DD26)=1,1,IF(WEEKDAY(DD26)=7,2,0))+COUNTIF(ClosedDays!$B$4:$B$32,IF(WEEKDAY(DD26)=1,DD26+1,IF(WEEKDAY(DD26)=7,DD26+2,DD26)))+COUNTIF(ClosedDays!$F$4:$F$32,IF(WEEKDAY(DD26)=1,DD26+1,IF(WEEKDAY(DD26)=7,DD26+2,DD26)))+COUNTIF(ClosedDays!$J$4:$J$32,IF(WEEKDAY(DD26)=1,DD26+1,IF(WEEKDAY(DD26)=7,DD26+2,DD26)))+COUNTIF(ClosedDays!$N$4:$N$32,IF(WEEKDAY(DD26)=1,DD26+1,IF(WEEKDAY(DD26)=7,DD26+2,DD26)))</f>
        <v>44473</v>
      </c>
      <c r="DF26" s="405">
        <f>DE26+IF(WEEKDAY(DE26)=1,1,IF(WEEKDAY(DE26)=7,2,0))+COUNTIF(ClosedDays!$B$4:$B$32,IF(WEEKDAY(DE26)=1,DE26+1,IF(WEEKDAY(DE26)=7,DE26+2,DE26)))+COUNTIF(ClosedDays!$F$4:$F$32,IF(WEEKDAY(DE26)=1,DE26+1,IF(WEEKDAY(DE26)=7,DE26+2,DE26)))+COUNTIF(ClosedDays!$J$4:$J$32,IF(WEEKDAY(DE26)=1,DE26+1,IF(WEEKDAY(DE26)=7,DE26+2,DE26)))+COUNTIF(ClosedDays!$N$4:$N$32,IF(WEEKDAY(DE26)=1,DE26+1,IF(WEEKDAY(DE26)=7,DE26+2,DE26)))</f>
        <v>44473</v>
      </c>
      <c r="DG26" s="405">
        <f>DF26+IF(WEEKDAY(DF26)=1,1,IF(WEEKDAY(DF26)=7,2,0))+COUNTIF(ClosedDays!$B$4:$B$32,IF(WEEKDAY(DF26)=1,DF26+1,IF(WEEKDAY(DF26)=7,DF26+2,DF26)))+COUNTIF(ClosedDays!$F$4:$F$32,IF(WEEKDAY(DF26)=1,DF26+1,IF(WEEKDAY(DF26)=7,DF26+2,DF26)))+COUNTIF(ClosedDays!$J$4:$J$32,IF(WEEKDAY(DF26)=1,DF26+1,IF(WEEKDAY(DF26)=7,DF26+2,DF26)))+COUNTIF(ClosedDays!$N$4:$N$32,IF(WEEKDAY(DF26)=1,DF26+1,IF(WEEKDAY(DF26)=7,DF26+2,DF26)))</f>
        <v>44473</v>
      </c>
      <c r="DH26" s="405">
        <f>DG26+IF(WEEKDAY(DG26)=1,1,IF(WEEKDAY(DG26)=7,2,0))+COUNTIF(ClosedDays!$B$4:$B$32,IF(WEEKDAY(DG26)=1,DG26+1,IF(WEEKDAY(DG26)=7,DG26+2,DG26)))+COUNTIF(ClosedDays!$F$4:$F$32,IF(WEEKDAY(DG26)=1,DG26+1,IF(WEEKDAY(DG26)=7,DG26+2,DG26)))+COUNTIF(ClosedDays!$J$4:$J$32,IF(WEEKDAY(DG26)=1,DG26+1,IF(WEEKDAY(DG26)=7,DG26+2,DG26)))+COUNTIF(ClosedDays!$N$4:$N$32,IF(WEEKDAY(DG26)=1,DG26+1,IF(WEEKDAY(DG26)=7,DG26+2,DG26)))</f>
        <v>44473</v>
      </c>
      <c r="DI26" s="405">
        <f>DH26+IF(WEEKDAY(DH26)=1,1,IF(WEEKDAY(DH26)=7,2,0))+COUNTIF(ClosedDays!$B$4:$B$32,IF(WEEKDAY(DH26)=1,DH26+1,IF(WEEKDAY(DH26)=7,DH26+2,DH26)))+COUNTIF(ClosedDays!$F$4:$F$32,IF(WEEKDAY(DH26)=1,DH26+1,IF(WEEKDAY(DH26)=7,DH26+2,DH26)))+COUNTIF(ClosedDays!$J$4:$J$32,IF(WEEKDAY(DH26)=1,DH26+1,IF(WEEKDAY(DH26)=7,DH26+2,DH26)))+COUNTIF(ClosedDays!$N$4:$N$32,IF(WEEKDAY(DH26)=1,DH26+1,IF(WEEKDAY(DH26)=7,DH26+2,DH26)))</f>
        <v>44473</v>
      </c>
      <c r="DJ26" s="405">
        <f>DI26+IF(WEEKDAY(DI26)=1,1,IF(WEEKDAY(DI26)=7,2,0))+COUNTIF(ClosedDays!$B$4:$B$32,IF(WEEKDAY(DI26)=1,DI26+1,IF(WEEKDAY(DI26)=7,DI26+2,DI26)))+COUNTIF(ClosedDays!$F$4:$F$32,IF(WEEKDAY(DI26)=1,DI26+1,IF(WEEKDAY(DI26)=7,DI26+2,DI26)))+COUNTIF(ClosedDays!$J$4:$J$32,IF(WEEKDAY(DI26)=1,DI26+1,IF(WEEKDAY(DI26)=7,DI26+2,DI26)))+COUNTIF(ClosedDays!$N$4:$N$32,IF(WEEKDAY(DI26)=1,DI26+1,IF(WEEKDAY(DI26)=7,DI26+2,DI26)))</f>
        <v>44473</v>
      </c>
      <c r="DK26" s="405">
        <f>DJ26+IF(WEEKDAY(DJ26)=1,1,IF(WEEKDAY(DJ26)=7,2,0))+COUNTIF(ClosedDays!$B$4:$B$32,IF(WEEKDAY(DJ26)=1,DJ26+1,IF(WEEKDAY(DJ26)=7,DJ26+2,DJ26)))+COUNTIF(ClosedDays!$F$4:$F$32,IF(WEEKDAY(DJ26)=1,DJ26+1,IF(WEEKDAY(DJ26)=7,DJ26+2,DJ26)))+COUNTIF(ClosedDays!$J$4:$J$32,IF(WEEKDAY(DJ26)=1,DJ26+1,IF(WEEKDAY(DJ26)=7,DJ26+2,DJ26)))+COUNTIF(ClosedDays!$N$4:$N$32,IF(WEEKDAY(DJ26)=1,DJ26+1,IF(WEEKDAY(DJ26)=7,DJ26+2,DJ26)))</f>
        <v>44473</v>
      </c>
      <c r="DL26" s="405">
        <f>DK26+IF(WEEKDAY(DK26)=1,1,IF(WEEKDAY(DK26)=7,2,0))+COUNTIF(ClosedDays!$B$4:$B$32,IF(WEEKDAY(DK26)=1,DK26+1,IF(WEEKDAY(DK26)=7,DK26+2,DK26)))+COUNTIF(ClosedDays!$F$4:$F$32,IF(WEEKDAY(DK26)=1,DK26+1,IF(WEEKDAY(DK26)=7,DK26+2,DK26)))+COUNTIF(ClosedDays!$J$4:$J$32,IF(WEEKDAY(DK26)=1,DK26+1,IF(WEEKDAY(DK26)=7,DK26+2,DK26)))+COUNTIF(ClosedDays!$N$4:$N$32,IF(WEEKDAY(DK26)=1,DK26+1,IF(WEEKDAY(DK26)=7,DK26+2,DK26)))</f>
        <v>44473</v>
      </c>
      <c r="DM26" s="405">
        <f>DL26+IF(WEEKDAY(DL26)=1,1,IF(WEEKDAY(DL26)=7,2,0))+COUNTIF(ClosedDays!$B$4:$B$32,IF(WEEKDAY(DL26)=1,DL26+1,IF(WEEKDAY(DL26)=7,DL26+2,DL26)))+COUNTIF(ClosedDays!$F$4:$F$32,IF(WEEKDAY(DL26)=1,DL26+1,IF(WEEKDAY(DL26)=7,DL26+2,DL26)))+COUNTIF(ClosedDays!$J$4:$J$32,IF(WEEKDAY(DL26)=1,DL26+1,IF(WEEKDAY(DL26)=7,DL26+2,DL26)))+COUNTIF(ClosedDays!$N$4:$N$32,IF(WEEKDAY(DL26)=1,DL26+1,IF(WEEKDAY(DL26)=7,DL26+2,DL26)))</f>
        <v>44473</v>
      </c>
      <c r="DN26" s="405">
        <f>DM26+IF(WEEKDAY(DM26)=1,1,IF(WEEKDAY(DM26)=7,2,0))+COUNTIF(ClosedDays!$B$4:$B$32,IF(WEEKDAY(DM26)=1,DM26+1,IF(WEEKDAY(DM26)=7,DM26+2,DM26)))+COUNTIF(ClosedDays!$F$4:$F$32,IF(WEEKDAY(DM26)=1,DM26+1,IF(WEEKDAY(DM26)=7,DM26+2,DM26)))+COUNTIF(ClosedDays!$J$4:$J$32,IF(WEEKDAY(DM26)=1,DM26+1,IF(WEEKDAY(DM26)=7,DM26+2,DM26)))+COUNTIF(ClosedDays!$N$4:$N$32,IF(WEEKDAY(DM26)=1,DM26+1,IF(WEEKDAY(DM26)=7,DM26+2,DM26)))</f>
        <v>44473</v>
      </c>
      <c r="DO26" s="405">
        <f>DN26+IF(WEEKDAY(DN26)=1,1,IF(WEEKDAY(DN26)=7,2,0))+COUNTIF(ClosedDays!$B$4:$B$32,IF(WEEKDAY(DN26)=1,DN26+1,IF(WEEKDAY(DN26)=7,DN26+2,DN26)))+COUNTIF(ClosedDays!$F$4:$F$32,IF(WEEKDAY(DN26)=1,DN26+1,IF(WEEKDAY(DN26)=7,DN26+2,DN26)))+COUNTIF(ClosedDays!$J$4:$J$32,IF(WEEKDAY(DN26)=1,DN26+1,IF(WEEKDAY(DN26)=7,DN26+2,DN26)))+COUNTIF(ClosedDays!$N$4:$N$32,IF(WEEKDAY(DN26)=1,DN26+1,IF(WEEKDAY(DN26)=7,DN26+2,DN26)))</f>
        <v>44473</v>
      </c>
      <c r="DP26" s="405">
        <f t="shared" si="23"/>
        <v>44473</v>
      </c>
      <c r="DQ26" s="405">
        <f t="shared" si="20"/>
        <v>44473</v>
      </c>
      <c r="DR26" s="394">
        <f t="shared" si="19"/>
        <v>1</v>
      </c>
      <c r="DS26" s="394">
        <f>IF(AND(DR26=1,COUNTIF(DS$7:DS25,1)&lt;12,VLOOKUP(COUNTIF(DS$7:DS25,1)+1,'Outline Info'!$A$21:$C$32,2)&lt;=I26),1,0)</f>
        <v>0</v>
      </c>
      <c r="DT26" s="405" t="str">
        <f>IF(DS26=1,IF(VLOOKUP(COUNTIF(DS$7:DS26,1),'Outline Info'!$A$21:$C$32,2)=0,"",VLOOKUP(COUNTIF(DS$7:DS26,1),'Outline Info'!$A$21:$C$32,2)),"")</f>
        <v/>
      </c>
      <c r="DU26" s="447">
        <f>IF(DS26=1,VLOOKUP(COUNTIF(DS$7:DS26,1),'Outline Info'!$A$21:$C$32,3),0)</f>
        <v>0</v>
      </c>
      <c r="DV26" s="445">
        <f>IF('Outline Info'!$B$8="Y",IF(B26="*",'Outline Info'!$B$19,IF(OR($A26="",B26="X",B26="x"),0,VLOOKUP($A26,'Course Table'!$A$2:$J$331,4,TRUE))),0)</f>
        <v>0</v>
      </c>
      <c r="DW26" s="447">
        <f t="shared" si="6"/>
        <v>0</v>
      </c>
      <c r="DX26" s="447">
        <f>IF('Outline Info'!$B$8="Y",$DV26,$DW26)</f>
        <v>0</v>
      </c>
      <c r="DY26" s="394"/>
      <c r="DZ26" s="934"/>
      <c r="EA26" s="934"/>
      <c r="EB26" s="394"/>
      <c r="EC26" s="394"/>
      <c r="ED26" s="394"/>
    </row>
    <row r="27" spans="1:134" s="400" customFormat="1" ht="20.100000000000001" customHeight="1">
      <c r="A27" s="874" t="str">
        <f t="shared" si="7"/>
        <v/>
      </c>
      <c r="B27" s="876" t="str">
        <f t="shared" si="8"/>
        <v/>
      </c>
      <c r="C27" s="878" t="str">
        <f t="shared" si="9"/>
        <v/>
      </c>
      <c r="D27" s="463">
        <f>IF(NOT(ISBLANK(DZ27)),DZ27,IF(AND($AC27=9998,'Outline Info'!$H$33&gt;='Outline Info'!$B$6,'Outline Info'!$H$33&lt;='Outline Info'!$C$6),'Outline Info'!$H$33,IF(AND($AC27=9997,'Outline Info'!$H$31&gt;='Outline Info'!$B$6,'Outline Info'!$H$31&lt;='Outline Info'!$C$6),'Outline Info'!$H$31,IF(AE27="*",DQ26,IF(OR(AE27="x",AE27="X"),I26,IF(AND(AC27&gt;6,AC26&lt;6),DQ26,IF(AND($AC27=9998,$AC26=9997),I25,I26)))))))</f>
        <v>44470</v>
      </c>
      <c r="E27" s="1286"/>
      <c r="F27" s="1287"/>
      <c r="G27" s="1282"/>
      <c r="H27" s="1283"/>
      <c r="I27" s="464">
        <f>IF(AND($AC27=9998,'Outline Info'!$I$33&gt;='Outline Info'!$B$6,'Outline Info'!$I$33&lt;='Outline Info'!$C$6),'Outline Info'!$I$33,IF(AND($AC27=9997,'Outline Info'!$I$31&gt;='Outline Info'!$B$6,'Outline Info'!$I$31&lt;='Outline Info'!$C$6),'Outline Info'!$I$31,IF(DP27&gt;$V$4,$V$4,DP27)))</f>
        <v>44470</v>
      </c>
      <c r="J27" s="436"/>
      <c r="K27" s="437"/>
      <c r="L27" s="438"/>
      <c r="M27" s="438"/>
      <c r="N27" s="435"/>
      <c r="O27" s="435"/>
      <c r="P27" s="438"/>
      <c r="Q27" s="438"/>
      <c r="R27" s="439"/>
      <c r="S27" s="872">
        <f>IF($V$5-SUM($DX$7:$DX27)&lt;0,IF($V$5-SUM($DX$7:$DX26)&lt;0,0,$V$5-SUM($DX$7:$DX26)),DX27)</f>
        <v>0</v>
      </c>
      <c r="T27" s="440" t="str">
        <f>IF(S27&gt;0,IF('Outline Info'!$B$8="Y",D27,DT27),"")</f>
        <v/>
      </c>
      <c r="U27" s="441"/>
      <c r="V27" s="442"/>
      <c r="W27" s="870" t="str">
        <f>IF('Outline Info'!$C$33&gt;0,ROUND(IF('Outline Info'!$B$8="Y",SUM(S$7:S27)-SUM(AJ$7:AJ27)-'Outline Info'!$B$14-'Outline Info'!$B$15-'Outline Info'!$B$17,IF(AL27=0,SUM(S$7:S27)-SUM(AK$7:AK27)-SUM(AP27:AS27)-'Outline Info'!$B$14-'Outline Info'!$B$15-'Outline Info'!$B$17,0)),0),IF('Outline Info'!$T$4&lt;&gt;1,"",IF(OR(AD27="",AL27=1),"",SUM(AK$7:AK27)+SUM(AP27:AS27)+'Outline Info'!$B$14+'Outline Info'!$B$15+'Outline Info'!$B$17)))</f>
        <v/>
      </c>
      <c r="X27" s="448"/>
      <c r="Y27" s="443">
        <f>IF(OR(AE27="X",AE27="x",AE27="*",AC27=99999),0,IF(AC27&lt;50,0,IF($S$4-SUM($Y$7:$Y26)&gt;0,1,0)))</f>
        <v>0</v>
      </c>
      <c r="Z27" s="444">
        <f>IF(AC27&lt;99999,IF(AE27="*",AH27,IF(OR(AE27="x",AE27="X",AC27&lt;10),0,IF(AND(AC27&lt;&gt;9998,AC27&lt;&gt;9997),IF(AM27=1,(AH27+$AM$5)*(1+('Outline Info'!$B$16)),IF(AN27=1,(AH27+$AN$5)*(1+('Outline Info'!$B$16)),0)),AH27))),0)</f>
        <v>0</v>
      </c>
      <c r="AA27" s="395">
        <f>Z27/'Outline Info'!$C$11+Y27</f>
        <v>0</v>
      </c>
      <c r="AB27" s="395">
        <f>ROUND(AA27/'Outline Info'!$B$11*7,0)</f>
        <v>0</v>
      </c>
      <c r="AC27" s="450">
        <f>IF($AD27&lt;&gt;"",VLOOKUP($AD27,'Course Table'!$A$2:$J$331,10,TRUE),99999)</f>
        <v>99999</v>
      </c>
      <c r="AD27" s="451"/>
      <c r="AE27" s="394"/>
      <c r="AF27" s="451"/>
      <c r="AG27" s="451"/>
      <c r="AH27" s="451"/>
      <c r="AI27" s="394">
        <v>449</v>
      </c>
      <c r="AJ27" s="394">
        <v>449</v>
      </c>
      <c r="AK27" s="394">
        <f t="shared" si="10"/>
        <v>449</v>
      </c>
      <c r="AL27" s="394">
        <f t="shared" si="11"/>
        <v>0</v>
      </c>
      <c r="AM27" s="394">
        <f t="shared" si="12"/>
        <v>0</v>
      </c>
      <c r="AN27" s="394">
        <f t="shared" si="13"/>
        <v>0</v>
      </c>
      <c r="AO27" s="394">
        <f>IF(AN27=1,SUMPRODUCT($AJ$7:$AJ27,$AN$7:$AN27),0)</f>
        <v>0</v>
      </c>
      <c r="AP27" s="394">
        <f t="shared" si="14"/>
        <v>0</v>
      </c>
      <c r="AQ27" s="394">
        <f t="shared" si="14"/>
        <v>0</v>
      </c>
      <c r="AR27" s="394">
        <f t="shared" si="14"/>
        <v>0</v>
      </c>
      <c r="AS27" s="394">
        <f t="shared" si="14"/>
        <v>0</v>
      </c>
      <c r="AT27" s="394">
        <f t="shared" si="15"/>
        <v>0</v>
      </c>
      <c r="AU27" s="394">
        <f t="shared" si="15"/>
        <v>0</v>
      </c>
      <c r="AV27" s="394">
        <f t="shared" si="15"/>
        <v>0</v>
      </c>
      <c r="AW27" s="394">
        <f t="shared" si="15"/>
        <v>0</v>
      </c>
      <c r="AX27" s="394">
        <f t="shared" si="1"/>
        <v>0</v>
      </c>
      <c r="AY27" s="394">
        <f t="shared" si="2"/>
        <v>0</v>
      </c>
      <c r="AZ27" s="394">
        <f t="shared" si="3"/>
        <v>0</v>
      </c>
      <c r="BA27" s="394">
        <f t="shared" si="4"/>
        <v>0</v>
      </c>
      <c r="BB27" s="405">
        <f t="shared" si="22"/>
        <v>44473</v>
      </c>
      <c r="BC27" s="405">
        <f>BB27+IF(WEEKDAY(BB27)=1,1,IF(WEEKDAY(BB27)=7,2,0))+COUNTIF(ClosedDays!$B$4:$B$32,IF(WEEKDAY(BB27)=1,BB27+1,IF(WEEKDAY(BB27)=7,BB27+2,BB27)))+COUNTIF(ClosedDays!$F$4:$F$32,IF(WEEKDAY(BB27)=1,BB27+1,IF(WEEKDAY(BB27)=7,BB27+2,BB27)))+COUNTIF(ClosedDays!$J$4:$J$32,IF(WEEKDAY(BB27)=1,BB27+1,IF(WEEKDAY(BB27)=7,BB27+2,BB27)))+COUNTIF(ClosedDays!$N$4:$N$32,IF(WEEKDAY(BB27)=1,BB27+1,IF(WEEKDAY(BB27)=7,BB27+2,BB27)))</f>
        <v>44473</v>
      </c>
      <c r="BD27" s="405">
        <f>BC27+IF(WEEKDAY(BC27)=1,1,IF(WEEKDAY(BC27)=7,2,0))+COUNTIF(ClosedDays!$B$4:$B$32,IF(WEEKDAY(BC27)=1,BC27+1,IF(WEEKDAY(BC27)=7,BC27+2,BC27)))+COUNTIF(ClosedDays!$F$4:$F$32,IF(WEEKDAY(BC27)=1,BC27+1,IF(WEEKDAY(BC27)=7,BC27+2,BC27)))+COUNTIF(ClosedDays!$J$4:$J$32,IF(WEEKDAY(BC27)=1,BC27+1,IF(WEEKDAY(BC27)=7,BC27+2,BC27)))+COUNTIF(ClosedDays!$N$4:$N$32,IF(WEEKDAY(BC27)=1,BC27+1,IF(WEEKDAY(BC27)=7,BC27+2,BC27)))</f>
        <v>44473</v>
      </c>
      <c r="BE27" s="405">
        <f>BD27+IF(WEEKDAY(BD27)=1,1,IF(WEEKDAY(BD27)=7,2,0))+COUNTIF(ClosedDays!$B$4:$B$32,IF(WEEKDAY(BD27)=1,BD27+1,IF(WEEKDAY(BD27)=7,BD27+2,BD27)))+COUNTIF(ClosedDays!$F$4:$F$32,IF(WEEKDAY(BD27)=1,BD27+1,IF(WEEKDAY(BD27)=7,BD27+2,BD27)))+COUNTIF(ClosedDays!$J$4:$J$32,IF(WEEKDAY(BD27)=1,BD27+1,IF(WEEKDAY(BD27)=7,BD27+2,BD27)))+COUNTIF(ClosedDays!$N$4:$N$32,IF(WEEKDAY(BD27)=1,BD27+1,IF(WEEKDAY(BD27)=7,BD27+2,BD27)))</f>
        <v>44473</v>
      </c>
      <c r="BF27" s="405">
        <f>BE27+IF(WEEKDAY(BE27)=1,1,IF(WEEKDAY(BE27)=7,2,0))+COUNTIF(ClosedDays!$B$4:$B$32,IF(WEEKDAY(BE27)=1,BE27+1,IF(WEEKDAY(BE27)=7,BE27+2,BE27)))+COUNTIF(ClosedDays!$F$4:$F$32,IF(WEEKDAY(BE27)=1,BE27+1,IF(WEEKDAY(BE27)=7,BE27+2,BE27)))+COUNTIF(ClosedDays!$J$4:$J$32,IF(WEEKDAY(BE27)=1,BE27+1,IF(WEEKDAY(BE27)=7,BE27+2,BE27)))+COUNTIF(ClosedDays!$N$4:$N$32,IF(WEEKDAY(BE27)=1,BE27+1,IF(WEEKDAY(BE27)=7,BE27+2,BE27)))</f>
        <v>44473</v>
      </c>
      <c r="BG27" s="405">
        <f>BF27+IF(WEEKDAY(BF27)=1,1,IF(WEEKDAY(BF27)=7,2,0))+COUNTIF(ClosedDays!$B$4:$B$32,IF(WEEKDAY(BF27)=1,BF27+1,IF(WEEKDAY(BF27)=7,BF27+2,BF27)))+COUNTIF(ClosedDays!$F$4:$F$32,IF(WEEKDAY(BF27)=1,BF27+1,IF(WEEKDAY(BF27)=7,BF27+2,BF27)))+COUNTIF(ClosedDays!$J$4:$J$32,IF(WEEKDAY(BF27)=1,BF27+1,IF(WEEKDAY(BF27)=7,BF27+2,BF27)))+COUNTIF(ClosedDays!$N$4:$N$32,IF(WEEKDAY(BF27)=1,BF27+1,IF(WEEKDAY(BF27)=7,BF27+2,BF27)))</f>
        <v>44473</v>
      </c>
      <c r="BH27" s="405">
        <f>BG27+IF(WEEKDAY(BG27)=1,1,IF(WEEKDAY(BG27)=7,2,0))+COUNTIF(ClosedDays!$B$4:$B$32,IF(WEEKDAY(BG27)=1,BG27+1,IF(WEEKDAY(BG27)=7,BG27+2,BG27)))+COUNTIF(ClosedDays!$F$4:$F$32,IF(WEEKDAY(BG27)=1,BG27+1,IF(WEEKDAY(BG27)=7,BG27+2,BG27)))+COUNTIF(ClosedDays!$J$4:$J$32,IF(WEEKDAY(BG27)=1,BG27+1,IF(WEEKDAY(BG27)=7,BG27+2,BG27)))+COUNTIF(ClosedDays!$N$4:$N$32,IF(WEEKDAY(BG27)=1,BG27+1,IF(WEEKDAY(BG27)=7,BG27+2,BG27)))</f>
        <v>44473</v>
      </c>
      <c r="BI27" s="405">
        <f>BH27+IF(WEEKDAY(BH27)=1,1,IF(WEEKDAY(BH27)=7,2,0))+COUNTIF(ClosedDays!$B$4:$B$32,IF(WEEKDAY(BH27)=1,BH27+1,IF(WEEKDAY(BH27)=7,BH27+2,BH27)))+COUNTIF(ClosedDays!$F$4:$F$32,IF(WEEKDAY(BH27)=1,BH27+1,IF(WEEKDAY(BH27)=7,BH27+2,BH27)))+COUNTIF(ClosedDays!$J$4:$J$32,IF(WEEKDAY(BH27)=1,BH27+1,IF(WEEKDAY(BH27)=7,BH27+2,BH27)))+COUNTIF(ClosedDays!$N$4:$N$32,IF(WEEKDAY(BH27)=1,BH27+1,IF(WEEKDAY(BH27)=7,BH27+2,BH27)))</f>
        <v>44473</v>
      </c>
      <c r="BJ27" s="405">
        <f>BI27+IF(WEEKDAY(BI27)=1,1,IF(WEEKDAY(BI27)=7,2,0))+COUNTIF(ClosedDays!$B$4:$B$32,IF(WEEKDAY(BI27)=1,BI27+1,IF(WEEKDAY(BI27)=7,BI27+2,BI27)))+COUNTIF(ClosedDays!$F$4:$F$32,IF(WEEKDAY(BI27)=1,BI27+1,IF(WEEKDAY(BI27)=7,BI27+2,BI27)))+COUNTIF(ClosedDays!$J$4:$J$32,IF(WEEKDAY(BI27)=1,BI27+1,IF(WEEKDAY(BI27)=7,BI27+2,BI27)))+COUNTIF(ClosedDays!$N$4:$N$32,IF(WEEKDAY(BI27)=1,BI27+1,IF(WEEKDAY(BI27)=7,BI27+2,BI27)))</f>
        <v>44473</v>
      </c>
      <c r="BK27" s="405">
        <f>BJ27+IF(WEEKDAY(BJ27)=1,1,IF(WEEKDAY(BJ27)=7,2,0))+COUNTIF(ClosedDays!$B$4:$B$32,IF(WEEKDAY(BJ27)=1,BJ27+1,IF(WEEKDAY(BJ27)=7,BJ27+2,BJ27)))+COUNTIF(ClosedDays!$F$4:$F$32,IF(WEEKDAY(BJ27)=1,BJ27+1,IF(WEEKDAY(BJ27)=7,BJ27+2,BJ27)))+COUNTIF(ClosedDays!$J$4:$J$32,IF(WEEKDAY(BJ27)=1,BJ27+1,IF(WEEKDAY(BJ27)=7,BJ27+2,BJ27)))+COUNTIF(ClosedDays!$N$4:$N$32,IF(WEEKDAY(BJ27)=1,BJ27+1,IF(WEEKDAY(BJ27)=7,BJ27+2,BJ27)))</f>
        <v>44473</v>
      </c>
      <c r="BL27" s="405">
        <f>BK27+IF(WEEKDAY(BK27)=1,1,IF(WEEKDAY(BK27)=7,2,0))+COUNTIF(ClosedDays!$B$4:$B$32,IF(WEEKDAY(BK27)=1,BK27+1,IF(WEEKDAY(BK27)=7,BK27+2,BK27)))+COUNTIF(ClosedDays!$F$4:$F$32,IF(WEEKDAY(BK27)=1,BK27+1,IF(WEEKDAY(BK27)=7,BK27+2,BK27)))+COUNTIF(ClosedDays!$J$4:$J$32,IF(WEEKDAY(BK27)=1,BK27+1,IF(WEEKDAY(BK27)=7,BK27+2,BK27)))+COUNTIF(ClosedDays!$N$4:$N$32,IF(WEEKDAY(BK27)=1,BK27+1,IF(WEEKDAY(BK27)=7,BK27+2,BK27)))</f>
        <v>44473</v>
      </c>
      <c r="BM27" s="405">
        <f>BL27+IF(WEEKDAY(BL27)=1,1,IF(WEEKDAY(BL27)=7,2,0))+COUNTIF(ClosedDays!$B$4:$B$32,IF(WEEKDAY(BL27)=1,BL27+1,IF(WEEKDAY(BL27)=7,BL27+2,BL27)))+COUNTIF(ClosedDays!$F$4:$F$32,IF(WEEKDAY(BL27)=1,BL27+1,IF(WEEKDAY(BL27)=7,BL27+2,BL27)))+COUNTIF(ClosedDays!$J$4:$J$32,IF(WEEKDAY(BL27)=1,BL27+1,IF(WEEKDAY(BL27)=7,BL27+2,BL27)))+COUNTIF(ClosedDays!$N$4:$N$32,IF(WEEKDAY(BL27)=1,BL27+1,IF(WEEKDAY(BL27)=7,BL27+2,BL27)))</f>
        <v>44473</v>
      </c>
      <c r="BN27" s="405">
        <f>BM27+IF(WEEKDAY(BM27)=1,1,IF(WEEKDAY(BM27)=7,2,0))+COUNTIF(ClosedDays!$B$4:$B$32,IF(WEEKDAY(BM27)=1,BM27+1,IF(WEEKDAY(BM27)=7,BM27+2,BM27)))+COUNTIF(ClosedDays!$F$4:$F$32,IF(WEEKDAY(BM27)=1,BM27+1,IF(WEEKDAY(BM27)=7,BM27+2,BM27)))+COUNTIF(ClosedDays!$J$4:$J$32,IF(WEEKDAY(BM27)=1,BM27+1,IF(WEEKDAY(BM27)=7,BM27+2,BM27)))+COUNTIF(ClosedDays!$N$4:$N$32,IF(WEEKDAY(BM27)=1,BM27+1,IF(WEEKDAY(BM27)=7,BM27+2,BM27)))</f>
        <v>44473</v>
      </c>
      <c r="BO27" s="405">
        <f>BN27+IF(WEEKDAY(BN27)=1,1,IF(WEEKDAY(BN27)=7,2,0))+COUNTIF(ClosedDays!$B$4:$B$32,IF(WEEKDAY(BN27)=1,BN27+1,IF(WEEKDAY(BN27)=7,BN27+2,BN27)))+COUNTIF(ClosedDays!$F$4:$F$32,IF(WEEKDAY(BN27)=1,BN27+1,IF(WEEKDAY(BN27)=7,BN27+2,BN27)))+COUNTIF(ClosedDays!$J$4:$J$32,IF(WEEKDAY(BN27)=1,BN27+1,IF(WEEKDAY(BN27)=7,BN27+2,BN27)))+COUNTIF(ClosedDays!$N$4:$N$32,IF(WEEKDAY(BN27)=1,BN27+1,IF(WEEKDAY(BN27)=7,BN27+2,BN27)))</f>
        <v>44473</v>
      </c>
      <c r="BP27" s="405">
        <f>BO27+IF(WEEKDAY(BO27)=1,1,IF(WEEKDAY(BO27)=7,2,0))+COUNTIF(ClosedDays!$B$4:$B$32,IF(WEEKDAY(BO27)=1,BO27+1,IF(WEEKDAY(BO27)=7,BO27+2,BO27)))+COUNTIF(ClosedDays!$F$4:$F$32,IF(WEEKDAY(BO27)=1,BO27+1,IF(WEEKDAY(BO27)=7,BO27+2,BO27)))+COUNTIF(ClosedDays!$J$4:$J$32,IF(WEEKDAY(BO27)=1,BO27+1,IF(WEEKDAY(BO27)=7,BO27+2,BO27)))+COUNTIF(ClosedDays!$N$4:$N$32,IF(WEEKDAY(BO27)=1,BO27+1,IF(WEEKDAY(BO27)=7,BO27+2,BO27)))</f>
        <v>44473</v>
      </c>
      <c r="BQ27" s="405">
        <f t="shared" si="16"/>
        <v>44473</v>
      </c>
      <c r="BR27" s="446">
        <f>IF(AND($D27&lt;='Outline Info'!$H$31,BQ27&gt;='Outline Info'!$H$31,$BS$4=1,$AC27&gt;10,$AC27&lt;9997),1,0)</f>
        <v>0</v>
      </c>
      <c r="BS27" s="405">
        <f>IF(BR27=1,BQ27+'Outline Info'!$I$31-'Outline Info'!$H$31+1,BQ27)</f>
        <v>44473</v>
      </c>
      <c r="BT27" s="405">
        <f>BS27+IF(WEEKDAY(BS27)=1,1,IF(WEEKDAY(BS27)=7,2,0))+COUNTIF(ClosedDays!$B$4:$B$32,IF(WEEKDAY(BS27)=1,BS27+1,IF(WEEKDAY(BS27)=7,BS27+2,BS27)))+COUNTIF(ClosedDays!$F$4:$F$32,IF(WEEKDAY(BS27)=1,BS27+1,IF(WEEKDAY(BS27)=7,BS27+2,BS27)))+COUNTIF(ClosedDays!$J$4:$J$32,IF(WEEKDAY(BS27)=1,BS27+1,IF(WEEKDAY(BS27)=7,BS27+2,BS27)))+COUNTIF(ClosedDays!$N$4:$N$32,IF(WEEKDAY(BS27)=1,BS27+1,IF(WEEKDAY(BS27)=7,BS27+2,BS27)))</f>
        <v>44473</v>
      </c>
      <c r="BU27" s="405">
        <f>BT27+IF(WEEKDAY(BT27)=1,1,IF(WEEKDAY(BT27)=7,2,0))+COUNTIF(ClosedDays!$B$4:$B$32,IF(WEEKDAY(BT27)=1,BT27+1,IF(WEEKDAY(BT27)=7,BT27+2,BT27)))+COUNTIF(ClosedDays!$F$4:$F$32,IF(WEEKDAY(BT27)=1,BT27+1,IF(WEEKDAY(BT27)=7,BT27+2,BT27)))+COUNTIF(ClosedDays!$J$4:$J$32,IF(WEEKDAY(BT27)=1,BT27+1,IF(WEEKDAY(BT27)=7,BT27+2,BT27)))+COUNTIF(ClosedDays!$N$4:$N$32,IF(WEEKDAY(BT27)=1,BT27+1,IF(WEEKDAY(BT27)=7,BT27+2,BT27)))</f>
        <v>44473</v>
      </c>
      <c r="BV27" s="405">
        <f>BU27+IF(WEEKDAY(BU27)=1,1,IF(WEEKDAY(BU27)=7,2,0))+COUNTIF(ClosedDays!$B$4:$B$32,IF(WEEKDAY(BU27)=1,BU27+1,IF(WEEKDAY(BU27)=7,BU27+2,BU27)))+COUNTIF(ClosedDays!$F$4:$F$32,IF(WEEKDAY(BU27)=1,BU27+1,IF(WEEKDAY(BU27)=7,BU27+2,BU27)))+COUNTIF(ClosedDays!$J$4:$J$32,IF(WEEKDAY(BU27)=1,BU27+1,IF(WEEKDAY(BU27)=7,BU27+2,BU27)))+COUNTIF(ClosedDays!$N$4:$N$32,IF(WEEKDAY(BU27)=1,BU27+1,IF(WEEKDAY(BU27)=7,BU27+2,BU27)))</f>
        <v>44473</v>
      </c>
      <c r="BW27" s="405">
        <f>BV27+IF(WEEKDAY(BV27)=1,1,IF(WEEKDAY(BV27)=7,2,0))+COUNTIF(ClosedDays!$B$4:$B$32,IF(WEEKDAY(BV27)=1,BV27+1,IF(WEEKDAY(BV27)=7,BV27+2,BV27)))+COUNTIF(ClosedDays!$F$4:$F$32,IF(WEEKDAY(BV27)=1,BV27+1,IF(WEEKDAY(BV27)=7,BV27+2,BV27)))+COUNTIF(ClosedDays!$J$4:$J$32,IF(WEEKDAY(BV27)=1,BV27+1,IF(WEEKDAY(BV27)=7,BV27+2,BV27)))+COUNTIF(ClosedDays!$N$4:$N$32,IF(WEEKDAY(BV27)=1,BV27+1,IF(WEEKDAY(BV27)=7,BV27+2,BV27)))</f>
        <v>44473</v>
      </c>
      <c r="BX27" s="405">
        <f>BW27+IF(WEEKDAY(BW27)=1,1,IF(WEEKDAY(BW27)=7,2,0))+COUNTIF(ClosedDays!$B$4:$B$32,IF(WEEKDAY(BW27)=1,BW27+1,IF(WEEKDAY(BW27)=7,BW27+2,BW27)))+COUNTIF(ClosedDays!$F$4:$F$32,IF(WEEKDAY(BW27)=1,BW27+1,IF(WEEKDAY(BW27)=7,BW27+2,BW27)))+COUNTIF(ClosedDays!$J$4:$J$32,IF(WEEKDAY(BW27)=1,BW27+1,IF(WEEKDAY(BW27)=7,BW27+2,BW27)))+COUNTIF(ClosedDays!$N$4:$N$32,IF(WEEKDAY(BW27)=1,BW27+1,IF(WEEKDAY(BW27)=7,BW27+2,BW27)))</f>
        <v>44473</v>
      </c>
      <c r="BY27" s="405">
        <f>BX27+IF(WEEKDAY(BX27)=1,1,IF(WEEKDAY(BX27)=7,2,0))+COUNTIF(ClosedDays!$B$4:$B$32,IF(WEEKDAY(BX27)=1,BX27+1,IF(WEEKDAY(BX27)=7,BX27+2,BX27)))+COUNTIF(ClosedDays!$F$4:$F$32,IF(WEEKDAY(BX27)=1,BX27+1,IF(WEEKDAY(BX27)=7,BX27+2,BX27)))+COUNTIF(ClosedDays!$J$4:$J$32,IF(WEEKDAY(BX27)=1,BX27+1,IF(WEEKDAY(BX27)=7,BX27+2,BX27)))+COUNTIF(ClosedDays!$N$4:$N$32,IF(WEEKDAY(BX27)=1,BX27+1,IF(WEEKDAY(BX27)=7,BX27+2,BX27)))</f>
        <v>44473</v>
      </c>
      <c r="BZ27" s="405">
        <f>BY27+IF(WEEKDAY(BY27)=1,1,IF(WEEKDAY(BY27)=7,2,0))+COUNTIF(ClosedDays!$B$4:$B$32,IF(WEEKDAY(BY27)=1,BY27+1,IF(WEEKDAY(BY27)=7,BY27+2,BY27)))+COUNTIF(ClosedDays!$F$4:$F$32,IF(WEEKDAY(BY27)=1,BY27+1,IF(WEEKDAY(BY27)=7,BY27+2,BY27)))+COUNTIF(ClosedDays!$J$4:$J$32,IF(WEEKDAY(BY27)=1,BY27+1,IF(WEEKDAY(BY27)=7,BY27+2,BY27)))+COUNTIF(ClosedDays!$N$4:$N$32,IF(WEEKDAY(BY27)=1,BY27+1,IF(WEEKDAY(BY27)=7,BY27+2,BY27)))</f>
        <v>44473</v>
      </c>
      <c r="CA27" s="405">
        <f>BZ27+IF(WEEKDAY(BZ27)=1,1,IF(WEEKDAY(BZ27)=7,2,0))+COUNTIF(ClosedDays!$B$4:$B$32,IF(WEEKDAY(BZ27)=1,BZ27+1,IF(WEEKDAY(BZ27)=7,BZ27+2,BZ27)))+COUNTIF(ClosedDays!$F$4:$F$32,IF(WEEKDAY(BZ27)=1,BZ27+1,IF(WEEKDAY(BZ27)=7,BZ27+2,BZ27)))+COUNTIF(ClosedDays!$J$4:$J$32,IF(WEEKDAY(BZ27)=1,BZ27+1,IF(WEEKDAY(BZ27)=7,BZ27+2,BZ27)))+COUNTIF(ClosedDays!$N$4:$N$32,IF(WEEKDAY(BZ27)=1,BZ27+1,IF(WEEKDAY(BZ27)=7,BZ27+2,BZ27)))</f>
        <v>44473</v>
      </c>
      <c r="CB27" s="405">
        <f>CA27+IF(WEEKDAY(CA27)=1,1,IF(WEEKDAY(CA27)=7,2,0))+COUNTIF(ClosedDays!$B$4:$B$32,IF(WEEKDAY(CA27)=1,CA27+1,IF(WEEKDAY(CA27)=7,CA27+2,CA27)))+COUNTIF(ClosedDays!$F$4:$F$32,IF(WEEKDAY(CA27)=1,CA27+1,IF(WEEKDAY(CA27)=7,CA27+2,CA27)))+COUNTIF(ClosedDays!$J$4:$J$32,IF(WEEKDAY(CA27)=1,CA27+1,IF(WEEKDAY(CA27)=7,CA27+2,CA27)))+COUNTIF(ClosedDays!$N$4:$N$32,IF(WEEKDAY(CA27)=1,CA27+1,IF(WEEKDAY(CA27)=7,CA27+2,CA27)))</f>
        <v>44473</v>
      </c>
      <c r="CC27" s="405">
        <f>CB27+IF(WEEKDAY(CB27)=1,1,IF(WEEKDAY(CB27)=7,2,0))+COUNTIF(ClosedDays!$B$4:$B$32,IF(WEEKDAY(CB27)=1,CB27+1,IF(WEEKDAY(CB27)=7,CB27+2,CB27)))+COUNTIF(ClosedDays!$F$4:$F$32,IF(WEEKDAY(CB27)=1,CB27+1,IF(WEEKDAY(CB27)=7,CB27+2,CB27)))+COUNTIF(ClosedDays!$J$4:$J$32,IF(WEEKDAY(CB27)=1,CB27+1,IF(WEEKDAY(CB27)=7,CB27+2,CB27)))+COUNTIF(ClosedDays!$N$4:$N$32,IF(WEEKDAY(CB27)=1,CB27+1,IF(WEEKDAY(CB27)=7,CB27+2,CB27)))</f>
        <v>44473</v>
      </c>
      <c r="CD27" s="405">
        <f>CC27+IF(WEEKDAY(CC27)=1,1,IF(WEEKDAY(CC27)=7,2,0))+COUNTIF(ClosedDays!$B$4:$B$32,IF(WEEKDAY(CC27)=1,CC27+1,IF(WEEKDAY(CC27)=7,CC27+2,CC27)))+COUNTIF(ClosedDays!$F$4:$F$32,IF(WEEKDAY(CC27)=1,CC27+1,IF(WEEKDAY(CC27)=7,CC27+2,CC27)))+COUNTIF(ClosedDays!$J$4:$J$32,IF(WEEKDAY(CC27)=1,CC27+1,IF(WEEKDAY(CC27)=7,CC27+2,CC27)))+COUNTIF(ClosedDays!$N$4:$N$32,IF(WEEKDAY(CC27)=1,CC27+1,IF(WEEKDAY(CC27)=7,CC27+2,CC27)))</f>
        <v>44473</v>
      </c>
      <c r="CE27" s="405">
        <f>CD27+IF(WEEKDAY(CD27)=1,1,IF(WEEKDAY(CD27)=7,2,0))+COUNTIF(ClosedDays!$B$4:$B$32,IF(WEEKDAY(CD27)=1,CD27+1,IF(WEEKDAY(CD27)=7,CD27+2,CD27)))+COUNTIF(ClosedDays!$F$4:$F$32,IF(WEEKDAY(CD27)=1,CD27+1,IF(WEEKDAY(CD27)=7,CD27+2,CD27)))+COUNTIF(ClosedDays!$J$4:$J$32,IF(WEEKDAY(CD27)=1,CD27+1,IF(WEEKDAY(CD27)=7,CD27+2,CD27)))+COUNTIF(ClosedDays!$N$4:$N$32,IF(WEEKDAY(CD27)=1,CD27+1,IF(WEEKDAY(CD27)=7,CD27+2,CD27)))</f>
        <v>44473</v>
      </c>
      <c r="CF27" s="405">
        <f>CE27+IF(WEEKDAY(CE27)=1,1,IF(WEEKDAY(CE27)=7,2,0))+COUNTIF(ClosedDays!$B$4:$B$32,IF(WEEKDAY(CE27)=1,CE27+1,IF(WEEKDAY(CE27)=7,CE27+2,CE27)))+COUNTIF(ClosedDays!$F$4:$F$32,IF(WEEKDAY(CE27)=1,CE27+1,IF(WEEKDAY(CE27)=7,CE27+2,CE27)))+COUNTIF(ClosedDays!$J$4:$J$32,IF(WEEKDAY(CE27)=1,CE27+1,IF(WEEKDAY(CE27)=7,CE27+2,CE27)))+COUNTIF(ClosedDays!$N$4:$N$32,IF(WEEKDAY(CE27)=1,CE27+1,IF(WEEKDAY(CE27)=7,CE27+2,CE27)))</f>
        <v>44473</v>
      </c>
      <c r="CG27" s="405">
        <f>CF27+IF(WEEKDAY(CF27)=1,1,IF(WEEKDAY(CF27)=7,2,0))+COUNTIF(ClosedDays!$B$4:$B$32,IF(WEEKDAY(CF27)=1,CF27+1,IF(WEEKDAY(CF27)=7,CF27+2,CF27)))+COUNTIF(ClosedDays!$F$4:$F$32,IF(WEEKDAY(CF27)=1,CF27+1,IF(WEEKDAY(CF27)=7,CF27+2,CF27)))+COUNTIF(ClosedDays!$J$4:$J$32,IF(WEEKDAY(CF27)=1,CF27+1,IF(WEEKDAY(CF27)=7,CF27+2,CF27)))+COUNTIF(ClosedDays!$N$4:$N$32,IF(WEEKDAY(CF27)=1,CF27+1,IF(WEEKDAY(CF27)=7,CF27+2,CF27)))</f>
        <v>44473</v>
      </c>
      <c r="CH27" s="405">
        <f t="shared" si="17"/>
        <v>44473</v>
      </c>
      <c r="CI27" s="446">
        <f>IF(AND($D27&lt;='Outline Info'!$H$33,CH27&gt;='Outline Info'!$H$33,$CJ$4=1,$AC27&gt;10,$AC27&lt;9997),1,0)</f>
        <v>0</v>
      </c>
      <c r="CJ27" s="405">
        <f>IF(CI27=1,CH27+'Outline Info'!$I$33-'Outline Info'!$H$33+1,CH27)</f>
        <v>44473</v>
      </c>
      <c r="CK27" s="405">
        <f>CJ27+IF(WEEKDAY(CJ27)=1,1,IF(WEEKDAY(CJ27)=7,2,0))+COUNTIF(ClosedDays!$B$4:$B$32,IF(WEEKDAY(CJ27)=1,CJ27+1,IF(WEEKDAY(CJ27)=7,CJ27+2,CJ27)))+COUNTIF(ClosedDays!$F$4:$F$32,IF(WEEKDAY(CJ27)=1,CJ27+1,IF(WEEKDAY(CJ27)=7,CJ27+2,CJ27)))+COUNTIF(ClosedDays!$J$4:$J$32,IF(WEEKDAY(CJ27)=1,CJ27+1,IF(WEEKDAY(CJ27)=7,CJ27+2,CJ27)))+COUNTIF(ClosedDays!$N$4:$N$32,IF(WEEKDAY(CJ27)=1,CJ27+1,IF(WEEKDAY(CJ27)=7,CJ27+2,CJ27)))</f>
        <v>44473</v>
      </c>
      <c r="CL27" s="405">
        <f>CK27+IF(WEEKDAY(CK27)=1,1,IF(WEEKDAY(CK27)=7,2,0))+COUNTIF(ClosedDays!$B$4:$B$32,IF(WEEKDAY(CK27)=1,CK27+1,IF(WEEKDAY(CK27)=7,CK27+2,CK27)))+COUNTIF(ClosedDays!$F$4:$F$32,IF(WEEKDAY(CK27)=1,CK27+1,IF(WEEKDAY(CK27)=7,CK27+2,CK27)))+COUNTIF(ClosedDays!$J$4:$J$32,IF(WEEKDAY(CK27)=1,CK27+1,IF(WEEKDAY(CK27)=7,CK27+2,CK27)))+COUNTIF(ClosedDays!$N$4:$N$32,IF(WEEKDAY(CK27)=1,CK27+1,IF(WEEKDAY(CK27)=7,CK27+2,CK27)))</f>
        <v>44473</v>
      </c>
      <c r="CM27" s="405">
        <f>CL27+IF(WEEKDAY(CL27)=1,1,IF(WEEKDAY(CL27)=7,2,0))+COUNTIF(ClosedDays!$B$4:$B$32,IF(WEEKDAY(CL27)=1,CL27+1,IF(WEEKDAY(CL27)=7,CL27+2,CL27)))+COUNTIF(ClosedDays!$F$4:$F$32,IF(WEEKDAY(CL27)=1,CL27+1,IF(WEEKDAY(CL27)=7,CL27+2,CL27)))+COUNTIF(ClosedDays!$J$4:$J$32,IF(WEEKDAY(CL27)=1,CL27+1,IF(WEEKDAY(CL27)=7,CL27+2,CL27)))+COUNTIF(ClosedDays!$N$4:$N$32,IF(WEEKDAY(CL27)=1,CL27+1,IF(WEEKDAY(CL27)=7,CL27+2,CL27)))</f>
        <v>44473</v>
      </c>
      <c r="CN27" s="405">
        <f>CM27+IF(WEEKDAY(CM27)=1,1,IF(WEEKDAY(CM27)=7,2,0))+COUNTIF(ClosedDays!$B$4:$B$32,IF(WEEKDAY(CM27)=1,CM27+1,IF(WEEKDAY(CM27)=7,CM27+2,CM27)))+COUNTIF(ClosedDays!$F$4:$F$32,IF(WEEKDAY(CM27)=1,CM27+1,IF(WEEKDAY(CM27)=7,CM27+2,CM27)))+COUNTIF(ClosedDays!$J$4:$J$32,IF(WEEKDAY(CM27)=1,CM27+1,IF(WEEKDAY(CM27)=7,CM27+2,CM27)))+COUNTIF(ClosedDays!$N$4:$N$32,IF(WEEKDAY(CM27)=1,CM27+1,IF(WEEKDAY(CM27)=7,CM27+2,CM27)))</f>
        <v>44473</v>
      </c>
      <c r="CO27" s="405">
        <f>CN27+IF(WEEKDAY(CN27)=1,1,IF(WEEKDAY(CN27)=7,2,0))+COUNTIF(ClosedDays!$B$4:$B$32,IF(WEEKDAY(CN27)=1,CN27+1,IF(WEEKDAY(CN27)=7,CN27+2,CN27)))+COUNTIF(ClosedDays!$F$4:$F$32,IF(WEEKDAY(CN27)=1,CN27+1,IF(WEEKDAY(CN27)=7,CN27+2,CN27)))+COUNTIF(ClosedDays!$J$4:$J$32,IF(WEEKDAY(CN27)=1,CN27+1,IF(WEEKDAY(CN27)=7,CN27+2,CN27)))+COUNTIF(ClosedDays!$N$4:$N$32,IF(WEEKDAY(CN27)=1,CN27+1,IF(WEEKDAY(CN27)=7,CN27+2,CN27)))</f>
        <v>44473</v>
      </c>
      <c r="CP27" s="405">
        <f>CO27+IF(WEEKDAY(CO27)=1,1,IF(WEEKDAY(CO27)=7,2,0))+COUNTIF(ClosedDays!$B$4:$B$32,IF(WEEKDAY(CO27)=1,CO27+1,IF(WEEKDAY(CO27)=7,CO27+2,CO27)))+COUNTIF(ClosedDays!$F$4:$F$32,IF(WEEKDAY(CO27)=1,CO27+1,IF(WEEKDAY(CO27)=7,CO27+2,CO27)))+COUNTIF(ClosedDays!$J$4:$J$32,IF(WEEKDAY(CO27)=1,CO27+1,IF(WEEKDAY(CO27)=7,CO27+2,CO27)))+COUNTIF(ClosedDays!$N$4:$N$32,IF(WEEKDAY(CO27)=1,CO27+1,IF(WEEKDAY(CO27)=7,CO27+2,CO27)))</f>
        <v>44473</v>
      </c>
      <c r="CQ27" s="405">
        <f>CP27+IF(WEEKDAY(CP27)=1,1,IF(WEEKDAY(CP27)=7,2,0))+COUNTIF(ClosedDays!$B$4:$B$32,IF(WEEKDAY(CP27)=1,CP27+1,IF(WEEKDAY(CP27)=7,CP27+2,CP27)))+COUNTIF(ClosedDays!$F$4:$F$32,IF(WEEKDAY(CP27)=1,CP27+1,IF(WEEKDAY(CP27)=7,CP27+2,CP27)))+COUNTIF(ClosedDays!$J$4:$J$32,IF(WEEKDAY(CP27)=1,CP27+1,IF(WEEKDAY(CP27)=7,CP27+2,CP27)))+COUNTIF(ClosedDays!$N$4:$N$32,IF(WEEKDAY(CP27)=1,CP27+1,IF(WEEKDAY(CP27)=7,CP27+2,CP27)))</f>
        <v>44473</v>
      </c>
      <c r="CR27" s="405">
        <f>CQ27+IF(WEEKDAY(CQ27)=1,1,IF(WEEKDAY(CQ27)=7,2,0))+COUNTIF(ClosedDays!$B$4:$B$32,IF(WEEKDAY(CQ27)=1,CQ27+1,IF(WEEKDAY(CQ27)=7,CQ27+2,CQ27)))+COUNTIF(ClosedDays!$F$4:$F$32,IF(WEEKDAY(CQ27)=1,CQ27+1,IF(WEEKDAY(CQ27)=7,CQ27+2,CQ27)))+COUNTIF(ClosedDays!$J$4:$J$32,IF(WEEKDAY(CQ27)=1,CQ27+1,IF(WEEKDAY(CQ27)=7,CQ27+2,CQ27)))+COUNTIF(ClosedDays!$N$4:$N$32,IF(WEEKDAY(CQ27)=1,CQ27+1,IF(WEEKDAY(CQ27)=7,CQ27+2,CQ27)))</f>
        <v>44473</v>
      </c>
      <c r="CS27" s="405">
        <f>CR27+IF(WEEKDAY(CR27)=1,1,IF(WEEKDAY(CR27)=7,2,0))+COUNTIF(ClosedDays!$B$4:$B$32,IF(WEEKDAY(CR27)=1,CR27+1,IF(WEEKDAY(CR27)=7,CR27+2,CR27)))+COUNTIF(ClosedDays!$F$4:$F$32,IF(WEEKDAY(CR27)=1,CR27+1,IF(WEEKDAY(CR27)=7,CR27+2,CR27)))+COUNTIF(ClosedDays!$J$4:$J$32,IF(WEEKDAY(CR27)=1,CR27+1,IF(WEEKDAY(CR27)=7,CR27+2,CR27)))+COUNTIF(ClosedDays!$N$4:$N$32,IF(WEEKDAY(CR27)=1,CR27+1,IF(WEEKDAY(CR27)=7,CR27+2,CR27)))</f>
        <v>44473</v>
      </c>
      <c r="CT27" s="405">
        <f>CS27+IF(WEEKDAY(CS27)=1,1,IF(WEEKDAY(CS27)=7,2,0))+COUNTIF(ClosedDays!$B$4:$B$32,IF(WEEKDAY(CS27)=1,CS27+1,IF(WEEKDAY(CS27)=7,CS27+2,CS27)))+COUNTIF(ClosedDays!$F$4:$F$32,IF(WEEKDAY(CS27)=1,CS27+1,IF(WEEKDAY(CS27)=7,CS27+2,CS27)))+COUNTIF(ClosedDays!$J$4:$J$32,IF(WEEKDAY(CS27)=1,CS27+1,IF(WEEKDAY(CS27)=7,CS27+2,CS27)))+COUNTIF(ClosedDays!$N$4:$N$32,IF(WEEKDAY(CS27)=1,CS27+1,IF(WEEKDAY(CS27)=7,CS27+2,CS27)))</f>
        <v>44473</v>
      </c>
      <c r="CU27" s="405">
        <f>CT27+IF(WEEKDAY(CT27)=1,1,IF(WEEKDAY(CT27)=7,2,0))+COUNTIF(ClosedDays!$B$4:$B$32,IF(WEEKDAY(CT27)=1,CT27+1,IF(WEEKDAY(CT27)=7,CT27+2,CT27)))+COUNTIF(ClosedDays!$F$4:$F$32,IF(WEEKDAY(CT27)=1,CT27+1,IF(WEEKDAY(CT27)=7,CT27+2,CT27)))+COUNTIF(ClosedDays!$J$4:$J$32,IF(WEEKDAY(CT27)=1,CT27+1,IF(WEEKDAY(CT27)=7,CT27+2,CT27)))+COUNTIF(ClosedDays!$N$4:$N$32,IF(WEEKDAY(CT27)=1,CT27+1,IF(WEEKDAY(CT27)=7,CT27+2,CT27)))</f>
        <v>44473</v>
      </c>
      <c r="CV27" s="405">
        <f>CU27+IF(WEEKDAY(CU27)=1,1,IF(WEEKDAY(CU27)=7,2,0))+COUNTIF(ClosedDays!$B$4:$B$32,IF(WEEKDAY(CU27)=1,CU27+1,IF(WEEKDAY(CU27)=7,CU27+2,CU27)))+COUNTIF(ClosedDays!$F$4:$F$32,IF(WEEKDAY(CU27)=1,CU27+1,IF(WEEKDAY(CU27)=7,CU27+2,CU27)))+COUNTIF(ClosedDays!$J$4:$J$32,IF(WEEKDAY(CU27)=1,CU27+1,IF(WEEKDAY(CU27)=7,CU27+2,CU27)))+COUNTIF(ClosedDays!$N$4:$N$32,IF(WEEKDAY(CU27)=1,CU27+1,IF(WEEKDAY(CU27)=7,CU27+2,CU27)))</f>
        <v>44473</v>
      </c>
      <c r="CW27" s="405">
        <f>CV27+IF(WEEKDAY(CV27)=1,1,IF(WEEKDAY(CV27)=7,2,0))+COUNTIF(ClosedDays!$B$4:$B$32,IF(WEEKDAY(CV27)=1,CV27+1,IF(WEEKDAY(CV27)=7,CV27+2,CV27)))+COUNTIF(ClosedDays!$F$4:$F$32,IF(WEEKDAY(CV27)=1,CV27+1,IF(WEEKDAY(CV27)=7,CV27+2,CV27)))+COUNTIF(ClosedDays!$J$4:$J$32,IF(WEEKDAY(CV27)=1,CV27+1,IF(WEEKDAY(CV27)=7,CV27+2,CV27)))+COUNTIF(ClosedDays!$N$4:$N$32,IF(WEEKDAY(CV27)=1,CV27+1,IF(WEEKDAY(CV27)=7,CV27+2,CV27)))</f>
        <v>44473</v>
      </c>
      <c r="CX27" s="405">
        <f>CW27+IF(WEEKDAY(CW27)=1,1,IF(WEEKDAY(CW27)=7,2,0))+COUNTIF(ClosedDays!$B$4:$B$32,IF(WEEKDAY(CW27)=1,CW27+1,IF(WEEKDAY(CW27)=7,CW27+2,CW27)))+COUNTIF(ClosedDays!$F$4:$F$32,IF(WEEKDAY(CW27)=1,CW27+1,IF(WEEKDAY(CW27)=7,CW27+2,CW27)))+COUNTIF(ClosedDays!$J$4:$J$32,IF(WEEKDAY(CW27)=1,CW27+1,IF(WEEKDAY(CW27)=7,CW27+2,CW27)))+COUNTIF(ClosedDays!$N$4:$N$32,IF(WEEKDAY(CW27)=1,CW27+1,IF(WEEKDAY(CW27)=7,CW27+2,CW27)))</f>
        <v>44473</v>
      </c>
      <c r="CY27" s="405">
        <f t="shared" si="18"/>
        <v>44473</v>
      </c>
      <c r="CZ27" s="446">
        <f>IF(AND($D27&lt;='Outline Info'!$E$33,CY27&gt;='Outline Info'!$E$33,$AC27&gt;10,$AC27&lt;9997),1,0)</f>
        <v>0</v>
      </c>
      <c r="DA27" s="405">
        <f>IF(AND($D27&lt;='Outline Info'!$E$33,CY27&gt;='Outline Info'!$E$33),CY27+'Outline Info'!$F$33-'Outline Info'!$E$33+1,CY27)</f>
        <v>44473</v>
      </c>
      <c r="DB27" s="405">
        <f>DA27+IF(WEEKDAY(DA27)=1,1,IF(WEEKDAY(DA27)=7,2,0))+COUNTIF(ClosedDays!$B$4:$B$32,IF(WEEKDAY(DA27)=1,DA27+1,IF(WEEKDAY(DA27)=7,DA27+2,DA27)))+COUNTIF(ClosedDays!$F$4:$F$32,IF(WEEKDAY(DA27)=1,DA27+1,IF(WEEKDAY(DA27)=7,DA27+2,DA27)))+COUNTIF(ClosedDays!$J$4:$J$32,IF(WEEKDAY(DA27)=1,DA27+1,IF(WEEKDAY(DA27)=7,DA27+2,DA27)))+COUNTIF(ClosedDays!$N$4:$N$32,IF(WEEKDAY(DA27)=1,DA27+1,IF(WEEKDAY(DA27)=7,DA27+2,DA27)))</f>
        <v>44473</v>
      </c>
      <c r="DC27" s="405">
        <f>DB27+IF(WEEKDAY(DB27)=1,1,IF(WEEKDAY(DB27)=7,2,0))+COUNTIF(ClosedDays!$B$4:$B$32,IF(WEEKDAY(DB27)=1,DB27+1,IF(WEEKDAY(DB27)=7,DB27+2,DB27)))+COUNTIF(ClosedDays!$F$4:$F$32,IF(WEEKDAY(DB27)=1,DB27+1,IF(WEEKDAY(DB27)=7,DB27+2,DB27)))+COUNTIF(ClosedDays!$J$4:$J$32,IF(WEEKDAY(DB27)=1,DB27+1,IF(WEEKDAY(DB27)=7,DB27+2,DB27)))+COUNTIF(ClosedDays!$N$4:$N$32,IF(WEEKDAY(DB27)=1,DB27+1,IF(WEEKDAY(DB27)=7,DB27+2,DB27)))</f>
        <v>44473</v>
      </c>
      <c r="DD27" s="405">
        <f>DC27+IF(WEEKDAY(DC27)=1,1,IF(WEEKDAY(DC27)=7,2,0))+COUNTIF(ClosedDays!$B$4:$B$32,IF(WEEKDAY(DC27)=1,DC27+1,IF(WEEKDAY(DC27)=7,DC27+2,DC27)))+COUNTIF(ClosedDays!$F$4:$F$32,IF(WEEKDAY(DC27)=1,DC27+1,IF(WEEKDAY(DC27)=7,DC27+2,DC27)))+COUNTIF(ClosedDays!$J$4:$J$32,IF(WEEKDAY(DC27)=1,DC27+1,IF(WEEKDAY(DC27)=7,DC27+2,DC27)))+COUNTIF(ClosedDays!$N$4:$N$32,IF(WEEKDAY(DC27)=1,DC27+1,IF(WEEKDAY(DC27)=7,DC27+2,DC27)))</f>
        <v>44473</v>
      </c>
      <c r="DE27" s="405">
        <f>DD27+IF(WEEKDAY(DD27)=1,1,IF(WEEKDAY(DD27)=7,2,0))+COUNTIF(ClosedDays!$B$4:$B$32,IF(WEEKDAY(DD27)=1,DD27+1,IF(WEEKDAY(DD27)=7,DD27+2,DD27)))+COUNTIF(ClosedDays!$F$4:$F$32,IF(WEEKDAY(DD27)=1,DD27+1,IF(WEEKDAY(DD27)=7,DD27+2,DD27)))+COUNTIF(ClosedDays!$J$4:$J$32,IF(WEEKDAY(DD27)=1,DD27+1,IF(WEEKDAY(DD27)=7,DD27+2,DD27)))+COUNTIF(ClosedDays!$N$4:$N$32,IF(WEEKDAY(DD27)=1,DD27+1,IF(WEEKDAY(DD27)=7,DD27+2,DD27)))</f>
        <v>44473</v>
      </c>
      <c r="DF27" s="405">
        <f>DE27+IF(WEEKDAY(DE27)=1,1,IF(WEEKDAY(DE27)=7,2,0))+COUNTIF(ClosedDays!$B$4:$B$32,IF(WEEKDAY(DE27)=1,DE27+1,IF(WEEKDAY(DE27)=7,DE27+2,DE27)))+COUNTIF(ClosedDays!$F$4:$F$32,IF(WEEKDAY(DE27)=1,DE27+1,IF(WEEKDAY(DE27)=7,DE27+2,DE27)))+COUNTIF(ClosedDays!$J$4:$J$32,IF(WEEKDAY(DE27)=1,DE27+1,IF(WEEKDAY(DE27)=7,DE27+2,DE27)))+COUNTIF(ClosedDays!$N$4:$N$32,IF(WEEKDAY(DE27)=1,DE27+1,IF(WEEKDAY(DE27)=7,DE27+2,DE27)))</f>
        <v>44473</v>
      </c>
      <c r="DG27" s="405">
        <f>DF27+IF(WEEKDAY(DF27)=1,1,IF(WEEKDAY(DF27)=7,2,0))+COUNTIF(ClosedDays!$B$4:$B$32,IF(WEEKDAY(DF27)=1,DF27+1,IF(WEEKDAY(DF27)=7,DF27+2,DF27)))+COUNTIF(ClosedDays!$F$4:$F$32,IF(WEEKDAY(DF27)=1,DF27+1,IF(WEEKDAY(DF27)=7,DF27+2,DF27)))+COUNTIF(ClosedDays!$J$4:$J$32,IF(WEEKDAY(DF27)=1,DF27+1,IF(WEEKDAY(DF27)=7,DF27+2,DF27)))+COUNTIF(ClosedDays!$N$4:$N$32,IF(WEEKDAY(DF27)=1,DF27+1,IF(WEEKDAY(DF27)=7,DF27+2,DF27)))</f>
        <v>44473</v>
      </c>
      <c r="DH27" s="405">
        <f>DG27+IF(WEEKDAY(DG27)=1,1,IF(WEEKDAY(DG27)=7,2,0))+COUNTIF(ClosedDays!$B$4:$B$32,IF(WEEKDAY(DG27)=1,DG27+1,IF(WEEKDAY(DG27)=7,DG27+2,DG27)))+COUNTIF(ClosedDays!$F$4:$F$32,IF(WEEKDAY(DG27)=1,DG27+1,IF(WEEKDAY(DG27)=7,DG27+2,DG27)))+COUNTIF(ClosedDays!$J$4:$J$32,IF(WEEKDAY(DG27)=1,DG27+1,IF(WEEKDAY(DG27)=7,DG27+2,DG27)))+COUNTIF(ClosedDays!$N$4:$N$32,IF(WEEKDAY(DG27)=1,DG27+1,IF(WEEKDAY(DG27)=7,DG27+2,DG27)))</f>
        <v>44473</v>
      </c>
      <c r="DI27" s="405">
        <f>DH27+IF(WEEKDAY(DH27)=1,1,IF(WEEKDAY(DH27)=7,2,0))+COUNTIF(ClosedDays!$B$4:$B$32,IF(WEEKDAY(DH27)=1,DH27+1,IF(WEEKDAY(DH27)=7,DH27+2,DH27)))+COUNTIF(ClosedDays!$F$4:$F$32,IF(WEEKDAY(DH27)=1,DH27+1,IF(WEEKDAY(DH27)=7,DH27+2,DH27)))+COUNTIF(ClosedDays!$J$4:$J$32,IF(WEEKDAY(DH27)=1,DH27+1,IF(WEEKDAY(DH27)=7,DH27+2,DH27)))+COUNTIF(ClosedDays!$N$4:$N$32,IF(WEEKDAY(DH27)=1,DH27+1,IF(WEEKDAY(DH27)=7,DH27+2,DH27)))</f>
        <v>44473</v>
      </c>
      <c r="DJ27" s="405">
        <f>DI27+IF(WEEKDAY(DI27)=1,1,IF(WEEKDAY(DI27)=7,2,0))+COUNTIF(ClosedDays!$B$4:$B$32,IF(WEEKDAY(DI27)=1,DI27+1,IF(WEEKDAY(DI27)=7,DI27+2,DI27)))+COUNTIF(ClosedDays!$F$4:$F$32,IF(WEEKDAY(DI27)=1,DI27+1,IF(WEEKDAY(DI27)=7,DI27+2,DI27)))+COUNTIF(ClosedDays!$J$4:$J$32,IF(WEEKDAY(DI27)=1,DI27+1,IF(WEEKDAY(DI27)=7,DI27+2,DI27)))+COUNTIF(ClosedDays!$N$4:$N$32,IF(WEEKDAY(DI27)=1,DI27+1,IF(WEEKDAY(DI27)=7,DI27+2,DI27)))</f>
        <v>44473</v>
      </c>
      <c r="DK27" s="405">
        <f>DJ27+IF(WEEKDAY(DJ27)=1,1,IF(WEEKDAY(DJ27)=7,2,0))+COUNTIF(ClosedDays!$B$4:$B$32,IF(WEEKDAY(DJ27)=1,DJ27+1,IF(WEEKDAY(DJ27)=7,DJ27+2,DJ27)))+COUNTIF(ClosedDays!$F$4:$F$32,IF(WEEKDAY(DJ27)=1,DJ27+1,IF(WEEKDAY(DJ27)=7,DJ27+2,DJ27)))+COUNTIF(ClosedDays!$J$4:$J$32,IF(WEEKDAY(DJ27)=1,DJ27+1,IF(WEEKDAY(DJ27)=7,DJ27+2,DJ27)))+COUNTIF(ClosedDays!$N$4:$N$32,IF(WEEKDAY(DJ27)=1,DJ27+1,IF(WEEKDAY(DJ27)=7,DJ27+2,DJ27)))</f>
        <v>44473</v>
      </c>
      <c r="DL27" s="405">
        <f>DK27+IF(WEEKDAY(DK27)=1,1,IF(WEEKDAY(DK27)=7,2,0))+COUNTIF(ClosedDays!$B$4:$B$32,IF(WEEKDAY(DK27)=1,DK27+1,IF(WEEKDAY(DK27)=7,DK27+2,DK27)))+COUNTIF(ClosedDays!$F$4:$F$32,IF(WEEKDAY(DK27)=1,DK27+1,IF(WEEKDAY(DK27)=7,DK27+2,DK27)))+COUNTIF(ClosedDays!$J$4:$J$32,IF(WEEKDAY(DK27)=1,DK27+1,IF(WEEKDAY(DK27)=7,DK27+2,DK27)))+COUNTIF(ClosedDays!$N$4:$N$32,IF(WEEKDAY(DK27)=1,DK27+1,IF(WEEKDAY(DK27)=7,DK27+2,DK27)))</f>
        <v>44473</v>
      </c>
      <c r="DM27" s="405">
        <f>DL27+IF(WEEKDAY(DL27)=1,1,IF(WEEKDAY(DL27)=7,2,0))+COUNTIF(ClosedDays!$B$4:$B$32,IF(WEEKDAY(DL27)=1,DL27+1,IF(WEEKDAY(DL27)=7,DL27+2,DL27)))+COUNTIF(ClosedDays!$F$4:$F$32,IF(WEEKDAY(DL27)=1,DL27+1,IF(WEEKDAY(DL27)=7,DL27+2,DL27)))+COUNTIF(ClosedDays!$J$4:$J$32,IF(WEEKDAY(DL27)=1,DL27+1,IF(WEEKDAY(DL27)=7,DL27+2,DL27)))+COUNTIF(ClosedDays!$N$4:$N$32,IF(WEEKDAY(DL27)=1,DL27+1,IF(WEEKDAY(DL27)=7,DL27+2,DL27)))</f>
        <v>44473</v>
      </c>
      <c r="DN27" s="405">
        <f>DM27+IF(WEEKDAY(DM27)=1,1,IF(WEEKDAY(DM27)=7,2,0))+COUNTIF(ClosedDays!$B$4:$B$32,IF(WEEKDAY(DM27)=1,DM27+1,IF(WEEKDAY(DM27)=7,DM27+2,DM27)))+COUNTIF(ClosedDays!$F$4:$F$32,IF(WEEKDAY(DM27)=1,DM27+1,IF(WEEKDAY(DM27)=7,DM27+2,DM27)))+COUNTIF(ClosedDays!$J$4:$J$32,IF(WEEKDAY(DM27)=1,DM27+1,IF(WEEKDAY(DM27)=7,DM27+2,DM27)))+COUNTIF(ClosedDays!$N$4:$N$32,IF(WEEKDAY(DM27)=1,DM27+1,IF(WEEKDAY(DM27)=7,DM27+2,DM27)))</f>
        <v>44473</v>
      </c>
      <c r="DO27" s="405">
        <f>DN27+IF(WEEKDAY(DN27)=1,1,IF(WEEKDAY(DN27)=7,2,0))+COUNTIF(ClosedDays!$B$4:$B$32,IF(WEEKDAY(DN27)=1,DN27+1,IF(WEEKDAY(DN27)=7,DN27+2,DN27)))+COUNTIF(ClosedDays!$F$4:$F$32,IF(WEEKDAY(DN27)=1,DN27+1,IF(WEEKDAY(DN27)=7,DN27+2,DN27)))+COUNTIF(ClosedDays!$J$4:$J$32,IF(WEEKDAY(DN27)=1,DN27+1,IF(WEEKDAY(DN27)=7,DN27+2,DN27)))+COUNTIF(ClosedDays!$N$4:$N$32,IF(WEEKDAY(DN27)=1,DN27+1,IF(WEEKDAY(DN27)=7,DN27+2,DN27)))</f>
        <v>44473</v>
      </c>
      <c r="DP27" s="405">
        <f t="shared" si="23"/>
        <v>44473</v>
      </c>
      <c r="DQ27" s="405">
        <f t="shared" si="20"/>
        <v>44473</v>
      </c>
      <c r="DR27" s="394">
        <f t="shared" si="19"/>
        <v>1</v>
      </c>
      <c r="DS27" s="394">
        <f>IF(AND(DR27=1,COUNTIF(DS$7:DS26,1)&lt;12,VLOOKUP(COUNTIF(DS$7:DS26,1)+1,'Outline Info'!$A$21:$C$32,2)&lt;=I27),1,0)</f>
        <v>0</v>
      </c>
      <c r="DT27" s="405" t="str">
        <f>IF(DS27=1,IF(VLOOKUP(COUNTIF(DS$7:DS27,1),'Outline Info'!$A$21:$C$32,2)=0,"",VLOOKUP(COUNTIF(DS$7:DS27,1),'Outline Info'!$A$21:$C$32,2)),"")</f>
        <v/>
      </c>
      <c r="DU27" s="447">
        <f>IF(DS27=1,VLOOKUP(COUNTIF(DS$7:DS27,1),'Outline Info'!$A$21:$C$32,3),0)</f>
        <v>0</v>
      </c>
      <c r="DV27" s="445">
        <f>IF('Outline Info'!$B$8="Y",IF(B27="*",'Outline Info'!$B$19,IF(OR($A27="",B27="X",B27="x"),0,VLOOKUP($A27,'Course Table'!$A$2:$J$331,4,TRUE))),0)</f>
        <v>0</v>
      </c>
      <c r="DW27" s="447">
        <f t="shared" si="6"/>
        <v>0</v>
      </c>
      <c r="DX27" s="447">
        <f>IF('Outline Info'!$B$8="Y",$DV27,$DW27)</f>
        <v>0</v>
      </c>
      <c r="DY27" s="394"/>
      <c r="DZ27" s="934"/>
      <c r="EA27" s="934"/>
      <c r="EB27" s="394"/>
      <c r="EC27" s="394"/>
      <c r="ED27" s="394"/>
    </row>
    <row r="28" spans="1:134" s="400" customFormat="1" ht="20.100000000000001" customHeight="1">
      <c r="A28" s="874" t="str">
        <f t="shared" si="7"/>
        <v/>
      </c>
      <c r="B28" s="876" t="str">
        <f t="shared" si="8"/>
        <v/>
      </c>
      <c r="C28" s="878" t="str">
        <f t="shared" si="9"/>
        <v/>
      </c>
      <c r="D28" s="463">
        <f>IF(NOT(ISBLANK(DZ28)),DZ28,IF(AND($AC28=9998,'Outline Info'!$H$33&gt;='Outline Info'!$B$6,'Outline Info'!$H$33&lt;='Outline Info'!$C$6),'Outline Info'!$H$33,IF(AND($AC28=9997,'Outline Info'!$H$31&gt;='Outline Info'!$B$6,'Outline Info'!$H$31&lt;='Outline Info'!$C$6),'Outline Info'!$H$31,IF(AE28="*",DQ27,IF(OR(AE28="x",AE28="X"),I27,IF(AND(AC28&gt;6,AC27&lt;6),DQ27,IF(AND($AC28=9998,$AC27=9997),I26,I27)))))))</f>
        <v>44470</v>
      </c>
      <c r="E28" s="1286"/>
      <c r="F28" s="1287"/>
      <c r="G28" s="1282"/>
      <c r="H28" s="1283"/>
      <c r="I28" s="464">
        <f>IF(AND($AC28=9998,'Outline Info'!$I$33&gt;='Outline Info'!$B$6,'Outline Info'!$I$33&lt;='Outline Info'!$C$6),'Outline Info'!$I$33,IF(AND($AC28=9997,'Outline Info'!$I$31&gt;='Outline Info'!$B$6,'Outline Info'!$I$31&lt;='Outline Info'!$C$6),'Outline Info'!$I$31,IF(DP28&gt;$V$4,$V$4,DP28)))</f>
        <v>44470</v>
      </c>
      <c r="J28" s="436"/>
      <c r="K28" s="437"/>
      <c r="L28" s="438"/>
      <c r="M28" s="438"/>
      <c r="N28" s="435"/>
      <c r="O28" s="435"/>
      <c r="P28" s="438"/>
      <c r="Q28" s="438"/>
      <c r="R28" s="439"/>
      <c r="S28" s="872">
        <f>IF($V$5-SUM($DX$7:$DX28)&lt;0,IF($V$5-SUM($DX$7:$DX27)&lt;0,0,$V$5-SUM($DX$7:$DX27)),DX28)</f>
        <v>0</v>
      </c>
      <c r="T28" s="440" t="str">
        <f>IF(S28&gt;0,IF('Outline Info'!$B$8="Y",D28,DT28),"")</f>
        <v/>
      </c>
      <c r="U28" s="441"/>
      <c r="V28" s="442"/>
      <c r="W28" s="870" t="str">
        <f>IF('Outline Info'!$C$33&gt;0,ROUND(IF('Outline Info'!$B$8="Y",SUM(S$7:S28)-SUM(AJ$7:AJ28)-'Outline Info'!$B$14-'Outline Info'!$B$15-'Outline Info'!$B$17,IF(AL28=0,SUM(S$7:S28)-SUM(AK$7:AK28)-SUM(AP28:AS28)-'Outline Info'!$B$14-'Outline Info'!$B$15-'Outline Info'!$B$17,0)),0),IF('Outline Info'!$T$4&lt;&gt;1,"",IF(OR(AD28="",AL28=1),"",SUM(AK$7:AK28)+SUM(AP28:AS28)+'Outline Info'!$B$14+'Outline Info'!$B$15+'Outline Info'!$B$17)))</f>
        <v/>
      </c>
      <c r="X28" s="448"/>
      <c r="Y28" s="443">
        <f>IF(OR(AE28="X",AE28="x",AE28="*",AC28=99999),0,IF(AC28&lt;50,0,IF($S$4-SUM($Y$7:$Y27)&gt;0,1,0)))</f>
        <v>0</v>
      </c>
      <c r="Z28" s="444">
        <f>IF(AC28&lt;99999,IF(AE28="*",AH28,IF(OR(AE28="x",AE28="X",AC28&lt;10),0,IF(AND(AC28&lt;&gt;9998,AC28&lt;&gt;9997),IF(AM28=1,(AH28+$AM$5)*(1+('Outline Info'!$B$16)),IF(AN28=1,(AH28+$AN$5)*(1+('Outline Info'!$B$16)),0)),AH28))),0)</f>
        <v>0</v>
      </c>
      <c r="AA28" s="395">
        <f>Z28/'Outline Info'!$C$11+Y28</f>
        <v>0</v>
      </c>
      <c r="AB28" s="395">
        <f>ROUND(AA28/'Outline Info'!$B$11*7,0)</f>
        <v>0</v>
      </c>
      <c r="AC28" s="445">
        <f>IF($AD28&lt;&gt;"",VLOOKUP($AD28,'Course Table'!$A$2:$J$331,10,TRUE),99999)</f>
        <v>99999</v>
      </c>
      <c r="AD28" s="394"/>
      <c r="AE28" s="394"/>
      <c r="AF28" s="394"/>
      <c r="AG28" s="394"/>
      <c r="AH28" s="394"/>
      <c r="AI28" s="394">
        <v>799</v>
      </c>
      <c r="AJ28" s="394">
        <v>799</v>
      </c>
      <c r="AK28" s="394">
        <f t="shared" si="10"/>
        <v>799</v>
      </c>
      <c r="AL28" s="394">
        <f t="shared" si="11"/>
        <v>0</v>
      </c>
      <c r="AM28" s="394">
        <f t="shared" si="12"/>
        <v>0</v>
      </c>
      <c r="AN28" s="394">
        <f t="shared" si="13"/>
        <v>0</v>
      </c>
      <c r="AO28" s="394">
        <f>IF(AN28=1,SUMPRODUCT($AJ$7:$AJ28,$AN$7:$AN28),0)</f>
        <v>0</v>
      </c>
      <c r="AP28" s="394">
        <f t="shared" si="14"/>
        <v>0</v>
      </c>
      <c r="AQ28" s="394">
        <f t="shared" si="14"/>
        <v>0</v>
      </c>
      <c r="AR28" s="394">
        <f t="shared" si="14"/>
        <v>0</v>
      </c>
      <c r="AS28" s="394">
        <f t="shared" si="14"/>
        <v>0</v>
      </c>
      <c r="AT28" s="394">
        <f t="shared" si="15"/>
        <v>0</v>
      </c>
      <c r="AU28" s="394">
        <f t="shared" si="15"/>
        <v>0</v>
      </c>
      <c r="AV28" s="394">
        <f t="shared" si="15"/>
        <v>0</v>
      </c>
      <c r="AW28" s="394">
        <f t="shared" si="15"/>
        <v>0</v>
      </c>
      <c r="AX28" s="394">
        <f t="shared" si="1"/>
        <v>0</v>
      </c>
      <c r="AY28" s="394">
        <f t="shared" si="2"/>
        <v>0</v>
      </c>
      <c r="AZ28" s="394">
        <f t="shared" si="3"/>
        <v>0</v>
      </c>
      <c r="BA28" s="394">
        <f t="shared" si="4"/>
        <v>0</v>
      </c>
      <c r="BB28" s="405">
        <f t="shared" si="22"/>
        <v>44473</v>
      </c>
      <c r="BC28" s="405">
        <f>BB28+IF(WEEKDAY(BB28)=1,1,IF(WEEKDAY(BB28)=7,2,0))+COUNTIF(ClosedDays!$B$4:$B$32,IF(WEEKDAY(BB28)=1,BB28+1,IF(WEEKDAY(BB28)=7,BB28+2,BB28)))+COUNTIF(ClosedDays!$F$4:$F$32,IF(WEEKDAY(BB28)=1,BB28+1,IF(WEEKDAY(BB28)=7,BB28+2,BB28)))+COUNTIF(ClosedDays!$J$4:$J$32,IF(WEEKDAY(BB28)=1,BB28+1,IF(WEEKDAY(BB28)=7,BB28+2,BB28)))+COUNTIF(ClosedDays!$N$4:$N$32,IF(WEEKDAY(BB28)=1,BB28+1,IF(WEEKDAY(BB28)=7,BB28+2,BB28)))</f>
        <v>44473</v>
      </c>
      <c r="BD28" s="405">
        <f>BC28+IF(WEEKDAY(BC28)=1,1,IF(WEEKDAY(BC28)=7,2,0))+COUNTIF(ClosedDays!$B$4:$B$32,IF(WEEKDAY(BC28)=1,BC28+1,IF(WEEKDAY(BC28)=7,BC28+2,BC28)))+COUNTIF(ClosedDays!$F$4:$F$32,IF(WEEKDAY(BC28)=1,BC28+1,IF(WEEKDAY(BC28)=7,BC28+2,BC28)))+COUNTIF(ClosedDays!$J$4:$J$32,IF(WEEKDAY(BC28)=1,BC28+1,IF(WEEKDAY(BC28)=7,BC28+2,BC28)))+COUNTIF(ClosedDays!$N$4:$N$32,IF(WEEKDAY(BC28)=1,BC28+1,IF(WEEKDAY(BC28)=7,BC28+2,BC28)))</f>
        <v>44473</v>
      </c>
      <c r="BE28" s="405">
        <f>BD28+IF(WEEKDAY(BD28)=1,1,IF(WEEKDAY(BD28)=7,2,0))+COUNTIF(ClosedDays!$B$4:$B$32,IF(WEEKDAY(BD28)=1,BD28+1,IF(WEEKDAY(BD28)=7,BD28+2,BD28)))+COUNTIF(ClosedDays!$F$4:$F$32,IF(WEEKDAY(BD28)=1,BD28+1,IF(WEEKDAY(BD28)=7,BD28+2,BD28)))+COUNTIF(ClosedDays!$J$4:$J$32,IF(WEEKDAY(BD28)=1,BD28+1,IF(WEEKDAY(BD28)=7,BD28+2,BD28)))+COUNTIF(ClosedDays!$N$4:$N$32,IF(WEEKDAY(BD28)=1,BD28+1,IF(WEEKDAY(BD28)=7,BD28+2,BD28)))</f>
        <v>44473</v>
      </c>
      <c r="BF28" s="405">
        <f>BE28+IF(WEEKDAY(BE28)=1,1,IF(WEEKDAY(BE28)=7,2,0))+COUNTIF(ClosedDays!$B$4:$B$32,IF(WEEKDAY(BE28)=1,BE28+1,IF(WEEKDAY(BE28)=7,BE28+2,BE28)))+COUNTIF(ClosedDays!$F$4:$F$32,IF(WEEKDAY(BE28)=1,BE28+1,IF(WEEKDAY(BE28)=7,BE28+2,BE28)))+COUNTIF(ClosedDays!$J$4:$J$32,IF(WEEKDAY(BE28)=1,BE28+1,IF(WEEKDAY(BE28)=7,BE28+2,BE28)))+COUNTIF(ClosedDays!$N$4:$N$32,IF(WEEKDAY(BE28)=1,BE28+1,IF(WEEKDAY(BE28)=7,BE28+2,BE28)))</f>
        <v>44473</v>
      </c>
      <c r="BG28" s="405">
        <f>BF28+IF(WEEKDAY(BF28)=1,1,IF(WEEKDAY(BF28)=7,2,0))+COUNTIF(ClosedDays!$B$4:$B$32,IF(WEEKDAY(BF28)=1,BF28+1,IF(WEEKDAY(BF28)=7,BF28+2,BF28)))+COUNTIF(ClosedDays!$F$4:$F$32,IF(WEEKDAY(BF28)=1,BF28+1,IF(WEEKDAY(BF28)=7,BF28+2,BF28)))+COUNTIF(ClosedDays!$J$4:$J$32,IF(WEEKDAY(BF28)=1,BF28+1,IF(WEEKDAY(BF28)=7,BF28+2,BF28)))+COUNTIF(ClosedDays!$N$4:$N$32,IF(WEEKDAY(BF28)=1,BF28+1,IF(WEEKDAY(BF28)=7,BF28+2,BF28)))</f>
        <v>44473</v>
      </c>
      <c r="BH28" s="405">
        <f>BG28+IF(WEEKDAY(BG28)=1,1,IF(WEEKDAY(BG28)=7,2,0))+COUNTIF(ClosedDays!$B$4:$B$32,IF(WEEKDAY(BG28)=1,BG28+1,IF(WEEKDAY(BG28)=7,BG28+2,BG28)))+COUNTIF(ClosedDays!$F$4:$F$32,IF(WEEKDAY(BG28)=1,BG28+1,IF(WEEKDAY(BG28)=7,BG28+2,BG28)))+COUNTIF(ClosedDays!$J$4:$J$32,IF(WEEKDAY(BG28)=1,BG28+1,IF(WEEKDAY(BG28)=7,BG28+2,BG28)))+COUNTIF(ClosedDays!$N$4:$N$32,IF(WEEKDAY(BG28)=1,BG28+1,IF(WEEKDAY(BG28)=7,BG28+2,BG28)))</f>
        <v>44473</v>
      </c>
      <c r="BI28" s="405">
        <f>BH28+IF(WEEKDAY(BH28)=1,1,IF(WEEKDAY(BH28)=7,2,0))+COUNTIF(ClosedDays!$B$4:$B$32,IF(WEEKDAY(BH28)=1,BH28+1,IF(WEEKDAY(BH28)=7,BH28+2,BH28)))+COUNTIF(ClosedDays!$F$4:$F$32,IF(WEEKDAY(BH28)=1,BH28+1,IF(WEEKDAY(BH28)=7,BH28+2,BH28)))+COUNTIF(ClosedDays!$J$4:$J$32,IF(WEEKDAY(BH28)=1,BH28+1,IF(WEEKDAY(BH28)=7,BH28+2,BH28)))+COUNTIF(ClosedDays!$N$4:$N$32,IF(WEEKDAY(BH28)=1,BH28+1,IF(WEEKDAY(BH28)=7,BH28+2,BH28)))</f>
        <v>44473</v>
      </c>
      <c r="BJ28" s="405">
        <f>BI28+IF(WEEKDAY(BI28)=1,1,IF(WEEKDAY(BI28)=7,2,0))+COUNTIF(ClosedDays!$B$4:$B$32,IF(WEEKDAY(BI28)=1,BI28+1,IF(WEEKDAY(BI28)=7,BI28+2,BI28)))+COUNTIF(ClosedDays!$F$4:$F$32,IF(WEEKDAY(BI28)=1,BI28+1,IF(WEEKDAY(BI28)=7,BI28+2,BI28)))+COUNTIF(ClosedDays!$J$4:$J$32,IF(WEEKDAY(BI28)=1,BI28+1,IF(WEEKDAY(BI28)=7,BI28+2,BI28)))+COUNTIF(ClosedDays!$N$4:$N$32,IF(WEEKDAY(BI28)=1,BI28+1,IF(WEEKDAY(BI28)=7,BI28+2,BI28)))</f>
        <v>44473</v>
      </c>
      <c r="BK28" s="405">
        <f>BJ28+IF(WEEKDAY(BJ28)=1,1,IF(WEEKDAY(BJ28)=7,2,0))+COUNTIF(ClosedDays!$B$4:$B$32,IF(WEEKDAY(BJ28)=1,BJ28+1,IF(WEEKDAY(BJ28)=7,BJ28+2,BJ28)))+COUNTIF(ClosedDays!$F$4:$F$32,IF(WEEKDAY(BJ28)=1,BJ28+1,IF(WEEKDAY(BJ28)=7,BJ28+2,BJ28)))+COUNTIF(ClosedDays!$J$4:$J$32,IF(WEEKDAY(BJ28)=1,BJ28+1,IF(WEEKDAY(BJ28)=7,BJ28+2,BJ28)))+COUNTIF(ClosedDays!$N$4:$N$32,IF(WEEKDAY(BJ28)=1,BJ28+1,IF(WEEKDAY(BJ28)=7,BJ28+2,BJ28)))</f>
        <v>44473</v>
      </c>
      <c r="BL28" s="405">
        <f>BK28+IF(WEEKDAY(BK28)=1,1,IF(WEEKDAY(BK28)=7,2,0))+COUNTIF(ClosedDays!$B$4:$B$32,IF(WEEKDAY(BK28)=1,BK28+1,IF(WEEKDAY(BK28)=7,BK28+2,BK28)))+COUNTIF(ClosedDays!$F$4:$F$32,IF(WEEKDAY(BK28)=1,BK28+1,IF(WEEKDAY(BK28)=7,BK28+2,BK28)))+COUNTIF(ClosedDays!$J$4:$J$32,IF(WEEKDAY(BK28)=1,BK28+1,IF(WEEKDAY(BK28)=7,BK28+2,BK28)))+COUNTIF(ClosedDays!$N$4:$N$32,IF(WEEKDAY(BK28)=1,BK28+1,IF(WEEKDAY(BK28)=7,BK28+2,BK28)))</f>
        <v>44473</v>
      </c>
      <c r="BM28" s="405">
        <f>BL28+IF(WEEKDAY(BL28)=1,1,IF(WEEKDAY(BL28)=7,2,0))+COUNTIF(ClosedDays!$B$4:$B$32,IF(WEEKDAY(BL28)=1,BL28+1,IF(WEEKDAY(BL28)=7,BL28+2,BL28)))+COUNTIF(ClosedDays!$F$4:$F$32,IF(WEEKDAY(BL28)=1,BL28+1,IF(WEEKDAY(BL28)=7,BL28+2,BL28)))+COUNTIF(ClosedDays!$J$4:$J$32,IF(WEEKDAY(BL28)=1,BL28+1,IF(WEEKDAY(BL28)=7,BL28+2,BL28)))+COUNTIF(ClosedDays!$N$4:$N$32,IF(WEEKDAY(BL28)=1,BL28+1,IF(WEEKDAY(BL28)=7,BL28+2,BL28)))</f>
        <v>44473</v>
      </c>
      <c r="BN28" s="405">
        <f>BM28+IF(WEEKDAY(BM28)=1,1,IF(WEEKDAY(BM28)=7,2,0))+COUNTIF(ClosedDays!$B$4:$B$32,IF(WEEKDAY(BM28)=1,BM28+1,IF(WEEKDAY(BM28)=7,BM28+2,BM28)))+COUNTIF(ClosedDays!$F$4:$F$32,IF(WEEKDAY(BM28)=1,BM28+1,IF(WEEKDAY(BM28)=7,BM28+2,BM28)))+COUNTIF(ClosedDays!$J$4:$J$32,IF(WEEKDAY(BM28)=1,BM28+1,IF(WEEKDAY(BM28)=7,BM28+2,BM28)))+COUNTIF(ClosedDays!$N$4:$N$32,IF(WEEKDAY(BM28)=1,BM28+1,IF(WEEKDAY(BM28)=7,BM28+2,BM28)))</f>
        <v>44473</v>
      </c>
      <c r="BO28" s="405">
        <f>BN28+IF(WEEKDAY(BN28)=1,1,IF(WEEKDAY(BN28)=7,2,0))+COUNTIF(ClosedDays!$B$4:$B$32,IF(WEEKDAY(BN28)=1,BN28+1,IF(WEEKDAY(BN28)=7,BN28+2,BN28)))+COUNTIF(ClosedDays!$F$4:$F$32,IF(WEEKDAY(BN28)=1,BN28+1,IF(WEEKDAY(BN28)=7,BN28+2,BN28)))+COUNTIF(ClosedDays!$J$4:$J$32,IF(WEEKDAY(BN28)=1,BN28+1,IF(WEEKDAY(BN28)=7,BN28+2,BN28)))+COUNTIF(ClosedDays!$N$4:$N$32,IF(WEEKDAY(BN28)=1,BN28+1,IF(WEEKDAY(BN28)=7,BN28+2,BN28)))</f>
        <v>44473</v>
      </c>
      <c r="BP28" s="405">
        <f>BO28+IF(WEEKDAY(BO28)=1,1,IF(WEEKDAY(BO28)=7,2,0))+COUNTIF(ClosedDays!$B$4:$B$32,IF(WEEKDAY(BO28)=1,BO28+1,IF(WEEKDAY(BO28)=7,BO28+2,BO28)))+COUNTIF(ClosedDays!$F$4:$F$32,IF(WEEKDAY(BO28)=1,BO28+1,IF(WEEKDAY(BO28)=7,BO28+2,BO28)))+COUNTIF(ClosedDays!$J$4:$J$32,IF(WEEKDAY(BO28)=1,BO28+1,IF(WEEKDAY(BO28)=7,BO28+2,BO28)))+COUNTIF(ClosedDays!$N$4:$N$32,IF(WEEKDAY(BO28)=1,BO28+1,IF(WEEKDAY(BO28)=7,BO28+2,BO28)))</f>
        <v>44473</v>
      </c>
      <c r="BQ28" s="405">
        <f t="shared" si="16"/>
        <v>44473</v>
      </c>
      <c r="BR28" s="446">
        <f>IF(AND($D28&lt;='Outline Info'!$H$31,BQ28&gt;='Outline Info'!$H$31,$BS$4=1,$AC28&gt;10,$AC28&lt;9997),1,0)</f>
        <v>0</v>
      </c>
      <c r="BS28" s="405">
        <f>IF(BR28=1,BQ28+'Outline Info'!$I$31-'Outline Info'!$H$31+1,BQ28)</f>
        <v>44473</v>
      </c>
      <c r="BT28" s="405">
        <f>BS28+IF(WEEKDAY(BS28)=1,1,IF(WEEKDAY(BS28)=7,2,0))+COUNTIF(ClosedDays!$B$4:$B$32,IF(WEEKDAY(BS28)=1,BS28+1,IF(WEEKDAY(BS28)=7,BS28+2,BS28)))+COUNTIF(ClosedDays!$F$4:$F$32,IF(WEEKDAY(BS28)=1,BS28+1,IF(WEEKDAY(BS28)=7,BS28+2,BS28)))+COUNTIF(ClosedDays!$J$4:$J$32,IF(WEEKDAY(BS28)=1,BS28+1,IF(WEEKDAY(BS28)=7,BS28+2,BS28)))+COUNTIF(ClosedDays!$N$4:$N$32,IF(WEEKDAY(BS28)=1,BS28+1,IF(WEEKDAY(BS28)=7,BS28+2,BS28)))</f>
        <v>44473</v>
      </c>
      <c r="BU28" s="405">
        <f>BT28+IF(WEEKDAY(BT28)=1,1,IF(WEEKDAY(BT28)=7,2,0))+COUNTIF(ClosedDays!$B$4:$B$32,IF(WEEKDAY(BT28)=1,BT28+1,IF(WEEKDAY(BT28)=7,BT28+2,BT28)))+COUNTIF(ClosedDays!$F$4:$F$32,IF(WEEKDAY(BT28)=1,BT28+1,IF(WEEKDAY(BT28)=7,BT28+2,BT28)))+COUNTIF(ClosedDays!$J$4:$J$32,IF(WEEKDAY(BT28)=1,BT28+1,IF(WEEKDAY(BT28)=7,BT28+2,BT28)))+COUNTIF(ClosedDays!$N$4:$N$32,IF(WEEKDAY(BT28)=1,BT28+1,IF(WEEKDAY(BT28)=7,BT28+2,BT28)))</f>
        <v>44473</v>
      </c>
      <c r="BV28" s="405">
        <f>BU28+IF(WEEKDAY(BU28)=1,1,IF(WEEKDAY(BU28)=7,2,0))+COUNTIF(ClosedDays!$B$4:$B$32,IF(WEEKDAY(BU28)=1,BU28+1,IF(WEEKDAY(BU28)=7,BU28+2,BU28)))+COUNTIF(ClosedDays!$F$4:$F$32,IF(WEEKDAY(BU28)=1,BU28+1,IF(WEEKDAY(BU28)=7,BU28+2,BU28)))+COUNTIF(ClosedDays!$J$4:$J$32,IF(WEEKDAY(BU28)=1,BU28+1,IF(WEEKDAY(BU28)=7,BU28+2,BU28)))+COUNTIF(ClosedDays!$N$4:$N$32,IF(WEEKDAY(BU28)=1,BU28+1,IF(WEEKDAY(BU28)=7,BU28+2,BU28)))</f>
        <v>44473</v>
      </c>
      <c r="BW28" s="405">
        <f>BV28+IF(WEEKDAY(BV28)=1,1,IF(WEEKDAY(BV28)=7,2,0))+COUNTIF(ClosedDays!$B$4:$B$32,IF(WEEKDAY(BV28)=1,BV28+1,IF(WEEKDAY(BV28)=7,BV28+2,BV28)))+COUNTIF(ClosedDays!$F$4:$F$32,IF(WEEKDAY(BV28)=1,BV28+1,IF(WEEKDAY(BV28)=7,BV28+2,BV28)))+COUNTIF(ClosedDays!$J$4:$J$32,IF(WEEKDAY(BV28)=1,BV28+1,IF(WEEKDAY(BV28)=7,BV28+2,BV28)))+COUNTIF(ClosedDays!$N$4:$N$32,IF(WEEKDAY(BV28)=1,BV28+1,IF(WEEKDAY(BV28)=7,BV28+2,BV28)))</f>
        <v>44473</v>
      </c>
      <c r="BX28" s="405">
        <f>BW28+IF(WEEKDAY(BW28)=1,1,IF(WEEKDAY(BW28)=7,2,0))+COUNTIF(ClosedDays!$B$4:$B$32,IF(WEEKDAY(BW28)=1,BW28+1,IF(WEEKDAY(BW28)=7,BW28+2,BW28)))+COUNTIF(ClosedDays!$F$4:$F$32,IF(WEEKDAY(BW28)=1,BW28+1,IF(WEEKDAY(BW28)=7,BW28+2,BW28)))+COUNTIF(ClosedDays!$J$4:$J$32,IF(WEEKDAY(BW28)=1,BW28+1,IF(WEEKDAY(BW28)=7,BW28+2,BW28)))+COUNTIF(ClosedDays!$N$4:$N$32,IF(WEEKDAY(BW28)=1,BW28+1,IF(WEEKDAY(BW28)=7,BW28+2,BW28)))</f>
        <v>44473</v>
      </c>
      <c r="BY28" s="405">
        <f>BX28+IF(WEEKDAY(BX28)=1,1,IF(WEEKDAY(BX28)=7,2,0))+COUNTIF(ClosedDays!$B$4:$B$32,IF(WEEKDAY(BX28)=1,BX28+1,IF(WEEKDAY(BX28)=7,BX28+2,BX28)))+COUNTIF(ClosedDays!$F$4:$F$32,IF(WEEKDAY(BX28)=1,BX28+1,IF(WEEKDAY(BX28)=7,BX28+2,BX28)))+COUNTIF(ClosedDays!$J$4:$J$32,IF(WEEKDAY(BX28)=1,BX28+1,IF(WEEKDAY(BX28)=7,BX28+2,BX28)))+COUNTIF(ClosedDays!$N$4:$N$32,IF(WEEKDAY(BX28)=1,BX28+1,IF(WEEKDAY(BX28)=7,BX28+2,BX28)))</f>
        <v>44473</v>
      </c>
      <c r="BZ28" s="405">
        <f>BY28+IF(WEEKDAY(BY28)=1,1,IF(WEEKDAY(BY28)=7,2,0))+COUNTIF(ClosedDays!$B$4:$B$32,IF(WEEKDAY(BY28)=1,BY28+1,IF(WEEKDAY(BY28)=7,BY28+2,BY28)))+COUNTIF(ClosedDays!$F$4:$F$32,IF(WEEKDAY(BY28)=1,BY28+1,IF(WEEKDAY(BY28)=7,BY28+2,BY28)))+COUNTIF(ClosedDays!$J$4:$J$32,IF(WEEKDAY(BY28)=1,BY28+1,IF(WEEKDAY(BY28)=7,BY28+2,BY28)))+COUNTIF(ClosedDays!$N$4:$N$32,IF(WEEKDAY(BY28)=1,BY28+1,IF(WEEKDAY(BY28)=7,BY28+2,BY28)))</f>
        <v>44473</v>
      </c>
      <c r="CA28" s="405">
        <f>BZ28+IF(WEEKDAY(BZ28)=1,1,IF(WEEKDAY(BZ28)=7,2,0))+COUNTIF(ClosedDays!$B$4:$B$32,IF(WEEKDAY(BZ28)=1,BZ28+1,IF(WEEKDAY(BZ28)=7,BZ28+2,BZ28)))+COUNTIF(ClosedDays!$F$4:$F$32,IF(WEEKDAY(BZ28)=1,BZ28+1,IF(WEEKDAY(BZ28)=7,BZ28+2,BZ28)))+COUNTIF(ClosedDays!$J$4:$J$32,IF(WEEKDAY(BZ28)=1,BZ28+1,IF(WEEKDAY(BZ28)=7,BZ28+2,BZ28)))+COUNTIF(ClosedDays!$N$4:$N$32,IF(WEEKDAY(BZ28)=1,BZ28+1,IF(WEEKDAY(BZ28)=7,BZ28+2,BZ28)))</f>
        <v>44473</v>
      </c>
      <c r="CB28" s="405">
        <f>CA28+IF(WEEKDAY(CA28)=1,1,IF(WEEKDAY(CA28)=7,2,0))+COUNTIF(ClosedDays!$B$4:$B$32,IF(WEEKDAY(CA28)=1,CA28+1,IF(WEEKDAY(CA28)=7,CA28+2,CA28)))+COUNTIF(ClosedDays!$F$4:$F$32,IF(WEEKDAY(CA28)=1,CA28+1,IF(WEEKDAY(CA28)=7,CA28+2,CA28)))+COUNTIF(ClosedDays!$J$4:$J$32,IF(WEEKDAY(CA28)=1,CA28+1,IF(WEEKDAY(CA28)=7,CA28+2,CA28)))+COUNTIF(ClosedDays!$N$4:$N$32,IF(WEEKDAY(CA28)=1,CA28+1,IF(WEEKDAY(CA28)=7,CA28+2,CA28)))</f>
        <v>44473</v>
      </c>
      <c r="CC28" s="405">
        <f>CB28+IF(WEEKDAY(CB28)=1,1,IF(WEEKDAY(CB28)=7,2,0))+COUNTIF(ClosedDays!$B$4:$B$32,IF(WEEKDAY(CB28)=1,CB28+1,IF(WEEKDAY(CB28)=7,CB28+2,CB28)))+COUNTIF(ClosedDays!$F$4:$F$32,IF(WEEKDAY(CB28)=1,CB28+1,IF(WEEKDAY(CB28)=7,CB28+2,CB28)))+COUNTIF(ClosedDays!$J$4:$J$32,IF(WEEKDAY(CB28)=1,CB28+1,IF(WEEKDAY(CB28)=7,CB28+2,CB28)))+COUNTIF(ClosedDays!$N$4:$N$32,IF(WEEKDAY(CB28)=1,CB28+1,IF(WEEKDAY(CB28)=7,CB28+2,CB28)))</f>
        <v>44473</v>
      </c>
      <c r="CD28" s="405">
        <f>CC28+IF(WEEKDAY(CC28)=1,1,IF(WEEKDAY(CC28)=7,2,0))+COUNTIF(ClosedDays!$B$4:$B$32,IF(WEEKDAY(CC28)=1,CC28+1,IF(WEEKDAY(CC28)=7,CC28+2,CC28)))+COUNTIF(ClosedDays!$F$4:$F$32,IF(WEEKDAY(CC28)=1,CC28+1,IF(WEEKDAY(CC28)=7,CC28+2,CC28)))+COUNTIF(ClosedDays!$J$4:$J$32,IF(WEEKDAY(CC28)=1,CC28+1,IF(WEEKDAY(CC28)=7,CC28+2,CC28)))+COUNTIF(ClosedDays!$N$4:$N$32,IF(WEEKDAY(CC28)=1,CC28+1,IF(WEEKDAY(CC28)=7,CC28+2,CC28)))</f>
        <v>44473</v>
      </c>
      <c r="CE28" s="405">
        <f>CD28+IF(WEEKDAY(CD28)=1,1,IF(WEEKDAY(CD28)=7,2,0))+COUNTIF(ClosedDays!$B$4:$B$32,IF(WEEKDAY(CD28)=1,CD28+1,IF(WEEKDAY(CD28)=7,CD28+2,CD28)))+COUNTIF(ClosedDays!$F$4:$F$32,IF(WEEKDAY(CD28)=1,CD28+1,IF(WEEKDAY(CD28)=7,CD28+2,CD28)))+COUNTIF(ClosedDays!$J$4:$J$32,IF(WEEKDAY(CD28)=1,CD28+1,IF(WEEKDAY(CD28)=7,CD28+2,CD28)))+COUNTIF(ClosedDays!$N$4:$N$32,IF(WEEKDAY(CD28)=1,CD28+1,IF(WEEKDAY(CD28)=7,CD28+2,CD28)))</f>
        <v>44473</v>
      </c>
      <c r="CF28" s="405">
        <f>CE28+IF(WEEKDAY(CE28)=1,1,IF(WEEKDAY(CE28)=7,2,0))+COUNTIF(ClosedDays!$B$4:$B$32,IF(WEEKDAY(CE28)=1,CE28+1,IF(WEEKDAY(CE28)=7,CE28+2,CE28)))+COUNTIF(ClosedDays!$F$4:$F$32,IF(WEEKDAY(CE28)=1,CE28+1,IF(WEEKDAY(CE28)=7,CE28+2,CE28)))+COUNTIF(ClosedDays!$J$4:$J$32,IF(WEEKDAY(CE28)=1,CE28+1,IF(WEEKDAY(CE28)=7,CE28+2,CE28)))+COUNTIF(ClosedDays!$N$4:$N$32,IF(WEEKDAY(CE28)=1,CE28+1,IF(WEEKDAY(CE28)=7,CE28+2,CE28)))</f>
        <v>44473</v>
      </c>
      <c r="CG28" s="405">
        <f>CF28+IF(WEEKDAY(CF28)=1,1,IF(WEEKDAY(CF28)=7,2,0))+COUNTIF(ClosedDays!$B$4:$B$32,IF(WEEKDAY(CF28)=1,CF28+1,IF(WEEKDAY(CF28)=7,CF28+2,CF28)))+COUNTIF(ClosedDays!$F$4:$F$32,IF(WEEKDAY(CF28)=1,CF28+1,IF(WEEKDAY(CF28)=7,CF28+2,CF28)))+COUNTIF(ClosedDays!$J$4:$J$32,IF(WEEKDAY(CF28)=1,CF28+1,IF(WEEKDAY(CF28)=7,CF28+2,CF28)))+COUNTIF(ClosedDays!$N$4:$N$32,IF(WEEKDAY(CF28)=1,CF28+1,IF(WEEKDAY(CF28)=7,CF28+2,CF28)))</f>
        <v>44473</v>
      </c>
      <c r="CH28" s="405">
        <f t="shared" si="17"/>
        <v>44473</v>
      </c>
      <c r="CI28" s="446">
        <f>IF(AND($D28&lt;='Outline Info'!$H$33,CH28&gt;='Outline Info'!$H$33,$CJ$4=1,$AC28&gt;10,$AC28&lt;9997),1,0)</f>
        <v>0</v>
      </c>
      <c r="CJ28" s="405">
        <f>IF(CI28=1,CH28+'Outline Info'!$I$33-'Outline Info'!$H$33+1,CH28)</f>
        <v>44473</v>
      </c>
      <c r="CK28" s="405">
        <f>CJ28+IF(WEEKDAY(CJ28)=1,1,IF(WEEKDAY(CJ28)=7,2,0))+COUNTIF(ClosedDays!$B$4:$B$32,IF(WEEKDAY(CJ28)=1,CJ28+1,IF(WEEKDAY(CJ28)=7,CJ28+2,CJ28)))+COUNTIF(ClosedDays!$F$4:$F$32,IF(WEEKDAY(CJ28)=1,CJ28+1,IF(WEEKDAY(CJ28)=7,CJ28+2,CJ28)))+COUNTIF(ClosedDays!$J$4:$J$32,IF(WEEKDAY(CJ28)=1,CJ28+1,IF(WEEKDAY(CJ28)=7,CJ28+2,CJ28)))+COUNTIF(ClosedDays!$N$4:$N$32,IF(WEEKDAY(CJ28)=1,CJ28+1,IF(WEEKDAY(CJ28)=7,CJ28+2,CJ28)))</f>
        <v>44473</v>
      </c>
      <c r="CL28" s="405">
        <f>CK28+IF(WEEKDAY(CK28)=1,1,IF(WEEKDAY(CK28)=7,2,0))+COUNTIF(ClosedDays!$B$4:$B$32,IF(WEEKDAY(CK28)=1,CK28+1,IF(WEEKDAY(CK28)=7,CK28+2,CK28)))+COUNTIF(ClosedDays!$F$4:$F$32,IF(WEEKDAY(CK28)=1,CK28+1,IF(WEEKDAY(CK28)=7,CK28+2,CK28)))+COUNTIF(ClosedDays!$J$4:$J$32,IF(WEEKDAY(CK28)=1,CK28+1,IF(WEEKDAY(CK28)=7,CK28+2,CK28)))+COUNTIF(ClosedDays!$N$4:$N$32,IF(WEEKDAY(CK28)=1,CK28+1,IF(WEEKDAY(CK28)=7,CK28+2,CK28)))</f>
        <v>44473</v>
      </c>
      <c r="CM28" s="405">
        <f>CL28+IF(WEEKDAY(CL28)=1,1,IF(WEEKDAY(CL28)=7,2,0))+COUNTIF(ClosedDays!$B$4:$B$32,IF(WEEKDAY(CL28)=1,CL28+1,IF(WEEKDAY(CL28)=7,CL28+2,CL28)))+COUNTIF(ClosedDays!$F$4:$F$32,IF(WEEKDAY(CL28)=1,CL28+1,IF(WEEKDAY(CL28)=7,CL28+2,CL28)))+COUNTIF(ClosedDays!$J$4:$J$32,IF(WEEKDAY(CL28)=1,CL28+1,IF(WEEKDAY(CL28)=7,CL28+2,CL28)))+COUNTIF(ClosedDays!$N$4:$N$32,IF(WEEKDAY(CL28)=1,CL28+1,IF(WEEKDAY(CL28)=7,CL28+2,CL28)))</f>
        <v>44473</v>
      </c>
      <c r="CN28" s="405">
        <f>CM28+IF(WEEKDAY(CM28)=1,1,IF(WEEKDAY(CM28)=7,2,0))+COUNTIF(ClosedDays!$B$4:$B$32,IF(WEEKDAY(CM28)=1,CM28+1,IF(WEEKDAY(CM28)=7,CM28+2,CM28)))+COUNTIF(ClosedDays!$F$4:$F$32,IF(WEEKDAY(CM28)=1,CM28+1,IF(WEEKDAY(CM28)=7,CM28+2,CM28)))+COUNTIF(ClosedDays!$J$4:$J$32,IF(WEEKDAY(CM28)=1,CM28+1,IF(WEEKDAY(CM28)=7,CM28+2,CM28)))+COUNTIF(ClosedDays!$N$4:$N$32,IF(WEEKDAY(CM28)=1,CM28+1,IF(WEEKDAY(CM28)=7,CM28+2,CM28)))</f>
        <v>44473</v>
      </c>
      <c r="CO28" s="405">
        <f>CN28+IF(WEEKDAY(CN28)=1,1,IF(WEEKDAY(CN28)=7,2,0))+COUNTIF(ClosedDays!$B$4:$B$32,IF(WEEKDAY(CN28)=1,CN28+1,IF(WEEKDAY(CN28)=7,CN28+2,CN28)))+COUNTIF(ClosedDays!$F$4:$F$32,IF(WEEKDAY(CN28)=1,CN28+1,IF(WEEKDAY(CN28)=7,CN28+2,CN28)))+COUNTIF(ClosedDays!$J$4:$J$32,IF(WEEKDAY(CN28)=1,CN28+1,IF(WEEKDAY(CN28)=7,CN28+2,CN28)))+COUNTIF(ClosedDays!$N$4:$N$32,IF(WEEKDAY(CN28)=1,CN28+1,IF(WEEKDAY(CN28)=7,CN28+2,CN28)))</f>
        <v>44473</v>
      </c>
      <c r="CP28" s="405">
        <f>CO28+IF(WEEKDAY(CO28)=1,1,IF(WEEKDAY(CO28)=7,2,0))+COUNTIF(ClosedDays!$B$4:$B$32,IF(WEEKDAY(CO28)=1,CO28+1,IF(WEEKDAY(CO28)=7,CO28+2,CO28)))+COUNTIF(ClosedDays!$F$4:$F$32,IF(WEEKDAY(CO28)=1,CO28+1,IF(WEEKDAY(CO28)=7,CO28+2,CO28)))+COUNTIF(ClosedDays!$J$4:$J$32,IF(WEEKDAY(CO28)=1,CO28+1,IF(WEEKDAY(CO28)=7,CO28+2,CO28)))+COUNTIF(ClosedDays!$N$4:$N$32,IF(WEEKDAY(CO28)=1,CO28+1,IF(WEEKDAY(CO28)=7,CO28+2,CO28)))</f>
        <v>44473</v>
      </c>
      <c r="CQ28" s="405">
        <f>CP28+IF(WEEKDAY(CP28)=1,1,IF(WEEKDAY(CP28)=7,2,0))+COUNTIF(ClosedDays!$B$4:$B$32,IF(WEEKDAY(CP28)=1,CP28+1,IF(WEEKDAY(CP28)=7,CP28+2,CP28)))+COUNTIF(ClosedDays!$F$4:$F$32,IF(WEEKDAY(CP28)=1,CP28+1,IF(WEEKDAY(CP28)=7,CP28+2,CP28)))+COUNTIF(ClosedDays!$J$4:$J$32,IF(WEEKDAY(CP28)=1,CP28+1,IF(WEEKDAY(CP28)=7,CP28+2,CP28)))+COUNTIF(ClosedDays!$N$4:$N$32,IF(WEEKDAY(CP28)=1,CP28+1,IF(WEEKDAY(CP28)=7,CP28+2,CP28)))</f>
        <v>44473</v>
      </c>
      <c r="CR28" s="405">
        <f>CQ28+IF(WEEKDAY(CQ28)=1,1,IF(WEEKDAY(CQ28)=7,2,0))+COUNTIF(ClosedDays!$B$4:$B$32,IF(WEEKDAY(CQ28)=1,CQ28+1,IF(WEEKDAY(CQ28)=7,CQ28+2,CQ28)))+COUNTIF(ClosedDays!$F$4:$F$32,IF(WEEKDAY(CQ28)=1,CQ28+1,IF(WEEKDAY(CQ28)=7,CQ28+2,CQ28)))+COUNTIF(ClosedDays!$J$4:$J$32,IF(WEEKDAY(CQ28)=1,CQ28+1,IF(WEEKDAY(CQ28)=7,CQ28+2,CQ28)))+COUNTIF(ClosedDays!$N$4:$N$32,IF(WEEKDAY(CQ28)=1,CQ28+1,IF(WEEKDAY(CQ28)=7,CQ28+2,CQ28)))</f>
        <v>44473</v>
      </c>
      <c r="CS28" s="405">
        <f>CR28+IF(WEEKDAY(CR28)=1,1,IF(WEEKDAY(CR28)=7,2,0))+COUNTIF(ClosedDays!$B$4:$B$32,IF(WEEKDAY(CR28)=1,CR28+1,IF(WEEKDAY(CR28)=7,CR28+2,CR28)))+COUNTIF(ClosedDays!$F$4:$F$32,IF(WEEKDAY(CR28)=1,CR28+1,IF(WEEKDAY(CR28)=7,CR28+2,CR28)))+COUNTIF(ClosedDays!$J$4:$J$32,IF(WEEKDAY(CR28)=1,CR28+1,IF(WEEKDAY(CR28)=7,CR28+2,CR28)))+COUNTIF(ClosedDays!$N$4:$N$32,IF(WEEKDAY(CR28)=1,CR28+1,IF(WEEKDAY(CR28)=7,CR28+2,CR28)))</f>
        <v>44473</v>
      </c>
      <c r="CT28" s="405">
        <f>CS28+IF(WEEKDAY(CS28)=1,1,IF(WEEKDAY(CS28)=7,2,0))+COUNTIF(ClosedDays!$B$4:$B$32,IF(WEEKDAY(CS28)=1,CS28+1,IF(WEEKDAY(CS28)=7,CS28+2,CS28)))+COUNTIF(ClosedDays!$F$4:$F$32,IF(WEEKDAY(CS28)=1,CS28+1,IF(WEEKDAY(CS28)=7,CS28+2,CS28)))+COUNTIF(ClosedDays!$J$4:$J$32,IF(WEEKDAY(CS28)=1,CS28+1,IF(WEEKDAY(CS28)=7,CS28+2,CS28)))+COUNTIF(ClosedDays!$N$4:$N$32,IF(WEEKDAY(CS28)=1,CS28+1,IF(WEEKDAY(CS28)=7,CS28+2,CS28)))</f>
        <v>44473</v>
      </c>
      <c r="CU28" s="405">
        <f>CT28+IF(WEEKDAY(CT28)=1,1,IF(WEEKDAY(CT28)=7,2,0))+COUNTIF(ClosedDays!$B$4:$B$32,IF(WEEKDAY(CT28)=1,CT28+1,IF(WEEKDAY(CT28)=7,CT28+2,CT28)))+COUNTIF(ClosedDays!$F$4:$F$32,IF(WEEKDAY(CT28)=1,CT28+1,IF(WEEKDAY(CT28)=7,CT28+2,CT28)))+COUNTIF(ClosedDays!$J$4:$J$32,IF(WEEKDAY(CT28)=1,CT28+1,IF(WEEKDAY(CT28)=7,CT28+2,CT28)))+COUNTIF(ClosedDays!$N$4:$N$32,IF(WEEKDAY(CT28)=1,CT28+1,IF(WEEKDAY(CT28)=7,CT28+2,CT28)))</f>
        <v>44473</v>
      </c>
      <c r="CV28" s="405">
        <f>CU28+IF(WEEKDAY(CU28)=1,1,IF(WEEKDAY(CU28)=7,2,0))+COUNTIF(ClosedDays!$B$4:$B$32,IF(WEEKDAY(CU28)=1,CU28+1,IF(WEEKDAY(CU28)=7,CU28+2,CU28)))+COUNTIF(ClosedDays!$F$4:$F$32,IF(WEEKDAY(CU28)=1,CU28+1,IF(WEEKDAY(CU28)=7,CU28+2,CU28)))+COUNTIF(ClosedDays!$J$4:$J$32,IF(WEEKDAY(CU28)=1,CU28+1,IF(WEEKDAY(CU28)=7,CU28+2,CU28)))+COUNTIF(ClosedDays!$N$4:$N$32,IF(WEEKDAY(CU28)=1,CU28+1,IF(WEEKDAY(CU28)=7,CU28+2,CU28)))</f>
        <v>44473</v>
      </c>
      <c r="CW28" s="405">
        <f>CV28+IF(WEEKDAY(CV28)=1,1,IF(WEEKDAY(CV28)=7,2,0))+COUNTIF(ClosedDays!$B$4:$B$32,IF(WEEKDAY(CV28)=1,CV28+1,IF(WEEKDAY(CV28)=7,CV28+2,CV28)))+COUNTIF(ClosedDays!$F$4:$F$32,IF(WEEKDAY(CV28)=1,CV28+1,IF(WEEKDAY(CV28)=7,CV28+2,CV28)))+COUNTIF(ClosedDays!$J$4:$J$32,IF(WEEKDAY(CV28)=1,CV28+1,IF(WEEKDAY(CV28)=7,CV28+2,CV28)))+COUNTIF(ClosedDays!$N$4:$N$32,IF(WEEKDAY(CV28)=1,CV28+1,IF(WEEKDAY(CV28)=7,CV28+2,CV28)))</f>
        <v>44473</v>
      </c>
      <c r="CX28" s="405">
        <f>CW28+IF(WEEKDAY(CW28)=1,1,IF(WEEKDAY(CW28)=7,2,0))+COUNTIF(ClosedDays!$B$4:$B$32,IF(WEEKDAY(CW28)=1,CW28+1,IF(WEEKDAY(CW28)=7,CW28+2,CW28)))+COUNTIF(ClosedDays!$F$4:$F$32,IF(WEEKDAY(CW28)=1,CW28+1,IF(WEEKDAY(CW28)=7,CW28+2,CW28)))+COUNTIF(ClosedDays!$J$4:$J$32,IF(WEEKDAY(CW28)=1,CW28+1,IF(WEEKDAY(CW28)=7,CW28+2,CW28)))+COUNTIF(ClosedDays!$N$4:$N$32,IF(WEEKDAY(CW28)=1,CW28+1,IF(WEEKDAY(CW28)=7,CW28+2,CW28)))</f>
        <v>44473</v>
      </c>
      <c r="CY28" s="405">
        <f t="shared" si="18"/>
        <v>44473</v>
      </c>
      <c r="CZ28" s="446">
        <f>IF(AND($D28&lt;='Outline Info'!$E$33,CY28&gt;='Outline Info'!$E$33,$AC28&gt;10,$AC28&lt;9997),1,0)</f>
        <v>0</v>
      </c>
      <c r="DA28" s="405">
        <f>IF(AND($D28&lt;='Outline Info'!$E$33,CY28&gt;='Outline Info'!$E$33),CY28+'Outline Info'!$F$33-'Outline Info'!$E$33+1,CY28)</f>
        <v>44473</v>
      </c>
      <c r="DB28" s="405">
        <f>DA28+IF(WEEKDAY(DA28)=1,1,IF(WEEKDAY(DA28)=7,2,0))+COUNTIF(ClosedDays!$B$4:$B$32,IF(WEEKDAY(DA28)=1,DA28+1,IF(WEEKDAY(DA28)=7,DA28+2,DA28)))+COUNTIF(ClosedDays!$F$4:$F$32,IF(WEEKDAY(DA28)=1,DA28+1,IF(WEEKDAY(DA28)=7,DA28+2,DA28)))+COUNTIF(ClosedDays!$J$4:$J$32,IF(WEEKDAY(DA28)=1,DA28+1,IF(WEEKDAY(DA28)=7,DA28+2,DA28)))+COUNTIF(ClosedDays!$N$4:$N$32,IF(WEEKDAY(DA28)=1,DA28+1,IF(WEEKDAY(DA28)=7,DA28+2,DA28)))</f>
        <v>44473</v>
      </c>
      <c r="DC28" s="405">
        <f>DB28+IF(WEEKDAY(DB28)=1,1,IF(WEEKDAY(DB28)=7,2,0))+COUNTIF(ClosedDays!$B$4:$B$32,IF(WEEKDAY(DB28)=1,DB28+1,IF(WEEKDAY(DB28)=7,DB28+2,DB28)))+COUNTIF(ClosedDays!$F$4:$F$32,IF(WEEKDAY(DB28)=1,DB28+1,IF(WEEKDAY(DB28)=7,DB28+2,DB28)))+COUNTIF(ClosedDays!$J$4:$J$32,IF(WEEKDAY(DB28)=1,DB28+1,IF(WEEKDAY(DB28)=7,DB28+2,DB28)))+COUNTIF(ClosedDays!$N$4:$N$32,IF(WEEKDAY(DB28)=1,DB28+1,IF(WEEKDAY(DB28)=7,DB28+2,DB28)))</f>
        <v>44473</v>
      </c>
      <c r="DD28" s="405">
        <f>DC28+IF(WEEKDAY(DC28)=1,1,IF(WEEKDAY(DC28)=7,2,0))+COUNTIF(ClosedDays!$B$4:$B$32,IF(WEEKDAY(DC28)=1,DC28+1,IF(WEEKDAY(DC28)=7,DC28+2,DC28)))+COUNTIF(ClosedDays!$F$4:$F$32,IF(WEEKDAY(DC28)=1,DC28+1,IF(WEEKDAY(DC28)=7,DC28+2,DC28)))+COUNTIF(ClosedDays!$J$4:$J$32,IF(WEEKDAY(DC28)=1,DC28+1,IF(WEEKDAY(DC28)=7,DC28+2,DC28)))+COUNTIF(ClosedDays!$N$4:$N$32,IF(WEEKDAY(DC28)=1,DC28+1,IF(WEEKDAY(DC28)=7,DC28+2,DC28)))</f>
        <v>44473</v>
      </c>
      <c r="DE28" s="405">
        <f>DD28+IF(WEEKDAY(DD28)=1,1,IF(WEEKDAY(DD28)=7,2,0))+COUNTIF(ClosedDays!$B$4:$B$32,IF(WEEKDAY(DD28)=1,DD28+1,IF(WEEKDAY(DD28)=7,DD28+2,DD28)))+COUNTIF(ClosedDays!$F$4:$F$32,IF(WEEKDAY(DD28)=1,DD28+1,IF(WEEKDAY(DD28)=7,DD28+2,DD28)))+COUNTIF(ClosedDays!$J$4:$J$32,IF(WEEKDAY(DD28)=1,DD28+1,IF(WEEKDAY(DD28)=7,DD28+2,DD28)))+COUNTIF(ClosedDays!$N$4:$N$32,IF(WEEKDAY(DD28)=1,DD28+1,IF(WEEKDAY(DD28)=7,DD28+2,DD28)))</f>
        <v>44473</v>
      </c>
      <c r="DF28" s="405">
        <f>DE28+IF(WEEKDAY(DE28)=1,1,IF(WEEKDAY(DE28)=7,2,0))+COUNTIF(ClosedDays!$B$4:$B$32,IF(WEEKDAY(DE28)=1,DE28+1,IF(WEEKDAY(DE28)=7,DE28+2,DE28)))+COUNTIF(ClosedDays!$F$4:$F$32,IF(WEEKDAY(DE28)=1,DE28+1,IF(WEEKDAY(DE28)=7,DE28+2,DE28)))+COUNTIF(ClosedDays!$J$4:$J$32,IF(WEEKDAY(DE28)=1,DE28+1,IF(WEEKDAY(DE28)=7,DE28+2,DE28)))+COUNTIF(ClosedDays!$N$4:$N$32,IF(WEEKDAY(DE28)=1,DE28+1,IF(WEEKDAY(DE28)=7,DE28+2,DE28)))</f>
        <v>44473</v>
      </c>
      <c r="DG28" s="405">
        <f>DF28+IF(WEEKDAY(DF28)=1,1,IF(WEEKDAY(DF28)=7,2,0))+COUNTIF(ClosedDays!$B$4:$B$32,IF(WEEKDAY(DF28)=1,DF28+1,IF(WEEKDAY(DF28)=7,DF28+2,DF28)))+COUNTIF(ClosedDays!$F$4:$F$32,IF(WEEKDAY(DF28)=1,DF28+1,IF(WEEKDAY(DF28)=7,DF28+2,DF28)))+COUNTIF(ClosedDays!$J$4:$J$32,IF(WEEKDAY(DF28)=1,DF28+1,IF(WEEKDAY(DF28)=7,DF28+2,DF28)))+COUNTIF(ClosedDays!$N$4:$N$32,IF(WEEKDAY(DF28)=1,DF28+1,IF(WEEKDAY(DF28)=7,DF28+2,DF28)))</f>
        <v>44473</v>
      </c>
      <c r="DH28" s="405">
        <f>DG28+IF(WEEKDAY(DG28)=1,1,IF(WEEKDAY(DG28)=7,2,0))+COUNTIF(ClosedDays!$B$4:$B$32,IF(WEEKDAY(DG28)=1,DG28+1,IF(WEEKDAY(DG28)=7,DG28+2,DG28)))+COUNTIF(ClosedDays!$F$4:$F$32,IF(WEEKDAY(DG28)=1,DG28+1,IF(WEEKDAY(DG28)=7,DG28+2,DG28)))+COUNTIF(ClosedDays!$J$4:$J$32,IF(WEEKDAY(DG28)=1,DG28+1,IF(WEEKDAY(DG28)=7,DG28+2,DG28)))+COUNTIF(ClosedDays!$N$4:$N$32,IF(WEEKDAY(DG28)=1,DG28+1,IF(WEEKDAY(DG28)=7,DG28+2,DG28)))</f>
        <v>44473</v>
      </c>
      <c r="DI28" s="405">
        <f>DH28+IF(WEEKDAY(DH28)=1,1,IF(WEEKDAY(DH28)=7,2,0))+COUNTIF(ClosedDays!$B$4:$B$32,IF(WEEKDAY(DH28)=1,DH28+1,IF(WEEKDAY(DH28)=7,DH28+2,DH28)))+COUNTIF(ClosedDays!$F$4:$F$32,IF(WEEKDAY(DH28)=1,DH28+1,IF(WEEKDAY(DH28)=7,DH28+2,DH28)))+COUNTIF(ClosedDays!$J$4:$J$32,IF(WEEKDAY(DH28)=1,DH28+1,IF(WEEKDAY(DH28)=7,DH28+2,DH28)))+COUNTIF(ClosedDays!$N$4:$N$32,IF(WEEKDAY(DH28)=1,DH28+1,IF(WEEKDAY(DH28)=7,DH28+2,DH28)))</f>
        <v>44473</v>
      </c>
      <c r="DJ28" s="405">
        <f>DI28+IF(WEEKDAY(DI28)=1,1,IF(WEEKDAY(DI28)=7,2,0))+COUNTIF(ClosedDays!$B$4:$B$32,IF(WEEKDAY(DI28)=1,DI28+1,IF(WEEKDAY(DI28)=7,DI28+2,DI28)))+COUNTIF(ClosedDays!$F$4:$F$32,IF(WEEKDAY(DI28)=1,DI28+1,IF(WEEKDAY(DI28)=7,DI28+2,DI28)))+COUNTIF(ClosedDays!$J$4:$J$32,IF(WEEKDAY(DI28)=1,DI28+1,IF(WEEKDAY(DI28)=7,DI28+2,DI28)))+COUNTIF(ClosedDays!$N$4:$N$32,IF(WEEKDAY(DI28)=1,DI28+1,IF(WEEKDAY(DI28)=7,DI28+2,DI28)))</f>
        <v>44473</v>
      </c>
      <c r="DK28" s="405">
        <f>DJ28+IF(WEEKDAY(DJ28)=1,1,IF(WEEKDAY(DJ28)=7,2,0))+COUNTIF(ClosedDays!$B$4:$B$32,IF(WEEKDAY(DJ28)=1,DJ28+1,IF(WEEKDAY(DJ28)=7,DJ28+2,DJ28)))+COUNTIF(ClosedDays!$F$4:$F$32,IF(WEEKDAY(DJ28)=1,DJ28+1,IF(WEEKDAY(DJ28)=7,DJ28+2,DJ28)))+COUNTIF(ClosedDays!$J$4:$J$32,IF(WEEKDAY(DJ28)=1,DJ28+1,IF(WEEKDAY(DJ28)=7,DJ28+2,DJ28)))+COUNTIF(ClosedDays!$N$4:$N$32,IF(WEEKDAY(DJ28)=1,DJ28+1,IF(WEEKDAY(DJ28)=7,DJ28+2,DJ28)))</f>
        <v>44473</v>
      </c>
      <c r="DL28" s="405">
        <f>DK28+IF(WEEKDAY(DK28)=1,1,IF(WEEKDAY(DK28)=7,2,0))+COUNTIF(ClosedDays!$B$4:$B$32,IF(WEEKDAY(DK28)=1,DK28+1,IF(WEEKDAY(DK28)=7,DK28+2,DK28)))+COUNTIF(ClosedDays!$F$4:$F$32,IF(WEEKDAY(DK28)=1,DK28+1,IF(WEEKDAY(DK28)=7,DK28+2,DK28)))+COUNTIF(ClosedDays!$J$4:$J$32,IF(WEEKDAY(DK28)=1,DK28+1,IF(WEEKDAY(DK28)=7,DK28+2,DK28)))+COUNTIF(ClosedDays!$N$4:$N$32,IF(WEEKDAY(DK28)=1,DK28+1,IF(WEEKDAY(DK28)=7,DK28+2,DK28)))</f>
        <v>44473</v>
      </c>
      <c r="DM28" s="405">
        <f>DL28+IF(WEEKDAY(DL28)=1,1,IF(WEEKDAY(DL28)=7,2,0))+COUNTIF(ClosedDays!$B$4:$B$32,IF(WEEKDAY(DL28)=1,DL28+1,IF(WEEKDAY(DL28)=7,DL28+2,DL28)))+COUNTIF(ClosedDays!$F$4:$F$32,IF(WEEKDAY(DL28)=1,DL28+1,IF(WEEKDAY(DL28)=7,DL28+2,DL28)))+COUNTIF(ClosedDays!$J$4:$J$32,IF(WEEKDAY(DL28)=1,DL28+1,IF(WEEKDAY(DL28)=7,DL28+2,DL28)))+COUNTIF(ClosedDays!$N$4:$N$32,IF(WEEKDAY(DL28)=1,DL28+1,IF(WEEKDAY(DL28)=7,DL28+2,DL28)))</f>
        <v>44473</v>
      </c>
      <c r="DN28" s="405">
        <f>DM28+IF(WEEKDAY(DM28)=1,1,IF(WEEKDAY(DM28)=7,2,0))+COUNTIF(ClosedDays!$B$4:$B$32,IF(WEEKDAY(DM28)=1,DM28+1,IF(WEEKDAY(DM28)=7,DM28+2,DM28)))+COUNTIF(ClosedDays!$F$4:$F$32,IF(WEEKDAY(DM28)=1,DM28+1,IF(WEEKDAY(DM28)=7,DM28+2,DM28)))+COUNTIF(ClosedDays!$J$4:$J$32,IF(WEEKDAY(DM28)=1,DM28+1,IF(WEEKDAY(DM28)=7,DM28+2,DM28)))+COUNTIF(ClosedDays!$N$4:$N$32,IF(WEEKDAY(DM28)=1,DM28+1,IF(WEEKDAY(DM28)=7,DM28+2,DM28)))</f>
        <v>44473</v>
      </c>
      <c r="DO28" s="405">
        <f>DN28+IF(WEEKDAY(DN28)=1,1,IF(WEEKDAY(DN28)=7,2,0))+COUNTIF(ClosedDays!$B$4:$B$32,IF(WEEKDAY(DN28)=1,DN28+1,IF(WEEKDAY(DN28)=7,DN28+2,DN28)))+COUNTIF(ClosedDays!$F$4:$F$32,IF(WEEKDAY(DN28)=1,DN28+1,IF(WEEKDAY(DN28)=7,DN28+2,DN28)))+COUNTIF(ClosedDays!$J$4:$J$32,IF(WEEKDAY(DN28)=1,DN28+1,IF(WEEKDAY(DN28)=7,DN28+2,DN28)))+COUNTIF(ClosedDays!$N$4:$N$32,IF(WEEKDAY(DN28)=1,DN28+1,IF(WEEKDAY(DN28)=7,DN28+2,DN28)))</f>
        <v>44473</v>
      </c>
      <c r="DP28" s="405">
        <f t="shared" si="23"/>
        <v>44473</v>
      </c>
      <c r="DQ28" s="405">
        <f t="shared" si="20"/>
        <v>44473</v>
      </c>
      <c r="DR28" s="394">
        <f t="shared" si="19"/>
        <v>1</v>
      </c>
      <c r="DS28" s="394">
        <f>IF(AND(DR28=1,COUNTIF(DS$7:DS27,1)&lt;12,VLOOKUP(COUNTIF(DS$7:DS27,1)+1,'Outline Info'!$A$21:$C$32,2)&lt;=I28),1,0)</f>
        <v>0</v>
      </c>
      <c r="DT28" s="405" t="str">
        <f>IF(DS28=1,IF(VLOOKUP(COUNTIF(DS$7:DS28,1),'Outline Info'!$A$21:$C$32,2)=0,"",VLOOKUP(COUNTIF(DS$7:DS28,1),'Outline Info'!$A$21:$C$32,2)),"")</f>
        <v/>
      </c>
      <c r="DU28" s="447">
        <f>IF(DS28=1,VLOOKUP(COUNTIF(DS$7:DS28,1),'Outline Info'!$A$21:$C$32,3),0)</f>
        <v>0</v>
      </c>
      <c r="DV28" s="445">
        <f>IF('Outline Info'!$B$8="Y",IF(B28="*",'Outline Info'!$B$19,IF(OR($A28="",B28="X",B28="x"),0,VLOOKUP($A28,'Course Table'!$A$2:$J$331,4,TRUE))),0)</f>
        <v>0</v>
      </c>
      <c r="DW28" s="447">
        <f t="shared" si="6"/>
        <v>0</v>
      </c>
      <c r="DX28" s="447">
        <f>IF('Outline Info'!$B$8="Y",$DV28,$DW28)</f>
        <v>0</v>
      </c>
      <c r="DY28" s="394"/>
      <c r="DZ28" s="934"/>
      <c r="EA28" s="934"/>
      <c r="EB28" s="394"/>
      <c r="EC28" s="394"/>
      <c r="ED28" s="394"/>
    </row>
    <row r="29" spans="1:134" s="400" customFormat="1" ht="20.100000000000001" customHeight="1">
      <c r="A29" s="874" t="str">
        <f t="shared" si="7"/>
        <v/>
      </c>
      <c r="B29" s="876" t="str">
        <f t="shared" si="8"/>
        <v/>
      </c>
      <c r="C29" s="878" t="str">
        <f t="shared" si="9"/>
        <v/>
      </c>
      <c r="D29" s="463">
        <f>IF(NOT(ISBLANK(DZ29)),DZ29,IF(AND($AC29=9998,'Outline Info'!$H$33&gt;='Outline Info'!$B$6,'Outline Info'!$H$33&lt;='Outline Info'!$C$6),'Outline Info'!$H$33,IF(AND($AC29=9997,'Outline Info'!$H$31&gt;='Outline Info'!$B$6,'Outline Info'!$H$31&lt;='Outline Info'!$C$6),'Outline Info'!$H$31,IF(AE29="*",DQ28,IF(OR(AE29="x",AE29="X"),I28,IF(AND(AC29&gt;6,AC28&lt;6),DQ28,IF(AND($AC29=9998,$AC28=9997),I27,I28)))))))</f>
        <v>44470</v>
      </c>
      <c r="E29" s="1286"/>
      <c r="F29" s="1287"/>
      <c r="G29" s="1282"/>
      <c r="H29" s="1283"/>
      <c r="I29" s="464">
        <f>IF(AND($AC29=9998,'Outline Info'!$I$33&gt;='Outline Info'!$B$6,'Outline Info'!$I$33&lt;='Outline Info'!$C$6),'Outline Info'!$I$33,IF(AND($AC29=9997,'Outline Info'!$I$31&gt;='Outline Info'!$B$6,'Outline Info'!$I$31&lt;='Outline Info'!$C$6),'Outline Info'!$I$31,IF(DP29&gt;$V$4,$V$4,DP29)))</f>
        <v>44470</v>
      </c>
      <c r="J29" s="436"/>
      <c r="K29" s="437"/>
      <c r="L29" s="438"/>
      <c r="M29" s="438"/>
      <c r="N29" s="435"/>
      <c r="O29" s="435"/>
      <c r="P29" s="438"/>
      <c r="Q29" s="438"/>
      <c r="R29" s="439"/>
      <c r="S29" s="872">
        <f>IF($V$5-SUM($DX$7:$DX29)&lt;0,IF($V$5-SUM($DX$7:$DX28)&lt;0,0,$V$5-SUM($DX$7:$DX28)),DX29)</f>
        <v>0</v>
      </c>
      <c r="T29" s="440" t="str">
        <f>IF(S29&gt;0,IF('Outline Info'!$B$8="Y",D29,DT29),"")</f>
        <v/>
      </c>
      <c r="U29" s="441"/>
      <c r="V29" s="442"/>
      <c r="W29" s="870" t="str">
        <f>IF('Outline Info'!$C$33&gt;0,ROUND(IF('Outline Info'!$B$8="Y",SUM(S$7:S29)-SUM(AJ$7:AJ29)-'Outline Info'!$B$14-'Outline Info'!$B$15-'Outline Info'!$B$17,IF(AL29=0,SUM(S$7:S29)-SUM(AK$7:AK29)-SUM(AP29:AS29)-'Outline Info'!$B$14-'Outline Info'!$B$15-'Outline Info'!$B$17,0)),0),IF('Outline Info'!$T$4&lt;&gt;1,"",IF(OR(AD29="",AL29=1),"",SUM(AK$7:AK29)+SUM(AP29:AS29)+'Outline Info'!$B$14+'Outline Info'!$B$15+'Outline Info'!$B$17)))</f>
        <v/>
      </c>
      <c r="X29" s="448"/>
      <c r="Y29" s="452">
        <f>IF(OR(AE29="X",AE29="x",AE29="*",AC29=99999),0,IF(AC29&lt;50,0,IF($S$4-SUM($Y$7:$Y28)&gt;0,1,0)))</f>
        <v>0</v>
      </c>
      <c r="Z29" s="453">
        <f>IF(AC29&lt;99999,IF(AE29="*",AH29,IF(OR(AE29="x",AE29="X",AC29&lt;10),0,IF(AND(AC29&lt;&gt;9998,AC29&lt;&gt;9997),IF(AM29=1,(AH29+$AM$5)*(1+('Outline Info'!$B$16)),IF(AN29=1,(AH29+$AN$5)*(1+('Outline Info'!$B$16)),0)),AH29))),0)</f>
        <v>0</v>
      </c>
      <c r="AA29" s="454">
        <f>Z29/'Outline Info'!$C$11+Y29</f>
        <v>0</v>
      </c>
      <c r="AB29" s="454">
        <f>ROUND(AA29/'Outline Info'!$B$11*7,0)</f>
        <v>0</v>
      </c>
      <c r="AC29" s="445">
        <f>IF($AD29&lt;&gt;"",VLOOKUP($AD29,'Course Table'!$A$2:$J$331,10,TRUE),99999)</f>
        <v>99999</v>
      </c>
      <c r="AD29" s="394"/>
      <c r="AE29" s="394"/>
      <c r="AF29" s="394"/>
      <c r="AG29" s="394"/>
      <c r="AH29" s="394"/>
      <c r="AI29" s="394">
        <v>479</v>
      </c>
      <c r="AJ29" s="394">
        <v>479</v>
      </c>
      <c r="AK29" s="394">
        <f t="shared" si="10"/>
        <v>479</v>
      </c>
      <c r="AL29" s="394">
        <f t="shared" si="11"/>
        <v>0</v>
      </c>
      <c r="AM29" s="394">
        <f t="shared" si="12"/>
        <v>0</v>
      </c>
      <c r="AN29" s="394">
        <f t="shared" si="13"/>
        <v>0</v>
      </c>
      <c r="AO29" s="394">
        <f>IF(AN29=1,SUMPRODUCT($AJ$7:$AJ29,$AN$7:$AN29),0)</f>
        <v>0</v>
      </c>
      <c r="AP29" s="394">
        <f t="shared" si="14"/>
        <v>0</v>
      </c>
      <c r="AQ29" s="394">
        <f t="shared" si="14"/>
        <v>0</v>
      </c>
      <c r="AR29" s="394">
        <f t="shared" si="14"/>
        <v>0</v>
      </c>
      <c r="AS29" s="394">
        <f t="shared" si="14"/>
        <v>0</v>
      </c>
      <c r="AT29" s="394">
        <f t="shared" si="15"/>
        <v>0</v>
      </c>
      <c r="AU29" s="394">
        <f t="shared" si="15"/>
        <v>0</v>
      </c>
      <c r="AV29" s="394">
        <f t="shared" si="15"/>
        <v>0</v>
      </c>
      <c r="AW29" s="394">
        <f t="shared" si="15"/>
        <v>0</v>
      </c>
      <c r="AX29" s="394">
        <f t="shared" si="1"/>
        <v>0</v>
      </c>
      <c r="AY29" s="394">
        <f t="shared" si="2"/>
        <v>0</v>
      </c>
      <c r="AZ29" s="394">
        <f t="shared" si="3"/>
        <v>0</v>
      </c>
      <c r="BA29" s="394">
        <f t="shared" si="4"/>
        <v>0</v>
      </c>
      <c r="BB29" s="405">
        <f t="shared" si="22"/>
        <v>44473</v>
      </c>
      <c r="BC29" s="405">
        <f>BB29+IF(WEEKDAY(BB29)=1,1,IF(WEEKDAY(BB29)=7,2,0))+COUNTIF(ClosedDays!$B$4:$B$32,IF(WEEKDAY(BB29)=1,BB29+1,IF(WEEKDAY(BB29)=7,BB29+2,BB29)))+COUNTIF(ClosedDays!$F$4:$F$32,IF(WEEKDAY(BB29)=1,BB29+1,IF(WEEKDAY(BB29)=7,BB29+2,BB29)))+COUNTIF(ClosedDays!$J$4:$J$32,IF(WEEKDAY(BB29)=1,BB29+1,IF(WEEKDAY(BB29)=7,BB29+2,BB29)))+COUNTIF(ClosedDays!$N$4:$N$32,IF(WEEKDAY(BB29)=1,BB29+1,IF(WEEKDAY(BB29)=7,BB29+2,BB29)))</f>
        <v>44473</v>
      </c>
      <c r="BD29" s="405">
        <f>BC29+IF(WEEKDAY(BC29)=1,1,IF(WEEKDAY(BC29)=7,2,0))+COUNTIF(ClosedDays!$B$4:$B$32,IF(WEEKDAY(BC29)=1,BC29+1,IF(WEEKDAY(BC29)=7,BC29+2,BC29)))+COUNTIF(ClosedDays!$F$4:$F$32,IF(WEEKDAY(BC29)=1,BC29+1,IF(WEEKDAY(BC29)=7,BC29+2,BC29)))+COUNTIF(ClosedDays!$J$4:$J$32,IF(WEEKDAY(BC29)=1,BC29+1,IF(WEEKDAY(BC29)=7,BC29+2,BC29)))+COUNTIF(ClosedDays!$N$4:$N$32,IF(WEEKDAY(BC29)=1,BC29+1,IF(WEEKDAY(BC29)=7,BC29+2,BC29)))</f>
        <v>44473</v>
      </c>
      <c r="BE29" s="405">
        <f>BD29+IF(WEEKDAY(BD29)=1,1,IF(WEEKDAY(BD29)=7,2,0))+COUNTIF(ClosedDays!$B$4:$B$32,IF(WEEKDAY(BD29)=1,BD29+1,IF(WEEKDAY(BD29)=7,BD29+2,BD29)))+COUNTIF(ClosedDays!$F$4:$F$32,IF(WEEKDAY(BD29)=1,BD29+1,IF(WEEKDAY(BD29)=7,BD29+2,BD29)))+COUNTIF(ClosedDays!$J$4:$J$32,IF(WEEKDAY(BD29)=1,BD29+1,IF(WEEKDAY(BD29)=7,BD29+2,BD29)))+COUNTIF(ClosedDays!$N$4:$N$32,IF(WEEKDAY(BD29)=1,BD29+1,IF(WEEKDAY(BD29)=7,BD29+2,BD29)))</f>
        <v>44473</v>
      </c>
      <c r="BF29" s="405">
        <f>BE29+IF(WEEKDAY(BE29)=1,1,IF(WEEKDAY(BE29)=7,2,0))+COUNTIF(ClosedDays!$B$4:$B$32,IF(WEEKDAY(BE29)=1,BE29+1,IF(WEEKDAY(BE29)=7,BE29+2,BE29)))+COUNTIF(ClosedDays!$F$4:$F$32,IF(WEEKDAY(BE29)=1,BE29+1,IF(WEEKDAY(BE29)=7,BE29+2,BE29)))+COUNTIF(ClosedDays!$J$4:$J$32,IF(WEEKDAY(BE29)=1,BE29+1,IF(WEEKDAY(BE29)=7,BE29+2,BE29)))+COUNTIF(ClosedDays!$N$4:$N$32,IF(WEEKDAY(BE29)=1,BE29+1,IF(WEEKDAY(BE29)=7,BE29+2,BE29)))</f>
        <v>44473</v>
      </c>
      <c r="BG29" s="405">
        <f>BF29+IF(WEEKDAY(BF29)=1,1,IF(WEEKDAY(BF29)=7,2,0))+COUNTIF(ClosedDays!$B$4:$B$32,IF(WEEKDAY(BF29)=1,BF29+1,IF(WEEKDAY(BF29)=7,BF29+2,BF29)))+COUNTIF(ClosedDays!$F$4:$F$32,IF(WEEKDAY(BF29)=1,BF29+1,IF(WEEKDAY(BF29)=7,BF29+2,BF29)))+COUNTIF(ClosedDays!$J$4:$J$32,IF(WEEKDAY(BF29)=1,BF29+1,IF(WEEKDAY(BF29)=7,BF29+2,BF29)))+COUNTIF(ClosedDays!$N$4:$N$32,IF(WEEKDAY(BF29)=1,BF29+1,IF(WEEKDAY(BF29)=7,BF29+2,BF29)))</f>
        <v>44473</v>
      </c>
      <c r="BH29" s="405">
        <f>BG29+IF(WEEKDAY(BG29)=1,1,IF(WEEKDAY(BG29)=7,2,0))+COUNTIF(ClosedDays!$B$4:$B$32,IF(WEEKDAY(BG29)=1,BG29+1,IF(WEEKDAY(BG29)=7,BG29+2,BG29)))+COUNTIF(ClosedDays!$F$4:$F$32,IF(WEEKDAY(BG29)=1,BG29+1,IF(WEEKDAY(BG29)=7,BG29+2,BG29)))+COUNTIF(ClosedDays!$J$4:$J$32,IF(WEEKDAY(BG29)=1,BG29+1,IF(WEEKDAY(BG29)=7,BG29+2,BG29)))+COUNTIF(ClosedDays!$N$4:$N$32,IF(WEEKDAY(BG29)=1,BG29+1,IF(WEEKDAY(BG29)=7,BG29+2,BG29)))</f>
        <v>44473</v>
      </c>
      <c r="BI29" s="405">
        <f>BH29+IF(WEEKDAY(BH29)=1,1,IF(WEEKDAY(BH29)=7,2,0))+COUNTIF(ClosedDays!$B$4:$B$32,IF(WEEKDAY(BH29)=1,BH29+1,IF(WEEKDAY(BH29)=7,BH29+2,BH29)))+COUNTIF(ClosedDays!$F$4:$F$32,IF(WEEKDAY(BH29)=1,BH29+1,IF(WEEKDAY(BH29)=7,BH29+2,BH29)))+COUNTIF(ClosedDays!$J$4:$J$32,IF(WEEKDAY(BH29)=1,BH29+1,IF(WEEKDAY(BH29)=7,BH29+2,BH29)))+COUNTIF(ClosedDays!$N$4:$N$32,IF(WEEKDAY(BH29)=1,BH29+1,IF(WEEKDAY(BH29)=7,BH29+2,BH29)))</f>
        <v>44473</v>
      </c>
      <c r="BJ29" s="405">
        <f>BI29+IF(WEEKDAY(BI29)=1,1,IF(WEEKDAY(BI29)=7,2,0))+COUNTIF(ClosedDays!$B$4:$B$32,IF(WEEKDAY(BI29)=1,BI29+1,IF(WEEKDAY(BI29)=7,BI29+2,BI29)))+COUNTIF(ClosedDays!$F$4:$F$32,IF(WEEKDAY(BI29)=1,BI29+1,IF(WEEKDAY(BI29)=7,BI29+2,BI29)))+COUNTIF(ClosedDays!$J$4:$J$32,IF(WEEKDAY(BI29)=1,BI29+1,IF(WEEKDAY(BI29)=7,BI29+2,BI29)))+COUNTIF(ClosedDays!$N$4:$N$32,IF(WEEKDAY(BI29)=1,BI29+1,IF(WEEKDAY(BI29)=7,BI29+2,BI29)))</f>
        <v>44473</v>
      </c>
      <c r="BK29" s="405">
        <f>BJ29+IF(WEEKDAY(BJ29)=1,1,IF(WEEKDAY(BJ29)=7,2,0))+COUNTIF(ClosedDays!$B$4:$B$32,IF(WEEKDAY(BJ29)=1,BJ29+1,IF(WEEKDAY(BJ29)=7,BJ29+2,BJ29)))+COUNTIF(ClosedDays!$F$4:$F$32,IF(WEEKDAY(BJ29)=1,BJ29+1,IF(WEEKDAY(BJ29)=7,BJ29+2,BJ29)))+COUNTIF(ClosedDays!$J$4:$J$32,IF(WEEKDAY(BJ29)=1,BJ29+1,IF(WEEKDAY(BJ29)=7,BJ29+2,BJ29)))+COUNTIF(ClosedDays!$N$4:$N$32,IF(WEEKDAY(BJ29)=1,BJ29+1,IF(WEEKDAY(BJ29)=7,BJ29+2,BJ29)))</f>
        <v>44473</v>
      </c>
      <c r="BL29" s="405">
        <f>BK29+IF(WEEKDAY(BK29)=1,1,IF(WEEKDAY(BK29)=7,2,0))+COUNTIF(ClosedDays!$B$4:$B$32,IF(WEEKDAY(BK29)=1,BK29+1,IF(WEEKDAY(BK29)=7,BK29+2,BK29)))+COUNTIF(ClosedDays!$F$4:$F$32,IF(WEEKDAY(BK29)=1,BK29+1,IF(WEEKDAY(BK29)=7,BK29+2,BK29)))+COUNTIF(ClosedDays!$J$4:$J$32,IF(WEEKDAY(BK29)=1,BK29+1,IF(WEEKDAY(BK29)=7,BK29+2,BK29)))+COUNTIF(ClosedDays!$N$4:$N$32,IF(WEEKDAY(BK29)=1,BK29+1,IF(WEEKDAY(BK29)=7,BK29+2,BK29)))</f>
        <v>44473</v>
      </c>
      <c r="BM29" s="405">
        <f>BL29+IF(WEEKDAY(BL29)=1,1,IF(WEEKDAY(BL29)=7,2,0))+COUNTIF(ClosedDays!$B$4:$B$32,IF(WEEKDAY(BL29)=1,BL29+1,IF(WEEKDAY(BL29)=7,BL29+2,BL29)))+COUNTIF(ClosedDays!$F$4:$F$32,IF(WEEKDAY(BL29)=1,BL29+1,IF(WEEKDAY(BL29)=7,BL29+2,BL29)))+COUNTIF(ClosedDays!$J$4:$J$32,IF(WEEKDAY(BL29)=1,BL29+1,IF(WEEKDAY(BL29)=7,BL29+2,BL29)))+COUNTIF(ClosedDays!$N$4:$N$32,IF(WEEKDAY(BL29)=1,BL29+1,IF(WEEKDAY(BL29)=7,BL29+2,BL29)))</f>
        <v>44473</v>
      </c>
      <c r="BN29" s="405">
        <f>BM29+IF(WEEKDAY(BM29)=1,1,IF(WEEKDAY(BM29)=7,2,0))+COUNTIF(ClosedDays!$B$4:$B$32,IF(WEEKDAY(BM29)=1,BM29+1,IF(WEEKDAY(BM29)=7,BM29+2,BM29)))+COUNTIF(ClosedDays!$F$4:$F$32,IF(WEEKDAY(BM29)=1,BM29+1,IF(WEEKDAY(BM29)=7,BM29+2,BM29)))+COUNTIF(ClosedDays!$J$4:$J$32,IF(WEEKDAY(BM29)=1,BM29+1,IF(WEEKDAY(BM29)=7,BM29+2,BM29)))+COUNTIF(ClosedDays!$N$4:$N$32,IF(WEEKDAY(BM29)=1,BM29+1,IF(WEEKDAY(BM29)=7,BM29+2,BM29)))</f>
        <v>44473</v>
      </c>
      <c r="BO29" s="405">
        <f>BN29+IF(WEEKDAY(BN29)=1,1,IF(WEEKDAY(BN29)=7,2,0))+COUNTIF(ClosedDays!$B$4:$B$32,IF(WEEKDAY(BN29)=1,BN29+1,IF(WEEKDAY(BN29)=7,BN29+2,BN29)))+COUNTIF(ClosedDays!$F$4:$F$32,IF(WEEKDAY(BN29)=1,BN29+1,IF(WEEKDAY(BN29)=7,BN29+2,BN29)))+COUNTIF(ClosedDays!$J$4:$J$32,IF(WEEKDAY(BN29)=1,BN29+1,IF(WEEKDAY(BN29)=7,BN29+2,BN29)))+COUNTIF(ClosedDays!$N$4:$N$32,IF(WEEKDAY(BN29)=1,BN29+1,IF(WEEKDAY(BN29)=7,BN29+2,BN29)))</f>
        <v>44473</v>
      </c>
      <c r="BP29" s="405">
        <f>BO29+IF(WEEKDAY(BO29)=1,1,IF(WEEKDAY(BO29)=7,2,0))+COUNTIF(ClosedDays!$B$4:$B$32,IF(WEEKDAY(BO29)=1,BO29+1,IF(WEEKDAY(BO29)=7,BO29+2,BO29)))+COUNTIF(ClosedDays!$F$4:$F$32,IF(WEEKDAY(BO29)=1,BO29+1,IF(WEEKDAY(BO29)=7,BO29+2,BO29)))+COUNTIF(ClosedDays!$J$4:$J$32,IF(WEEKDAY(BO29)=1,BO29+1,IF(WEEKDAY(BO29)=7,BO29+2,BO29)))+COUNTIF(ClosedDays!$N$4:$N$32,IF(WEEKDAY(BO29)=1,BO29+1,IF(WEEKDAY(BO29)=7,BO29+2,BO29)))</f>
        <v>44473</v>
      </c>
      <c r="BQ29" s="405">
        <f t="shared" si="16"/>
        <v>44473</v>
      </c>
      <c r="BR29" s="446">
        <f>IF(AND($D29&lt;='Outline Info'!$H$31,BQ29&gt;='Outline Info'!$H$31,$BS$4=1,$AC29&gt;10,$AC29&lt;9997),1,0)</f>
        <v>0</v>
      </c>
      <c r="BS29" s="405">
        <f>IF(BR29=1,BQ29+'Outline Info'!$I$31-'Outline Info'!$H$31+1,BQ29)</f>
        <v>44473</v>
      </c>
      <c r="BT29" s="405">
        <f>BS29+IF(WEEKDAY(BS29)=1,1,IF(WEEKDAY(BS29)=7,2,0))+COUNTIF(ClosedDays!$B$4:$B$32,IF(WEEKDAY(BS29)=1,BS29+1,IF(WEEKDAY(BS29)=7,BS29+2,BS29)))+COUNTIF(ClosedDays!$F$4:$F$32,IF(WEEKDAY(BS29)=1,BS29+1,IF(WEEKDAY(BS29)=7,BS29+2,BS29)))+COUNTIF(ClosedDays!$J$4:$J$32,IF(WEEKDAY(BS29)=1,BS29+1,IF(WEEKDAY(BS29)=7,BS29+2,BS29)))+COUNTIF(ClosedDays!$N$4:$N$32,IF(WEEKDAY(BS29)=1,BS29+1,IF(WEEKDAY(BS29)=7,BS29+2,BS29)))</f>
        <v>44473</v>
      </c>
      <c r="BU29" s="405">
        <f>BT29+IF(WEEKDAY(BT29)=1,1,IF(WEEKDAY(BT29)=7,2,0))+COUNTIF(ClosedDays!$B$4:$B$32,IF(WEEKDAY(BT29)=1,BT29+1,IF(WEEKDAY(BT29)=7,BT29+2,BT29)))+COUNTIF(ClosedDays!$F$4:$F$32,IF(WEEKDAY(BT29)=1,BT29+1,IF(WEEKDAY(BT29)=7,BT29+2,BT29)))+COUNTIF(ClosedDays!$J$4:$J$32,IF(WEEKDAY(BT29)=1,BT29+1,IF(WEEKDAY(BT29)=7,BT29+2,BT29)))+COUNTIF(ClosedDays!$N$4:$N$32,IF(WEEKDAY(BT29)=1,BT29+1,IF(WEEKDAY(BT29)=7,BT29+2,BT29)))</f>
        <v>44473</v>
      </c>
      <c r="BV29" s="405">
        <f>BU29+IF(WEEKDAY(BU29)=1,1,IF(WEEKDAY(BU29)=7,2,0))+COUNTIF(ClosedDays!$B$4:$B$32,IF(WEEKDAY(BU29)=1,BU29+1,IF(WEEKDAY(BU29)=7,BU29+2,BU29)))+COUNTIF(ClosedDays!$F$4:$F$32,IF(WEEKDAY(BU29)=1,BU29+1,IF(WEEKDAY(BU29)=7,BU29+2,BU29)))+COUNTIF(ClosedDays!$J$4:$J$32,IF(WEEKDAY(BU29)=1,BU29+1,IF(WEEKDAY(BU29)=7,BU29+2,BU29)))+COUNTIF(ClosedDays!$N$4:$N$32,IF(WEEKDAY(BU29)=1,BU29+1,IF(WEEKDAY(BU29)=7,BU29+2,BU29)))</f>
        <v>44473</v>
      </c>
      <c r="BW29" s="405">
        <f>BV29+IF(WEEKDAY(BV29)=1,1,IF(WEEKDAY(BV29)=7,2,0))+COUNTIF(ClosedDays!$B$4:$B$32,IF(WEEKDAY(BV29)=1,BV29+1,IF(WEEKDAY(BV29)=7,BV29+2,BV29)))+COUNTIF(ClosedDays!$F$4:$F$32,IF(WEEKDAY(BV29)=1,BV29+1,IF(WEEKDAY(BV29)=7,BV29+2,BV29)))+COUNTIF(ClosedDays!$J$4:$J$32,IF(WEEKDAY(BV29)=1,BV29+1,IF(WEEKDAY(BV29)=7,BV29+2,BV29)))+COUNTIF(ClosedDays!$N$4:$N$32,IF(WEEKDAY(BV29)=1,BV29+1,IF(WEEKDAY(BV29)=7,BV29+2,BV29)))</f>
        <v>44473</v>
      </c>
      <c r="BX29" s="405">
        <f>BW29+IF(WEEKDAY(BW29)=1,1,IF(WEEKDAY(BW29)=7,2,0))+COUNTIF(ClosedDays!$B$4:$B$32,IF(WEEKDAY(BW29)=1,BW29+1,IF(WEEKDAY(BW29)=7,BW29+2,BW29)))+COUNTIF(ClosedDays!$F$4:$F$32,IF(WEEKDAY(BW29)=1,BW29+1,IF(WEEKDAY(BW29)=7,BW29+2,BW29)))+COUNTIF(ClosedDays!$J$4:$J$32,IF(WEEKDAY(BW29)=1,BW29+1,IF(WEEKDAY(BW29)=7,BW29+2,BW29)))+COUNTIF(ClosedDays!$N$4:$N$32,IF(WEEKDAY(BW29)=1,BW29+1,IF(WEEKDAY(BW29)=7,BW29+2,BW29)))</f>
        <v>44473</v>
      </c>
      <c r="BY29" s="405">
        <f>BX29+IF(WEEKDAY(BX29)=1,1,IF(WEEKDAY(BX29)=7,2,0))+COUNTIF(ClosedDays!$B$4:$B$32,IF(WEEKDAY(BX29)=1,BX29+1,IF(WEEKDAY(BX29)=7,BX29+2,BX29)))+COUNTIF(ClosedDays!$F$4:$F$32,IF(WEEKDAY(BX29)=1,BX29+1,IF(WEEKDAY(BX29)=7,BX29+2,BX29)))+COUNTIF(ClosedDays!$J$4:$J$32,IF(WEEKDAY(BX29)=1,BX29+1,IF(WEEKDAY(BX29)=7,BX29+2,BX29)))+COUNTIF(ClosedDays!$N$4:$N$32,IF(WEEKDAY(BX29)=1,BX29+1,IF(WEEKDAY(BX29)=7,BX29+2,BX29)))</f>
        <v>44473</v>
      </c>
      <c r="BZ29" s="405">
        <f>BY29+IF(WEEKDAY(BY29)=1,1,IF(WEEKDAY(BY29)=7,2,0))+COUNTIF(ClosedDays!$B$4:$B$32,IF(WEEKDAY(BY29)=1,BY29+1,IF(WEEKDAY(BY29)=7,BY29+2,BY29)))+COUNTIF(ClosedDays!$F$4:$F$32,IF(WEEKDAY(BY29)=1,BY29+1,IF(WEEKDAY(BY29)=7,BY29+2,BY29)))+COUNTIF(ClosedDays!$J$4:$J$32,IF(WEEKDAY(BY29)=1,BY29+1,IF(WEEKDAY(BY29)=7,BY29+2,BY29)))+COUNTIF(ClosedDays!$N$4:$N$32,IF(WEEKDAY(BY29)=1,BY29+1,IF(WEEKDAY(BY29)=7,BY29+2,BY29)))</f>
        <v>44473</v>
      </c>
      <c r="CA29" s="405">
        <f>BZ29+IF(WEEKDAY(BZ29)=1,1,IF(WEEKDAY(BZ29)=7,2,0))+COUNTIF(ClosedDays!$B$4:$B$32,IF(WEEKDAY(BZ29)=1,BZ29+1,IF(WEEKDAY(BZ29)=7,BZ29+2,BZ29)))+COUNTIF(ClosedDays!$F$4:$F$32,IF(WEEKDAY(BZ29)=1,BZ29+1,IF(WEEKDAY(BZ29)=7,BZ29+2,BZ29)))+COUNTIF(ClosedDays!$J$4:$J$32,IF(WEEKDAY(BZ29)=1,BZ29+1,IF(WEEKDAY(BZ29)=7,BZ29+2,BZ29)))+COUNTIF(ClosedDays!$N$4:$N$32,IF(WEEKDAY(BZ29)=1,BZ29+1,IF(WEEKDAY(BZ29)=7,BZ29+2,BZ29)))</f>
        <v>44473</v>
      </c>
      <c r="CB29" s="405">
        <f>CA29+IF(WEEKDAY(CA29)=1,1,IF(WEEKDAY(CA29)=7,2,0))+COUNTIF(ClosedDays!$B$4:$B$32,IF(WEEKDAY(CA29)=1,CA29+1,IF(WEEKDAY(CA29)=7,CA29+2,CA29)))+COUNTIF(ClosedDays!$F$4:$F$32,IF(WEEKDAY(CA29)=1,CA29+1,IF(WEEKDAY(CA29)=7,CA29+2,CA29)))+COUNTIF(ClosedDays!$J$4:$J$32,IF(WEEKDAY(CA29)=1,CA29+1,IF(WEEKDAY(CA29)=7,CA29+2,CA29)))+COUNTIF(ClosedDays!$N$4:$N$32,IF(WEEKDAY(CA29)=1,CA29+1,IF(WEEKDAY(CA29)=7,CA29+2,CA29)))</f>
        <v>44473</v>
      </c>
      <c r="CC29" s="405">
        <f>CB29+IF(WEEKDAY(CB29)=1,1,IF(WEEKDAY(CB29)=7,2,0))+COUNTIF(ClosedDays!$B$4:$B$32,IF(WEEKDAY(CB29)=1,CB29+1,IF(WEEKDAY(CB29)=7,CB29+2,CB29)))+COUNTIF(ClosedDays!$F$4:$F$32,IF(WEEKDAY(CB29)=1,CB29+1,IF(WEEKDAY(CB29)=7,CB29+2,CB29)))+COUNTIF(ClosedDays!$J$4:$J$32,IF(WEEKDAY(CB29)=1,CB29+1,IF(WEEKDAY(CB29)=7,CB29+2,CB29)))+COUNTIF(ClosedDays!$N$4:$N$32,IF(WEEKDAY(CB29)=1,CB29+1,IF(WEEKDAY(CB29)=7,CB29+2,CB29)))</f>
        <v>44473</v>
      </c>
      <c r="CD29" s="405">
        <f>CC29+IF(WEEKDAY(CC29)=1,1,IF(WEEKDAY(CC29)=7,2,0))+COUNTIF(ClosedDays!$B$4:$B$32,IF(WEEKDAY(CC29)=1,CC29+1,IF(WEEKDAY(CC29)=7,CC29+2,CC29)))+COUNTIF(ClosedDays!$F$4:$F$32,IF(WEEKDAY(CC29)=1,CC29+1,IF(WEEKDAY(CC29)=7,CC29+2,CC29)))+COUNTIF(ClosedDays!$J$4:$J$32,IF(WEEKDAY(CC29)=1,CC29+1,IF(WEEKDAY(CC29)=7,CC29+2,CC29)))+COUNTIF(ClosedDays!$N$4:$N$32,IF(WEEKDAY(CC29)=1,CC29+1,IF(WEEKDAY(CC29)=7,CC29+2,CC29)))</f>
        <v>44473</v>
      </c>
      <c r="CE29" s="405">
        <f>CD29+IF(WEEKDAY(CD29)=1,1,IF(WEEKDAY(CD29)=7,2,0))+COUNTIF(ClosedDays!$B$4:$B$32,IF(WEEKDAY(CD29)=1,CD29+1,IF(WEEKDAY(CD29)=7,CD29+2,CD29)))+COUNTIF(ClosedDays!$F$4:$F$32,IF(WEEKDAY(CD29)=1,CD29+1,IF(WEEKDAY(CD29)=7,CD29+2,CD29)))+COUNTIF(ClosedDays!$J$4:$J$32,IF(WEEKDAY(CD29)=1,CD29+1,IF(WEEKDAY(CD29)=7,CD29+2,CD29)))+COUNTIF(ClosedDays!$N$4:$N$32,IF(WEEKDAY(CD29)=1,CD29+1,IF(WEEKDAY(CD29)=7,CD29+2,CD29)))</f>
        <v>44473</v>
      </c>
      <c r="CF29" s="405">
        <f>CE29+IF(WEEKDAY(CE29)=1,1,IF(WEEKDAY(CE29)=7,2,0))+COUNTIF(ClosedDays!$B$4:$B$32,IF(WEEKDAY(CE29)=1,CE29+1,IF(WEEKDAY(CE29)=7,CE29+2,CE29)))+COUNTIF(ClosedDays!$F$4:$F$32,IF(WEEKDAY(CE29)=1,CE29+1,IF(WEEKDAY(CE29)=7,CE29+2,CE29)))+COUNTIF(ClosedDays!$J$4:$J$32,IF(WEEKDAY(CE29)=1,CE29+1,IF(WEEKDAY(CE29)=7,CE29+2,CE29)))+COUNTIF(ClosedDays!$N$4:$N$32,IF(WEEKDAY(CE29)=1,CE29+1,IF(WEEKDAY(CE29)=7,CE29+2,CE29)))</f>
        <v>44473</v>
      </c>
      <c r="CG29" s="405">
        <f>CF29+IF(WEEKDAY(CF29)=1,1,IF(WEEKDAY(CF29)=7,2,0))+COUNTIF(ClosedDays!$B$4:$B$32,IF(WEEKDAY(CF29)=1,CF29+1,IF(WEEKDAY(CF29)=7,CF29+2,CF29)))+COUNTIF(ClosedDays!$F$4:$F$32,IF(WEEKDAY(CF29)=1,CF29+1,IF(WEEKDAY(CF29)=7,CF29+2,CF29)))+COUNTIF(ClosedDays!$J$4:$J$32,IF(WEEKDAY(CF29)=1,CF29+1,IF(WEEKDAY(CF29)=7,CF29+2,CF29)))+COUNTIF(ClosedDays!$N$4:$N$32,IF(WEEKDAY(CF29)=1,CF29+1,IF(WEEKDAY(CF29)=7,CF29+2,CF29)))</f>
        <v>44473</v>
      </c>
      <c r="CH29" s="405">
        <f t="shared" si="17"/>
        <v>44473</v>
      </c>
      <c r="CI29" s="446">
        <f>IF(AND($D29&lt;='Outline Info'!$H$33,CH29&gt;='Outline Info'!$H$33,$CJ$4=1,$AC29&gt;10,$AC29&lt;9997),1,0)</f>
        <v>0</v>
      </c>
      <c r="CJ29" s="405">
        <f>IF(CI29=1,CH29+'Outline Info'!$I$33-'Outline Info'!$H$33+1,CH29)</f>
        <v>44473</v>
      </c>
      <c r="CK29" s="405">
        <f>CJ29+IF(WEEKDAY(CJ29)=1,1,IF(WEEKDAY(CJ29)=7,2,0))+COUNTIF(ClosedDays!$B$4:$B$32,IF(WEEKDAY(CJ29)=1,CJ29+1,IF(WEEKDAY(CJ29)=7,CJ29+2,CJ29)))+COUNTIF(ClosedDays!$F$4:$F$32,IF(WEEKDAY(CJ29)=1,CJ29+1,IF(WEEKDAY(CJ29)=7,CJ29+2,CJ29)))+COUNTIF(ClosedDays!$J$4:$J$32,IF(WEEKDAY(CJ29)=1,CJ29+1,IF(WEEKDAY(CJ29)=7,CJ29+2,CJ29)))+COUNTIF(ClosedDays!$N$4:$N$32,IF(WEEKDAY(CJ29)=1,CJ29+1,IF(WEEKDAY(CJ29)=7,CJ29+2,CJ29)))</f>
        <v>44473</v>
      </c>
      <c r="CL29" s="405">
        <f>CK29+IF(WEEKDAY(CK29)=1,1,IF(WEEKDAY(CK29)=7,2,0))+COUNTIF(ClosedDays!$B$4:$B$32,IF(WEEKDAY(CK29)=1,CK29+1,IF(WEEKDAY(CK29)=7,CK29+2,CK29)))+COUNTIF(ClosedDays!$F$4:$F$32,IF(WEEKDAY(CK29)=1,CK29+1,IF(WEEKDAY(CK29)=7,CK29+2,CK29)))+COUNTIF(ClosedDays!$J$4:$J$32,IF(WEEKDAY(CK29)=1,CK29+1,IF(WEEKDAY(CK29)=7,CK29+2,CK29)))+COUNTIF(ClosedDays!$N$4:$N$32,IF(WEEKDAY(CK29)=1,CK29+1,IF(WEEKDAY(CK29)=7,CK29+2,CK29)))</f>
        <v>44473</v>
      </c>
      <c r="CM29" s="405">
        <f>CL29+IF(WEEKDAY(CL29)=1,1,IF(WEEKDAY(CL29)=7,2,0))+COUNTIF(ClosedDays!$B$4:$B$32,IF(WEEKDAY(CL29)=1,CL29+1,IF(WEEKDAY(CL29)=7,CL29+2,CL29)))+COUNTIF(ClosedDays!$F$4:$F$32,IF(WEEKDAY(CL29)=1,CL29+1,IF(WEEKDAY(CL29)=7,CL29+2,CL29)))+COUNTIF(ClosedDays!$J$4:$J$32,IF(WEEKDAY(CL29)=1,CL29+1,IF(WEEKDAY(CL29)=7,CL29+2,CL29)))+COUNTIF(ClosedDays!$N$4:$N$32,IF(WEEKDAY(CL29)=1,CL29+1,IF(WEEKDAY(CL29)=7,CL29+2,CL29)))</f>
        <v>44473</v>
      </c>
      <c r="CN29" s="405">
        <f>CM29+IF(WEEKDAY(CM29)=1,1,IF(WEEKDAY(CM29)=7,2,0))+COUNTIF(ClosedDays!$B$4:$B$32,IF(WEEKDAY(CM29)=1,CM29+1,IF(WEEKDAY(CM29)=7,CM29+2,CM29)))+COUNTIF(ClosedDays!$F$4:$F$32,IF(WEEKDAY(CM29)=1,CM29+1,IF(WEEKDAY(CM29)=7,CM29+2,CM29)))+COUNTIF(ClosedDays!$J$4:$J$32,IF(WEEKDAY(CM29)=1,CM29+1,IF(WEEKDAY(CM29)=7,CM29+2,CM29)))+COUNTIF(ClosedDays!$N$4:$N$32,IF(WEEKDAY(CM29)=1,CM29+1,IF(WEEKDAY(CM29)=7,CM29+2,CM29)))</f>
        <v>44473</v>
      </c>
      <c r="CO29" s="405">
        <f>CN29+IF(WEEKDAY(CN29)=1,1,IF(WEEKDAY(CN29)=7,2,0))+COUNTIF(ClosedDays!$B$4:$B$32,IF(WEEKDAY(CN29)=1,CN29+1,IF(WEEKDAY(CN29)=7,CN29+2,CN29)))+COUNTIF(ClosedDays!$F$4:$F$32,IF(WEEKDAY(CN29)=1,CN29+1,IF(WEEKDAY(CN29)=7,CN29+2,CN29)))+COUNTIF(ClosedDays!$J$4:$J$32,IF(WEEKDAY(CN29)=1,CN29+1,IF(WEEKDAY(CN29)=7,CN29+2,CN29)))+COUNTIF(ClosedDays!$N$4:$N$32,IF(WEEKDAY(CN29)=1,CN29+1,IF(WEEKDAY(CN29)=7,CN29+2,CN29)))</f>
        <v>44473</v>
      </c>
      <c r="CP29" s="405">
        <f>CO29+IF(WEEKDAY(CO29)=1,1,IF(WEEKDAY(CO29)=7,2,0))+COUNTIF(ClosedDays!$B$4:$B$32,IF(WEEKDAY(CO29)=1,CO29+1,IF(WEEKDAY(CO29)=7,CO29+2,CO29)))+COUNTIF(ClosedDays!$F$4:$F$32,IF(WEEKDAY(CO29)=1,CO29+1,IF(WEEKDAY(CO29)=7,CO29+2,CO29)))+COUNTIF(ClosedDays!$J$4:$J$32,IF(WEEKDAY(CO29)=1,CO29+1,IF(WEEKDAY(CO29)=7,CO29+2,CO29)))+COUNTIF(ClosedDays!$N$4:$N$32,IF(WEEKDAY(CO29)=1,CO29+1,IF(WEEKDAY(CO29)=7,CO29+2,CO29)))</f>
        <v>44473</v>
      </c>
      <c r="CQ29" s="405">
        <f>CP29+IF(WEEKDAY(CP29)=1,1,IF(WEEKDAY(CP29)=7,2,0))+COUNTIF(ClosedDays!$B$4:$B$32,IF(WEEKDAY(CP29)=1,CP29+1,IF(WEEKDAY(CP29)=7,CP29+2,CP29)))+COUNTIF(ClosedDays!$F$4:$F$32,IF(WEEKDAY(CP29)=1,CP29+1,IF(WEEKDAY(CP29)=7,CP29+2,CP29)))+COUNTIF(ClosedDays!$J$4:$J$32,IF(WEEKDAY(CP29)=1,CP29+1,IF(WEEKDAY(CP29)=7,CP29+2,CP29)))+COUNTIF(ClosedDays!$N$4:$N$32,IF(WEEKDAY(CP29)=1,CP29+1,IF(WEEKDAY(CP29)=7,CP29+2,CP29)))</f>
        <v>44473</v>
      </c>
      <c r="CR29" s="405">
        <f>CQ29+IF(WEEKDAY(CQ29)=1,1,IF(WEEKDAY(CQ29)=7,2,0))+COUNTIF(ClosedDays!$B$4:$B$32,IF(WEEKDAY(CQ29)=1,CQ29+1,IF(WEEKDAY(CQ29)=7,CQ29+2,CQ29)))+COUNTIF(ClosedDays!$F$4:$F$32,IF(WEEKDAY(CQ29)=1,CQ29+1,IF(WEEKDAY(CQ29)=7,CQ29+2,CQ29)))+COUNTIF(ClosedDays!$J$4:$J$32,IF(WEEKDAY(CQ29)=1,CQ29+1,IF(WEEKDAY(CQ29)=7,CQ29+2,CQ29)))+COUNTIF(ClosedDays!$N$4:$N$32,IF(WEEKDAY(CQ29)=1,CQ29+1,IF(WEEKDAY(CQ29)=7,CQ29+2,CQ29)))</f>
        <v>44473</v>
      </c>
      <c r="CS29" s="405">
        <f>CR29+IF(WEEKDAY(CR29)=1,1,IF(WEEKDAY(CR29)=7,2,0))+COUNTIF(ClosedDays!$B$4:$B$32,IF(WEEKDAY(CR29)=1,CR29+1,IF(WEEKDAY(CR29)=7,CR29+2,CR29)))+COUNTIF(ClosedDays!$F$4:$F$32,IF(WEEKDAY(CR29)=1,CR29+1,IF(WEEKDAY(CR29)=7,CR29+2,CR29)))+COUNTIF(ClosedDays!$J$4:$J$32,IF(WEEKDAY(CR29)=1,CR29+1,IF(WEEKDAY(CR29)=7,CR29+2,CR29)))+COUNTIF(ClosedDays!$N$4:$N$32,IF(WEEKDAY(CR29)=1,CR29+1,IF(WEEKDAY(CR29)=7,CR29+2,CR29)))</f>
        <v>44473</v>
      </c>
      <c r="CT29" s="405">
        <f>CS29+IF(WEEKDAY(CS29)=1,1,IF(WEEKDAY(CS29)=7,2,0))+COUNTIF(ClosedDays!$B$4:$B$32,IF(WEEKDAY(CS29)=1,CS29+1,IF(WEEKDAY(CS29)=7,CS29+2,CS29)))+COUNTIF(ClosedDays!$F$4:$F$32,IF(WEEKDAY(CS29)=1,CS29+1,IF(WEEKDAY(CS29)=7,CS29+2,CS29)))+COUNTIF(ClosedDays!$J$4:$J$32,IF(WEEKDAY(CS29)=1,CS29+1,IF(WEEKDAY(CS29)=7,CS29+2,CS29)))+COUNTIF(ClosedDays!$N$4:$N$32,IF(WEEKDAY(CS29)=1,CS29+1,IF(WEEKDAY(CS29)=7,CS29+2,CS29)))</f>
        <v>44473</v>
      </c>
      <c r="CU29" s="405">
        <f>CT29+IF(WEEKDAY(CT29)=1,1,IF(WEEKDAY(CT29)=7,2,0))+COUNTIF(ClosedDays!$B$4:$B$32,IF(WEEKDAY(CT29)=1,CT29+1,IF(WEEKDAY(CT29)=7,CT29+2,CT29)))+COUNTIF(ClosedDays!$F$4:$F$32,IF(WEEKDAY(CT29)=1,CT29+1,IF(WEEKDAY(CT29)=7,CT29+2,CT29)))+COUNTIF(ClosedDays!$J$4:$J$32,IF(WEEKDAY(CT29)=1,CT29+1,IF(WEEKDAY(CT29)=7,CT29+2,CT29)))+COUNTIF(ClosedDays!$N$4:$N$32,IF(WEEKDAY(CT29)=1,CT29+1,IF(WEEKDAY(CT29)=7,CT29+2,CT29)))</f>
        <v>44473</v>
      </c>
      <c r="CV29" s="405">
        <f>CU29+IF(WEEKDAY(CU29)=1,1,IF(WEEKDAY(CU29)=7,2,0))+COUNTIF(ClosedDays!$B$4:$B$32,IF(WEEKDAY(CU29)=1,CU29+1,IF(WEEKDAY(CU29)=7,CU29+2,CU29)))+COUNTIF(ClosedDays!$F$4:$F$32,IF(WEEKDAY(CU29)=1,CU29+1,IF(WEEKDAY(CU29)=7,CU29+2,CU29)))+COUNTIF(ClosedDays!$J$4:$J$32,IF(WEEKDAY(CU29)=1,CU29+1,IF(WEEKDAY(CU29)=7,CU29+2,CU29)))+COUNTIF(ClosedDays!$N$4:$N$32,IF(WEEKDAY(CU29)=1,CU29+1,IF(WEEKDAY(CU29)=7,CU29+2,CU29)))</f>
        <v>44473</v>
      </c>
      <c r="CW29" s="405">
        <f>CV29+IF(WEEKDAY(CV29)=1,1,IF(WEEKDAY(CV29)=7,2,0))+COUNTIF(ClosedDays!$B$4:$B$32,IF(WEEKDAY(CV29)=1,CV29+1,IF(WEEKDAY(CV29)=7,CV29+2,CV29)))+COUNTIF(ClosedDays!$F$4:$F$32,IF(WEEKDAY(CV29)=1,CV29+1,IF(WEEKDAY(CV29)=7,CV29+2,CV29)))+COUNTIF(ClosedDays!$J$4:$J$32,IF(WEEKDAY(CV29)=1,CV29+1,IF(WEEKDAY(CV29)=7,CV29+2,CV29)))+COUNTIF(ClosedDays!$N$4:$N$32,IF(WEEKDAY(CV29)=1,CV29+1,IF(WEEKDAY(CV29)=7,CV29+2,CV29)))</f>
        <v>44473</v>
      </c>
      <c r="CX29" s="405">
        <f>CW29+IF(WEEKDAY(CW29)=1,1,IF(WEEKDAY(CW29)=7,2,0))+COUNTIF(ClosedDays!$B$4:$B$32,IF(WEEKDAY(CW29)=1,CW29+1,IF(WEEKDAY(CW29)=7,CW29+2,CW29)))+COUNTIF(ClosedDays!$F$4:$F$32,IF(WEEKDAY(CW29)=1,CW29+1,IF(WEEKDAY(CW29)=7,CW29+2,CW29)))+COUNTIF(ClosedDays!$J$4:$J$32,IF(WEEKDAY(CW29)=1,CW29+1,IF(WEEKDAY(CW29)=7,CW29+2,CW29)))+COUNTIF(ClosedDays!$N$4:$N$32,IF(WEEKDAY(CW29)=1,CW29+1,IF(WEEKDAY(CW29)=7,CW29+2,CW29)))</f>
        <v>44473</v>
      </c>
      <c r="CY29" s="405">
        <f t="shared" si="18"/>
        <v>44473</v>
      </c>
      <c r="CZ29" s="446">
        <f>IF(AND($D29&lt;='Outline Info'!$E$33,CY29&gt;='Outline Info'!$E$33,$AC29&gt;10,$AC29&lt;9997),1,0)</f>
        <v>0</v>
      </c>
      <c r="DA29" s="405">
        <f>IF(AND($D29&lt;='Outline Info'!$E$33,CY29&gt;='Outline Info'!$E$33),CY29+'Outline Info'!$F$33-'Outline Info'!$E$33+1,CY29)</f>
        <v>44473</v>
      </c>
      <c r="DB29" s="405">
        <f>DA29+IF(WEEKDAY(DA29)=1,1,IF(WEEKDAY(DA29)=7,2,0))+COUNTIF(ClosedDays!$B$4:$B$32,IF(WEEKDAY(DA29)=1,DA29+1,IF(WEEKDAY(DA29)=7,DA29+2,DA29)))+COUNTIF(ClosedDays!$F$4:$F$32,IF(WEEKDAY(DA29)=1,DA29+1,IF(WEEKDAY(DA29)=7,DA29+2,DA29)))+COUNTIF(ClosedDays!$J$4:$J$32,IF(WEEKDAY(DA29)=1,DA29+1,IF(WEEKDAY(DA29)=7,DA29+2,DA29)))+COUNTIF(ClosedDays!$N$4:$N$32,IF(WEEKDAY(DA29)=1,DA29+1,IF(WEEKDAY(DA29)=7,DA29+2,DA29)))</f>
        <v>44473</v>
      </c>
      <c r="DC29" s="405">
        <f>DB29+IF(WEEKDAY(DB29)=1,1,IF(WEEKDAY(DB29)=7,2,0))+COUNTIF(ClosedDays!$B$4:$B$32,IF(WEEKDAY(DB29)=1,DB29+1,IF(WEEKDAY(DB29)=7,DB29+2,DB29)))+COUNTIF(ClosedDays!$F$4:$F$32,IF(WEEKDAY(DB29)=1,DB29+1,IF(WEEKDAY(DB29)=7,DB29+2,DB29)))+COUNTIF(ClosedDays!$J$4:$J$32,IF(WEEKDAY(DB29)=1,DB29+1,IF(WEEKDAY(DB29)=7,DB29+2,DB29)))+COUNTIF(ClosedDays!$N$4:$N$32,IF(WEEKDAY(DB29)=1,DB29+1,IF(WEEKDAY(DB29)=7,DB29+2,DB29)))</f>
        <v>44473</v>
      </c>
      <c r="DD29" s="405">
        <f>DC29+IF(WEEKDAY(DC29)=1,1,IF(WEEKDAY(DC29)=7,2,0))+COUNTIF(ClosedDays!$B$4:$B$32,IF(WEEKDAY(DC29)=1,DC29+1,IF(WEEKDAY(DC29)=7,DC29+2,DC29)))+COUNTIF(ClosedDays!$F$4:$F$32,IF(WEEKDAY(DC29)=1,DC29+1,IF(WEEKDAY(DC29)=7,DC29+2,DC29)))+COUNTIF(ClosedDays!$J$4:$J$32,IF(WEEKDAY(DC29)=1,DC29+1,IF(WEEKDAY(DC29)=7,DC29+2,DC29)))+COUNTIF(ClosedDays!$N$4:$N$32,IF(WEEKDAY(DC29)=1,DC29+1,IF(WEEKDAY(DC29)=7,DC29+2,DC29)))</f>
        <v>44473</v>
      </c>
      <c r="DE29" s="405">
        <f>DD29+IF(WEEKDAY(DD29)=1,1,IF(WEEKDAY(DD29)=7,2,0))+COUNTIF(ClosedDays!$B$4:$B$32,IF(WEEKDAY(DD29)=1,DD29+1,IF(WEEKDAY(DD29)=7,DD29+2,DD29)))+COUNTIF(ClosedDays!$F$4:$F$32,IF(WEEKDAY(DD29)=1,DD29+1,IF(WEEKDAY(DD29)=7,DD29+2,DD29)))+COUNTIF(ClosedDays!$J$4:$J$32,IF(WEEKDAY(DD29)=1,DD29+1,IF(WEEKDAY(DD29)=7,DD29+2,DD29)))+COUNTIF(ClosedDays!$N$4:$N$32,IF(WEEKDAY(DD29)=1,DD29+1,IF(WEEKDAY(DD29)=7,DD29+2,DD29)))</f>
        <v>44473</v>
      </c>
      <c r="DF29" s="405">
        <f>DE29+IF(WEEKDAY(DE29)=1,1,IF(WEEKDAY(DE29)=7,2,0))+COUNTIF(ClosedDays!$B$4:$B$32,IF(WEEKDAY(DE29)=1,DE29+1,IF(WEEKDAY(DE29)=7,DE29+2,DE29)))+COUNTIF(ClosedDays!$F$4:$F$32,IF(WEEKDAY(DE29)=1,DE29+1,IF(WEEKDAY(DE29)=7,DE29+2,DE29)))+COUNTIF(ClosedDays!$J$4:$J$32,IF(WEEKDAY(DE29)=1,DE29+1,IF(WEEKDAY(DE29)=7,DE29+2,DE29)))+COUNTIF(ClosedDays!$N$4:$N$32,IF(WEEKDAY(DE29)=1,DE29+1,IF(WEEKDAY(DE29)=7,DE29+2,DE29)))</f>
        <v>44473</v>
      </c>
      <c r="DG29" s="405">
        <f>DF29+IF(WEEKDAY(DF29)=1,1,IF(WEEKDAY(DF29)=7,2,0))+COUNTIF(ClosedDays!$B$4:$B$32,IF(WEEKDAY(DF29)=1,DF29+1,IF(WEEKDAY(DF29)=7,DF29+2,DF29)))+COUNTIF(ClosedDays!$F$4:$F$32,IF(WEEKDAY(DF29)=1,DF29+1,IF(WEEKDAY(DF29)=7,DF29+2,DF29)))+COUNTIF(ClosedDays!$J$4:$J$32,IF(WEEKDAY(DF29)=1,DF29+1,IF(WEEKDAY(DF29)=7,DF29+2,DF29)))+COUNTIF(ClosedDays!$N$4:$N$32,IF(WEEKDAY(DF29)=1,DF29+1,IF(WEEKDAY(DF29)=7,DF29+2,DF29)))</f>
        <v>44473</v>
      </c>
      <c r="DH29" s="405">
        <f>DG29+IF(WEEKDAY(DG29)=1,1,IF(WEEKDAY(DG29)=7,2,0))+COUNTIF(ClosedDays!$B$4:$B$32,IF(WEEKDAY(DG29)=1,DG29+1,IF(WEEKDAY(DG29)=7,DG29+2,DG29)))+COUNTIF(ClosedDays!$F$4:$F$32,IF(WEEKDAY(DG29)=1,DG29+1,IF(WEEKDAY(DG29)=7,DG29+2,DG29)))+COUNTIF(ClosedDays!$J$4:$J$32,IF(WEEKDAY(DG29)=1,DG29+1,IF(WEEKDAY(DG29)=7,DG29+2,DG29)))+COUNTIF(ClosedDays!$N$4:$N$32,IF(WEEKDAY(DG29)=1,DG29+1,IF(WEEKDAY(DG29)=7,DG29+2,DG29)))</f>
        <v>44473</v>
      </c>
      <c r="DI29" s="405">
        <f>DH29+IF(WEEKDAY(DH29)=1,1,IF(WEEKDAY(DH29)=7,2,0))+COUNTIF(ClosedDays!$B$4:$B$32,IF(WEEKDAY(DH29)=1,DH29+1,IF(WEEKDAY(DH29)=7,DH29+2,DH29)))+COUNTIF(ClosedDays!$F$4:$F$32,IF(WEEKDAY(DH29)=1,DH29+1,IF(WEEKDAY(DH29)=7,DH29+2,DH29)))+COUNTIF(ClosedDays!$J$4:$J$32,IF(WEEKDAY(DH29)=1,DH29+1,IF(WEEKDAY(DH29)=7,DH29+2,DH29)))+COUNTIF(ClosedDays!$N$4:$N$32,IF(WEEKDAY(DH29)=1,DH29+1,IF(WEEKDAY(DH29)=7,DH29+2,DH29)))</f>
        <v>44473</v>
      </c>
      <c r="DJ29" s="405">
        <f>DI29+IF(WEEKDAY(DI29)=1,1,IF(WEEKDAY(DI29)=7,2,0))+COUNTIF(ClosedDays!$B$4:$B$32,IF(WEEKDAY(DI29)=1,DI29+1,IF(WEEKDAY(DI29)=7,DI29+2,DI29)))+COUNTIF(ClosedDays!$F$4:$F$32,IF(WEEKDAY(DI29)=1,DI29+1,IF(WEEKDAY(DI29)=7,DI29+2,DI29)))+COUNTIF(ClosedDays!$J$4:$J$32,IF(WEEKDAY(DI29)=1,DI29+1,IF(WEEKDAY(DI29)=7,DI29+2,DI29)))+COUNTIF(ClosedDays!$N$4:$N$32,IF(WEEKDAY(DI29)=1,DI29+1,IF(WEEKDAY(DI29)=7,DI29+2,DI29)))</f>
        <v>44473</v>
      </c>
      <c r="DK29" s="405">
        <f>DJ29+IF(WEEKDAY(DJ29)=1,1,IF(WEEKDAY(DJ29)=7,2,0))+COUNTIF(ClosedDays!$B$4:$B$32,IF(WEEKDAY(DJ29)=1,DJ29+1,IF(WEEKDAY(DJ29)=7,DJ29+2,DJ29)))+COUNTIF(ClosedDays!$F$4:$F$32,IF(WEEKDAY(DJ29)=1,DJ29+1,IF(WEEKDAY(DJ29)=7,DJ29+2,DJ29)))+COUNTIF(ClosedDays!$J$4:$J$32,IF(WEEKDAY(DJ29)=1,DJ29+1,IF(WEEKDAY(DJ29)=7,DJ29+2,DJ29)))+COUNTIF(ClosedDays!$N$4:$N$32,IF(WEEKDAY(DJ29)=1,DJ29+1,IF(WEEKDAY(DJ29)=7,DJ29+2,DJ29)))</f>
        <v>44473</v>
      </c>
      <c r="DL29" s="405">
        <f>DK29+IF(WEEKDAY(DK29)=1,1,IF(WEEKDAY(DK29)=7,2,0))+COUNTIF(ClosedDays!$B$4:$B$32,IF(WEEKDAY(DK29)=1,DK29+1,IF(WEEKDAY(DK29)=7,DK29+2,DK29)))+COUNTIF(ClosedDays!$F$4:$F$32,IF(WEEKDAY(DK29)=1,DK29+1,IF(WEEKDAY(DK29)=7,DK29+2,DK29)))+COUNTIF(ClosedDays!$J$4:$J$32,IF(WEEKDAY(DK29)=1,DK29+1,IF(WEEKDAY(DK29)=7,DK29+2,DK29)))+COUNTIF(ClosedDays!$N$4:$N$32,IF(WEEKDAY(DK29)=1,DK29+1,IF(WEEKDAY(DK29)=7,DK29+2,DK29)))</f>
        <v>44473</v>
      </c>
      <c r="DM29" s="405">
        <f>DL29+IF(WEEKDAY(DL29)=1,1,IF(WEEKDAY(DL29)=7,2,0))+COUNTIF(ClosedDays!$B$4:$B$32,IF(WEEKDAY(DL29)=1,DL29+1,IF(WEEKDAY(DL29)=7,DL29+2,DL29)))+COUNTIF(ClosedDays!$F$4:$F$32,IF(WEEKDAY(DL29)=1,DL29+1,IF(WEEKDAY(DL29)=7,DL29+2,DL29)))+COUNTIF(ClosedDays!$J$4:$J$32,IF(WEEKDAY(DL29)=1,DL29+1,IF(WEEKDAY(DL29)=7,DL29+2,DL29)))+COUNTIF(ClosedDays!$N$4:$N$32,IF(WEEKDAY(DL29)=1,DL29+1,IF(WEEKDAY(DL29)=7,DL29+2,DL29)))</f>
        <v>44473</v>
      </c>
      <c r="DN29" s="405">
        <f>DM29+IF(WEEKDAY(DM29)=1,1,IF(WEEKDAY(DM29)=7,2,0))+COUNTIF(ClosedDays!$B$4:$B$32,IF(WEEKDAY(DM29)=1,DM29+1,IF(WEEKDAY(DM29)=7,DM29+2,DM29)))+COUNTIF(ClosedDays!$F$4:$F$32,IF(WEEKDAY(DM29)=1,DM29+1,IF(WEEKDAY(DM29)=7,DM29+2,DM29)))+COUNTIF(ClosedDays!$J$4:$J$32,IF(WEEKDAY(DM29)=1,DM29+1,IF(WEEKDAY(DM29)=7,DM29+2,DM29)))+COUNTIF(ClosedDays!$N$4:$N$32,IF(WEEKDAY(DM29)=1,DM29+1,IF(WEEKDAY(DM29)=7,DM29+2,DM29)))</f>
        <v>44473</v>
      </c>
      <c r="DO29" s="405">
        <f>DN29+IF(WEEKDAY(DN29)=1,1,IF(WEEKDAY(DN29)=7,2,0))+COUNTIF(ClosedDays!$B$4:$B$32,IF(WEEKDAY(DN29)=1,DN29+1,IF(WEEKDAY(DN29)=7,DN29+2,DN29)))+COUNTIF(ClosedDays!$F$4:$F$32,IF(WEEKDAY(DN29)=1,DN29+1,IF(WEEKDAY(DN29)=7,DN29+2,DN29)))+COUNTIF(ClosedDays!$J$4:$J$32,IF(WEEKDAY(DN29)=1,DN29+1,IF(WEEKDAY(DN29)=7,DN29+2,DN29)))+COUNTIF(ClosedDays!$N$4:$N$32,IF(WEEKDAY(DN29)=1,DN29+1,IF(WEEKDAY(DN29)=7,DN29+2,DN29)))</f>
        <v>44473</v>
      </c>
      <c r="DP29" s="405">
        <f t="shared" si="23"/>
        <v>44473</v>
      </c>
      <c r="DQ29" s="405">
        <f t="shared" si="20"/>
        <v>44473</v>
      </c>
      <c r="DR29" s="394">
        <f t="shared" si="19"/>
        <v>1</v>
      </c>
      <c r="DS29" s="394">
        <f>IF(AND(DR29=1,COUNTIF(DS$7:DS28,1)&lt;12,VLOOKUP(COUNTIF(DS$7:DS28,1)+1,'Outline Info'!$A$21:$C$32,2)&lt;=I29),1,0)</f>
        <v>0</v>
      </c>
      <c r="DT29" s="405" t="str">
        <f>IF(DS29=1,IF(VLOOKUP(COUNTIF(DS$7:DS29,1),'Outline Info'!$A$21:$C$32,2)=0,"",VLOOKUP(COUNTIF(DS$7:DS29,1),'Outline Info'!$A$21:$C$32,2)),"")</f>
        <v/>
      </c>
      <c r="DU29" s="447">
        <f>IF(DS29=1,VLOOKUP(COUNTIF(DS$7:DS29,1),'Outline Info'!$A$21:$C$32,3),0)</f>
        <v>0</v>
      </c>
      <c r="DV29" s="445">
        <f>IF('Outline Info'!$B$8="Y",IF(B29="*",'Outline Info'!$B$19,IF(OR($A29="",B29="X",B29="x"),0,VLOOKUP($A29,'Course Table'!$A$2:$J$331,4,TRUE))),0)</f>
        <v>0</v>
      </c>
      <c r="DW29" s="447">
        <f t="shared" si="6"/>
        <v>0</v>
      </c>
      <c r="DX29" s="447">
        <f>IF('Outline Info'!$B$8="Y",$DV29,$DW29)</f>
        <v>0</v>
      </c>
      <c r="DY29" s="394"/>
      <c r="DZ29" s="934"/>
      <c r="EA29" s="934"/>
      <c r="EB29" s="394"/>
      <c r="EC29" s="394"/>
      <c r="ED29" s="394"/>
    </row>
    <row r="30" spans="1:134" s="400" customFormat="1" ht="20.100000000000001" customHeight="1">
      <c r="A30" s="874" t="str">
        <f t="shared" si="7"/>
        <v/>
      </c>
      <c r="B30" s="876" t="str">
        <f t="shared" si="8"/>
        <v/>
      </c>
      <c r="C30" s="878" t="str">
        <f t="shared" si="9"/>
        <v/>
      </c>
      <c r="D30" s="463">
        <f>IF(NOT(ISBLANK(DZ30)),DZ30,IF(AND($AC30=9998,'Outline Info'!$H$33&gt;='Outline Info'!$B$6,'Outline Info'!$H$33&lt;='Outline Info'!$C$6),'Outline Info'!$H$33,IF(AND($AC30=9997,'Outline Info'!$H$31&gt;='Outline Info'!$B$6,'Outline Info'!$H$31&lt;='Outline Info'!$C$6),'Outline Info'!$H$31,IF(AE30="*",DQ29,IF(OR(AE30="x",AE30="X"),I29,IF(AND(AC30&gt;6,AC29&lt;6),DQ29,IF(AND($AC30=9998,$AC29=9997),I28,I29)))))))</f>
        <v>44470</v>
      </c>
      <c r="E30" s="1286"/>
      <c r="F30" s="1287"/>
      <c r="G30" s="1282"/>
      <c r="H30" s="1283"/>
      <c r="I30" s="464">
        <f>IF(AND($AC30=9998,'Outline Info'!$I$33&gt;='Outline Info'!$B$6,'Outline Info'!$I$33&lt;='Outline Info'!$C$6),'Outline Info'!$I$33,IF(AND($AC30=9997,'Outline Info'!$I$31&gt;='Outline Info'!$B$6,'Outline Info'!$I$31&lt;='Outline Info'!$C$6),'Outline Info'!$I$31,IF(DP30&gt;$V$4,$V$4,DP30)))</f>
        <v>44470</v>
      </c>
      <c r="J30" s="436"/>
      <c r="K30" s="437"/>
      <c r="L30" s="438"/>
      <c r="M30" s="438"/>
      <c r="N30" s="435"/>
      <c r="O30" s="435"/>
      <c r="P30" s="438"/>
      <c r="Q30" s="438"/>
      <c r="R30" s="439"/>
      <c r="S30" s="872">
        <f>IF($V$5-SUM($DX$7:$DX30)&lt;0,IF($V$5-SUM($DX$7:$DX29)&lt;0,0,$V$5-SUM($DX$7:$DX29)),DX30)</f>
        <v>0</v>
      </c>
      <c r="T30" s="440" t="str">
        <f>IF(S30&gt;0,IF('Outline Info'!$B$8="Y",D30,DT30),"")</f>
        <v/>
      </c>
      <c r="U30" s="441"/>
      <c r="V30" s="442"/>
      <c r="W30" s="870" t="str">
        <f>IF('Outline Info'!$C$33&gt;0,ROUND(IF('Outline Info'!$B$8="Y",SUM(S$7:S30)-SUM(AJ$7:AJ30)-'Outline Info'!$B$14-'Outline Info'!$B$15-'Outline Info'!$B$17,IF(AL30=0,SUM(S$7:S30)-SUM(AK$7:AK30)-SUM(AP30:AS30)-'Outline Info'!$B$14-'Outline Info'!$B$15-'Outline Info'!$B$17,0)),0),IF('Outline Info'!$T$4&lt;&gt;1,"",IF(OR(AD30="",AL30=1),"",SUM(AK$7:AK30)+SUM(AP30:AS30)+'Outline Info'!$B$14+'Outline Info'!$B$15+'Outline Info'!$B$17)))</f>
        <v/>
      </c>
      <c r="X30" s="448"/>
      <c r="Y30" s="452">
        <f>IF(OR(AE30="X",AE30="x",AE30="*",AC30=99999),0,IF(AC30&lt;50,0,IF($S$4-SUM($Y$7:$Y29)&gt;0,1,0)))</f>
        <v>0</v>
      </c>
      <c r="Z30" s="453">
        <f>IF(AC30&lt;99999,IF(AE30="*",AH30,IF(OR(AE30="x",AE30="X",AC30&lt;10),0,IF(AND(AC30&lt;&gt;9998,AC30&lt;&gt;9997),IF(AM30=1,(AH30+$AM$5)*(1+('Outline Info'!$B$16)),IF(AN30=1,(AH30+$AN$5)*(1+('Outline Info'!$B$16)),0)),AH30))),0)</f>
        <v>0</v>
      </c>
      <c r="AA30" s="454">
        <f>Z30/'Outline Info'!$C$11+Y30</f>
        <v>0</v>
      </c>
      <c r="AB30" s="454">
        <f>ROUND(AA30/'Outline Info'!$B$11*7,0)</f>
        <v>0</v>
      </c>
      <c r="AC30" s="445">
        <f>IF($AD30&lt;&gt;"",VLOOKUP($AD30,'Course Table'!$A$2:$J$331,10,TRUE),99999)</f>
        <v>99999</v>
      </c>
      <c r="AD30" s="394"/>
      <c r="AE30" s="394"/>
      <c r="AF30" s="394"/>
      <c r="AG30" s="394"/>
      <c r="AH30" s="394"/>
      <c r="AI30" s="394">
        <v>389</v>
      </c>
      <c r="AJ30" s="394">
        <v>389</v>
      </c>
      <c r="AK30" s="394">
        <f t="shared" si="10"/>
        <v>389</v>
      </c>
      <c r="AL30" s="394">
        <f t="shared" si="11"/>
        <v>0</v>
      </c>
      <c r="AM30" s="394">
        <f t="shared" si="12"/>
        <v>0</v>
      </c>
      <c r="AN30" s="394">
        <f t="shared" si="13"/>
        <v>0</v>
      </c>
      <c r="AO30" s="394">
        <f>IF(AN30=1,SUMPRODUCT($AJ$7:$AJ30,$AN$7:$AN30),0)</f>
        <v>0</v>
      </c>
      <c r="AP30" s="394">
        <f t="shared" si="14"/>
        <v>0</v>
      </c>
      <c r="AQ30" s="394">
        <f t="shared" si="14"/>
        <v>0</v>
      </c>
      <c r="AR30" s="394">
        <f t="shared" si="14"/>
        <v>0</v>
      </c>
      <c r="AS30" s="394">
        <f t="shared" si="14"/>
        <v>0</v>
      </c>
      <c r="AT30" s="394">
        <f t="shared" si="15"/>
        <v>0</v>
      </c>
      <c r="AU30" s="394">
        <f t="shared" si="15"/>
        <v>0</v>
      </c>
      <c r="AV30" s="394">
        <f t="shared" si="15"/>
        <v>0</v>
      </c>
      <c r="AW30" s="394">
        <f t="shared" si="15"/>
        <v>0</v>
      </c>
      <c r="AX30" s="394">
        <f t="shared" si="1"/>
        <v>0</v>
      </c>
      <c r="AY30" s="394">
        <f t="shared" si="2"/>
        <v>0</v>
      </c>
      <c r="AZ30" s="394">
        <f t="shared" si="3"/>
        <v>0</v>
      </c>
      <c r="BA30" s="394">
        <f t="shared" si="4"/>
        <v>0</v>
      </c>
      <c r="BB30" s="405">
        <f t="shared" si="22"/>
        <v>44473</v>
      </c>
      <c r="BC30" s="405">
        <f>BB30+IF(WEEKDAY(BB30)=1,1,IF(WEEKDAY(BB30)=7,2,0))+COUNTIF(ClosedDays!$B$4:$B$32,IF(WEEKDAY(BB30)=1,BB30+1,IF(WEEKDAY(BB30)=7,BB30+2,BB30)))+COUNTIF(ClosedDays!$F$4:$F$32,IF(WEEKDAY(BB30)=1,BB30+1,IF(WEEKDAY(BB30)=7,BB30+2,BB30)))+COUNTIF(ClosedDays!$J$4:$J$32,IF(WEEKDAY(BB30)=1,BB30+1,IF(WEEKDAY(BB30)=7,BB30+2,BB30)))+COUNTIF(ClosedDays!$N$4:$N$32,IF(WEEKDAY(BB30)=1,BB30+1,IF(WEEKDAY(BB30)=7,BB30+2,BB30)))</f>
        <v>44473</v>
      </c>
      <c r="BD30" s="405">
        <f>BC30+IF(WEEKDAY(BC30)=1,1,IF(WEEKDAY(BC30)=7,2,0))+COUNTIF(ClosedDays!$B$4:$B$32,IF(WEEKDAY(BC30)=1,BC30+1,IF(WEEKDAY(BC30)=7,BC30+2,BC30)))+COUNTIF(ClosedDays!$F$4:$F$32,IF(WEEKDAY(BC30)=1,BC30+1,IF(WEEKDAY(BC30)=7,BC30+2,BC30)))+COUNTIF(ClosedDays!$J$4:$J$32,IF(WEEKDAY(BC30)=1,BC30+1,IF(WEEKDAY(BC30)=7,BC30+2,BC30)))+COUNTIF(ClosedDays!$N$4:$N$32,IF(WEEKDAY(BC30)=1,BC30+1,IF(WEEKDAY(BC30)=7,BC30+2,BC30)))</f>
        <v>44473</v>
      </c>
      <c r="BE30" s="405">
        <f>BD30+IF(WEEKDAY(BD30)=1,1,IF(WEEKDAY(BD30)=7,2,0))+COUNTIF(ClosedDays!$B$4:$B$32,IF(WEEKDAY(BD30)=1,BD30+1,IF(WEEKDAY(BD30)=7,BD30+2,BD30)))+COUNTIF(ClosedDays!$F$4:$F$32,IF(WEEKDAY(BD30)=1,BD30+1,IF(WEEKDAY(BD30)=7,BD30+2,BD30)))+COUNTIF(ClosedDays!$J$4:$J$32,IF(WEEKDAY(BD30)=1,BD30+1,IF(WEEKDAY(BD30)=7,BD30+2,BD30)))+COUNTIF(ClosedDays!$N$4:$N$32,IF(WEEKDAY(BD30)=1,BD30+1,IF(WEEKDAY(BD30)=7,BD30+2,BD30)))</f>
        <v>44473</v>
      </c>
      <c r="BF30" s="405">
        <f>BE30+IF(WEEKDAY(BE30)=1,1,IF(WEEKDAY(BE30)=7,2,0))+COUNTIF(ClosedDays!$B$4:$B$32,IF(WEEKDAY(BE30)=1,BE30+1,IF(WEEKDAY(BE30)=7,BE30+2,BE30)))+COUNTIF(ClosedDays!$F$4:$F$32,IF(WEEKDAY(BE30)=1,BE30+1,IF(WEEKDAY(BE30)=7,BE30+2,BE30)))+COUNTIF(ClosedDays!$J$4:$J$32,IF(WEEKDAY(BE30)=1,BE30+1,IF(WEEKDAY(BE30)=7,BE30+2,BE30)))+COUNTIF(ClosedDays!$N$4:$N$32,IF(WEEKDAY(BE30)=1,BE30+1,IF(WEEKDAY(BE30)=7,BE30+2,BE30)))</f>
        <v>44473</v>
      </c>
      <c r="BG30" s="405">
        <f>BF30+IF(WEEKDAY(BF30)=1,1,IF(WEEKDAY(BF30)=7,2,0))+COUNTIF(ClosedDays!$B$4:$B$32,IF(WEEKDAY(BF30)=1,BF30+1,IF(WEEKDAY(BF30)=7,BF30+2,BF30)))+COUNTIF(ClosedDays!$F$4:$F$32,IF(WEEKDAY(BF30)=1,BF30+1,IF(WEEKDAY(BF30)=7,BF30+2,BF30)))+COUNTIF(ClosedDays!$J$4:$J$32,IF(WEEKDAY(BF30)=1,BF30+1,IF(WEEKDAY(BF30)=7,BF30+2,BF30)))+COUNTIF(ClosedDays!$N$4:$N$32,IF(WEEKDAY(BF30)=1,BF30+1,IF(WEEKDAY(BF30)=7,BF30+2,BF30)))</f>
        <v>44473</v>
      </c>
      <c r="BH30" s="405">
        <f>BG30+IF(WEEKDAY(BG30)=1,1,IF(WEEKDAY(BG30)=7,2,0))+COUNTIF(ClosedDays!$B$4:$B$32,IF(WEEKDAY(BG30)=1,BG30+1,IF(WEEKDAY(BG30)=7,BG30+2,BG30)))+COUNTIF(ClosedDays!$F$4:$F$32,IF(WEEKDAY(BG30)=1,BG30+1,IF(WEEKDAY(BG30)=7,BG30+2,BG30)))+COUNTIF(ClosedDays!$J$4:$J$32,IF(WEEKDAY(BG30)=1,BG30+1,IF(WEEKDAY(BG30)=7,BG30+2,BG30)))+COUNTIF(ClosedDays!$N$4:$N$32,IF(WEEKDAY(BG30)=1,BG30+1,IF(WEEKDAY(BG30)=7,BG30+2,BG30)))</f>
        <v>44473</v>
      </c>
      <c r="BI30" s="405">
        <f>BH30+IF(WEEKDAY(BH30)=1,1,IF(WEEKDAY(BH30)=7,2,0))+COUNTIF(ClosedDays!$B$4:$B$32,IF(WEEKDAY(BH30)=1,BH30+1,IF(WEEKDAY(BH30)=7,BH30+2,BH30)))+COUNTIF(ClosedDays!$F$4:$F$32,IF(WEEKDAY(BH30)=1,BH30+1,IF(WEEKDAY(BH30)=7,BH30+2,BH30)))+COUNTIF(ClosedDays!$J$4:$J$32,IF(WEEKDAY(BH30)=1,BH30+1,IF(WEEKDAY(BH30)=7,BH30+2,BH30)))+COUNTIF(ClosedDays!$N$4:$N$32,IF(WEEKDAY(BH30)=1,BH30+1,IF(WEEKDAY(BH30)=7,BH30+2,BH30)))</f>
        <v>44473</v>
      </c>
      <c r="BJ30" s="405">
        <f>BI30+IF(WEEKDAY(BI30)=1,1,IF(WEEKDAY(BI30)=7,2,0))+COUNTIF(ClosedDays!$B$4:$B$32,IF(WEEKDAY(BI30)=1,BI30+1,IF(WEEKDAY(BI30)=7,BI30+2,BI30)))+COUNTIF(ClosedDays!$F$4:$F$32,IF(WEEKDAY(BI30)=1,BI30+1,IF(WEEKDAY(BI30)=7,BI30+2,BI30)))+COUNTIF(ClosedDays!$J$4:$J$32,IF(WEEKDAY(BI30)=1,BI30+1,IF(WEEKDAY(BI30)=7,BI30+2,BI30)))+COUNTIF(ClosedDays!$N$4:$N$32,IF(WEEKDAY(BI30)=1,BI30+1,IF(WEEKDAY(BI30)=7,BI30+2,BI30)))</f>
        <v>44473</v>
      </c>
      <c r="BK30" s="405">
        <f>BJ30+IF(WEEKDAY(BJ30)=1,1,IF(WEEKDAY(BJ30)=7,2,0))+COUNTIF(ClosedDays!$B$4:$B$32,IF(WEEKDAY(BJ30)=1,BJ30+1,IF(WEEKDAY(BJ30)=7,BJ30+2,BJ30)))+COUNTIF(ClosedDays!$F$4:$F$32,IF(WEEKDAY(BJ30)=1,BJ30+1,IF(WEEKDAY(BJ30)=7,BJ30+2,BJ30)))+COUNTIF(ClosedDays!$J$4:$J$32,IF(WEEKDAY(BJ30)=1,BJ30+1,IF(WEEKDAY(BJ30)=7,BJ30+2,BJ30)))+COUNTIF(ClosedDays!$N$4:$N$32,IF(WEEKDAY(BJ30)=1,BJ30+1,IF(WEEKDAY(BJ30)=7,BJ30+2,BJ30)))</f>
        <v>44473</v>
      </c>
      <c r="BL30" s="405">
        <f>BK30+IF(WEEKDAY(BK30)=1,1,IF(WEEKDAY(BK30)=7,2,0))+COUNTIF(ClosedDays!$B$4:$B$32,IF(WEEKDAY(BK30)=1,BK30+1,IF(WEEKDAY(BK30)=7,BK30+2,BK30)))+COUNTIF(ClosedDays!$F$4:$F$32,IF(WEEKDAY(BK30)=1,BK30+1,IF(WEEKDAY(BK30)=7,BK30+2,BK30)))+COUNTIF(ClosedDays!$J$4:$J$32,IF(WEEKDAY(BK30)=1,BK30+1,IF(WEEKDAY(BK30)=7,BK30+2,BK30)))+COUNTIF(ClosedDays!$N$4:$N$32,IF(WEEKDAY(BK30)=1,BK30+1,IF(WEEKDAY(BK30)=7,BK30+2,BK30)))</f>
        <v>44473</v>
      </c>
      <c r="BM30" s="405">
        <f>BL30+IF(WEEKDAY(BL30)=1,1,IF(WEEKDAY(BL30)=7,2,0))+COUNTIF(ClosedDays!$B$4:$B$32,IF(WEEKDAY(BL30)=1,BL30+1,IF(WEEKDAY(BL30)=7,BL30+2,BL30)))+COUNTIF(ClosedDays!$F$4:$F$32,IF(WEEKDAY(BL30)=1,BL30+1,IF(WEEKDAY(BL30)=7,BL30+2,BL30)))+COUNTIF(ClosedDays!$J$4:$J$32,IF(WEEKDAY(BL30)=1,BL30+1,IF(WEEKDAY(BL30)=7,BL30+2,BL30)))+COUNTIF(ClosedDays!$N$4:$N$32,IF(WEEKDAY(BL30)=1,BL30+1,IF(WEEKDAY(BL30)=7,BL30+2,BL30)))</f>
        <v>44473</v>
      </c>
      <c r="BN30" s="405">
        <f>BM30+IF(WEEKDAY(BM30)=1,1,IF(WEEKDAY(BM30)=7,2,0))+COUNTIF(ClosedDays!$B$4:$B$32,IF(WEEKDAY(BM30)=1,BM30+1,IF(WEEKDAY(BM30)=7,BM30+2,BM30)))+COUNTIF(ClosedDays!$F$4:$F$32,IF(WEEKDAY(BM30)=1,BM30+1,IF(WEEKDAY(BM30)=7,BM30+2,BM30)))+COUNTIF(ClosedDays!$J$4:$J$32,IF(WEEKDAY(BM30)=1,BM30+1,IF(WEEKDAY(BM30)=7,BM30+2,BM30)))+COUNTIF(ClosedDays!$N$4:$N$32,IF(WEEKDAY(BM30)=1,BM30+1,IF(WEEKDAY(BM30)=7,BM30+2,BM30)))</f>
        <v>44473</v>
      </c>
      <c r="BO30" s="405">
        <f>BN30+IF(WEEKDAY(BN30)=1,1,IF(WEEKDAY(BN30)=7,2,0))+COUNTIF(ClosedDays!$B$4:$B$32,IF(WEEKDAY(BN30)=1,BN30+1,IF(WEEKDAY(BN30)=7,BN30+2,BN30)))+COUNTIF(ClosedDays!$F$4:$F$32,IF(WEEKDAY(BN30)=1,BN30+1,IF(WEEKDAY(BN30)=7,BN30+2,BN30)))+COUNTIF(ClosedDays!$J$4:$J$32,IF(WEEKDAY(BN30)=1,BN30+1,IF(WEEKDAY(BN30)=7,BN30+2,BN30)))+COUNTIF(ClosedDays!$N$4:$N$32,IF(WEEKDAY(BN30)=1,BN30+1,IF(WEEKDAY(BN30)=7,BN30+2,BN30)))</f>
        <v>44473</v>
      </c>
      <c r="BP30" s="405">
        <f>BO30+IF(WEEKDAY(BO30)=1,1,IF(WEEKDAY(BO30)=7,2,0))+COUNTIF(ClosedDays!$B$4:$B$32,IF(WEEKDAY(BO30)=1,BO30+1,IF(WEEKDAY(BO30)=7,BO30+2,BO30)))+COUNTIF(ClosedDays!$F$4:$F$32,IF(WEEKDAY(BO30)=1,BO30+1,IF(WEEKDAY(BO30)=7,BO30+2,BO30)))+COUNTIF(ClosedDays!$J$4:$J$32,IF(WEEKDAY(BO30)=1,BO30+1,IF(WEEKDAY(BO30)=7,BO30+2,BO30)))+COUNTIF(ClosedDays!$N$4:$N$32,IF(WEEKDAY(BO30)=1,BO30+1,IF(WEEKDAY(BO30)=7,BO30+2,BO30)))</f>
        <v>44473</v>
      </c>
      <c r="BQ30" s="405">
        <f t="shared" si="16"/>
        <v>44473</v>
      </c>
      <c r="BR30" s="446">
        <f>IF(AND($D30&lt;='Outline Info'!$H$31,BQ30&gt;='Outline Info'!$H$31,$BS$4=1,$AC30&gt;10,$AC30&lt;9997),1,0)</f>
        <v>0</v>
      </c>
      <c r="BS30" s="405">
        <f>IF(BR30=1,BQ30+'Outline Info'!$I$31-'Outline Info'!$H$31+1,BQ30)</f>
        <v>44473</v>
      </c>
      <c r="BT30" s="405">
        <f>BS30+IF(WEEKDAY(BS30)=1,1,IF(WEEKDAY(BS30)=7,2,0))+COUNTIF(ClosedDays!$B$4:$B$32,IF(WEEKDAY(BS30)=1,BS30+1,IF(WEEKDAY(BS30)=7,BS30+2,BS30)))+COUNTIF(ClosedDays!$F$4:$F$32,IF(WEEKDAY(BS30)=1,BS30+1,IF(WEEKDAY(BS30)=7,BS30+2,BS30)))+COUNTIF(ClosedDays!$J$4:$J$32,IF(WEEKDAY(BS30)=1,BS30+1,IF(WEEKDAY(BS30)=7,BS30+2,BS30)))+COUNTIF(ClosedDays!$N$4:$N$32,IF(WEEKDAY(BS30)=1,BS30+1,IF(WEEKDAY(BS30)=7,BS30+2,BS30)))</f>
        <v>44473</v>
      </c>
      <c r="BU30" s="405">
        <f>BT30+IF(WEEKDAY(BT30)=1,1,IF(WEEKDAY(BT30)=7,2,0))+COUNTIF(ClosedDays!$B$4:$B$32,IF(WEEKDAY(BT30)=1,BT30+1,IF(WEEKDAY(BT30)=7,BT30+2,BT30)))+COUNTIF(ClosedDays!$F$4:$F$32,IF(WEEKDAY(BT30)=1,BT30+1,IF(WEEKDAY(BT30)=7,BT30+2,BT30)))+COUNTIF(ClosedDays!$J$4:$J$32,IF(WEEKDAY(BT30)=1,BT30+1,IF(WEEKDAY(BT30)=7,BT30+2,BT30)))+COUNTIF(ClosedDays!$N$4:$N$32,IF(WEEKDAY(BT30)=1,BT30+1,IF(WEEKDAY(BT30)=7,BT30+2,BT30)))</f>
        <v>44473</v>
      </c>
      <c r="BV30" s="405">
        <f>BU30+IF(WEEKDAY(BU30)=1,1,IF(WEEKDAY(BU30)=7,2,0))+COUNTIF(ClosedDays!$B$4:$B$32,IF(WEEKDAY(BU30)=1,BU30+1,IF(WEEKDAY(BU30)=7,BU30+2,BU30)))+COUNTIF(ClosedDays!$F$4:$F$32,IF(WEEKDAY(BU30)=1,BU30+1,IF(WEEKDAY(BU30)=7,BU30+2,BU30)))+COUNTIF(ClosedDays!$J$4:$J$32,IF(WEEKDAY(BU30)=1,BU30+1,IF(WEEKDAY(BU30)=7,BU30+2,BU30)))+COUNTIF(ClosedDays!$N$4:$N$32,IF(WEEKDAY(BU30)=1,BU30+1,IF(WEEKDAY(BU30)=7,BU30+2,BU30)))</f>
        <v>44473</v>
      </c>
      <c r="BW30" s="405">
        <f>BV30+IF(WEEKDAY(BV30)=1,1,IF(WEEKDAY(BV30)=7,2,0))+COUNTIF(ClosedDays!$B$4:$B$32,IF(WEEKDAY(BV30)=1,BV30+1,IF(WEEKDAY(BV30)=7,BV30+2,BV30)))+COUNTIF(ClosedDays!$F$4:$F$32,IF(WEEKDAY(BV30)=1,BV30+1,IF(WEEKDAY(BV30)=7,BV30+2,BV30)))+COUNTIF(ClosedDays!$J$4:$J$32,IF(WEEKDAY(BV30)=1,BV30+1,IF(WEEKDAY(BV30)=7,BV30+2,BV30)))+COUNTIF(ClosedDays!$N$4:$N$32,IF(WEEKDAY(BV30)=1,BV30+1,IF(WEEKDAY(BV30)=7,BV30+2,BV30)))</f>
        <v>44473</v>
      </c>
      <c r="BX30" s="405">
        <f>BW30+IF(WEEKDAY(BW30)=1,1,IF(WEEKDAY(BW30)=7,2,0))+COUNTIF(ClosedDays!$B$4:$B$32,IF(WEEKDAY(BW30)=1,BW30+1,IF(WEEKDAY(BW30)=7,BW30+2,BW30)))+COUNTIF(ClosedDays!$F$4:$F$32,IF(WEEKDAY(BW30)=1,BW30+1,IF(WEEKDAY(BW30)=7,BW30+2,BW30)))+COUNTIF(ClosedDays!$J$4:$J$32,IF(WEEKDAY(BW30)=1,BW30+1,IF(WEEKDAY(BW30)=7,BW30+2,BW30)))+COUNTIF(ClosedDays!$N$4:$N$32,IF(WEEKDAY(BW30)=1,BW30+1,IF(WEEKDAY(BW30)=7,BW30+2,BW30)))</f>
        <v>44473</v>
      </c>
      <c r="BY30" s="405">
        <f>BX30+IF(WEEKDAY(BX30)=1,1,IF(WEEKDAY(BX30)=7,2,0))+COUNTIF(ClosedDays!$B$4:$B$32,IF(WEEKDAY(BX30)=1,BX30+1,IF(WEEKDAY(BX30)=7,BX30+2,BX30)))+COUNTIF(ClosedDays!$F$4:$F$32,IF(WEEKDAY(BX30)=1,BX30+1,IF(WEEKDAY(BX30)=7,BX30+2,BX30)))+COUNTIF(ClosedDays!$J$4:$J$32,IF(WEEKDAY(BX30)=1,BX30+1,IF(WEEKDAY(BX30)=7,BX30+2,BX30)))+COUNTIF(ClosedDays!$N$4:$N$32,IF(WEEKDAY(BX30)=1,BX30+1,IF(WEEKDAY(BX30)=7,BX30+2,BX30)))</f>
        <v>44473</v>
      </c>
      <c r="BZ30" s="405">
        <f>BY30+IF(WEEKDAY(BY30)=1,1,IF(WEEKDAY(BY30)=7,2,0))+COUNTIF(ClosedDays!$B$4:$B$32,IF(WEEKDAY(BY30)=1,BY30+1,IF(WEEKDAY(BY30)=7,BY30+2,BY30)))+COUNTIF(ClosedDays!$F$4:$F$32,IF(WEEKDAY(BY30)=1,BY30+1,IF(WEEKDAY(BY30)=7,BY30+2,BY30)))+COUNTIF(ClosedDays!$J$4:$J$32,IF(WEEKDAY(BY30)=1,BY30+1,IF(WEEKDAY(BY30)=7,BY30+2,BY30)))+COUNTIF(ClosedDays!$N$4:$N$32,IF(WEEKDAY(BY30)=1,BY30+1,IF(WEEKDAY(BY30)=7,BY30+2,BY30)))</f>
        <v>44473</v>
      </c>
      <c r="CA30" s="405">
        <f>BZ30+IF(WEEKDAY(BZ30)=1,1,IF(WEEKDAY(BZ30)=7,2,0))+COUNTIF(ClosedDays!$B$4:$B$32,IF(WEEKDAY(BZ30)=1,BZ30+1,IF(WEEKDAY(BZ30)=7,BZ30+2,BZ30)))+COUNTIF(ClosedDays!$F$4:$F$32,IF(WEEKDAY(BZ30)=1,BZ30+1,IF(WEEKDAY(BZ30)=7,BZ30+2,BZ30)))+COUNTIF(ClosedDays!$J$4:$J$32,IF(WEEKDAY(BZ30)=1,BZ30+1,IF(WEEKDAY(BZ30)=7,BZ30+2,BZ30)))+COUNTIF(ClosedDays!$N$4:$N$32,IF(WEEKDAY(BZ30)=1,BZ30+1,IF(WEEKDAY(BZ30)=7,BZ30+2,BZ30)))</f>
        <v>44473</v>
      </c>
      <c r="CB30" s="405">
        <f>CA30+IF(WEEKDAY(CA30)=1,1,IF(WEEKDAY(CA30)=7,2,0))+COUNTIF(ClosedDays!$B$4:$B$32,IF(WEEKDAY(CA30)=1,CA30+1,IF(WEEKDAY(CA30)=7,CA30+2,CA30)))+COUNTIF(ClosedDays!$F$4:$F$32,IF(WEEKDAY(CA30)=1,CA30+1,IF(WEEKDAY(CA30)=7,CA30+2,CA30)))+COUNTIF(ClosedDays!$J$4:$J$32,IF(WEEKDAY(CA30)=1,CA30+1,IF(WEEKDAY(CA30)=7,CA30+2,CA30)))+COUNTIF(ClosedDays!$N$4:$N$32,IF(WEEKDAY(CA30)=1,CA30+1,IF(WEEKDAY(CA30)=7,CA30+2,CA30)))</f>
        <v>44473</v>
      </c>
      <c r="CC30" s="405">
        <f>CB30+IF(WEEKDAY(CB30)=1,1,IF(WEEKDAY(CB30)=7,2,0))+COUNTIF(ClosedDays!$B$4:$B$32,IF(WEEKDAY(CB30)=1,CB30+1,IF(WEEKDAY(CB30)=7,CB30+2,CB30)))+COUNTIF(ClosedDays!$F$4:$F$32,IF(WEEKDAY(CB30)=1,CB30+1,IF(WEEKDAY(CB30)=7,CB30+2,CB30)))+COUNTIF(ClosedDays!$J$4:$J$32,IF(WEEKDAY(CB30)=1,CB30+1,IF(WEEKDAY(CB30)=7,CB30+2,CB30)))+COUNTIF(ClosedDays!$N$4:$N$32,IF(WEEKDAY(CB30)=1,CB30+1,IF(WEEKDAY(CB30)=7,CB30+2,CB30)))</f>
        <v>44473</v>
      </c>
      <c r="CD30" s="405">
        <f>CC30+IF(WEEKDAY(CC30)=1,1,IF(WEEKDAY(CC30)=7,2,0))+COUNTIF(ClosedDays!$B$4:$B$32,IF(WEEKDAY(CC30)=1,CC30+1,IF(WEEKDAY(CC30)=7,CC30+2,CC30)))+COUNTIF(ClosedDays!$F$4:$F$32,IF(WEEKDAY(CC30)=1,CC30+1,IF(WEEKDAY(CC30)=7,CC30+2,CC30)))+COUNTIF(ClosedDays!$J$4:$J$32,IF(WEEKDAY(CC30)=1,CC30+1,IF(WEEKDAY(CC30)=7,CC30+2,CC30)))+COUNTIF(ClosedDays!$N$4:$N$32,IF(WEEKDAY(CC30)=1,CC30+1,IF(WEEKDAY(CC30)=7,CC30+2,CC30)))</f>
        <v>44473</v>
      </c>
      <c r="CE30" s="405">
        <f>CD30+IF(WEEKDAY(CD30)=1,1,IF(WEEKDAY(CD30)=7,2,0))+COUNTIF(ClosedDays!$B$4:$B$32,IF(WEEKDAY(CD30)=1,CD30+1,IF(WEEKDAY(CD30)=7,CD30+2,CD30)))+COUNTIF(ClosedDays!$F$4:$F$32,IF(WEEKDAY(CD30)=1,CD30+1,IF(WEEKDAY(CD30)=7,CD30+2,CD30)))+COUNTIF(ClosedDays!$J$4:$J$32,IF(WEEKDAY(CD30)=1,CD30+1,IF(WEEKDAY(CD30)=7,CD30+2,CD30)))+COUNTIF(ClosedDays!$N$4:$N$32,IF(WEEKDAY(CD30)=1,CD30+1,IF(WEEKDAY(CD30)=7,CD30+2,CD30)))</f>
        <v>44473</v>
      </c>
      <c r="CF30" s="405">
        <f>CE30+IF(WEEKDAY(CE30)=1,1,IF(WEEKDAY(CE30)=7,2,0))+COUNTIF(ClosedDays!$B$4:$B$32,IF(WEEKDAY(CE30)=1,CE30+1,IF(WEEKDAY(CE30)=7,CE30+2,CE30)))+COUNTIF(ClosedDays!$F$4:$F$32,IF(WEEKDAY(CE30)=1,CE30+1,IF(WEEKDAY(CE30)=7,CE30+2,CE30)))+COUNTIF(ClosedDays!$J$4:$J$32,IF(WEEKDAY(CE30)=1,CE30+1,IF(WEEKDAY(CE30)=7,CE30+2,CE30)))+COUNTIF(ClosedDays!$N$4:$N$32,IF(WEEKDAY(CE30)=1,CE30+1,IF(WEEKDAY(CE30)=7,CE30+2,CE30)))</f>
        <v>44473</v>
      </c>
      <c r="CG30" s="405">
        <f>CF30+IF(WEEKDAY(CF30)=1,1,IF(WEEKDAY(CF30)=7,2,0))+COUNTIF(ClosedDays!$B$4:$B$32,IF(WEEKDAY(CF30)=1,CF30+1,IF(WEEKDAY(CF30)=7,CF30+2,CF30)))+COUNTIF(ClosedDays!$F$4:$F$32,IF(WEEKDAY(CF30)=1,CF30+1,IF(WEEKDAY(CF30)=7,CF30+2,CF30)))+COUNTIF(ClosedDays!$J$4:$J$32,IF(WEEKDAY(CF30)=1,CF30+1,IF(WEEKDAY(CF30)=7,CF30+2,CF30)))+COUNTIF(ClosedDays!$N$4:$N$32,IF(WEEKDAY(CF30)=1,CF30+1,IF(WEEKDAY(CF30)=7,CF30+2,CF30)))</f>
        <v>44473</v>
      </c>
      <c r="CH30" s="405">
        <f t="shared" si="17"/>
        <v>44473</v>
      </c>
      <c r="CI30" s="446">
        <f>IF(AND($D30&lt;='Outline Info'!$H$33,CH30&gt;='Outline Info'!$H$33,$CJ$4=1,$AC30&gt;10,$AC30&lt;9997),1,0)</f>
        <v>0</v>
      </c>
      <c r="CJ30" s="405">
        <f>IF(CI30=1,CH30+'Outline Info'!$I$33-'Outline Info'!$H$33+1,CH30)</f>
        <v>44473</v>
      </c>
      <c r="CK30" s="405">
        <f>CJ30+IF(WEEKDAY(CJ30)=1,1,IF(WEEKDAY(CJ30)=7,2,0))+COUNTIF(ClosedDays!$B$4:$B$32,IF(WEEKDAY(CJ30)=1,CJ30+1,IF(WEEKDAY(CJ30)=7,CJ30+2,CJ30)))+COUNTIF(ClosedDays!$F$4:$F$32,IF(WEEKDAY(CJ30)=1,CJ30+1,IF(WEEKDAY(CJ30)=7,CJ30+2,CJ30)))+COUNTIF(ClosedDays!$J$4:$J$32,IF(WEEKDAY(CJ30)=1,CJ30+1,IF(WEEKDAY(CJ30)=7,CJ30+2,CJ30)))+COUNTIF(ClosedDays!$N$4:$N$32,IF(WEEKDAY(CJ30)=1,CJ30+1,IF(WEEKDAY(CJ30)=7,CJ30+2,CJ30)))</f>
        <v>44473</v>
      </c>
      <c r="CL30" s="405">
        <f>CK30+IF(WEEKDAY(CK30)=1,1,IF(WEEKDAY(CK30)=7,2,0))+COUNTIF(ClosedDays!$B$4:$B$32,IF(WEEKDAY(CK30)=1,CK30+1,IF(WEEKDAY(CK30)=7,CK30+2,CK30)))+COUNTIF(ClosedDays!$F$4:$F$32,IF(WEEKDAY(CK30)=1,CK30+1,IF(WEEKDAY(CK30)=7,CK30+2,CK30)))+COUNTIF(ClosedDays!$J$4:$J$32,IF(WEEKDAY(CK30)=1,CK30+1,IF(WEEKDAY(CK30)=7,CK30+2,CK30)))+COUNTIF(ClosedDays!$N$4:$N$32,IF(WEEKDAY(CK30)=1,CK30+1,IF(WEEKDAY(CK30)=7,CK30+2,CK30)))</f>
        <v>44473</v>
      </c>
      <c r="CM30" s="405">
        <f>CL30+IF(WEEKDAY(CL30)=1,1,IF(WEEKDAY(CL30)=7,2,0))+COUNTIF(ClosedDays!$B$4:$B$32,IF(WEEKDAY(CL30)=1,CL30+1,IF(WEEKDAY(CL30)=7,CL30+2,CL30)))+COUNTIF(ClosedDays!$F$4:$F$32,IF(WEEKDAY(CL30)=1,CL30+1,IF(WEEKDAY(CL30)=7,CL30+2,CL30)))+COUNTIF(ClosedDays!$J$4:$J$32,IF(WEEKDAY(CL30)=1,CL30+1,IF(WEEKDAY(CL30)=7,CL30+2,CL30)))+COUNTIF(ClosedDays!$N$4:$N$32,IF(WEEKDAY(CL30)=1,CL30+1,IF(WEEKDAY(CL30)=7,CL30+2,CL30)))</f>
        <v>44473</v>
      </c>
      <c r="CN30" s="405">
        <f>CM30+IF(WEEKDAY(CM30)=1,1,IF(WEEKDAY(CM30)=7,2,0))+COUNTIF(ClosedDays!$B$4:$B$32,IF(WEEKDAY(CM30)=1,CM30+1,IF(WEEKDAY(CM30)=7,CM30+2,CM30)))+COUNTIF(ClosedDays!$F$4:$F$32,IF(WEEKDAY(CM30)=1,CM30+1,IF(WEEKDAY(CM30)=7,CM30+2,CM30)))+COUNTIF(ClosedDays!$J$4:$J$32,IF(WEEKDAY(CM30)=1,CM30+1,IF(WEEKDAY(CM30)=7,CM30+2,CM30)))+COUNTIF(ClosedDays!$N$4:$N$32,IF(WEEKDAY(CM30)=1,CM30+1,IF(WEEKDAY(CM30)=7,CM30+2,CM30)))</f>
        <v>44473</v>
      </c>
      <c r="CO30" s="405">
        <f>CN30+IF(WEEKDAY(CN30)=1,1,IF(WEEKDAY(CN30)=7,2,0))+COUNTIF(ClosedDays!$B$4:$B$32,IF(WEEKDAY(CN30)=1,CN30+1,IF(WEEKDAY(CN30)=7,CN30+2,CN30)))+COUNTIF(ClosedDays!$F$4:$F$32,IF(WEEKDAY(CN30)=1,CN30+1,IF(WEEKDAY(CN30)=7,CN30+2,CN30)))+COUNTIF(ClosedDays!$J$4:$J$32,IF(WEEKDAY(CN30)=1,CN30+1,IF(WEEKDAY(CN30)=7,CN30+2,CN30)))+COUNTIF(ClosedDays!$N$4:$N$32,IF(WEEKDAY(CN30)=1,CN30+1,IF(WEEKDAY(CN30)=7,CN30+2,CN30)))</f>
        <v>44473</v>
      </c>
      <c r="CP30" s="405">
        <f>CO30+IF(WEEKDAY(CO30)=1,1,IF(WEEKDAY(CO30)=7,2,0))+COUNTIF(ClosedDays!$B$4:$B$32,IF(WEEKDAY(CO30)=1,CO30+1,IF(WEEKDAY(CO30)=7,CO30+2,CO30)))+COUNTIF(ClosedDays!$F$4:$F$32,IF(WEEKDAY(CO30)=1,CO30+1,IF(WEEKDAY(CO30)=7,CO30+2,CO30)))+COUNTIF(ClosedDays!$J$4:$J$32,IF(WEEKDAY(CO30)=1,CO30+1,IF(WEEKDAY(CO30)=7,CO30+2,CO30)))+COUNTIF(ClosedDays!$N$4:$N$32,IF(WEEKDAY(CO30)=1,CO30+1,IF(WEEKDAY(CO30)=7,CO30+2,CO30)))</f>
        <v>44473</v>
      </c>
      <c r="CQ30" s="405">
        <f>CP30+IF(WEEKDAY(CP30)=1,1,IF(WEEKDAY(CP30)=7,2,0))+COUNTIF(ClosedDays!$B$4:$B$32,IF(WEEKDAY(CP30)=1,CP30+1,IF(WEEKDAY(CP30)=7,CP30+2,CP30)))+COUNTIF(ClosedDays!$F$4:$F$32,IF(WEEKDAY(CP30)=1,CP30+1,IF(WEEKDAY(CP30)=7,CP30+2,CP30)))+COUNTIF(ClosedDays!$J$4:$J$32,IF(WEEKDAY(CP30)=1,CP30+1,IF(WEEKDAY(CP30)=7,CP30+2,CP30)))+COUNTIF(ClosedDays!$N$4:$N$32,IF(WEEKDAY(CP30)=1,CP30+1,IF(WEEKDAY(CP30)=7,CP30+2,CP30)))</f>
        <v>44473</v>
      </c>
      <c r="CR30" s="405">
        <f>CQ30+IF(WEEKDAY(CQ30)=1,1,IF(WEEKDAY(CQ30)=7,2,0))+COUNTIF(ClosedDays!$B$4:$B$32,IF(WEEKDAY(CQ30)=1,CQ30+1,IF(WEEKDAY(CQ30)=7,CQ30+2,CQ30)))+COUNTIF(ClosedDays!$F$4:$F$32,IF(WEEKDAY(CQ30)=1,CQ30+1,IF(WEEKDAY(CQ30)=7,CQ30+2,CQ30)))+COUNTIF(ClosedDays!$J$4:$J$32,IF(WEEKDAY(CQ30)=1,CQ30+1,IF(WEEKDAY(CQ30)=7,CQ30+2,CQ30)))+COUNTIF(ClosedDays!$N$4:$N$32,IF(WEEKDAY(CQ30)=1,CQ30+1,IF(WEEKDAY(CQ30)=7,CQ30+2,CQ30)))</f>
        <v>44473</v>
      </c>
      <c r="CS30" s="405">
        <f>CR30+IF(WEEKDAY(CR30)=1,1,IF(WEEKDAY(CR30)=7,2,0))+COUNTIF(ClosedDays!$B$4:$B$32,IF(WEEKDAY(CR30)=1,CR30+1,IF(WEEKDAY(CR30)=7,CR30+2,CR30)))+COUNTIF(ClosedDays!$F$4:$F$32,IF(WEEKDAY(CR30)=1,CR30+1,IF(WEEKDAY(CR30)=7,CR30+2,CR30)))+COUNTIF(ClosedDays!$J$4:$J$32,IF(WEEKDAY(CR30)=1,CR30+1,IF(WEEKDAY(CR30)=7,CR30+2,CR30)))+COUNTIF(ClosedDays!$N$4:$N$32,IF(WEEKDAY(CR30)=1,CR30+1,IF(WEEKDAY(CR30)=7,CR30+2,CR30)))</f>
        <v>44473</v>
      </c>
      <c r="CT30" s="405">
        <f>CS30+IF(WEEKDAY(CS30)=1,1,IF(WEEKDAY(CS30)=7,2,0))+COUNTIF(ClosedDays!$B$4:$B$32,IF(WEEKDAY(CS30)=1,CS30+1,IF(WEEKDAY(CS30)=7,CS30+2,CS30)))+COUNTIF(ClosedDays!$F$4:$F$32,IF(WEEKDAY(CS30)=1,CS30+1,IF(WEEKDAY(CS30)=7,CS30+2,CS30)))+COUNTIF(ClosedDays!$J$4:$J$32,IF(WEEKDAY(CS30)=1,CS30+1,IF(WEEKDAY(CS30)=7,CS30+2,CS30)))+COUNTIF(ClosedDays!$N$4:$N$32,IF(WEEKDAY(CS30)=1,CS30+1,IF(WEEKDAY(CS30)=7,CS30+2,CS30)))</f>
        <v>44473</v>
      </c>
      <c r="CU30" s="405">
        <f>CT30+IF(WEEKDAY(CT30)=1,1,IF(WEEKDAY(CT30)=7,2,0))+COUNTIF(ClosedDays!$B$4:$B$32,IF(WEEKDAY(CT30)=1,CT30+1,IF(WEEKDAY(CT30)=7,CT30+2,CT30)))+COUNTIF(ClosedDays!$F$4:$F$32,IF(WEEKDAY(CT30)=1,CT30+1,IF(WEEKDAY(CT30)=7,CT30+2,CT30)))+COUNTIF(ClosedDays!$J$4:$J$32,IF(WEEKDAY(CT30)=1,CT30+1,IF(WEEKDAY(CT30)=7,CT30+2,CT30)))+COUNTIF(ClosedDays!$N$4:$N$32,IF(WEEKDAY(CT30)=1,CT30+1,IF(WEEKDAY(CT30)=7,CT30+2,CT30)))</f>
        <v>44473</v>
      </c>
      <c r="CV30" s="405">
        <f>CU30+IF(WEEKDAY(CU30)=1,1,IF(WEEKDAY(CU30)=7,2,0))+COUNTIF(ClosedDays!$B$4:$B$32,IF(WEEKDAY(CU30)=1,CU30+1,IF(WEEKDAY(CU30)=7,CU30+2,CU30)))+COUNTIF(ClosedDays!$F$4:$F$32,IF(WEEKDAY(CU30)=1,CU30+1,IF(WEEKDAY(CU30)=7,CU30+2,CU30)))+COUNTIF(ClosedDays!$J$4:$J$32,IF(WEEKDAY(CU30)=1,CU30+1,IF(WEEKDAY(CU30)=7,CU30+2,CU30)))+COUNTIF(ClosedDays!$N$4:$N$32,IF(WEEKDAY(CU30)=1,CU30+1,IF(WEEKDAY(CU30)=7,CU30+2,CU30)))</f>
        <v>44473</v>
      </c>
      <c r="CW30" s="405">
        <f>CV30+IF(WEEKDAY(CV30)=1,1,IF(WEEKDAY(CV30)=7,2,0))+COUNTIF(ClosedDays!$B$4:$B$32,IF(WEEKDAY(CV30)=1,CV30+1,IF(WEEKDAY(CV30)=7,CV30+2,CV30)))+COUNTIF(ClosedDays!$F$4:$F$32,IF(WEEKDAY(CV30)=1,CV30+1,IF(WEEKDAY(CV30)=7,CV30+2,CV30)))+COUNTIF(ClosedDays!$J$4:$J$32,IF(WEEKDAY(CV30)=1,CV30+1,IF(WEEKDAY(CV30)=7,CV30+2,CV30)))+COUNTIF(ClosedDays!$N$4:$N$32,IF(WEEKDAY(CV30)=1,CV30+1,IF(WEEKDAY(CV30)=7,CV30+2,CV30)))</f>
        <v>44473</v>
      </c>
      <c r="CX30" s="405">
        <f>CW30+IF(WEEKDAY(CW30)=1,1,IF(WEEKDAY(CW30)=7,2,0))+COUNTIF(ClosedDays!$B$4:$B$32,IF(WEEKDAY(CW30)=1,CW30+1,IF(WEEKDAY(CW30)=7,CW30+2,CW30)))+COUNTIF(ClosedDays!$F$4:$F$32,IF(WEEKDAY(CW30)=1,CW30+1,IF(WEEKDAY(CW30)=7,CW30+2,CW30)))+COUNTIF(ClosedDays!$J$4:$J$32,IF(WEEKDAY(CW30)=1,CW30+1,IF(WEEKDAY(CW30)=7,CW30+2,CW30)))+COUNTIF(ClosedDays!$N$4:$N$32,IF(WEEKDAY(CW30)=1,CW30+1,IF(WEEKDAY(CW30)=7,CW30+2,CW30)))</f>
        <v>44473</v>
      </c>
      <c r="CY30" s="405">
        <f t="shared" si="18"/>
        <v>44473</v>
      </c>
      <c r="CZ30" s="446">
        <f>IF(AND($D30&lt;='Outline Info'!$E$33,CY30&gt;='Outline Info'!$E$33,$AC30&gt;10,$AC30&lt;9997),1,0)</f>
        <v>0</v>
      </c>
      <c r="DA30" s="405">
        <f>IF(AND($D30&lt;='Outline Info'!$E$33,CY30&gt;='Outline Info'!$E$33),CY30+'Outline Info'!$F$33-'Outline Info'!$E$33+1,CY30)</f>
        <v>44473</v>
      </c>
      <c r="DB30" s="405">
        <f>DA30+IF(WEEKDAY(DA30)=1,1,IF(WEEKDAY(DA30)=7,2,0))+COUNTIF(ClosedDays!$B$4:$B$32,IF(WEEKDAY(DA30)=1,DA30+1,IF(WEEKDAY(DA30)=7,DA30+2,DA30)))+COUNTIF(ClosedDays!$F$4:$F$32,IF(WEEKDAY(DA30)=1,DA30+1,IF(WEEKDAY(DA30)=7,DA30+2,DA30)))+COUNTIF(ClosedDays!$J$4:$J$32,IF(WEEKDAY(DA30)=1,DA30+1,IF(WEEKDAY(DA30)=7,DA30+2,DA30)))+COUNTIF(ClosedDays!$N$4:$N$32,IF(WEEKDAY(DA30)=1,DA30+1,IF(WEEKDAY(DA30)=7,DA30+2,DA30)))</f>
        <v>44473</v>
      </c>
      <c r="DC30" s="405">
        <f>DB30+IF(WEEKDAY(DB30)=1,1,IF(WEEKDAY(DB30)=7,2,0))+COUNTIF(ClosedDays!$B$4:$B$32,IF(WEEKDAY(DB30)=1,DB30+1,IF(WEEKDAY(DB30)=7,DB30+2,DB30)))+COUNTIF(ClosedDays!$F$4:$F$32,IF(WEEKDAY(DB30)=1,DB30+1,IF(WEEKDAY(DB30)=7,DB30+2,DB30)))+COUNTIF(ClosedDays!$J$4:$J$32,IF(WEEKDAY(DB30)=1,DB30+1,IF(WEEKDAY(DB30)=7,DB30+2,DB30)))+COUNTIF(ClosedDays!$N$4:$N$32,IF(WEEKDAY(DB30)=1,DB30+1,IF(WEEKDAY(DB30)=7,DB30+2,DB30)))</f>
        <v>44473</v>
      </c>
      <c r="DD30" s="405">
        <f>DC30+IF(WEEKDAY(DC30)=1,1,IF(WEEKDAY(DC30)=7,2,0))+COUNTIF(ClosedDays!$B$4:$B$32,IF(WEEKDAY(DC30)=1,DC30+1,IF(WEEKDAY(DC30)=7,DC30+2,DC30)))+COUNTIF(ClosedDays!$F$4:$F$32,IF(WEEKDAY(DC30)=1,DC30+1,IF(WEEKDAY(DC30)=7,DC30+2,DC30)))+COUNTIF(ClosedDays!$J$4:$J$32,IF(WEEKDAY(DC30)=1,DC30+1,IF(WEEKDAY(DC30)=7,DC30+2,DC30)))+COUNTIF(ClosedDays!$N$4:$N$32,IF(WEEKDAY(DC30)=1,DC30+1,IF(WEEKDAY(DC30)=7,DC30+2,DC30)))</f>
        <v>44473</v>
      </c>
      <c r="DE30" s="405">
        <f>DD30+IF(WEEKDAY(DD30)=1,1,IF(WEEKDAY(DD30)=7,2,0))+COUNTIF(ClosedDays!$B$4:$B$32,IF(WEEKDAY(DD30)=1,DD30+1,IF(WEEKDAY(DD30)=7,DD30+2,DD30)))+COUNTIF(ClosedDays!$F$4:$F$32,IF(WEEKDAY(DD30)=1,DD30+1,IF(WEEKDAY(DD30)=7,DD30+2,DD30)))+COUNTIF(ClosedDays!$J$4:$J$32,IF(WEEKDAY(DD30)=1,DD30+1,IF(WEEKDAY(DD30)=7,DD30+2,DD30)))+COUNTIF(ClosedDays!$N$4:$N$32,IF(WEEKDAY(DD30)=1,DD30+1,IF(WEEKDAY(DD30)=7,DD30+2,DD30)))</f>
        <v>44473</v>
      </c>
      <c r="DF30" s="405">
        <f>DE30+IF(WEEKDAY(DE30)=1,1,IF(WEEKDAY(DE30)=7,2,0))+COUNTIF(ClosedDays!$B$4:$B$32,IF(WEEKDAY(DE30)=1,DE30+1,IF(WEEKDAY(DE30)=7,DE30+2,DE30)))+COUNTIF(ClosedDays!$F$4:$F$32,IF(WEEKDAY(DE30)=1,DE30+1,IF(WEEKDAY(DE30)=7,DE30+2,DE30)))+COUNTIF(ClosedDays!$J$4:$J$32,IF(WEEKDAY(DE30)=1,DE30+1,IF(WEEKDAY(DE30)=7,DE30+2,DE30)))+COUNTIF(ClosedDays!$N$4:$N$32,IF(WEEKDAY(DE30)=1,DE30+1,IF(WEEKDAY(DE30)=7,DE30+2,DE30)))</f>
        <v>44473</v>
      </c>
      <c r="DG30" s="405">
        <f>DF30+IF(WEEKDAY(DF30)=1,1,IF(WEEKDAY(DF30)=7,2,0))+COUNTIF(ClosedDays!$B$4:$B$32,IF(WEEKDAY(DF30)=1,DF30+1,IF(WEEKDAY(DF30)=7,DF30+2,DF30)))+COUNTIF(ClosedDays!$F$4:$F$32,IF(WEEKDAY(DF30)=1,DF30+1,IF(WEEKDAY(DF30)=7,DF30+2,DF30)))+COUNTIF(ClosedDays!$J$4:$J$32,IF(WEEKDAY(DF30)=1,DF30+1,IF(WEEKDAY(DF30)=7,DF30+2,DF30)))+COUNTIF(ClosedDays!$N$4:$N$32,IF(WEEKDAY(DF30)=1,DF30+1,IF(WEEKDAY(DF30)=7,DF30+2,DF30)))</f>
        <v>44473</v>
      </c>
      <c r="DH30" s="405">
        <f>DG30+IF(WEEKDAY(DG30)=1,1,IF(WEEKDAY(DG30)=7,2,0))+COUNTIF(ClosedDays!$B$4:$B$32,IF(WEEKDAY(DG30)=1,DG30+1,IF(WEEKDAY(DG30)=7,DG30+2,DG30)))+COUNTIF(ClosedDays!$F$4:$F$32,IF(WEEKDAY(DG30)=1,DG30+1,IF(WEEKDAY(DG30)=7,DG30+2,DG30)))+COUNTIF(ClosedDays!$J$4:$J$32,IF(WEEKDAY(DG30)=1,DG30+1,IF(WEEKDAY(DG30)=7,DG30+2,DG30)))+COUNTIF(ClosedDays!$N$4:$N$32,IF(WEEKDAY(DG30)=1,DG30+1,IF(WEEKDAY(DG30)=7,DG30+2,DG30)))</f>
        <v>44473</v>
      </c>
      <c r="DI30" s="405">
        <f>DH30+IF(WEEKDAY(DH30)=1,1,IF(WEEKDAY(DH30)=7,2,0))+COUNTIF(ClosedDays!$B$4:$B$32,IF(WEEKDAY(DH30)=1,DH30+1,IF(WEEKDAY(DH30)=7,DH30+2,DH30)))+COUNTIF(ClosedDays!$F$4:$F$32,IF(WEEKDAY(DH30)=1,DH30+1,IF(WEEKDAY(DH30)=7,DH30+2,DH30)))+COUNTIF(ClosedDays!$J$4:$J$32,IF(WEEKDAY(DH30)=1,DH30+1,IF(WEEKDAY(DH30)=7,DH30+2,DH30)))+COUNTIF(ClosedDays!$N$4:$N$32,IF(WEEKDAY(DH30)=1,DH30+1,IF(WEEKDAY(DH30)=7,DH30+2,DH30)))</f>
        <v>44473</v>
      </c>
      <c r="DJ30" s="405">
        <f>DI30+IF(WEEKDAY(DI30)=1,1,IF(WEEKDAY(DI30)=7,2,0))+COUNTIF(ClosedDays!$B$4:$B$32,IF(WEEKDAY(DI30)=1,DI30+1,IF(WEEKDAY(DI30)=7,DI30+2,DI30)))+COUNTIF(ClosedDays!$F$4:$F$32,IF(WEEKDAY(DI30)=1,DI30+1,IF(WEEKDAY(DI30)=7,DI30+2,DI30)))+COUNTIF(ClosedDays!$J$4:$J$32,IF(WEEKDAY(DI30)=1,DI30+1,IF(WEEKDAY(DI30)=7,DI30+2,DI30)))+COUNTIF(ClosedDays!$N$4:$N$32,IF(WEEKDAY(DI30)=1,DI30+1,IF(WEEKDAY(DI30)=7,DI30+2,DI30)))</f>
        <v>44473</v>
      </c>
      <c r="DK30" s="405">
        <f>DJ30+IF(WEEKDAY(DJ30)=1,1,IF(WEEKDAY(DJ30)=7,2,0))+COUNTIF(ClosedDays!$B$4:$B$32,IF(WEEKDAY(DJ30)=1,DJ30+1,IF(WEEKDAY(DJ30)=7,DJ30+2,DJ30)))+COUNTIF(ClosedDays!$F$4:$F$32,IF(WEEKDAY(DJ30)=1,DJ30+1,IF(WEEKDAY(DJ30)=7,DJ30+2,DJ30)))+COUNTIF(ClosedDays!$J$4:$J$32,IF(WEEKDAY(DJ30)=1,DJ30+1,IF(WEEKDAY(DJ30)=7,DJ30+2,DJ30)))+COUNTIF(ClosedDays!$N$4:$N$32,IF(WEEKDAY(DJ30)=1,DJ30+1,IF(WEEKDAY(DJ30)=7,DJ30+2,DJ30)))</f>
        <v>44473</v>
      </c>
      <c r="DL30" s="405">
        <f>DK30+IF(WEEKDAY(DK30)=1,1,IF(WEEKDAY(DK30)=7,2,0))+COUNTIF(ClosedDays!$B$4:$B$32,IF(WEEKDAY(DK30)=1,DK30+1,IF(WEEKDAY(DK30)=7,DK30+2,DK30)))+COUNTIF(ClosedDays!$F$4:$F$32,IF(WEEKDAY(DK30)=1,DK30+1,IF(WEEKDAY(DK30)=7,DK30+2,DK30)))+COUNTIF(ClosedDays!$J$4:$J$32,IF(WEEKDAY(DK30)=1,DK30+1,IF(WEEKDAY(DK30)=7,DK30+2,DK30)))+COUNTIF(ClosedDays!$N$4:$N$32,IF(WEEKDAY(DK30)=1,DK30+1,IF(WEEKDAY(DK30)=7,DK30+2,DK30)))</f>
        <v>44473</v>
      </c>
      <c r="DM30" s="405">
        <f>DL30+IF(WEEKDAY(DL30)=1,1,IF(WEEKDAY(DL30)=7,2,0))+COUNTIF(ClosedDays!$B$4:$B$32,IF(WEEKDAY(DL30)=1,DL30+1,IF(WEEKDAY(DL30)=7,DL30+2,DL30)))+COUNTIF(ClosedDays!$F$4:$F$32,IF(WEEKDAY(DL30)=1,DL30+1,IF(WEEKDAY(DL30)=7,DL30+2,DL30)))+COUNTIF(ClosedDays!$J$4:$J$32,IF(WEEKDAY(DL30)=1,DL30+1,IF(WEEKDAY(DL30)=7,DL30+2,DL30)))+COUNTIF(ClosedDays!$N$4:$N$32,IF(WEEKDAY(DL30)=1,DL30+1,IF(WEEKDAY(DL30)=7,DL30+2,DL30)))</f>
        <v>44473</v>
      </c>
      <c r="DN30" s="405">
        <f>DM30+IF(WEEKDAY(DM30)=1,1,IF(WEEKDAY(DM30)=7,2,0))+COUNTIF(ClosedDays!$B$4:$B$32,IF(WEEKDAY(DM30)=1,DM30+1,IF(WEEKDAY(DM30)=7,DM30+2,DM30)))+COUNTIF(ClosedDays!$F$4:$F$32,IF(WEEKDAY(DM30)=1,DM30+1,IF(WEEKDAY(DM30)=7,DM30+2,DM30)))+COUNTIF(ClosedDays!$J$4:$J$32,IF(WEEKDAY(DM30)=1,DM30+1,IF(WEEKDAY(DM30)=7,DM30+2,DM30)))+COUNTIF(ClosedDays!$N$4:$N$32,IF(WEEKDAY(DM30)=1,DM30+1,IF(WEEKDAY(DM30)=7,DM30+2,DM30)))</f>
        <v>44473</v>
      </c>
      <c r="DO30" s="405">
        <f>DN30+IF(WEEKDAY(DN30)=1,1,IF(WEEKDAY(DN30)=7,2,0))+COUNTIF(ClosedDays!$B$4:$B$32,IF(WEEKDAY(DN30)=1,DN30+1,IF(WEEKDAY(DN30)=7,DN30+2,DN30)))+COUNTIF(ClosedDays!$F$4:$F$32,IF(WEEKDAY(DN30)=1,DN30+1,IF(WEEKDAY(DN30)=7,DN30+2,DN30)))+COUNTIF(ClosedDays!$J$4:$J$32,IF(WEEKDAY(DN30)=1,DN30+1,IF(WEEKDAY(DN30)=7,DN30+2,DN30)))+COUNTIF(ClosedDays!$N$4:$N$32,IF(WEEKDAY(DN30)=1,DN30+1,IF(WEEKDAY(DN30)=7,DN30+2,DN30)))</f>
        <v>44473</v>
      </c>
      <c r="DP30" s="405">
        <f t="shared" si="23"/>
        <v>44473</v>
      </c>
      <c r="DQ30" s="405">
        <f t="shared" si="20"/>
        <v>44473</v>
      </c>
      <c r="DR30" s="394">
        <f t="shared" si="19"/>
        <v>1</v>
      </c>
      <c r="DS30" s="394">
        <f>IF(AND(DR30=1,COUNTIF(DS$7:DS29,1)&lt;12,VLOOKUP(COUNTIF(DS$7:DS29,1)+1,'Outline Info'!$A$21:$C$32,2)&lt;=I30),1,0)</f>
        <v>0</v>
      </c>
      <c r="DT30" s="405" t="str">
        <f>IF(DS30=1,IF(VLOOKUP(COUNTIF(DS$7:DS30,1),'Outline Info'!$A$21:$C$32,2)=0,"",VLOOKUP(COUNTIF(DS$7:DS30,1),'Outline Info'!$A$21:$C$32,2)),"")</f>
        <v/>
      </c>
      <c r="DU30" s="447">
        <f>IF(DS30=1,VLOOKUP(COUNTIF(DS$7:DS30,1),'Outline Info'!$A$21:$C$32,3),0)</f>
        <v>0</v>
      </c>
      <c r="DV30" s="445">
        <f>IF('Outline Info'!$B$8="Y",IF(B30="*",'Outline Info'!$B$19,IF(OR($A30="",B30="X",B30="x"),0,VLOOKUP($A30,'Course Table'!$A$2:$J$331,4,TRUE))),0)</f>
        <v>0</v>
      </c>
      <c r="DW30" s="447">
        <f t="shared" si="6"/>
        <v>0</v>
      </c>
      <c r="DX30" s="447">
        <f>IF('Outline Info'!$B$8="Y",$DV30,$DW30)</f>
        <v>0</v>
      </c>
      <c r="DY30" s="394"/>
      <c r="DZ30" s="934"/>
      <c r="EA30" s="934"/>
      <c r="EB30" s="394"/>
      <c r="EC30" s="394"/>
      <c r="ED30" s="394"/>
    </row>
    <row r="31" spans="1:134" s="400" customFormat="1" ht="20.100000000000001" customHeight="1">
      <c r="A31" s="874" t="str">
        <f t="shared" si="7"/>
        <v/>
      </c>
      <c r="B31" s="876" t="str">
        <f t="shared" si="8"/>
        <v/>
      </c>
      <c r="C31" s="878" t="str">
        <f t="shared" si="9"/>
        <v/>
      </c>
      <c r="D31" s="463">
        <f>IF(NOT(ISBLANK(DZ31)),DZ31,IF(AND($AC31=9998,'Outline Info'!$H$33&gt;='Outline Info'!$B$6,'Outline Info'!$H$33&lt;='Outline Info'!$C$6),'Outline Info'!$H$33,IF(AND($AC31=9997,'Outline Info'!$H$31&gt;='Outline Info'!$B$6,'Outline Info'!$H$31&lt;='Outline Info'!$C$6),'Outline Info'!$H$31,IF(AE31="*",DQ30,IF(OR(AE31="x",AE31="X"),I30,IF(AND(AC31&gt;6,AC30&lt;6),DQ30,IF(AND($AC31=9998,$AC30=9997),I29,I30)))))))</f>
        <v>44470</v>
      </c>
      <c r="E31" s="1286"/>
      <c r="F31" s="1287"/>
      <c r="G31" s="1282"/>
      <c r="H31" s="1283"/>
      <c r="I31" s="464">
        <f>IF(AND($AC31=9998,'Outline Info'!$I$33&gt;='Outline Info'!$B$6,'Outline Info'!$I$33&lt;='Outline Info'!$C$6),'Outline Info'!$I$33,IF(AND($AC31=9997,'Outline Info'!$I$31&gt;='Outline Info'!$B$6,'Outline Info'!$I$31&lt;='Outline Info'!$C$6),'Outline Info'!$I$31,IF(DP31&gt;$V$4,$V$4,DP31)))</f>
        <v>44470</v>
      </c>
      <c r="J31" s="436"/>
      <c r="K31" s="437"/>
      <c r="L31" s="438"/>
      <c r="M31" s="438"/>
      <c r="N31" s="435"/>
      <c r="O31" s="435"/>
      <c r="P31" s="438"/>
      <c r="Q31" s="438"/>
      <c r="R31" s="439"/>
      <c r="S31" s="872">
        <f>IF($V$5-SUM($DX$7:$DX31)&lt;0,IF($V$5-SUM($DX$7:$DX30)&lt;0,0,$V$5-SUM($DX$7:$DX30)),DX31)</f>
        <v>0</v>
      </c>
      <c r="T31" s="440" t="str">
        <f>IF(S31&gt;0,IF('Outline Info'!$B$8="Y",D31,DT31),"")</f>
        <v/>
      </c>
      <c r="U31" s="441"/>
      <c r="V31" s="442"/>
      <c r="W31" s="870" t="str">
        <f>IF('Outline Info'!$C$33&gt;0,ROUND(IF('Outline Info'!$B$8="Y",SUM(S$7:S31)-SUM(AJ$7:AJ31)-'Outline Info'!$B$14-'Outline Info'!$B$15-'Outline Info'!$B$17,IF(AL31=0,SUM(S$7:S31)-SUM(AK$7:AK31)-SUM(AP31:AS31)-'Outline Info'!$B$14-'Outline Info'!$B$15-'Outline Info'!$B$17,0)),0),IF('Outline Info'!$T$4&lt;&gt;1,"",IF(OR(AD31="",AL31=1),"",SUM(AK$7:AK31)+SUM(AP31:AS31)+'Outline Info'!$B$14+'Outline Info'!$B$15+'Outline Info'!$B$17)))</f>
        <v/>
      </c>
      <c r="X31" s="448"/>
      <c r="Y31" s="443">
        <f>IF(OR(AE31="X",AE31="x",AE31="*",AC31=99999),0,IF(AC31&lt;50,0,IF($S$4-SUM($Y$7:$Y30)&gt;0,1,0)))</f>
        <v>0</v>
      </c>
      <c r="Z31" s="444">
        <f>IF(AC31&lt;99999,IF(AE31="*",AH31,IF(OR(AE31="x",AE31="X",AC31&lt;10),0,IF(AND(AC31&lt;&gt;9998,AC31&lt;&gt;9997),IF(AM31=1,(AH31+$AM$5)*(1+('Outline Info'!$B$16)),IF(AN31=1,(AH31+$AN$5)*(1+('Outline Info'!$B$16)),0)),AH31))),0)</f>
        <v>0</v>
      </c>
      <c r="AA31" s="395">
        <f>Z31/'Outline Info'!$C$11+Y31</f>
        <v>0</v>
      </c>
      <c r="AB31" s="395">
        <f>ROUND(AA31/'Outline Info'!$B$11*7,0)</f>
        <v>0</v>
      </c>
      <c r="AC31" s="445">
        <f>IF($AD31&lt;&gt;"",VLOOKUP($AD31,'Course Table'!$A$2:$J$331,10,TRUE),99999)</f>
        <v>99999</v>
      </c>
      <c r="AD31" s="394"/>
      <c r="AE31" s="394"/>
      <c r="AF31" s="394"/>
      <c r="AG31" s="394"/>
      <c r="AH31" s="394"/>
      <c r="AI31" s="394">
        <v>389</v>
      </c>
      <c r="AJ31" s="394">
        <v>389</v>
      </c>
      <c r="AK31" s="394">
        <f t="shared" si="10"/>
        <v>389</v>
      </c>
      <c r="AL31" s="394">
        <f t="shared" si="11"/>
        <v>0</v>
      </c>
      <c r="AM31" s="394">
        <f t="shared" si="12"/>
        <v>0</v>
      </c>
      <c r="AN31" s="394">
        <f t="shared" si="13"/>
        <v>0</v>
      </c>
      <c r="AO31" s="394">
        <f>IF(AN31=1,SUMPRODUCT($AJ$7:$AJ31,$AN$7:$AN31),0)</f>
        <v>0</v>
      </c>
      <c r="AP31" s="394">
        <f t="shared" si="14"/>
        <v>0</v>
      </c>
      <c r="AQ31" s="394">
        <f t="shared" si="14"/>
        <v>0</v>
      </c>
      <c r="AR31" s="394">
        <f t="shared" si="14"/>
        <v>0</v>
      </c>
      <c r="AS31" s="394">
        <f t="shared" si="14"/>
        <v>0</v>
      </c>
      <c r="AT31" s="394">
        <f t="shared" si="15"/>
        <v>0</v>
      </c>
      <c r="AU31" s="394">
        <f t="shared" si="15"/>
        <v>0</v>
      </c>
      <c r="AV31" s="394">
        <f t="shared" si="15"/>
        <v>0</v>
      </c>
      <c r="AW31" s="394">
        <f t="shared" si="15"/>
        <v>0</v>
      </c>
      <c r="AX31" s="394">
        <f t="shared" si="1"/>
        <v>0</v>
      </c>
      <c r="AY31" s="394">
        <f t="shared" si="2"/>
        <v>0</v>
      </c>
      <c r="AZ31" s="394">
        <f t="shared" si="3"/>
        <v>0</v>
      </c>
      <c r="BA31" s="394">
        <f t="shared" si="4"/>
        <v>0</v>
      </c>
      <c r="BB31" s="405">
        <f t="shared" si="22"/>
        <v>44473</v>
      </c>
      <c r="BC31" s="405">
        <f>BB31+IF(WEEKDAY(BB31)=1,1,IF(WEEKDAY(BB31)=7,2,0))+COUNTIF(ClosedDays!$B$4:$B$32,IF(WEEKDAY(BB31)=1,BB31+1,IF(WEEKDAY(BB31)=7,BB31+2,BB31)))+COUNTIF(ClosedDays!$F$4:$F$32,IF(WEEKDAY(BB31)=1,BB31+1,IF(WEEKDAY(BB31)=7,BB31+2,BB31)))+COUNTIF(ClosedDays!$J$4:$J$32,IF(WEEKDAY(BB31)=1,BB31+1,IF(WEEKDAY(BB31)=7,BB31+2,BB31)))+COUNTIF(ClosedDays!$N$4:$N$32,IF(WEEKDAY(BB31)=1,BB31+1,IF(WEEKDAY(BB31)=7,BB31+2,BB31)))</f>
        <v>44473</v>
      </c>
      <c r="BD31" s="405">
        <f>BC31+IF(WEEKDAY(BC31)=1,1,IF(WEEKDAY(BC31)=7,2,0))+COUNTIF(ClosedDays!$B$4:$B$32,IF(WEEKDAY(BC31)=1,BC31+1,IF(WEEKDAY(BC31)=7,BC31+2,BC31)))+COUNTIF(ClosedDays!$F$4:$F$32,IF(WEEKDAY(BC31)=1,BC31+1,IF(WEEKDAY(BC31)=7,BC31+2,BC31)))+COUNTIF(ClosedDays!$J$4:$J$32,IF(WEEKDAY(BC31)=1,BC31+1,IF(WEEKDAY(BC31)=7,BC31+2,BC31)))+COUNTIF(ClosedDays!$N$4:$N$32,IF(WEEKDAY(BC31)=1,BC31+1,IF(WEEKDAY(BC31)=7,BC31+2,BC31)))</f>
        <v>44473</v>
      </c>
      <c r="BE31" s="405">
        <f>BD31+IF(WEEKDAY(BD31)=1,1,IF(WEEKDAY(BD31)=7,2,0))+COUNTIF(ClosedDays!$B$4:$B$32,IF(WEEKDAY(BD31)=1,BD31+1,IF(WEEKDAY(BD31)=7,BD31+2,BD31)))+COUNTIF(ClosedDays!$F$4:$F$32,IF(WEEKDAY(BD31)=1,BD31+1,IF(WEEKDAY(BD31)=7,BD31+2,BD31)))+COUNTIF(ClosedDays!$J$4:$J$32,IF(WEEKDAY(BD31)=1,BD31+1,IF(WEEKDAY(BD31)=7,BD31+2,BD31)))+COUNTIF(ClosedDays!$N$4:$N$32,IF(WEEKDAY(BD31)=1,BD31+1,IF(WEEKDAY(BD31)=7,BD31+2,BD31)))</f>
        <v>44473</v>
      </c>
      <c r="BF31" s="405">
        <f>BE31+IF(WEEKDAY(BE31)=1,1,IF(WEEKDAY(BE31)=7,2,0))+COUNTIF(ClosedDays!$B$4:$B$32,IF(WEEKDAY(BE31)=1,BE31+1,IF(WEEKDAY(BE31)=7,BE31+2,BE31)))+COUNTIF(ClosedDays!$F$4:$F$32,IF(WEEKDAY(BE31)=1,BE31+1,IF(WEEKDAY(BE31)=7,BE31+2,BE31)))+COUNTIF(ClosedDays!$J$4:$J$32,IF(WEEKDAY(BE31)=1,BE31+1,IF(WEEKDAY(BE31)=7,BE31+2,BE31)))+COUNTIF(ClosedDays!$N$4:$N$32,IF(WEEKDAY(BE31)=1,BE31+1,IF(WEEKDAY(BE31)=7,BE31+2,BE31)))</f>
        <v>44473</v>
      </c>
      <c r="BG31" s="405">
        <f>BF31+IF(WEEKDAY(BF31)=1,1,IF(WEEKDAY(BF31)=7,2,0))+COUNTIF(ClosedDays!$B$4:$B$32,IF(WEEKDAY(BF31)=1,BF31+1,IF(WEEKDAY(BF31)=7,BF31+2,BF31)))+COUNTIF(ClosedDays!$F$4:$F$32,IF(WEEKDAY(BF31)=1,BF31+1,IF(WEEKDAY(BF31)=7,BF31+2,BF31)))+COUNTIF(ClosedDays!$J$4:$J$32,IF(WEEKDAY(BF31)=1,BF31+1,IF(WEEKDAY(BF31)=7,BF31+2,BF31)))+COUNTIF(ClosedDays!$N$4:$N$32,IF(WEEKDAY(BF31)=1,BF31+1,IF(WEEKDAY(BF31)=7,BF31+2,BF31)))</f>
        <v>44473</v>
      </c>
      <c r="BH31" s="405">
        <f>BG31+IF(WEEKDAY(BG31)=1,1,IF(WEEKDAY(BG31)=7,2,0))+COUNTIF(ClosedDays!$B$4:$B$32,IF(WEEKDAY(BG31)=1,BG31+1,IF(WEEKDAY(BG31)=7,BG31+2,BG31)))+COUNTIF(ClosedDays!$F$4:$F$32,IF(WEEKDAY(BG31)=1,BG31+1,IF(WEEKDAY(BG31)=7,BG31+2,BG31)))+COUNTIF(ClosedDays!$J$4:$J$32,IF(WEEKDAY(BG31)=1,BG31+1,IF(WEEKDAY(BG31)=7,BG31+2,BG31)))+COUNTIF(ClosedDays!$N$4:$N$32,IF(WEEKDAY(BG31)=1,BG31+1,IF(WEEKDAY(BG31)=7,BG31+2,BG31)))</f>
        <v>44473</v>
      </c>
      <c r="BI31" s="405">
        <f>BH31+IF(WEEKDAY(BH31)=1,1,IF(WEEKDAY(BH31)=7,2,0))+COUNTIF(ClosedDays!$B$4:$B$32,IF(WEEKDAY(BH31)=1,BH31+1,IF(WEEKDAY(BH31)=7,BH31+2,BH31)))+COUNTIF(ClosedDays!$F$4:$F$32,IF(WEEKDAY(BH31)=1,BH31+1,IF(WEEKDAY(BH31)=7,BH31+2,BH31)))+COUNTIF(ClosedDays!$J$4:$J$32,IF(WEEKDAY(BH31)=1,BH31+1,IF(WEEKDAY(BH31)=7,BH31+2,BH31)))+COUNTIF(ClosedDays!$N$4:$N$32,IF(WEEKDAY(BH31)=1,BH31+1,IF(WEEKDAY(BH31)=7,BH31+2,BH31)))</f>
        <v>44473</v>
      </c>
      <c r="BJ31" s="405">
        <f>BI31+IF(WEEKDAY(BI31)=1,1,IF(WEEKDAY(BI31)=7,2,0))+COUNTIF(ClosedDays!$B$4:$B$32,IF(WEEKDAY(BI31)=1,BI31+1,IF(WEEKDAY(BI31)=7,BI31+2,BI31)))+COUNTIF(ClosedDays!$F$4:$F$32,IF(WEEKDAY(BI31)=1,BI31+1,IF(WEEKDAY(BI31)=7,BI31+2,BI31)))+COUNTIF(ClosedDays!$J$4:$J$32,IF(WEEKDAY(BI31)=1,BI31+1,IF(WEEKDAY(BI31)=7,BI31+2,BI31)))+COUNTIF(ClosedDays!$N$4:$N$32,IF(WEEKDAY(BI31)=1,BI31+1,IF(WEEKDAY(BI31)=7,BI31+2,BI31)))</f>
        <v>44473</v>
      </c>
      <c r="BK31" s="405">
        <f>BJ31+IF(WEEKDAY(BJ31)=1,1,IF(WEEKDAY(BJ31)=7,2,0))+COUNTIF(ClosedDays!$B$4:$B$32,IF(WEEKDAY(BJ31)=1,BJ31+1,IF(WEEKDAY(BJ31)=7,BJ31+2,BJ31)))+COUNTIF(ClosedDays!$F$4:$F$32,IF(WEEKDAY(BJ31)=1,BJ31+1,IF(WEEKDAY(BJ31)=7,BJ31+2,BJ31)))+COUNTIF(ClosedDays!$J$4:$J$32,IF(WEEKDAY(BJ31)=1,BJ31+1,IF(WEEKDAY(BJ31)=7,BJ31+2,BJ31)))+COUNTIF(ClosedDays!$N$4:$N$32,IF(WEEKDAY(BJ31)=1,BJ31+1,IF(WEEKDAY(BJ31)=7,BJ31+2,BJ31)))</f>
        <v>44473</v>
      </c>
      <c r="BL31" s="405">
        <f>BK31+IF(WEEKDAY(BK31)=1,1,IF(WEEKDAY(BK31)=7,2,0))+COUNTIF(ClosedDays!$B$4:$B$32,IF(WEEKDAY(BK31)=1,BK31+1,IF(WEEKDAY(BK31)=7,BK31+2,BK31)))+COUNTIF(ClosedDays!$F$4:$F$32,IF(WEEKDAY(BK31)=1,BK31+1,IF(WEEKDAY(BK31)=7,BK31+2,BK31)))+COUNTIF(ClosedDays!$J$4:$J$32,IF(WEEKDAY(BK31)=1,BK31+1,IF(WEEKDAY(BK31)=7,BK31+2,BK31)))+COUNTIF(ClosedDays!$N$4:$N$32,IF(WEEKDAY(BK31)=1,BK31+1,IF(WEEKDAY(BK31)=7,BK31+2,BK31)))</f>
        <v>44473</v>
      </c>
      <c r="BM31" s="405">
        <f>BL31+IF(WEEKDAY(BL31)=1,1,IF(WEEKDAY(BL31)=7,2,0))+COUNTIF(ClosedDays!$B$4:$B$32,IF(WEEKDAY(BL31)=1,BL31+1,IF(WEEKDAY(BL31)=7,BL31+2,BL31)))+COUNTIF(ClosedDays!$F$4:$F$32,IF(WEEKDAY(BL31)=1,BL31+1,IF(WEEKDAY(BL31)=7,BL31+2,BL31)))+COUNTIF(ClosedDays!$J$4:$J$32,IF(WEEKDAY(BL31)=1,BL31+1,IF(WEEKDAY(BL31)=7,BL31+2,BL31)))+COUNTIF(ClosedDays!$N$4:$N$32,IF(WEEKDAY(BL31)=1,BL31+1,IF(WEEKDAY(BL31)=7,BL31+2,BL31)))</f>
        <v>44473</v>
      </c>
      <c r="BN31" s="405">
        <f>BM31+IF(WEEKDAY(BM31)=1,1,IF(WEEKDAY(BM31)=7,2,0))+COUNTIF(ClosedDays!$B$4:$B$32,IF(WEEKDAY(BM31)=1,BM31+1,IF(WEEKDAY(BM31)=7,BM31+2,BM31)))+COUNTIF(ClosedDays!$F$4:$F$32,IF(WEEKDAY(BM31)=1,BM31+1,IF(WEEKDAY(BM31)=7,BM31+2,BM31)))+COUNTIF(ClosedDays!$J$4:$J$32,IF(WEEKDAY(BM31)=1,BM31+1,IF(WEEKDAY(BM31)=7,BM31+2,BM31)))+COUNTIF(ClosedDays!$N$4:$N$32,IF(WEEKDAY(BM31)=1,BM31+1,IF(WEEKDAY(BM31)=7,BM31+2,BM31)))</f>
        <v>44473</v>
      </c>
      <c r="BO31" s="405">
        <f>BN31+IF(WEEKDAY(BN31)=1,1,IF(WEEKDAY(BN31)=7,2,0))+COUNTIF(ClosedDays!$B$4:$B$32,IF(WEEKDAY(BN31)=1,BN31+1,IF(WEEKDAY(BN31)=7,BN31+2,BN31)))+COUNTIF(ClosedDays!$F$4:$F$32,IF(WEEKDAY(BN31)=1,BN31+1,IF(WEEKDAY(BN31)=7,BN31+2,BN31)))+COUNTIF(ClosedDays!$J$4:$J$32,IF(WEEKDAY(BN31)=1,BN31+1,IF(WEEKDAY(BN31)=7,BN31+2,BN31)))+COUNTIF(ClosedDays!$N$4:$N$32,IF(WEEKDAY(BN31)=1,BN31+1,IF(WEEKDAY(BN31)=7,BN31+2,BN31)))</f>
        <v>44473</v>
      </c>
      <c r="BP31" s="405">
        <f>BO31+IF(WEEKDAY(BO31)=1,1,IF(WEEKDAY(BO31)=7,2,0))+COUNTIF(ClosedDays!$B$4:$B$32,IF(WEEKDAY(BO31)=1,BO31+1,IF(WEEKDAY(BO31)=7,BO31+2,BO31)))+COUNTIF(ClosedDays!$F$4:$F$32,IF(WEEKDAY(BO31)=1,BO31+1,IF(WEEKDAY(BO31)=7,BO31+2,BO31)))+COUNTIF(ClosedDays!$J$4:$J$32,IF(WEEKDAY(BO31)=1,BO31+1,IF(WEEKDAY(BO31)=7,BO31+2,BO31)))+COUNTIF(ClosedDays!$N$4:$N$32,IF(WEEKDAY(BO31)=1,BO31+1,IF(WEEKDAY(BO31)=7,BO31+2,BO31)))</f>
        <v>44473</v>
      </c>
      <c r="BQ31" s="405">
        <f t="shared" si="16"/>
        <v>44473</v>
      </c>
      <c r="BR31" s="446">
        <f>IF(AND($D31&lt;='Outline Info'!$H$31,BQ31&gt;='Outline Info'!$H$31,$BS$4=1,$AC31&gt;10,$AC31&lt;9997),1,0)</f>
        <v>0</v>
      </c>
      <c r="BS31" s="405">
        <f>IF(BR31=1,BQ31+'Outline Info'!$I$31-'Outline Info'!$H$31+1,BQ31)</f>
        <v>44473</v>
      </c>
      <c r="BT31" s="405">
        <f>BS31+IF(WEEKDAY(BS31)=1,1,IF(WEEKDAY(BS31)=7,2,0))+COUNTIF(ClosedDays!$B$4:$B$32,IF(WEEKDAY(BS31)=1,BS31+1,IF(WEEKDAY(BS31)=7,BS31+2,BS31)))+COUNTIF(ClosedDays!$F$4:$F$32,IF(WEEKDAY(BS31)=1,BS31+1,IF(WEEKDAY(BS31)=7,BS31+2,BS31)))+COUNTIF(ClosedDays!$J$4:$J$32,IF(WEEKDAY(BS31)=1,BS31+1,IF(WEEKDAY(BS31)=7,BS31+2,BS31)))+COUNTIF(ClosedDays!$N$4:$N$32,IF(WEEKDAY(BS31)=1,BS31+1,IF(WEEKDAY(BS31)=7,BS31+2,BS31)))</f>
        <v>44473</v>
      </c>
      <c r="BU31" s="405">
        <f>BT31+IF(WEEKDAY(BT31)=1,1,IF(WEEKDAY(BT31)=7,2,0))+COUNTIF(ClosedDays!$B$4:$B$32,IF(WEEKDAY(BT31)=1,BT31+1,IF(WEEKDAY(BT31)=7,BT31+2,BT31)))+COUNTIF(ClosedDays!$F$4:$F$32,IF(WEEKDAY(BT31)=1,BT31+1,IF(WEEKDAY(BT31)=7,BT31+2,BT31)))+COUNTIF(ClosedDays!$J$4:$J$32,IF(WEEKDAY(BT31)=1,BT31+1,IF(WEEKDAY(BT31)=7,BT31+2,BT31)))+COUNTIF(ClosedDays!$N$4:$N$32,IF(WEEKDAY(BT31)=1,BT31+1,IF(WEEKDAY(BT31)=7,BT31+2,BT31)))</f>
        <v>44473</v>
      </c>
      <c r="BV31" s="405">
        <f>BU31+IF(WEEKDAY(BU31)=1,1,IF(WEEKDAY(BU31)=7,2,0))+COUNTIF(ClosedDays!$B$4:$B$32,IF(WEEKDAY(BU31)=1,BU31+1,IF(WEEKDAY(BU31)=7,BU31+2,BU31)))+COUNTIF(ClosedDays!$F$4:$F$32,IF(WEEKDAY(BU31)=1,BU31+1,IF(WEEKDAY(BU31)=7,BU31+2,BU31)))+COUNTIF(ClosedDays!$J$4:$J$32,IF(WEEKDAY(BU31)=1,BU31+1,IF(WEEKDAY(BU31)=7,BU31+2,BU31)))+COUNTIF(ClosedDays!$N$4:$N$32,IF(WEEKDAY(BU31)=1,BU31+1,IF(WEEKDAY(BU31)=7,BU31+2,BU31)))</f>
        <v>44473</v>
      </c>
      <c r="BW31" s="405">
        <f>BV31+IF(WEEKDAY(BV31)=1,1,IF(WEEKDAY(BV31)=7,2,0))+COUNTIF(ClosedDays!$B$4:$B$32,IF(WEEKDAY(BV31)=1,BV31+1,IF(WEEKDAY(BV31)=7,BV31+2,BV31)))+COUNTIF(ClosedDays!$F$4:$F$32,IF(WEEKDAY(BV31)=1,BV31+1,IF(WEEKDAY(BV31)=7,BV31+2,BV31)))+COUNTIF(ClosedDays!$J$4:$J$32,IF(WEEKDAY(BV31)=1,BV31+1,IF(WEEKDAY(BV31)=7,BV31+2,BV31)))+COUNTIF(ClosedDays!$N$4:$N$32,IF(WEEKDAY(BV31)=1,BV31+1,IF(WEEKDAY(BV31)=7,BV31+2,BV31)))</f>
        <v>44473</v>
      </c>
      <c r="BX31" s="405">
        <f>BW31+IF(WEEKDAY(BW31)=1,1,IF(WEEKDAY(BW31)=7,2,0))+COUNTIF(ClosedDays!$B$4:$B$32,IF(WEEKDAY(BW31)=1,BW31+1,IF(WEEKDAY(BW31)=7,BW31+2,BW31)))+COUNTIF(ClosedDays!$F$4:$F$32,IF(WEEKDAY(BW31)=1,BW31+1,IF(WEEKDAY(BW31)=7,BW31+2,BW31)))+COUNTIF(ClosedDays!$J$4:$J$32,IF(WEEKDAY(BW31)=1,BW31+1,IF(WEEKDAY(BW31)=7,BW31+2,BW31)))+COUNTIF(ClosedDays!$N$4:$N$32,IF(WEEKDAY(BW31)=1,BW31+1,IF(WEEKDAY(BW31)=7,BW31+2,BW31)))</f>
        <v>44473</v>
      </c>
      <c r="BY31" s="405">
        <f>BX31+IF(WEEKDAY(BX31)=1,1,IF(WEEKDAY(BX31)=7,2,0))+COUNTIF(ClosedDays!$B$4:$B$32,IF(WEEKDAY(BX31)=1,BX31+1,IF(WEEKDAY(BX31)=7,BX31+2,BX31)))+COUNTIF(ClosedDays!$F$4:$F$32,IF(WEEKDAY(BX31)=1,BX31+1,IF(WEEKDAY(BX31)=7,BX31+2,BX31)))+COUNTIF(ClosedDays!$J$4:$J$32,IF(WEEKDAY(BX31)=1,BX31+1,IF(WEEKDAY(BX31)=7,BX31+2,BX31)))+COUNTIF(ClosedDays!$N$4:$N$32,IF(WEEKDAY(BX31)=1,BX31+1,IF(WEEKDAY(BX31)=7,BX31+2,BX31)))</f>
        <v>44473</v>
      </c>
      <c r="BZ31" s="405">
        <f>BY31+IF(WEEKDAY(BY31)=1,1,IF(WEEKDAY(BY31)=7,2,0))+COUNTIF(ClosedDays!$B$4:$B$32,IF(WEEKDAY(BY31)=1,BY31+1,IF(WEEKDAY(BY31)=7,BY31+2,BY31)))+COUNTIF(ClosedDays!$F$4:$F$32,IF(WEEKDAY(BY31)=1,BY31+1,IF(WEEKDAY(BY31)=7,BY31+2,BY31)))+COUNTIF(ClosedDays!$J$4:$J$32,IF(WEEKDAY(BY31)=1,BY31+1,IF(WEEKDAY(BY31)=7,BY31+2,BY31)))+COUNTIF(ClosedDays!$N$4:$N$32,IF(WEEKDAY(BY31)=1,BY31+1,IF(WEEKDAY(BY31)=7,BY31+2,BY31)))</f>
        <v>44473</v>
      </c>
      <c r="CA31" s="405">
        <f>BZ31+IF(WEEKDAY(BZ31)=1,1,IF(WEEKDAY(BZ31)=7,2,0))+COUNTIF(ClosedDays!$B$4:$B$32,IF(WEEKDAY(BZ31)=1,BZ31+1,IF(WEEKDAY(BZ31)=7,BZ31+2,BZ31)))+COUNTIF(ClosedDays!$F$4:$F$32,IF(WEEKDAY(BZ31)=1,BZ31+1,IF(WEEKDAY(BZ31)=7,BZ31+2,BZ31)))+COUNTIF(ClosedDays!$J$4:$J$32,IF(WEEKDAY(BZ31)=1,BZ31+1,IF(WEEKDAY(BZ31)=7,BZ31+2,BZ31)))+COUNTIF(ClosedDays!$N$4:$N$32,IF(WEEKDAY(BZ31)=1,BZ31+1,IF(WEEKDAY(BZ31)=7,BZ31+2,BZ31)))</f>
        <v>44473</v>
      </c>
      <c r="CB31" s="405">
        <f>CA31+IF(WEEKDAY(CA31)=1,1,IF(WEEKDAY(CA31)=7,2,0))+COUNTIF(ClosedDays!$B$4:$B$32,IF(WEEKDAY(CA31)=1,CA31+1,IF(WEEKDAY(CA31)=7,CA31+2,CA31)))+COUNTIF(ClosedDays!$F$4:$F$32,IF(WEEKDAY(CA31)=1,CA31+1,IF(WEEKDAY(CA31)=7,CA31+2,CA31)))+COUNTIF(ClosedDays!$J$4:$J$32,IF(WEEKDAY(CA31)=1,CA31+1,IF(WEEKDAY(CA31)=7,CA31+2,CA31)))+COUNTIF(ClosedDays!$N$4:$N$32,IF(WEEKDAY(CA31)=1,CA31+1,IF(WEEKDAY(CA31)=7,CA31+2,CA31)))</f>
        <v>44473</v>
      </c>
      <c r="CC31" s="405">
        <f>CB31+IF(WEEKDAY(CB31)=1,1,IF(WEEKDAY(CB31)=7,2,0))+COUNTIF(ClosedDays!$B$4:$B$32,IF(WEEKDAY(CB31)=1,CB31+1,IF(WEEKDAY(CB31)=7,CB31+2,CB31)))+COUNTIF(ClosedDays!$F$4:$F$32,IF(WEEKDAY(CB31)=1,CB31+1,IF(WEEKDAY(CB31)=7,CB31+2,CB31)))+COUNTIF(ClosedDays!$J$4:$J$32,IF(WEEKDAY(CB31)=1,CB31+1,IF(WEEKDAY(CB31)=7,CB31+2,CB31)))+COUNTIF(ClosedDays!$N$4:$N$32,IF(WEEKDAY(CB31)=1,CB31+1,IF(WEEKDAY(CB31)=7,CB31+2,CB31)))</f>
        <v>44473</v>
      </c>
      <c r="CD31" s="405">
        <f>CC31+IF(WEEKDAY(CC31)=1,1,IF(WEEKDAY(CC31)=7,2,0))+COUNTIF(ClosedDays!$B$4:$B$32,IF(WEEKDAY(CC31)=1,CC31+1,IF(WEEKDAY(CC31)=7,CC31+2,CC31)))+COUNTIF(ClosedDays!$F$4:$F$32,IF(WEEKDAY(CC31)=1,CC31+1,IF(WEEKDAY(CC31)=7,CC31+2,CC31)))+COUNTIF(ClosedDays!$J$4:$J$32,IF(WEEKDAY(CC31)=1,CC31+1,IF(WEEKDAY(CC31)=7,CC31+2,CC31)))+COUNTIF(ClosedDays!$N$4:$N$32,IF(WEEKDAY(CC31)=1,CC31+1,IF(WEEKDAY(CC31)=7,CC31+2,CC31)))</f>
        <v>44473</v>
      </c>
      <c r="CE31" s="405">
        <f>CD31+IF(WEEKDAY(CD31)=1,1,IF(WEEKDAY(CD31)=7,2,0))+COUNTIF(ClosedDays!$B$4:$B$32,IF(WEEKDAY(CD31)=1,CD31+1,IF(WEEKDAY(CD31)=7,CD31+2,CD31)))+COUNTIF(ClosedDays!$F$4:$F$32,IF(WEEKDAY(CD31)=1,CD31+1,IF(WEEKDAY(CD31)=7,CD31+2,CD31)))+COUNTIF(ClosedDays!$J$4:$J$32,IF(WEEKDAY(CD31)=1,CD31+1,IF(WEEKDAY(CD31)=7,CD31+2,CD31)))+COUNTIF(ClosedDays!$N$4:$N$32,IF(WEEKDAY(CD31)=1,CD31+1,IF(WEEKDAY(CD31)=7,CD31+2,CD31)))</f>
        <v>44473</v>
      </c>
      <c r="CF31" s="405">
        <f>CE31+IF(WEEKDAY(CE31)=1,1,IF(WEEKDAY(CE31)=7,2,0))+COUNTIF(ClosedDays!$B$4:$B$32,IF(WEEKDAY(CE31)=1,CE31+1,IF(WEEKDAY(CE31)=7,CE31+2,CE31)))+COUNTIF(ClosedDays!$F$4:$F$32,IF(WEEKDAY(CE31)=1,CE31+1,IF(WEEKDAY(CE31)=7,CE31+2,CE31)))+COUNTIF(ClosedDays!$J$4:$J$32,IF(WEEKDAY(CE31)=1,CE31+1,IF(WEEKDAY(CE31)=7,CE31+2,CE31)))+COUNTIF(ClosedDays!$N$4:$N$32,IF(WEEKDAY(CE31)=1,CE31+1,IF(WEEKDAY(CE31)=7,CE31+2,CE31)))</f>
        <v>44473</v>
      </c>
      <c r="CG31" s="405">
        <f>CF31+IF(WEEKDAY(CF31)=1,1,IF(WEEKDAY(CF31)=7,2,0))+COUNTIF(ClosedDays!$B$4:$B$32,IF(WEEKDAY(CF31)=1,CF31+1,IF(WEEKDAY(CF31)=7,CF31+2,CF31)))+COUNTIF(ClosedDays!$F$4:$F$32,IF(WEEKDAY(CF31)=1,CF31+1,IF(WEEKDAY(CF31)=7,CF31+2,CF31)))+COUNTIF(ClosedDays!$J$4:$J$32,IF(WEEKDAY(CF31)=1,CF31+1,IF(WEEKDAY(CF31)=7,CF31+2,CF31)))+COUNTIF(ClosedDays!$N$4:$N$32,IF(WEEKDAY(CF31)=1,CF31+1,IF(WEEKDAY(CF31)=7,CF31+2,CF31)))</f>
        <v>44473</v>
      </c>
      <c r="CH31" s="405">
        <f t="shared" si="17"/>
        <v>44473</v>
      </c>
      <c r="CI31" s="446">
        <f>IF(AND($D31&lt;='Outline Info'!$H$33,CH31&gt;='Outline Info'!$H$33,$CJ$4=1,$AC31&gt;10,$AC31&lt;9997),1,0)</f>
        <v>0</v>
      </c>
      <c r="CJ31" s="405">
        <f>IF(CI31=1,CH31+'Outline Info'!$I$33-'Outline Info'!$H$33+1,CH31)</f>
        <v>44473</v>
      </c>
      <c r="CK31" s="405">
        <f>CJ31+IF(WEEKDAY(CJ31)=1,1,IF(WEEKDAY(CJ31)=7,2,0))+COUNTIF(ClosedDays!$B$4:$B$32,IF(WEEKDAY(CJ31)=1,CJ31+1,IF(WEEKDAY(CJ31)=7,CJ31+2,CJ31)))+COUNTIF(ClosedDays!$F$4:$F$32,IF(WEEKDAY(CJ31)=1,CJ31+1,IF(WEEKDAY(CJ31)=7,CJ31+2,CJ31)))+COUNTIF(ClosedDays!$J$4:$J$32,IF(WEEKDAY(CJ31)=1,CJ31+1,IF(WEEKDAY(CJ31)=7,CJ31+2,CJ31)))+COUNTIF(ClosedDays!$N$4:$N$32,IF(WEEKDAY(CJ31)=1,CJ31+1,IF(WEEKDAY(CJ31)=7,CJ31+2,CJ31)))</f>
        <v>44473</v>
      </c>
      <c r="CL31" s="405">
        <f>CK31+IF(WEEKDAY(CK31)=1,1,IF(WEEKDAY(CK31)=7,2,0))+COUNTIF(ClosedDays!$B$4:$B$32,IF(WEEKDAY(CK31)=1,CK31+1,IF(WEEKDAY(CK31)=7,CK31+2,CK31)))+COUNTIF(ClosedDays!$F$4:$F$32,IF(WEEKDAY(CK31)=1,CK31+1,IF(WEEKDAY(CK31)=7,CK31+2,CK31)))+COUNTIF(ClosedDays!$J$4:$J$32,IF(WEEKDAY(CK31)=1,CK31+1,IF(WEEKDAY(CK31)=7,CK31+2,CK31)))+COUNTIF(ClosedDays!$N$4:$N$32,IF(WEEKDAY(CK31)=1,CK31+1,IF(WEEKDAY(CK31)=7,CK31+2,CK31)))</f>
        <v>44473</v>
      </c>
      <c r="CM31" s="405">
        <f>CL31+IF(WEEKDAY(CL31)=1,1,IF(WEEKDAY(CL31)=7,2,0))+COUNTIF(ClosedDays!$B$4:$B$32,IF(WEEKDAY(CL31)=1,CL31+1,IF(WEEKDAY(CL31)=7,CL31+2,CL31)))+COUNTIF(ClosedDays!$F$4:$F$32,IF(WEEKDAY(CL31)=1,CL31+1,IF(WEEKDAY(CL31)=7,CL31+2,CL31)))+COUNTIF(ClosedDays!$J$4:$J$32,IF(WEEKDAY(CL31)=1,CL31+1,IF(WEEKDAY(CL31)=7,CL31+2,CL31)))+COUNTIF(ClosedDays!$N$4:$N$32,IF(WEEKDAY(CL31)=1,CL31+1,IF(WEEKDAY(CL31)=7,CL31+2,CL31)))</f>
        <v>44473</v>
      </c>
      <c r="CN31" s="405">
        <f>CM31+IF(WEEKDAY(CM31)=1,1,IF(WEEKDAY(CM31)=7,2,0))+COUNTIF(ClosedDays!$B$4:$B$32,IF(WEEKDAY(CM31)=1,CM31+1,IF(WEEKDAY(CM31)=7,CM31+2,CM31)))+COUNTIF(ClosedDays!$F$4:$F$32,IF(WEEKDAY(CM31)=1,CM31+1,IF(WEEKDAY(CM31)=7,CM31+2,CM31)))+COUNTIF(ClosedDays!$J$4:$J$32,IF(WEEKDAY(CM31)=1,CM31+1,IF(WEEKDAY(CM31)=7,CM31+2,CM31)))+COUNTIF(ClosedDays!$N$4:$N$32,IF(WEEKDAY(CM31)=1,CM31+1,IF(WEEKDAY(CM31)=7,CM31+2,CM31)))</f>
        <v>44473</v>
      </c>
      <c r="CO31" s="405">
        <f>CN31+IF(WEEKDAY(CN31)=1,1,IF(WEEKDAY(CN31)=7,2,0))+COUNTIF(ClosedDays!$B$4:$B$32,IF(WEEKDAY(CN31)=1,CN31+1,IF(WEEKDAY(CN31)=7,CN31+2,CN31)))+COUNTIF(ClosedDays!$F$4:$F$32,IF(WEEKDAY(CN31)=1,CN31+1,IF(WEEKDAY(CN31)=7,CN31+2,CN31)))+COUNTIF(ClosedDays!$J$4:$J$32,IF(WEEKDAY(CN31)=1,CN31+1,IF(WEEKDAY(CN31)=7,CN31+2,CN31)))+COUNTIF(ClosedDays!$N$4:$N$32,IF(WEEKDAY(CN31)=1,CN31+1,IF(WEEKDAY(CN31)=7,CN31+2,CN31)))</f>
        <v>44473</v>
      </c>
      <c r="CP31" s="405">
        <f>CO31+IF(WEEKDAY(CO31)=1,1,IF(WEEKDAY(CO31)=7,2,0))+COUNTIF(ClosedDays!$B$4:$B$32,IF(WEEKDAY(CO31)=1,CO31+1,IF(WEEKDAY(CO31)=7,CO31+2,CO31)))+COUNTIF(ClosedDays!$F$4:$F$32,IF(WEEKDAY(CO31)=1,CO31+1,IF(WEEKDAY(CO31)=7,CO31+2,CO31)))+COUNTIF(ClosedDays!$J$4:$J$32,IF(WEEKDAY(CO31)=1,CO31+1,IF(WEEKDAY(CO31)=7,CO31+2,CO31)))+COUNTIF(ClosedDays!$N$4:$N$32,IF(WEEKDAY(CO31)=1,CO31+1,IF(WEEKDAY(CO31)=7,CO31+2,CO31)))</f>
        <v>44473</v>
      </c>
      <c r="CQ31" s="405">
        <f>CP31+IF(WEEKDAY(CP31)=1,1,IF(WEEKDAY(CP31)=7,2,0))+COUNTIF(ClosedDays!$B$4:$B$32,IF(WEEKDAY(CP31)=1,CP31+1,IF(WEEKDAY(CP31)=7,CP31+2,CP31)))+COUNTIF(ClosedDays!$F$4:$F$32,IF(WEEKDAY(CP31)=1,CP31+1,IF(WEEKDAY(CP31)=7,CP31+2,CP31)))+COUNTIF(ClosedDays!$J$4:$J$32,IF(WEEKDAY(CP31)=1,CP31+1,IF(WEEKDAY(CP31)=7,CP31+2,CP31)))+COUNTIF(ClosedDays!$N$4:$N$32,IF(WEEKDAY(CP31)=1,CP31+1,IF(WEEKDAY(CP31)=7,CP31+2,CP31)))</f>
        <v>44473</v>
      </c>
      <c r="CR31" s="405">
        <f>CQ31+IF(WEEKDAY(CQ31)=1,1,IF(WEEKDAY(CQ31)=7,2,0))+COUNTIF(ClosedDays!$B$4:$B$32,IF(WEEKDAY(CQ31)=1,CQ31+1,IF(WEEKDAY(CQ31)=7,CQ31+2,CQ31)))+COUNTIF(ClosedDays!$F$4:$F$32,IF(WEEKDAY(CQ31)=1,CQ31+1,IF(WEEKDAY(CQ31)=7,CQ31+2,CQ31)))+COUNTIF(ClosedDays!$J$4:$J$32,IF(WEEKDAY(CQ31)=1,CQ31+1,IF(WEEKDAY(CQ31)=7,CQ31+2,CQ31)))+COUNTIF(ClosedDays!$N$4:$N$32,IF(WEEKDAY(CQ31)=1,CQ31+1,IF(WEEKDAY(CQ31)=7,CQ31+2,CQ31)))</f>
        <v>44473</v>
      </c>
      <c r="CS31" s="405">
        <f>CR31+IF(WEEKDAY(CR31)=1,1,IF(WEEKDAY(CR31)=7,2,0))+COUNTIF(ClosedDays!$B$4:$B$32,IF(WEEKDAY(CR31)=1,CR31+1,IF(WEEKDAY(CR31)=7,CR31+2,CR31)))+COUNTIF(ClosedDays!$F$4:$F$32,IF(WEEKDAY(CR31)=1,CR31+1,IF(WEEKDAY(CR31)=7,CR31+2,CR31)))+COUNTIF(ClosedDays!$J$4:$J$32,IF(WEEKDAY(CR31)=1,CR31+1,IF(WEEKDAY(CR31)=7,CR31+2,CR31)))+COUNTIF(ClosedDays!$N$4:$N$32,IF(WEEKDAY(CR31)=1,CR31+1,IF(WEEKDAY(CR31)=7,CR31+2,CR31)))</f>
        <v>44473</v>
      </c>
      <c r="CT31" s="405">
        <f>CS31+IF(WEEKDAY(CS31)=1,1,IF(WEEKDAY(CS31)=7,2,0))+COUNTIF(ClosedDays!$B$4:$B$32,IF(WEEKDAY(CS31)=1,CS31+1,IF(WEEKDAY(CS31)=7,CS31+2,CS31)))+COUNTIF(ClosedDays!$F$4:$F$32,IF(WEEKDAY(CS31)=1,CS31+1,IF(WEEKDAY(CS31)=7,CS31+2,CS31)))+COUNTIF(ClosedDays!$J$4:$J$32,IF(WEEKDAY(CS31)=1,CS31+1,IF(WEEKDAY(CS31)=7,CS31+2,CS31)))+COUNTIF(ClosedDays!$N$4:$N$32,IF(WEEKDAY(CS31)=1,CS31+1,IF(WEEKDAY(CS31)=7,CS31+2,CS31)))</f>
        <v>44473</v>
      </c>
      <c r="CU31" s="405">
        <f>CT31+IF(WEEKDAY(CT31)=1,1,IF(WEEKDAY(CT31)=7,2,0))+COUNTIF(ClosedDays!$B$4:$B$32,IF(WEEKDAY(CT31)=1,CT31+1,IF(WEEKDAY(CT31)=7,CT31+2,CT31)))+COUNTIF(ClosedDays!$F$4:$F$32,IF(WEEKDAY(CT31)=1,CT31+1,IF(WEEKDAY(CT31)=7,CT31+2,CT31)))+COUNTIF(ClosedDays!$J$4:$J$32,IF(WEEKDAY(CT31)=1,CT31+1,IF(WEEKDAY(CT31)=7,CT31+2,CT31)))+COUNTIF(ClosedDays!$N$4:$N$32,IF(WEEKDAY(CT31)=1,CT31+1,IF(WEEKDAY(CT31)=7,CT31+2,CT31)))</f>
        <v>44473</v>
      </c>
      <c r="CV31" s="405">
        <f>CU31+IF(WEEKDAY(CU31)=1,1,IF(WEEKDAY(CU31)=7,2,0))+COUNTIF(ClosedDays!$B$4:$B$32,IF(WEEKDAY(CU31)=1,CU31+1,IF(WEEKDAY(CU31)=7,CU31+2,CU31)))+COUNTIF(ClosedDays!$F$4:$F$32,IF(WEEKDAY(CU31)=1,CU31+1,IF(WEEKDAY(CU31)=7,CU31+2,CU31)))+COUNTIF(ClosedDays!$J$4:$J$32,IF(WEEKDAY(CU31)=1,CU31+1,IF(WEEKDAY(CU31)=7,CU31+2,CU31)))+COUNTIF(ClosedDays!$N$4:$N$32,IF(WEEKDAY(CU31)=1,CU31+1,IF(WEEKDAY(CU31)=7,CU31+2,CU31)))</f>
        <v>44473</v>
      </c>
      <c r="CW31" s="405">
        <f>CV31+IF(WEEKDAY(CV31)=1,1,IF(WEEKDAY(CV31)=7,2,0))+COUNTIF(ClosedDays!$B$4:$B$32,IF(WEEKDAY(CV31)=1,CV31+1,IF(WEEKDAY(CV31)=7,CV31+2,CV31)))+COUNTIF(ClosedDays!$F$4:$F$32,IF(WEEKDAY(CV31)=1,CV31+1,IF(WEEKDAY(CV31)=7,CV31+2,CV31)))+COUNTIF(ClosedDays!$J$4:$J$32,IF(WEEKDAY(CV31)=1,CV31+1,IF(WEEKDAY(CV31)=7,CV31+2,CV31)))+COUNTIF(ClosedDays!$N$4:$N$32,IF(WEEKDAY(CV31)=1,CV31+1,IF(WEEKDAY(CV31)=7,CV31+2,CV31)))</f>
        <v>44473</v>
      </c>
      <c r="CX31" s="405">
        <f>CW31+IF(WEEKDAY(CW31)=1,1,IF(WEEKDAY(CW31)=7,2,0))+COUNTIF(ClosedDays!$B$4:$B$32,IF(WEEKDAY(CW31)=1,CW31+1,IF(WEEKDAY(CW31)=7,CW31+2,CW31)))+COUNTIF(ClosedDays!$F$4:$F$32,IF(WEEKDAY(CW31)=1,CW31+1,IF(WEEKDAY(CW31)=7,CW31+2,CW31)))+COUNTIF(ClosedDays!$J$4:$J$32,IF(WEEKDAY(CW31)=1,CW31+1,IF(WEEKDAY(CW31)=7,CW31+2,CW31)))+COUNTIF(ClosedDays!$N$4:$N$32,IF(WEEKDAY(CW31)=1,CW31+1,IF(WEEKDAY(CW31)=7,CW31+2,CW31)))</f>
        <v>44473</v>
      </c>
      <c r="CY31" s="405">
        <f t="shared" si="18"/>
        <v>44473</v>
      </c>
      <c r="CZ31" s="446">
        <f>IF(AND($D31&lt;='Outline Info'!$E$33,CY31&gt;='Outline Info'!$E$33,$AC31&gt;10,$AC31&lt;9997),1,0)</f>
        <v>0</v>
      </c>
      <c r="DA31" s="405">
        <f>IF(AND($D31&lt;='Outline Info'!$E$33,CY31&gt;='Outline Info'!$E$33),CY31+'Outline Info'!$F$33-'Outline Info'!$E$33+1,CY31)</f>
        <v>44473</v>
      </c>
      <c r="DB31" s="405">
        <f>DA31+IF(WEEKDAY(DA31)=1,1,IF(WEEKDAY(DA31)=7,2,0))+COUNTIF(ClosedDays!$B$4:$B$32,IF(WEEKDAY(DA31)=1,DA31+1,IF(WEEKDAY(DA31)=7,DA31+2,DA31)))+COUNTIF(ClosedDays!$F$4:$F$32,IF(WEEKDAY(DA31)=1,DA31+1,IF(WEEKDAY(DA31)=7,DA31+2,DA31)))+COUNTIF(ClosedDays!$J$4:$J$32,IF(WEEKDAY(DA31)=1,DA31+1,IF(WEEKDAY(DA31)=7,DA31+2,DA31)))+COUNTIF(ClosedDays!$N$4:$N$32,IF(WEEKDAY(DA31)=1,DA31+1,IF(WEEKDAY(DA31)=7,DA31+2,DA31)))</f>
        <v>44473</v>
      </c>
      <c r="DC31" s="405">
        <f>DB31+IF(WEEKDAY(DB31)=1,1,IF(WEEKDAY(DB31)=7,2,0))+COUNTIF(ClosedDays!$B$4:$B$32,IF(WEEKDAY(DB31)=1,DB31+1,IF(WEEKDAY(DB31)=7,DB31+2,DB31)))+COUNTIF(ClosedDays!$F$4:$F$32,IF(WEEKDAY(DB31)=1,DB31+1,IF(WEEKDAY(DB31)=7,DB31+2,DB31)))+COUNTIF(ClosedDays!$J$4:$J$32,IF(WEEKDAY(DB31)=1,DB31+1,IF(WEEKDAY(DB31)=7,DB31+2,DB31)))+COUNTIF(ClosedDays!$N$4:$N$32,IF(WEEKDAY(DB31)=1,DB31+1,IF(WEEKDAY(DB31)=7,DB31+2,DB31)))</f>
        <v>44473</v>
      </c>
      <c r="DD31" s="405">
        <f>DC31+IF(WEEKDAY(DC31)=1,1,IF(WEEKDAY(DC31)=7,2,0))+COUNTIF(ClosedDays!$B$4:$B$32,IF(WEEKDAY(DC31)=1,DC31+1,IF(WEEKDAY(DC31)=7,DC31+2,DC31)))+COUNTIF(ClosedDays!$F$4:$F$32,IF(WEEKDAY(DC31)=1,DC31+1,IF(WEEKDAY(DC31)=7,DC31+2,DC31)))+COUNTIF(ClosedDays!$J$4:$J$32,IF(WEEKDAY(DC31)=1,DC31+1,IF(WEEKDAY(DC31)=7,DC31+2,DC31)))+COUNTIF(ClosedDays!$N$4:$N$32,IF(WEEKDAY(DC31)=1,DC31+1,IF(WEEKDAY(DC31)=7,DC31+2,DC31)))</f>
        <v>44473</v>
      </c>
      <c r="DE31" s="405">
        <f>DD31+IF(WEEKDAY(DD31)=1,1,IF(WEEKDAY(DD31)=7,2,0))+COUNTIF(ClosedDays!$B$4:$B$32,IF(WEEKDAY(DD31)=1,DD31+1,IF(WEEKDAY(DD31)=7,DD31+2,DD31)))+COUNTIF(ClosedDays!$F$4:$F$32,IF(WEEKDAY(DD31)=1,DD31+1,IF(WEEKDAY(DD31)=7,DD31+2,DD31)))+COUNTIF(ClosedDays!$J$4:$J$32,IF(WEEKDAY(DD31)=1,DD31+1,IF(WEEKDAY(DD31)=7,DD31+2,DD31)))+COUNTIF(ClosedDays!$N$4:$N$32,IF(WEEKDAY(DD31)=1,DD31+1,IF(WEEKDAY(DD31)=7,DD31+2,DD31)))</f>
        <v>44473</v>
      </c>
      <c r="DF31" s="405">
        <f>DE31+IF(WEEKDAY(DE31)=1,1,IF(WEEKDAY(DE31)=7,2,0))+COUNTIF(ClosedDays!$B$4:$B$32,IF(WEEKDAY(DE31)=1,DE31+1,IF(WEEKDAY(DE31)=7,DE31+2,DE31)))+COUNTIF(ClosedDays!$F$4:$F$32,IF(WEEKDAY(DE31)=1,DE31+1,IF(WEEKDAY(DE31)=7,DE31+2,DE31)))+COUNTIF(ClosedDays!$J$4:$J$32,IF(WEEKDAY(DE31)=1,DE31+1,IF(WEEKDAY(DE31)=7,DE31+2,DE31)))+COUNTIF(ClosedDays!$N$4:$N$32,IF(WEEKDAY(DE31)=1,DE31+1,IF(WEEKDAY(DE31)=7,DE31+2,DE31)))</f>
        <v>44473</v>
      </c>
      <c r="DG31" s="405">
        <f>DF31+IF(WEEKDAY(DF31)=1,1,IF(WEEKDAY(DF31)=7,2,0))+COUNTIF(ClosedDays!$B$4:$B$32,IF(WEEKDAY(DF31)=1,DF31+1,IF(WEEKDAY(DF31)=7,DF31+2,DF31)))+COUNTIF(ClosedDays!$F$4:$F$32,IF(WEEKDAY(DF31)=1,DF31+1,IF(WEEKDAY(DF31)=7,DF31+2,DF31)))+COUNTIF(ClosedDays!$J$4:$J$32,IF(WEEKDAY(DF31)=1,DF31+1,IF(WEEKDAY(DF31)=7,DF31+2,DF31)))+COUNTIF(ClosedDays!$N$4:$N$32,IF(WEEKDAY(DF31)=1,DF31+1,IF(WEEKDAY(DF31)=7,DF31+2,DF31)))</f>
        <v>44473</v>
      </c>
      <c r="DH31" s="405">
        <f>DG31+IF(WEEKDAY(DG31)=1,1,IF(WEEKDAY(DG31)=7,2,0))+COUNTIF(ClosedDays!$B$4:$B$32,IF(WEEKDAY(DG31)=1,DG31+1,IF(WEEKDAY(DG31)=7,DG31+2,DG31)))+COUNTIF(ClosedDays!$F$4:$F$32,IF(WEEKDAY(DG31)=1,DG31+1,IF(WEEKDAY(DG31)=7,DG31+2,DG31)))+COUNTIF(ClosedDays!$J$4:$J$32,IF(WEEKDAY(DG31)=1,DG31+1,IF(WEEKDAY(DG31)=7,DG31+2,DG31)))+COUNTIF(ClosedDays!$N$4:$N$32,IF(WEEKDAY(DG31)=1,DG31+1,IF(WEEKDAY(DG31)=7,DG31+2,DG31)))</f>
        <v>44473</v>
      </c>
      <c r="DI31" s="405">
        <f>DH31+IF(WEEKDAY(DH31)=1,1,IF(WEEKDAY(DH31)=7,2,0))+COUNTIF(ClosedDays!$B$4:$B$32,IF(WEEKDAY(DH31)=1,DH31+1,IF(WEEKDAY(DH31)=7,DH31+2,DH31)))+COUNTIF(ClosedDays!$F$4:$F$32,IF(WEEKDAY(DH31)=1,DH31+1,IF(WEEKDAY(DH31)=7,DH31+2,DH31)))+COUNTIF(ClosedDays!$J$4:$J$32,IF(WEEKDAY(DH31)=1,DH31+1,IF(WEEKDAY(DH31)=7,DH31+2,DH31)))+COUNTIF(ClosedDays!$N$4:$N$32,IF(WEEKDAY(DH31)=1,DH31+1,IF(WEEKDAY(DH31)=7,DH31+2,DH31)))</f>
        <v>44473</v>
      </c>
      <c r="DJ31" s="405">
        <f>DI31+IF(WEEKDAY(DI31)=1,1,IF(WEEKDAY(DI31)=7,2,0))+COUNTIF(ClosedDays!$B$4:$B$32,IF(WEEKDAY(DI31)=1,DI31+1,IF(WEEKDAY(DI31)=7,DI31+2,DI31)))+COUNTIF(ClosedDays!$F$4:$F$32,IF(WEEKDAY(DI31)=1,DI31+1,IF(WEEKDAY(DI31)=7,DI31+2,DI31)))+COUNTIF(ClosedDays!$J$4:$J$32,IF(WEEKDAY(DI31)=1,DI31+1,IF(WEEKDAY(DI31)=7,DI31+2,DI31)))+COUNTIF(ClosedDays!$N$4:$N$32,IF(WEEKDAY(DI31)=1,DI31+1,IF(WEEKDAY(DI31)=7,DI31+2,DI31)))</f>
        <v>44473</v>
      </c>
      <c r="DK31" s="405">
        <f>DJ31+IF(WEEKDAY(DJ31)=1,1,IF(WEEKDAY(DJ31)=7,2,0))+COUNTIF(ClosedDays!$B$4:$B$32,IF(WEEKDAY(DJ31)=1,DJ31+1,IF(WEEKDAY(DJ31)=7,DJ31+2,DJ31)))+COUNTIF(ClosedDays!$F$4:$F$32,IF(WEEKDAY(DJ31)=1,DJ31+1,IF(WEEKDAY(DJ31)=7,DJ31+2,DJ31)))+COUNTIF(ClosedDays!$J$4:$J$32,IF(WEEKDAY(DJ31)=1,DJ31+1,IF(WEEKDAY(DJ31)=7,DJ31+2,DJ31)))+COUNTIF(ClosedDays!$N$4:$N$32,IF(WEEKDAY(DJ31)=1,DJ31+1,IF(WEEKDAY(DJ31)=7,DJ31+2,DJ31)))</f>
        <v>44473</v>
      </c>
      <c r="DL31" s="405">
        <f>DK31+IF(WEEKDAY(DK31)=1,1,IF(WEEKDAY(DK31)=7,2,0))+COUNTIF(ClosedDays!$B$4:$B$32,IF(WEEKDAY(DK31)=1,DK31+1,IF(WEEKDAY(DK31)=7,DK31+2,DK31)))+COUNTIF(ClosedDays!$F$4:$F$32,IF(WEEKDAY(DK31)=1,DK31+1,IF(WEEKDAY(DK31)=7,DK31+2,DK31)))+COUNTIF(ClosedDays!$J$4:$J$32,IF(WEEKDAY(DK31)=1,DK31+1,IF(WEEKDAY(DK31)=7,DK31+2,DK31)))+COUNTIF(ClosedDays!$N$4:$N$32,IF(WEEKDAY(DK31)=1,DK31+1,IF(WEEKDAY(DK31)=7,DK31+2,DK31)))</f>
        <v>44473</v>
      </c>
      <c r="DM31" s="405">
        <f>DL31+IF(WEEKDAY(DL31)=1,1,IF(WEEKDAY(DL31)=7,2,0))+COUNTIF(ClosedDays!$B$4:$B$32,IF(WEEKDAY(DL31)=1,DL31+1,IF(WEEKDAY(DL31)=7,DL31+2,DL31)))+COUNTIF(ClosedDays!$F$4:$F$32,IF(WEEKDAY(DL31)=1,DL31+1,IF(WEEKDAY(DL31)=7,DL31+2,DL31)))+COUNTIF(ClosedDays!$J$4:$J$32,IF(WEEKDAY(DL31)=1,DL31+1,IF(WEEKDAY(DL31)=7,DL31+2,DL31)))+COUNTIF(ClosedDays!$N$4:$N$32,IF(WEEKDAY(DL31)=1,DL31+1,IF(WEEKDAY(DL31)=7,DL31+2,DL31)))</f>
        <v>44473</v>
      </c>
      <c r="DN31" s="405">
        <f>DM31+IF(WEEKDAY(DM31)=1,1,IF(WEEKDAY(DM31)=7,2,0))+COUNTIF(ClosedDays!$B$4:$B$32,IF(WEEKDAY(DM31)=1,DM31+1,IF(WEEKDAY(DM31)=7,DM31+2,DM31)))+COUNTIF(ClosedDays!$F$4:$F$32,IF(WEEKDAY(DM31)=1,DM31+1,IF(WEEKDAY(DM31)=7,DM31+2,DM31)))+COUNTIF(ClosedDays!$J$4:$J$32,IF(WEEKDAY(DM31)=1,DM31+1,IF(WEEKDAY(DM31)=7,DM31+2,DM31)))+COUNTIF(ClosedDays!$N$4:$N$32,IF(WEEKDAY(DM31)=1,DM31+1,IF(WEEKDAY(DM31)=7,DM31+2,DM31)))</f>
        <v>44473</v>
      </c>
      <c r="DO31" s="405">
        <f>DN31+IF(WEEKDAY(DN31)=1,1,IF(WEEKDAY(DN31)=7,2,0))+COUNTIF(ClosedDays!$B$4:$B$32,IF(WEEKDAY(DN31)=1,DN31+1,IF(WEEKDAY(DN31)=7,DN31+2,DN31)))+COUNTIF(ClosedDays!$F$4:$F$32,IF(WEEKDAY(DN31)=1,DN31+1,IF(WEEKDAY(DN31)=7,DN31+2,DN31)))+COUNTIF(ClosedDays!$J$4:$J$32,IF(WEEKDAY(DN31)=1,DN31+1,IF(WEEKDAY(DN31)=7,DN31+2,DN31)))+COUNTIF(ClosedDays!$N$4:$N$32,IF(WEEKDAY(DN31)=1,DN31+1,IF(WEEKDAY(DN31)=7,DN31+2,DN31)))</f>
        <v>44473</v>
      </c>
      <c r="DP31" s="405">
        <f t="shared" si="23"/>
        <v>44473</v>
      </c>
      <c r="DQ31" s="405">
        <f t="shared" si="20"/>
        <v>44473</v>
      </c>
      <c r="DR31" s="394">
        <f t="shared" si="19"/>
        <v>1</v>
      </c>
      <c r="DS31" s="394">
        <f>IF(AND(DR31=1,COUNTIF(DS$7:DS30,1)&lt;12,VLOOKUP(COUNTIF(DS$7:DS30,1)+1,'Outline Info'!$A$21:$C$32,2)&lt;=I31),1,0)</f>
        <v>0</v>
      </c>
      <c r="DT31" s="405" t="str">
        <f>IF(DS31=1,IF(VLOOKUP(COUNTIF(DS$7:DS31,1),'Outline Info'!$A$21:$C$32,2)=0,"",VLOOKUP(COUNTIF(DS$7:DS31,1),'Outline Info'!$A$21:$C$32,2)),"")</f>
        <v/>
      </c>
      <c r="DU31" s="447">
        <f>IF(DS31=1,VLOOKUP(COUNTIF(DS$7:DS31,1),'Outline Info'!$A$21:$C$32,3),0)</f>
        <v>0</v>
      </c>
      <c r="DV31" s="445">
        <f>IF('Outline Info'!$B$8="Y",IF(B31="*",'Outline Info'!$B$19,IF(OR($A31="",B31="X",B31="x"),0,VLOOKUP($A31,'Course Table'!$A$2:$J$331,4,TRUE))),0)</f>
        <v>0</v>
      </c>
      <c r="DW31" s="447">
        <f t="shared" si="6"/>
        <v>0</v>
      </c>
      <c r="DX31" s="447">
        <f>IF('Outline Info'!$B$8="Y",$DV31,$DW31)</f>
        <v>0</v>
      </c>
      <c r="DY31" s="394"/>
      <c r="DZ31" s="934"/>
      <c r="EA31" s="934"/>
      <c r="EB31" s="394"/>
      <c r="EC31" s="394"/>
      <c r="ED31" s="394"/>
    </row>
    <row r="32" spans="1:134" s="400" customFormat="1" ht="20.100000000000001" customHeight="1">
      <c r="A32" s="874" t="str">
        <f t="shared" si="7"/>
        <v/>
      </c>
      <c r="B32" s="876" t="str">
        <f t="shared" si="8"/>
        <v/>
      </c>
      <c r="C32" s="878" t="str">
        <f t="shared" si="9"/>
        <v/>
      </c>
      <c r="D32" s="463">
        <f>IF(NOT(ISBLANK(DZ32)),DZ32,IF(AND($AC32=9998,'Outline Info'!$H$33&gt;='Outline Info'!$B$6,'Outline Info'!$H$33&lt;='Outline Info'!$C$6),'Outline Info'!$H$33,IF(AND($AC32=9997,'Outline Info'!$H$31&gt;='Outline Info'!$B$6,'Outline Info'!$H$31&lt;='Outline Info'!$C$6),'Outline Info'!$H$31,IF(AE32="*",DQ31,IF(OR(AE32="x",AE32="X"),I31,IF(AND(AC32&gt;6,AC31&lt;6),DQ31,IF(AND($AC32=9998,$AC31=9997),I30,I31)))))))</f>
        <v>44470</v>
      </c>
      <c r="E32" s="1286"/>
      <c r="F32" s="1287"/>
      <c r="G32" s="1282"/>
      <c r="H32" s="1283"/>
      <c r="I32" s="464">
        <f>IF(AND($AC32=9998,'Outline Info'!$I$33&gt;='Outline Info'!$B$6,'Outline Info'!$I$33&lt;='Outline Info'!$C$6),'Outline Info'!$I$33,IF(AND($AC32=9997,'Outline Info'!$I$31&gt;='Outline Info'!$B$6,'Outline Info'!$I$31&lt;='Outline Info'!$C$6),'Outline Info'!$I$31,IF(DP32&gt;$V$4,$V$4,DP32)))</f>
        <v>44470</v>
      </c>
      <c r="J32" s="436"/>
      <c r="K32" s="437"/>
      <c r="L32" s="438"/>
      <c r="M32" s="438"/>
      <c r="N32" s="435"/>
      <c r="O32" s="435"/>
      <c r="P32" s="438"/>
      <c r="Q32" s="438"/>
      <c r="R32" s="439"/>
      <c r="S32" s="872">
        <f>IF($V$5-SUM($DX$7:$DX32)&lt;0,IF($V$5-SUM($DX$7:$DX31)&lt;0,0,$V$5-SUM($DX$7:$DX31)),DX32)</f>
        <v>0</v>
      </c>
      <c r="T32" s="440" t="str">
        <f>IF(S32&gt;0,IF('Outline Info'!$B$8="Y",D32,DT32),"")</f>
        <v/>
      </c>
      <c r="U32" s="441"/>
      <c r="V32" s="442"/>
      <c r="W32" s="870" t="str">
        <f>IF('Outline Info'!$C$33&gt;0,ROUND(IF('Outline Info'!$B$8="Y",SUM(S$7:S32)-SUM(AJ$7:AJ32)-'Outline Info'!$B$14-'Outline Info'!$B$15-'Outline Info'!$B$17,IF(AL32=0,SUM(S$7:S32)-SUM(AK$7:AK32)-SUM(AP32:AS32)-'Outline Info'!$B$14-'Outline Info'!$B$15-'Outline Info'!$B$17,0)),0),IF('Outline Info'!$T$4&lt;&gt;1,"",IF(OR(AD32="",AL32=1),"",SUM(AK$7:AK32)+SUM(AP32:AS32)+'Outline Info'!$B$14+'Outline Info'!$B$15+'Outline Info'!$B$17)))</f>
        <v/>
      </c>
      <c r="X32" s="448"/>
      <c r="Y32" s="443">
        <f>IF(OR(AE32="X",AE32="x",AE32="*",AC32=99999),0,IF(AC32&lt;50,0,IF($S$4-SUM($Y$7:$Y31)&gt;0,1,0)))</f>
        <v>0</v>
      </c>
      <c r="Z32" s="444">
        <f>IF(AC32&lt;99999,IF(AE32="*",AH32,IF(OR(AE32="x",AE32="X",AC32&lt;10),0,IF(AND(AC32&lt;&gt;9998,AC32&lt;&gt;9997),IF(AM32=1,(AH32+$AM$5)*(1+('Outline Info'!$B$16)),IF(AN32=1,(AH32+$AN$5)*(1+('Outline Info'!$B$16)),0)),AH32))),0)</f>
        <v>0</v>
      </c>
      <c r="AA32" s="395">
        <f>Z32/'Outline Info'!$C$11+Y32</f>
        <v>0</v>
      </c>
      <c r="AB32" s="395">
        <f>ROUND(AA32/'Outline Info'!$B$11*7,0)</f>
        <v>0</v>
      </c>
      <c r="AC32" s="6">
        <f>IF($AD32&lt;&gt;"",VLOOKUP($AD32,'Course Table'!$A$2:$J$331,10,TRUE),99999)</f>
        <v>99999</v>
      </c>
      <c r="AD32" s="2"/>
      <c r="AE32" s="2"/>
      <c r="AF32" s="2"/>
      <c r="AG32" s="2"/>
      <c r="AH32" s="2"/>
      <c r="AI32" s="2">
        <v>688</v>
      </c>
      <c r="AJ32" s="2">
        <v>688</v>
      </c>
      <c r="AK32" s="394">
        <f t="shared" si="10"/>
        <v>688</v>
      </c>
      <c r="AL32" s="394">
        <f t="shared" si="11"/>
        <v>0</v>
      </c>
      <c r="AM32" s="394">
        <f t="shared" si="12"/>
        <v>0</v>
      </c>
      <c r="AN32" s="394">
        <f t="shared" si="13"/>
        <v>0</v>
      </c>
      <c r="AO32" s="394">
        <f>IF(AN32=1,SUMPRODUCT($AJ$7:$AJ32,$AN$7:$AN32),0)</f>
        <v>0</v>
      </c>
      <c r="AP32" s="394">
        <f t="shared" si="14"/>
        <v>0</v>
      </c>
      <c r="AQ32" s="394">
        <f t="shared" si="14"/>
        <v>0</v>
      </c>
      <c r="AR32" s="394">
        <f t="shared" si="14"/>
        <v>0</v>
      </c>
      <c r="AS32" s="394">
        <f t="shared" si="14"/>
        <v>0</v>
      </c>
      <c r="AT32" s="394">
        <f t="shared" si="15"/>
        <v>0</v>
      </c>
      <c r="AU32" s="394">
        <f t="shared" si="15"/>
        <v>0</v>
      </c>
      <c r="AV32" s="394">
        <f t="shared" si="15"/>
        <v>0</v>
      </c>
      <c r="AW32" s="394">
        <f t="shared" si="15"/>
        <v>0</v>
      </c>
      <c r="AX32" s="394">
        <f t="shared" si="1"/>
        <v>0</v>
      </c>
      <c r="AY32" s="394">
        <f t="shared" si="2"/>
        <v>0</v>
      </c>
      <c r="AZ32" s="394">
        <f t="shared" si="3"/>
        <v>0</v>
      </c>
      <c r="BA32" s="394">
        <f t="shared" si="4"/>
        <v>0</v>
      </c>
      <c r="BB32" s="405">
        <f t="shared" si="22"/>
        <v>44473</v>
      </c>
      <c r="BC32" s="405">
        <f>BB32+IF(WEEKDAY(BB32)=1,1,IF(WEEKDAY(BB32)=7,2,0))+COUNTIF(ClosedDays!$B$4:$B$32,IF(WEEKDAY(BB32)=1,BB32+1,IF(WEEKDAY(BB32)=7,BB32+2,BB32)))+COUNTIF(ClosedDays!$F$4:$F$32,IF(WEEKDAY(BB32)=1,BB32+1,IF(WEEKDAY(BB32)=7,BB32+2,BB32)))+COUNTIF(ClosedDays!$J$4:$J$32,IF(WEEKDAY(BB32)=1,BB32+1,IF(WEEKDAY(BB32)=7,BB32+2,BB32)))+COUNTIF(ClosedDays!$N$4:$N$32,IF(WEEKDAY(BB32)=1,BB32+1,IF(WEEKDAY(BB32)=7,BB32+2,BB32)))</f>
        <v>44473</v>
      </c>
      <c r="BD32" s="405">
        <f>BC32+IF(WEEKDAY(BC32)=1,1,IF(WEEKDAY(BC32)=7,2,0))+COUNTIF(ClosedDays!$B$4:$B$32,IF(WEEKDAY(BC32)=1,BC32+1,IF(WEEKDAY(BC32)=7,BC32+2,BC32)))+COUNTIF(ClosedDays!$F$4:$F$32,IF(WEEKDAY(BC32)=1,BC32+1,IF(WEEKDAY(BC32)=7,BC32+2,BC32)))+COUNTIF(ClosedDays!$J$4:$J$32,IF(WEEKDAY(BC32)=1,BC32+1,IF(WEEKDAY(BC32)=7,BC32+2,BC32)))+COUNTIF(ClosedDays!$N$4:$N$32,IF(WEEKDAY(BC32)=1,BC32+1,IF(WEEKDAY(BC32)=7,BC32+2,BC32)))</f>
        <v>44473</v>
      </c>
      <c r="BE32" s="405">
        <f>BD32+IF(WEEKDAY(BD32)=1,1,IF(WEEKDAY(BD32)=7,2,0))+COUNTIF(ClosedDays!$B$4:$B$32,IF(WEEKDAY(BD32)=1,BD32+1,IF(WEEKDAY(BD32)=7,BD32+2,BD32)))+COUNTIF(ClosedDays!$F$4:$F$32,IF(WEEKDAY(BD32)=1,BD32+1,IF(WEEKDAY(BD32)=7,BD32+2,BD32)))+COUNTIF(ClosedDays!$J$4:$J$32,IF(WEEKDAY(BD32)=1,BD32+1,IF(WEEKDAY(BD32)=7,BD32+2,BD32)))+COUNTIF(ClosedDays!$N$4:$N$32,IF(WEEKDAY(BD32)=1,BD32+1,IF(WEEKDAY(BD32)=7,BD32+2,BD32)))</f>
        <v>44473</v>
      </c>
      <c r="BF32" s="405">
        <f>BE32+IF(WEEKDAY(BE32)=1,1,IF(WEEKDAY(BE32)=7,2,0))+COUNTIF(ClosedDays!$B$4:$B$32,IF(WEEKDAY(BE32)=1,BE32+1,IF(WEEKDAY(BE32)=7,BE32+2,BE32)))+COUNTIF(ClosedDays!$F$4:$F$32,IF(WEEKDAY(BE32)=1,BE32+1,IF(WEEKDAY(BE32)=7,BE32+2,BE32)))+COUNTIF(ClosedDays!$J$4:$J$32,IF(WEEKDAY(BE32)=1,BE32+1,IF(WEEKDAY(BE32)=7,BE32+2,BE32)))+COUNTIF(ClosedDays!$N$4:$N$32,IF(WEEKDAY(BE32)=1,BE32+1,IF(WEEKDAY(BE32)=7,BE32+2,BE32)))</f>
        <v>44473</v>
      </c>
      <c r="BG32" s="405">
        <f>BF32+IF(WEEKDAY(BF32)=1,1,IF(WEEKDAY(BF32)=7,2,0))+COUNTIF(ClosedDays!$B$4:$B$32,IF(WEEKDAY(BF32)=1,BF32+1,IF(WEEKDAY(BF32)=7,BF32+2,BF32)))+COUNTIF(ClosedDays!$F$4:$F$32,IF(WEEKDAY(BF32)=1,BF32+1,IF(WEEKDAY(BF32)=7,BF32+2,BF32)))+COUNTIF(ClosedDays!$J$4:$J$32,IF(WEEKDAY(BF32)=1,BF32+1,IF(WEEKDAY(BF32)=7,BF32+2,BF32)))+COUNTIF(ClosedDays!$N$4:$N$32,IF(WEEKDAY(BF32)=1,BF32+1,IF(WEEKDAY(BF32)=7,BF32+2,BF32)))</f>
        <v>44473</v>
      </c>
      <c r="BH32" s="405">
        <f>BG32+IF(WEEKDAY(BG32)=1,1,IF(WEEKDAY(BG32)=7,2,0))+COUNTIF(ClosedDays!$B$4:$B$32,IF(WEEKDAY(BG32)=1,BG32+1,IF(WEEKDAY(BG32)=7,BG32+2,BG32)))+COUNTIF(ClosedDays!$F$4:$F$32,IF(WEEKDAY(BG32)=1,BG32+1,IF(WEEKDAY(BG32)=7,BG32+2,BG32)))+COUNTIF(ClosedDays!$J$4:$J$32,IF(WEEKDAY(BG32)=1,BG32+1,IF(WEEKDAY(BG32)=7,BG32+2,BG32)))+COUNTIF(ClosedDays!$N$4:$N$32,IF(WEEKDAY(BG32)=1,BG32+1,IF(WEEKDAY(BG32)=7,BG32+2,BG32)))</f>
        <v>44473</v>
      </c>
      <c r="BI32" s="405">
        <f>BH32+IF(WEEKDAY(BH32)=1,1,IF(WEEKDAY(BH32)=7,2,0))+COUNTIF(ClosedDays!$B$4:$B$32,IF(WEEKDAY(BH32)=1,BH32+1,IF(WEEKDAY(BH32)=7,BH32+2,BH32)))+COUNTIF(ClosedDays!$F$4:$F$32,IF(WEEKDAY(BH32)=1,BH32+1,IF(WEEKDAY(BH32)=7,BH32+2,BH32)))+COUNTIF(ClosedDays!$J$4:$J$32,IF(WEEKDAY(BH32)=1,BH32+1,IF(WEEKDAY(BH32)=7,BH32+2,BH32)))+COUNTIF(ClosedDays!$N$4:$N$32,IF(WEEKDAY(BH32)=1,BH32+1,IF(WEEKDAY(BH32)=7,BH32+2,BH32)))</f>
        <v>44473</v>
      </c>
      <c r="BJ32" s="405">
        <f>BI32+IF(WEEKDAY(BI32)=1,1,IF(WEEKDAY(BI32)=7,2,0))+COUNTIF(ClosedDays!$B$4:$B$32,IF(WEEKDAY(BI32)=1,BI32+1,IF(WEEKDAY(BI32)=7,BI32+2,BI32)))+COUNTIF(ClosedDays!$F$4:$F$32,IF(WEEKDAY(BI32)=1,BI32+1,IF(WEEKDAY(BI32)=7,BI32+2,BI32)))+COUNTIF(ClosedDays!$J$4:$J$32,IF(WEEKDAY(BI32)=1,BI32+1,IF(WEEKDAY(BI32)=7,BI32+2,BI32)))+COUNTIF(ClosedDays!$N$4:$N$32,IF(WEEKDAY(BI32)=1,BI32+1,IF(WEEKDAY(BI32)=7,BI32+2,BI32)))</f>
        <v>44473</v>
      </c>
      <c r="BK32" s="405">
        <f>BJ32+IF(WEEKDAY(BJ32)=1,1,IF(WEEKDAY(BJ32)=7,2,0))+COUNTIF(ClosedDays!$B$4:$B$32,IF(WEEKDAY(BJ32)=1,BJ32+1,IF(WEEKDAY(BJ32)=7,BJ32+2,BJ32)))+COUNTIF(ClosedDays!$F$4:$F$32,IF(WEEKDAY(BJ32)=1,BJ32+1,IF(WEEKDAY(BJ32)=7,BJ32+2,BJ32)))+COUNTIF(ClosedDays!$J$4:$J$32,IF(WEEKDAY(BJ32)=1,BJ32+1,IF(WEEKDAY(BJ32)=7,BJ32+2,BJ32)))+COUNTIF(ClosedDays!$N$4:$N$32,IF(WEEKDAY(BJ32)=1,BJ32+1,IF(WEEKDAY(BJ32)=7,BJ32+2,BJ32)))</f>
        <v>44473</v>
      </c>
      <c r="BL32" s="405">
        <f>BK32+IF(WEEKDAY(BK32)=1,1,IF(WEEKDAY(BK32)=7,2,0))+COUNTIF(ClosedDays!$B$4:$B$32,IF(WEEKDAY(BK32)=1,BK32+1,IF(WEEKDAY(BK32)=7,BK32+2,BK32)))+COUNTIF(ClosedDays!$F$4:$F$32,IF(WEEKDAY(BK32)=1,BK32+1,IF(WEEKDAY(BK32)=7,BK32+2,BK32)))+COUNTIF(ClosedDays!$J$4:$J$32,IF(WEEKDAY(BK32)=1,BK32+1,IF(WEEKDAY(BK32)=7,BK32+2,BK32)))+COUNTIF(ClosedDays!$N$4:$N$32,IF(WEEKDAY(BK32)=1,BK32+1,IF(WEEKDAY(BK32)=7,BK32+2,BK32)))</f>
        <v>44473</v>
      </c>
      <c r="BM32" s="405">
        <f>BL32+IF(WEEKDAY(BL32)=1,1,IF(WEEKDAY(BL32)=7,2,0))+COUNTIF(ClosedDays!$B$4:$B$32,IF(WEEKDAY(BL32)=1,BL32+1,IF(WEEKDAY(BL32)=7,BL32+2,BL32)))+COUNTIF(ClosedDays!$F$4:$F$32,IF(WEEKDAY(BL32)=1,BL32+1,IF(WEEKDAY(BL32)=7,BL32+2,BL32)))+COUNTIF(ClosedDays!$J$4:$J$32,IF(WEEKDAY(BL32)=1,BL32+1,IF(WEEKDAY(BL32)=7,BL32+2,BL32)))+COUNTIF(ClosedDays!$N$4:$N$32,IF(WEEKDAY(BL32)=1,BL32+1,IF(WEEKDAY(BL32)=7,BL32+2,BL32)))</f>
        <v>44473</v>
      </c>
      <c r="BN32" s="405">
        <f>BM32+IF(WEEKDAY(BM32)=1,1,IF(WEEKDAY(BM32)=7,2,0))+COUNTIF(ClosedDays!$B$4:$B$32,IF(WEEKDAY(BM32)=1,BM32+1,IF(WEEKDAY(BM32)=7,BM32+2,BM32)))+COUNTIF(ClosedDays!$F$4:$F$32,IF(WEEKDAY(BM32)=1,BM32+1,IF(WEEKDAY(BM32)=7,BM32+2,BM32)))+COUNTIF(ClosedDays!$J$4:$J$32,IF(WEEKDAY(BM32)=1,BM32+1,IF(WEEKDAY(BM32)=7,BM32+2,BM32)))+COUNTIF(ClosedDays!$N$4:$N$32,IF(WEEKDAY(BM32)=1,BM32+1,IF(WEEKDAY(BM32)=7,BM32+2,BM32)))</f>
        <v>44473</v>
      </c>
      <c r="BO32" s="405">
        <f>BN32+IF(WEEKDAY(BN32)=1,1,IF(WEEKDAY(BN32)=7,2,0))+COUNTIF(ClosedDays!$B$4:$B$32,IF(WEEKDAY(BN32)=1,BN32+1,IF(WEEKDAY(BN32)=7,BN32+2,BN32)))+COUNTIF(ClosedDays!$F$4:$F$32,IF(WEEKDAY(BN32)=1,BN32+1,IF(WEEKDAY(BN32)=7,BN32+2,BN32)))+COUNTIF(ClosedDays!$J$4:$J$32,IF(WEEKDAY(BN32)=1,BN32+1,IF(WEEKDAY(BN32)=7,BN32+2,BN32)))+COUNTIF(ClosedDays!$N$4:$N$32,IF(WEEKDAY(BN32)=1,BN32+1,IF(WEEKDAY(BN32)=7,BN32+2,BN32)))</f>
        <v>44473</v>
      </c>
      <c r="BP32" s="405">
        <f>BO32+IF(WEEKDAY(BO32)=1,1,IF(WEEKDAY(BO32)=7,2,0))+COUNTIF(ClosedDays!$B$4:$B$32,IF(WEEKDAY(BO32)=1,BO32+1,IF(WEEKDAY(BO32)=7,BO32+2,BO32)))+COUNTIF(ClosedDays!$F$4:$F$32,IF(WEEKDAY(BO32)=1,BO32+1,IF(WEEKDAY(BO32)=7,BO32+2,BO32)))+COUNTIF(ClosedDays!$J$4:$J$32,IF(WEEKDAY(BO32)=1,BO32+1,IF(WEEKDAY(BO32)=7,BO32+2,BO32)))+COUNTIF(ClosedDays!$N$4:$N$32,IF(WEEKDAY(BO32)=1,BO32+1,IF(WEEKDAY(BO32)=7,BO32+2,BO32)))</f>
        <v>44473</v>
      </c>
      <c r="BQ32" s="405">
        <f t="shared" si="16"/>
        <v>44473</v>
      </c>
      <c r="BR32" s="446">
        <f>IF(AND($D32&lt;='Outline Info'!$H$31,BQ32&gt;='Outline Info'!$H$31,$BS$4=1,$AC32&gt;10,$AC32&lt;9997),1,0)</f>
        <v>0</v>
      </c>
      <c r="BS32" s="405">
        <f>IF(BR32=1,BQ32+'Outline Info'!$I$31-'Outline Info'!$H$31+1,BQ32)</f>
        <v>44473</v>
      </c>
      <c r="BT32" s="405">
        <f>BS32+IF(WEEKDAY(BS32)=1,1,IF(WEEKDAY(BS32)=7,2,0))+COUNTIF(ClosedDays!$B$4:$B$32,IF(WEEKDAY(BS32)=1,BS32+1,IF(WEEKDAY(BS32)=7,BS32+2,BS32)))+COUNTIF(ClosedDays!$F$4:$F$32,IF(WEEKDAY(BS32)=1,BS32+1,IF(WEEKDAY(BS32)=7,BS32+2,BS32)))+COUNTIF(ClosedDays!$J$4:$J$32,IF(WEEKDAY(BS32)=1,BS32+1,IF(WEEKDAY(BS32)=7,BS32+2,BS32)))+COUNTIF(ClosedDays!$N$4:$N$32,IF(WEEKDAY(BS32)=1,BS32+1,IF(WEEKDAY(BS32)=7,BS32+2,BS32)))</f>
        <v>44473</v>
      </c>
      <c r="BU32" s="405">
        <f>BT32+IF(WEEKDAY(BT32)=1,1,IF(WEEKDAY(BT32)=7,2,0))+COUNTIF(ClosedDays!$B$4:$B$32,IF(WEEKDAY(BT32)=1,BT32+1,IF(WEEKDAY(BT32)=7,BT32+2,BT32)))+COUNTIF(ClosedDays!$F$4:$F$32,IF(WEEKDAY(BT32)=1,BT32+1,IF(WEEKDAY(BT32)=7,BT32+2,BT32)))+COUNTIF(ClosedDays!$J$4:$J$32,IF(WEEKDAY(BT32)=1,BT32+1,IF(WEEKDAY(BT32)=7,BT32+2,BT32)))+COUNTIF(ClosedDays!$N$4:$N$32,IF(WEEKDAY(BT32)=1,BT32+1,IF(WEEKDAY(BT32)=7,BT32+2,BT32)))</f>
        <v>44473</v>
      </c>
      <c r="BV32" s="405">
        <f>BU32+IF(WEEKDAY(BU32)=1,1,IF(WEEKDAY(BU32)=7,2,0))+COUNTIF(ClosedDays!$B$4:$B$32,IF(WEEKDAY(BU32)=1,BU32+1,IF(WEEKDAY(BU32)=7,BU32+2,BU32)))+COUNTIF(ClosedDays!$F$4:$F$32,IF(WEEKDAY(BU32)=1,BU32+1,IF(WEEKDAY(BU32)=7,BU32+2,BU32)))+COUNTIF(ClosedDays!$J$4:$J$32,IF(WEEKDAY(BU32)=1,BU32+1,IF(WEEKDAY(BU32)=7,BU32+2,BU32)))+COUNTIF(ClosedDays!$N$4:$N$32,IF(WEEKDAY(BU32)=1,BU32+1,IF(WEEKDAY(BU32)=7,BU32+2,BU32)))</f>
        <v>44473</v>
      </c>
      <c r="BW32" s="405">
        <f>BV32+IF(WEEKDAY(BV32)=1,1,IF(WEEKDAY(BV32)=7,2,0))+COUNTIF(ClosedDays!$B$4:$B$32,IF(WEEKDAY(BV32)=1,BV32+1,IF(WEEKDAY(BV32)=7,BV32+2,BV32)))+COUNTIF(ClosedDays!$F$4:$F$32,IF(WEEKDAY(BV32)=1,BV32+1,IF(WEEKDAY(BV32)=7,BV32+2,BV32)))+COUNTIF(ClosedDays!$J$4:$J$32,IF(WEEKDAY(BV32)=1,BV32+1,IF(WEEKDAY(BV32)=7,BV32+2,BV32)))+COUNTIF(ClosedDays!$N$4:$N$32,IF(WEEKDAY(BV32)=1,BV32+1,IF(WEEKDAY(BV32)=7,BV32+2,BV32)))</f>
        <v>44473</v>
      </c>
      <c r="BX32" s="405">
        <f>BW32+IF(WEEKDAY(BW32)=1,1,IF(WEEKDAY(BW32)=7,2,0))+COUNTIF(ClosedDays!$B$4:$B$32,IF(WEEKDAY(BW32)=1,BW32+1,IF(WEEKDAY(BW32)=7,BW32+2,BW32)))+COUNTIF(ClosedDays!$F$4:$F$32,IF(WEEKDAY(BW32)=1,BW32+1,IF(WEEKDAY(BW32)=7,BW32+2,BW32)))+COUNTIF(ClosedDays!$J$4:$J$32,IF(WEEKDAY(BW32)=1,BW32+1,IF(WEEKDAY(BW32)=7,BW32+2,BW32)))+COUNTIF(ClosedDays!$N$4:$N$32,IF(WEEKDAY(BW32)=1,BW32+1,IF(WEEKDAY(BW32)=7,BW32+2,BW32)))</f>
        <v>44473</v>
      </c>
      <c r="BY32" s="405">
        <f>BX32+IF(WEEKDAY(BX32)=1,1,IF(WEEKDAY(BX32)=7,2,0))+COUNTIF(ClosedDays!$B$4:$B$32,IF(WEEKDAY(BX32)=1,BX32+1,IF(WEEKDAY(BX32)=7,BX32+2,BX32)))+COUNTIF(ClosedDays!$F$4:$F$32,IF(WEEKDAY(BX32)=1,BX32+1,IF(WEEKDAY(BX32)=7,BX32+2,BX32)))+COUNTIF(ClosedDays!$J$4:$J$32,IF(WEEKDAY(BX32)=1,BX32+1,IF(WEEKDAY(BX32)=7,BX32+2,BX32)))+COUNTIF(ClosedDays!$N$4:$N$32,IF(WEEKDAY(BX32)=1,BX32+1,IF(WEEKDAY(BX32)=7,BX32+2,BX32)))</f>
        <v>44473</v>
      </c>
      <c r="BZ32" s="405">
        <f>BY32+IF(WEEKDAY(BY32)=1,1,IF(WEEKDAY(BY32)=7,2,0))+COUNTIF(ClosedDays!$B$4:$B$32,IF(WEEKDAY(BY32)=1,BY32+1,IF(WEEKDAY(BY32)=7,BY32+2,BY32)))+COUNTIF(ClosedDays!$F$4:$F$32,IF(WEEKDAY(BY32)=1,BY32+1,IF(WEEKDAY(BY32)=7,BY32+2,BY32)))+COUNTIF(ClosedDays!$J$4:$J$32,IF(WEEKDAY(BY32)=1,BY32+1,IF(WEEKDAY(BY32)=7,BY32+2,BY32)))+COUNTIF(ClosedDays!$N$4:$N$32,IF(WEEKDAY(BY32)=1,BY32+1,IF(WEEKDAY(BY32)=7,BY32+2,BY32)))</f>
        <v>44473</v>
      </c>
      <c r="CA32" s="405">
        <f>BZ32+IF(WEEKDAY(BZ32)=1,1,IF(WEEKDAY(BZ32)=7,2,0))+COUNTIF(ClosedDays!$B$4:$B$32,IF(WEEKDAY(BZ32)=1,BZ32+1,IF(WEEKDAY(BZ32)=7,BZ32+2,BZ32)))+COUNTIF(ClosedDays!$F$4:$F$32,IF(WEEKDAY(BZ32)=1,BZ32+1,IF(WEEKDAY(BZ32)=7,BZ32+2,BZ32)))+COUNTIF(ClosedDays!$J$4:$J$32,IF(WEEKDAY(BZ32)=1,BZ32+1,IF(WEEKDAY(BZ32)=7,BZ32+2,BZ32)))+COUNTIF(ClosedDays!$N$4:$N$32,IF(WEEKDAY(BZ32)=1,BZ32+1,IF(WEEKDAY(BZ32)=7,BZ32+2,BZ32)))</f>
        <v>44473</v>
      </c>
      <c r="CB32" s="405">
        <f>CA32+IF(WEEKDAY(CA32)=1,1,IF(WEEKDAY(CA32)=7,2,0))+COUNTIF(ClosedDays!$B$4:$B$32,IF(WEEKDAY(CA32)=1,CA32+1,IF(WEEKDAY(CA32)=7,CA32+2,CA32)))+COUNTIF(ClosedDays!$F$4:$F$32,IF(WEEKDAY(CA32)=1,CA32+1,IF(WEEKDAY(CA32)=7,CA32+2,CA32)))+COUNTIF(ClosedDays!$J$4:$J$32,IF(WEEKDAY(CA32)=1,CA32+1,IF(WEEKDAY(CA32)=7,CA32+2,CA32)))+COUNTIF(ClosedDays!$N$4:$N$32,IF(WEEKDAY(CA32)=1,CA32+1,IF(WEEKDAY(CA32)=7,CA32+2,CA32)))</f>
        <v>44473</v>
      </c>
      <c r="CC32" s="405">
        <f>CB32+IF(WEEKDAY(CB32)=1,1,IF(WEEKDAY(CB32)=7,2,0))+COUNTIF(ClosedDays!$B$4:$B$32,IF(WEEKDAY(CB32)=1,CB32+1,IF(WEEKDAY(CB32)=7,CB32+2,CB32)))+COUNTIF(ClosedDays!$F$4:$F$32,IF(WEEKDAY(CB32)=1,CB32+1,IF(WEEKDAY(CB32)=7,CB32+2,CB32)))+COUNTIF(ClosedDays!$J$4:$J$32,IF(WEEKDAY(CB32)=1,CB32+1,IF(WEEKDAY(CB32)=7,CB32+2,CB32)))+COUNTIF(ClosedDays!$N$4:$N$32,IF(WEEKDAY(CB32)=1,CB32+1,IF(WEEKDAY(CB32)=7,CB32+2,CB32)))</f>
        <v>44473</v>
      </c>
      <c r="CD32" s="405">
        <f>CC32+IF(WEEKDAY(CC32)=1,1,IF(WEEKDAY(CC32)=7,2,0))+COUNTIF(ClosedDays!$B$4:$B$32,IF(WEEKDAY(CC32)=1,CC32+1,IF(WEEKDAY(CC32)=7,CC32+2,CC32)))+COUNTIF(ClosedDays!$F$4:$F$32,IF(WEEKDAY(CC32)=1,CC32+1,IF(WEEKDAY(CC32)=7,CC32+2,CC32)))+COUNTIF(ClosedDays!$J$4:$J$32,IF(WEEKDAY(CC32)=1,CC32+1,IF(WEEKDAY(CC32)=7,CC32+2,CC32)))+COUNTIF(ClosedDays!$N$4:$N$32,IF(WEEKDAY(CC32)=1,CC32+1,IF(WEEKDAY(CC32)=7,CC32+2,CC32)))</f>
        <v>44473</v>
      </c>
      <c r="CE32" s="405">
        <f>CD32+IF(WEEKDAY(CD32)=1,1,IF(WEEKDAY(CD32)=7,2,0))+COUNTIF(ClosedDays!$B$4:$B$32,IF(WEEKDAY(CD32)=1,CD32+1,IF(WEEKDAY(CD32)=7,CD32+2,CD32)))+COUNTIF(ClosedDays!$F$4:$F$32,IF(WEEKDAY(CD32)=1,CD32+1,IF(WEEKDAY(CD32)=7,CD32+2,CD32)))+COUNTIF(ClosedDays!$J$4:$J$32,IF(WEEKDAY(CD32)=1,CD32+1,IF(WEEKDAY(CD32)=7,CD32+2,CD32)))+COUNTIF(ClosedDays!$N$4:$N$32,IF(WEEKDAY(CD32)=1,CD32+1,IF(WEEKDAY(CD32)=7,CD32+2,CD32)))</f>
        <v>44473</v>
      </c>
      <c r="CF32" s="405">
        <f>CE32+IF(WEEKDAY(CE32)=1,1,IF(WEEKDAY(CE32)=7,2,0))+COUNTIF(ClosedDays!$B$4:$B$32,IF(WEEKDAY(CE32)=1,CE32+1,IF(WEEKDAY(CE32)=7,CE32+2,CE32)))+COUNTIF(ClosedDays!$F$4:$F$32,IF(WEEKDAY(CE32)=1,CE32+1,IF(WEEKDAY(CE32)=7,CE32+2,CE32)))+COUNTIF(ClosedDays!$J$4:$J$32,IF(WEEKDAY(CE32)=1,CE32+1,IF(WEEKDAY(CE32)=7,CE32+2,CE32)))+COUNTIF(ClosedDays!$N$4:$N$32,IF(WEEKDAY(CE32)=1,CE32+1,IF(WEEKDAY(CE32)=7,CE32+2,CE32)))</f>
        <v>44473</v>
      </c>
      <c r="CG32" s="405">
        <f>CF32+IF(WEEKDAY(CF32)=1,1,IF(WEEKDAY(CF32)=7,2,0))+COUNTIF(ClosedDays!$B$4:$B$32,IF(WEEKDAY(CF32)=1,CF32+1,IF(WEEKDAY(CF32)=7,CF32+2,CF32)))+COUNTIF(ClosedDays!$F$4:$F$32,IF(WEEKDAY(CF32)=1,CF32+1,IF(WEEKDAY(CF32)=7,CF32+2,CF32)))+COUNTIF(ClosedDays!$J$4:$J$32,IF(WEEKDAY(CF32)=1,CF32+1,IF(WEEKDAY(CF32)=7,CF32+2,CF32)))+COUNTIF(ClosedDays!$N$4:$N$32,IF(WEEKDAY(CF32)=1,CF32+1,IF(WEEKDAY(CF32)=7,CF32+2,CF32)))</f>
        <v>44473</v>
      </c>
      <c r="CH32" s="405">
        <f t="shared" si="17"/>
        <v>44473</v>
      </c>
      <c r="CI32" s="446">
        <f>IF(AND($D32&lt;='Outline Info'!$H$33,CH32&gt;='Outline Info'!$H$33,$CJ$4=1,$AC32&gt;10,$AC32&lt;9997),1,0)</f>
        <v>0</v>
      </c>
      <c r="CJ32" s="405">
        <f>IF(CI32=1,CH32+'Outline Info'!$I$33-'Outline Info'!$H$33+1,CH32)</f>
        <v>44473</v>
      </c>
      <c r="CK32" s="405">
        <f>CJ32+IF(WEEKDAY(CJ32)=1,1,IF(WEEKDAY(CJ32)=7,2,0))+COUNTIF(ClosedDays!$B$4:$B$32,IF(WEEKDAY(CJ32)=1,CJ32+1,IF(WEEKDAY(CJ32)=7,CJ32+2,CJ32)))+COUNTIF(ClosedDays!$F$4:$F$32,IF(WEEKDAY(CJ32)=1,CJ32+1,IF(WEEKDAY(CJ32)=7,CJ32+2,CJ32)))+COUNTIF(ClosedDays!$J$4:$J$32,IF(WEEKDAY(CJ32)=1,CJ32+1,IF(WEEKDAY(CJ32)=7,CJ32+2,CJ32)))+COUNTIF(ClosedDays!$N$4:$N$32,IF(WEEKDAY(CJ32)=1,CJ32+1,IF(WEEKDAY(CJ32)=7,CJ32+2,CJ32)))</f>
        <v>44473</v>
      </c>
      <c r="CL32" s="405">
        <f>CK32+IF(WEEKDAY(CK32)=1,1,IF(WEEKDAY(CK32)=7,2,0))+COUNTIF(ClosedDays!$B$4:$B$32,IF(WEEKDAY(CK32)=1,CK32+1,IF(WEEKDAY(CK32)=7,CK32+2,CK32)))+COUNTIF(ClosedDays!$F$4:$F$32,IF(WEEKDAY(CK32)=1,CK32+1,IF(WEEKDAY(CK32)=7,CK32+2,CK32)))+COUNTIF(ClosedDays!$J$4:$J$32,IF(WEEKDAY(CK32)=1,CK32+1,IF(WEEKDAY(CK32)=7,CK32+2,CK32)))+COUNTIF(ClosedDays!$N$4:$N$32,IF(WEEKDAY(CK32)=1,CK32+1,IF(WEEKDAY(CK32)=7,CK32+2,CK32)))</f>
        <v>44473</v>
      </c>
      <c r="CM32" s="405">
        <f>CL32+IF(WEEKDAY(CL32)=1,1,IF(WEEKDAY(CL32)=7,2,0))+COUNTIF(ClosedDays!$B$4:$B$32,IF(WEEKDAY(CL32)=1,CL32+1,IF(WEEKDAY(CL32)=7,CL32+2,CL32)))+COUNTIF(ClosedDays!$F$4:$F$32,IF(WEEKDAY(CL32)=1,CL32+1,IF(WEEKDAY(CL32)=7,CL32+2,CL32)))+COUNTIF(ClosedDays!$J$4:$J$32,IF(WEEKDAY(CL32)=1,CL32+1,IF(WEEKDAY(CL32)=7,CL32+2,CL32)))+COUNTIF(ClosedDays!$N$4:$N$32,IF(WEEKDAY(CL32)=1,CL32+1,IF(WEEKDAY(CL32)=7,CL32+2,CL32)))</f>
        <v>44473</v>
      </c>
      <c r="CN32" s="405">
        <f>CM32+IF(WEEKDAY(CM32)=1,1,IF(WEEKDAY(CM32)=7,2,0))+COUNTIF(ClosedDays!$B$4:$B$32,IF(WEEKDAY(CM32)=1,CM32+1,IF(WEEKDAY(CM32)=7,CM32+2,CM32)))+COUNTIF(ClosedDays!$F$4:$F$32,IF(WEEKDAY(CM32)=1,CM32+1,IF(WEEKDAY(CM32)=7,CM32+2,CM32)))+COUNTIF(ClosedDays!$J$4:$J$32,IF(WEEKDAY(CM32)=1,CM32+1,IF(WEEKDAY(CM32)=7,CM32+2,CM32)))+COUNTIF(ClosedDays!$N$4:$N$32,IF(WEEKDAY(CM32)=1,CM32+1,IF(WEEKDAY(CM32)=7,CM32+2,CM32)))</f>
        <v>44473</v>
      </c>
      <c r="CO32" s="405">
        <f>CN32+IF(WEEKDAY(CN32)=1,1,IF(WEEKDAY(CN32)=7,2,0))+COUNTIF(ClosedDays!$B$4:$B$32,IF(WEEKDAY(CN32)=1,CN32+1,IF(WEEKDAY(CN32)=7,CN32+2,CN32)))+COUNTIF(ClosedDays!$F$4:$F$32,IF(WEEKDAY(CN32)=1,CN32+1,IF(WEEKDAY(CN32)=7,CN32+2,CN32)))+COUNTIF(ClosedDays!$J$4:$J$32,IF(WEEKDAY(CN32)=1,CN32+1,IF(WEEKDAY(CN32)=7,CN32+2,CN32)))+COUNTIF(ClosedDays!$N$4:$N$32,IF(WEEKDAY(CN32)=1,CN32+1,IF(WEEKDAY(CN32)=7,CN32+2,CN32)))</f>
        <v>44473</v>
      </c>
      <c r="CP32" s="405">
        <f>CO32+IF(WEEKDAY(CO32)=1,1,IF(WEEKDAY(CO32)=7,2,0))+COUNTIF(ClosedDays!$B$4:$B$32,IF(WEEKDAY(CO32)=1,CO32+1,IF(WEEKDAY(CO32)=7,CO32+2,CO32)))+COUNTIF(ClosedDays!$F$4:$F$32,IF(WEEKDAY(CO32)=1,CO32+1,IF(WEEKDAY(CO32)=7,CO32+2,CO32)))+COUNTIF(ClosedDays!$J$4:$J$32,IF(WEEKDAY(CO32)=1,CO32+1,IF(WEEKDAY(CO32)=7,CO32+2,CO32)))+COUNTIF(ClosedDays!$N$4:$N$32,IF(WEEKDAY(CO32)=1,CO32+1,IF(WEEKDAY(CO32)=7,CO32+2,CO32)))</f>
        <v>44473</v>
      </c>
      <c r="CQ32" s="405">
        <f>CP32+IF(WEEKDAY(CP32)=1,1,IF(WEEKDAY(CP32)=7,2,0))+COUNTIF(ClosedDays!$B$4:$B$32,IF(WEEKDAY(CP32)=1,CP32+1,IF(WEEKDAY(CP32)=7,CP32+2,CP32)))+COUNTIF(ClosedDays!$F$4:$F$32,IF(WEEKDAY(CP32)=1,CP32+1,IF(WEEKDAY(CP32)=7,CP32+2,CP32)))+COUNTIF(ClosedDays!$J$4:$J$32,IF(WEEKDAY(CP32)=1,CP32+1,IF(WEEKDAY(CP32)=7,CP32+2,CP32)))+COUNTIF(ClosedDays!$N$4:$N$32,IF(WEEKDAY(CP32)=1,CP32+1,IF(WEEKDAY(CP32)=7,CP32+2,CP32)))</f>
        <v>44473</v>
      </c>
      <c r="CR32" s="405">
        <f>CQ32+IF(WEEKDAY(CQ32)=1,1,IF(WEEKDAY(CQ32)=7,2,0))+COUNTIF(ClosedDays!$B$4:$B$32,IF(WEEKDAY(CQ32)=1,CQ32+1,IF(WEEKDAY(CQ32)=7,CQ32+2,CQ32)))+COUNTIF(ClosedDays!$F$4:$F$32,IF(WEEKDAY(CQ32)=1,CQ32+1,IF(WEEKDAY(CQ32)=7,CQ32+2,CQ32)))+COUNTIF(ClosedDays!$J$4:$J$32,IF(WEEKDAY(CQ32)=1,CQ32+1,IF(WEEKDAY(CQ32)=7,CQ32+2,CQ32)))+COUNTIF(ClosedDays!$N$4:$N$32,IF(WEEKDAY(CQ32)=1,CQ32+1,IF(WEEKDAY(CQ32)=7,CQ32+2,CQ32)))</f>
        <v>44473</v>
      </c>
      <c r="CS32" s="405">
        <f>CR32+IF(WEEKDAY(CR32)=1,1,IF(WEEKDAY(CR32)=7,2,0))+COUNTIF(ClosedDays!$B$4:$B$32,IF(WEEKDAY(CR32)=1,CR32+1,IF(WEEKDAY(CR32)=7,CR32+2,CR32)))+COUNTIF(ClosedDays!$F$4:$F$32,IF(WEEKDAY(CR32)=1,CR32+1,IF(WEEKDAY(CR32)=7,CR32+2,CR32)))+COUNTIF(ClosedDays!$J$4:$J$32,IF(WEEKDAY(CR32)=1,CR32+1,IF(WEEKDAY(CR32)=7,CR32+2,CR32)))+COUNTIF(ClosedDays!$N$4:$N$32,IF(WEEKDAY(CR32)=1,CR32+1,IF(WEEKDAY(CR32)=7,CR32+2,CR32)))</f>
        <v>44473</v>
      </c>
      <c r="CT32" s="405">
        <f>CS32+IF(WEEKDAY(CS32)=1,1,IF(WEEKDAY(CS32)=7,2,0))+COUNTIF(ClosedDays!$B$4:$B$32,IF(WEEKDAY(CS32)=1,CS32+1,IF(WEEKDAY(CS32)=7,CS32+2,CS32)))+COUNTIF(ClosedDays!$F$4:$F$32,IF(WEEKDAY(CS32)=1,CS32+1,IF(WEEKDAY(CS32)=7,CS32+2,CS32)))+COUNTIF(ClosedDays!$J$4:$J$32,IF(WEEKDAY(CS32)=1,CS32+1,IF(WEEKDAY(CS32)=7,CS32+2,CS32)))+COUNTIF(ClosedDays!$N$4:$N$32,IF(WEEKDAY(CS32)=1,CS32+1,IF(WEEKDAY(CS32)=7,CS32+2,CS32)))</f>
        <v>44473</v>
      </c>
      <c r="CU32" s="405">
        <f>CT32+IF(WEEKDAY(CT32)=1,1,IF(WEEKDAY(CT32)=7,2,0))+COUNTIF(ClosedDays!$B$4:$B$32,IF(WEEKDAY(CT32)=1,CT32+1,IF(WEEKDAY(CT32)=7,CT32+2,CT32)))+COUNTIF(ClosedDays!$F$4:$F$32,IF(WEEKDAY(CT32)=1,CT32+1,IF(WEEKDAY(CT32)=7,CT32+2,CT32)))+COUNTIF(ClosedDays!$J$4:$J$32,IF(WEEKDAY(CT32)=1,CT32+1,IF(WEEKDAY(CT32)=7,CT32+2,CT32)))+COUNTIF(ClosedDays!$N$4:$N$32,IF(WEEKDAY(CT32)=1,CT32+1,IF(WEEKDAY(CT32)=7,CT32+2,CT32)))</f>
        <v>44473</v>
      </c>
      <c r="CV32" s="405">
        <f>CU32+IF(WEEKDAY(CU32)=1,1,IF(WEEKDAY(CU32)=7,2,0))+COUNTIF(ClosedDays!$B$4:$B$32,IF(WEEKDAY(CU32)=1,CU32+1,IF(WEEKDAY(CU32)=7,CU32+2,CU32)))+COUNTIF(ClosedDays!$F$4:$F$32,IF(WEEKDAY(CU32)=1,CU32+1,IF(WEEKDAY(CU32)=7,CU32+2,CU32)))+COUNTIF(ClosedDays!$J$4:$J$32,IF(WEEKDAY(CU32)=1,CU32+1,IF(WEEKDAY(CU32)=7,CU32+2,CU32)))+COUNTIF(ClosedDays!$N$4:$N$32,IF(WEEKDAY(CU32)=1,CU32+1,IF(WEEKDAY(CU32)=7,CU32+2,CU32)))</f>
        <v>44473</v>
      </c>
      <c r="CW32" s="405">
        <f>CV32+IF(WEEKDAY(CV32)=1,1,IF(WEEKDAY(CV32)=7,2,0))+COUNTIF(ClosedDays!$B$4:$B$32,IF(WEEKDAY(CV32)=1,CV32+1,IF(WEEKDAY(CV32)=7,CV32+2,CV32)))+COUNTIF(ClosedDays!$F$4:$F$32,IF(WEEKDAY(CV32)=1,CV32+1,IF(WEEKDAY(CV32)=7,CV32+2,CV32)))+COUNTIF(ClosedDays!$J$4:$J$32,IF(WEEKDAY(CV32)=1,CV32+1,IF(WEEKDAY(CV32)=7,CV32+2,CV32)))+COUNTIF(ClosedDays!$N$4:$N$32,IF(WEEKDAY(CV32)=1,CV32+1,IF(WEEKDAY(CV32)=7,CV32+2,CV32)))</f>
        <v>44473</v>
      </c>
      <c r="CX32" s="405">
        <f>CW32+IF(WEEKDAY(CW32)=1,1,IF(WEEKDAY(CW32)=7,2,0))+COUNTIF(ClosedDays!$B$4:$B$32,IF(WEEKDAY(CW32)=1,CW32+1,IF(WEEKDAY(CW32)=7,CW32+2,CW32)))+COUNTIF(ClosedDays!$F$4:$F$32,IF(WEEKDAY(CW32)=1,CW32+1,IF(WEEKDAY(CW32)=7,CW32+2,CW32)))+COUNTIF(ClosedDays!$J$4:$J$32,IF(WEEKDAY(CW32)=1,CW32+1,IF(WEEKDAY(CW32)=7,CW32+2,CW32)))+COUNTIF(ClosedDays!$N$4:$N$32,IF(WEEKDAY(CW32)=1,CW32+1,IF(WEEKDAY(CW32)=7,CW32+2,CW32)))</f>
        <v>44473</v>
      </c>
      <c r="CY32" s="405">
        <f t="shared" si="18"/>
        <v>44473</v>
      </c>
      <c r="CZ32" s="446">
        <f>IF(AND($D32&lt;='Outline Info'!$E$33,CY32&gt;='Outline Info'!$E$33,$AC32&gt;10,$AC32&lt;9997),1,0)</f>
        <v>0</v>
      </c>
      <c r="DA32" s="405">
        <f>IF(AND($D32&lt;='Outline Info'!$E$33,CY32&gt;='Outline Info'!$E$33),CY32+'Outline Info'!$F$33-'Outline Info'!$E$33+1,CY32)</f>
        <v>44473</v>
      </c>
      <c r="DB32" s="405">
        <f>DA32+IF(WEEKDAY(DA32)=1,1,IF(WEEKDAY(DA32)=7,2,0))+COUNTIF(ClosedDays!$B$4:$B$32,IF(WEEKDAY(DA32)=1,DA32+1,IF(WEEKDAY(DA32)=7,DA32+2,DA32)))+COUNTIF(ClosedDays!$F$4:$F$32,IF(WEEKDAY(DA32)=1,DA32+1,IF(WEEKDAY(DA32)=7,DA32+2,DA32)))+COUNTIF(ClosedDays!$J$4:$J$32,IF(WEEKDAY(DA32)=1,DA32+1,IF(WEEKDAY(DA32)=7,DA32+2,DA32)))+COUNTIF(ClosedDays!$N$4:$N$32,IF(WEEKDAY(DA32)=1,DA32+1,IF(WEEKDAY(DA32)=7,DA32+2,DA32)))</f>
        <v>44473</v>
      </c>
      <c r="DC32" s="405">
        <f>DB32+IF(WEEKDAY(DB32)=1,1,IF(WEEKDAY(DB32)=7,2,0))+COUNTIF(ClosedDays!$B$4:$B$32,IF(WEEKDAY(DB32)=1,DB32+1,IF(WEEKDAY(DB32)=7,DB32+2,DB32)))+COUNTIF(ClosedDays!$F$4:$F$32,IF(WEEKDAY(DB32)=1,DB32+1,IF(WEEKDAY(DB32)=7,DB32+2,DB32)))+COUNTIF(ClosedDays!$J$4:$J$32,IF(WEEKDAY(DB32)=1,DB32+1,IF(WEEKDAY(DB32)=7,DB32+2,DB32)))+COUNTIF(ClosedDays!$N$4:$N$32,IF(WEEKDAY(DB32)=1,DB32+1,IF(WEEKDAY(DB32)=7,DB32+2,DB32)))</f>
        <v>44473</v>
      </c>
      <c r="DD32" s="405">
        <f>DC32+IF(WEEKDAY(DC32)=1,1,IF(WEEKDAY(DC32)=7,2,0))+COUNTIF(ClosedDays!$B$4:$B$32,IF(WEEKDAY(DC32)=1,DC32+1,IF(WEEKDAY(DC32)=7,DC32+2,DC32)))+COUNTIF(ClosedDays!$F$4:$F$32,IF(WEEKDAY(DC32)=1,DC32+1,IF(WEEKDAY(DC32)=7,DC32+2,DC32)))+COUNTIF(ClosedDays!$J$4:$J$32,IF(WEEKDAY(DC32)=1,DC32+1,IF(WEEKDAY(DC32)=7,DC32+2,DC32)))+COUNTIF(ClosedDays!$N$4:$N$32,IF(WEEKDAY(DC32)=1,DC32+1,IF(WEEKDAY(DC32)=7,DC32+2,DC32)))</f>
        <v>44473</v>
      </c>
      <c r="DE32" s="405">
        <f>DD32+IF(WEEKDAY(DD32)=1,1,IF(WEEKDAY(DD32)=7,2,0))+COUNTIF(ClosedDays!$B$4:$B$32,IF(WEEKDAY(DD32)=1,DD32+1,IF(WEEKDAY(DD32)=7,DD32+2,DD32)))+COUNTIF(ClosedDays!$F$4:$F$32,IF(WEEKDAY(DD32)=1,DD32+1,IF(WEEKDAY(DD32)=7,DD32+2,DD32)))+COUNTIF(ClosedDays!$J$4:$J$32,IF(WEEKDAY(DD32)=1,DD32+1,IF(WEEKDAY(DD32)=7,DD32+2,DD32)))+COUNTIF(ClosedDays!$N$4:$N$32,IF(WEEKDAY(DD32)=1,DD32+1,IF(WEEKDAY(DD32)=7,DD32+2,DD32)))</f>
        <v>44473</v>
      </c>
      <c r="DF32" s="405">
        <f>DE32+IF(WEEKDAY(DE32)=1,1,IF(WEEKDAY(DE32)=7,2,0))+COUNTIF(ClosedDays!$B$4:$B$32,IF(WEEKDAY(DE32)=1,DE32+1,IF(WEEKDAY(DE32)=7,DE32+2,DE32)))+COUNTIF(ClosedDays!$F$4:$F$32,IF(WEEKDAY(DE32)=1,DE32+1,IF(WEEKDAY(DE32)=7,DE32+2,DE32)))+COUNTIF(ClosedDays!$J$4:$J$32,IF(WEEKDAY(DE32)=1,DE32+1,IF(WEEKDAY(DE32)=7,DE32+2,DE32)))+COUNTIF(ClosedDays!$N$4:$N$32,IF(WEEKDAY(DE32)=1,DE32+1,IF(WEEKDAY(DE32)=7,DE32+2,DE32)))</f>
        <v>44473</v>
      </c>
      <c r="DG32" s="405">
        <f>DF32+IF(WEEKDAY(DF32)=1,1,IF(WEEKDAY(DF32)=7,2,0))+COUNTIF(ClosedDays!$B$4:$B$32,IF(WEEKDAY(DF32)=1,DF32+1,IF(WEEKDAY(DF32)=7,DF32+2,DF32)))+COUNTIF(ClosedDays!$F$4:$F$32,IF(WEEKDAY(DF32)=1,DF32+1,IF(WEEKDAY(DF32)=7,DF32+2,DF32)))+COUNTIF(ClosedDays!$J$4:$J$32,IF(WEEKDAY(DF32)=1,DF32+1,IF(WEEKDAY(DF32)=7,DF32+2,DF32)))+COUNTIF(ClosedDays!$N$4:$N$32,IF(WEEKDAY(DF32)=1,DF32+1,IF(WEEKDAY(DF32)=7,DF32+2,DF32)))</f>
        <v>44473</v>
      </c>
      <c r="DH32" s="405">
        <f>DG32+IF(WEEKDAY(DG32)=1,1,IF(WEEKDAY(DG32)=7,2,0))+COUNTIF(ClosedDays!$B$4:$B$32,IF(WEEKDAY(DG32)=1,DG32+1,IF(WEEKDAY(DG32)=7,DG32+2,DG32)))+COUNTIF(ClosedDays!$F$4:$F$32,IF(WEEKDAY(DG32)=1,DG32+1,IF(WEEKDAY(DG32)=7,DG32+2,DG32)))+COUNTIF(ClosedDays!$J$4:$J$32,IF(WEEKDAY(DG32)=1,DG32+1,IF(WEEKDAY(DG32)=7,DG32+2,DG32)))+COUNTIF(ClosedDays!$N$4:$N$32,IF(WEEKDAY(DG32)=1,DG32+1,IF(WEEKDAY(DG32)=7,DG32+2,DG32)))</f>
        <v>44473</v>
      </c>
      <c r="DI32" s="405">
        <f>DH32+IF(WEEKDAY(DH32)=1,1,IF(WEEKDAY(DH32)=7,2,0))+COUNTIF(ClosedDays!$B$4:$B$32,IF(WEEKDAY(DH32)=1,DH32+1,IF(WEEKDAY(DH32)=7,DH32+2,DH32)))+COUNTIF(ClosedDays!$F$4:$F$32,IF(WEEKDAY(DH32)=1,DH32+1,IF(WEEKDAY(DH32)=7,DH32+2,DH32)))+COUNTIF(ClosedDays!$J$4:$J$32,IF(WEEKDAY(DH32)=1,DH32+1,IF(WEEKDAY(DH32)=7,DH32+2,DH32)))+COUNTIF(ClosedDays!$N$4:$N$32,IF(WEEKDAY(DH32)=1,DH32+1,IF(WEEKDAY(DH32)=7,DH32+2,DH32)))</f>
        <v>44473</v>
      </c>
      <c r="DJ32" s="405">
        <f>DI32+IF(WEEKDAY(DI32)=1,1,IF(WEEKDAY(DI32)=7,2,0))+COUNTIF(ClosedDays!$B$4:$B$32,IF(WEEKDAY(DI32)=1,DI32+1,IF(WEEKDAY(DI32)=7,DI32+2,DI32)))+COUNTIF(ClosedDays!$F$4:$F$32,IF(WEEKDAY(DI32)=1,DI32+1,IF(WEEKDAY(DI32)=7,DI32+2,DI32)))+COUNTIF(ClosedDays!$J$4:$J$32,IF(WEEKDAY(DI32)=1,DI32+1,IF(WEEKDAY(DI32)=7,DI32+2,DI32)))+COUNTIF(ClosedDays!$N$4:$N$32,IF(WEEKDAY(DI32)=1,DI32+1,IF(WEEKDAY(DI32)=7,DI32+2,DI32)))</f>
        <v>44473</v>
      </c>
      <c r="DK32" s="405">
        <f>DJ32+IF(WEEKDAY(DJ32)=1,1,IF(WEEKDAY(DJ32)=7,2,0))+COUNTIF(ClosedDays!$B$4:$B$32,IF(WEEKDAY(DJ32)=1,DJ32+1,IF(WEEKDAY(DJ32)=7,DJ32+2,DJ32)))+COUNTIF(ClosedDays!$F$4:$F$32,IF(WEEKDAY(DJ32)=1,DJ32+1,IF(WEEKDAY(DJ32)=7,DJ32+2,DJ32)))+COUNTIF(ClosedDays!$J$4:$J$32,IF(WEEKDAY(DJ32)=1,DJ32+1,IF(WEEKDAY(DJ32)=7,DJ32+2,DJ32)))+COUNTIF(ClosedDays!$N$4:$N$32,IF(WEEKDAY(DJ32)=1,DJ32+1,IF(WEEKDAY(DJ32)=7,DJ32+2,DJ32)))</f>
        <v>44473</v>
      </c>
      <c r="DL32" s="405">
        <f>DK32+IF(WEEKDAY(DK32)=1,1,IF(WEEKDAY(DK32)=7,2,0))+COUNTIF(ClosedDays!$B$4:$B$32,IF(WEEKDAY(DK32)=1,DK32+1,IF(WEEKDAY(DK32)=7,DK32+2,DK32)))+COUNTIF(ClosedDays!$F$4:$F$32,IF(WEEKDAY(DK32)=1,DK32+1,IF(WEEKDAY(DK32)=7,DK32+2,DK32)))+COUNTIF(ClosedDays!$J$4:$J$32,IF(WEEKDAY(DK32)=1,DK32+1,IF(WEEKDAY(DK32)=7,DK32+2,DK32)))+COUNTIF(ClosedDays!$N$4:$N$32,IF(WEEKDAY(DK32)=1,DK32+1,IF(WEEKDAY(DK32)=7,DK32+2,DK32)))</f>
        <v>44473</v>
      </c>
      <c r="DM32" s="405">
        <f>DL32+IF(WEEKDAY(DL32)=1,1,IF(WEEKDAY(DL32)=7,2,0))+COUNTIF(ClosedDays!$B$4:$B$32,IF(WEEKDAY(DL32)=1,DL32+1,IF(WEEKDAY(DL32)=7,DL32+2,DL32)))+COUNTIF(ClosedDays!$F$4:$F$32,IF(WEEKDAY(DL32)=1,DL32+1,IF(WEEKDAY(DL32)=7,DL32+2,DL32)))+COUNTIF(ClosedDays!$J$4:$J$32,IF(WEEKDAY(DL32)=1,DL32+1,IF(WEEKDAY(DL32)=7,DL32+2,DL32)))+COUNTIF(ClosedDays!$N$4:$N$32,IF(WEEKDAY(DL32)=1,DL32+1,IF(WEEKDAY(DL32)=7,DL32+2,DL32)))</f>
        <v>44473</v>
      </c>
      <c r="DN32" s="405">
        <f>DM32+IF(WEEKDAY(DM32)=1,1,IF(WEEKDAY(DM32)=7,2,0))+COUNTIF(ClosedDays!$B$4:$B$32,IF(WEEKDAY(DM32)=1,DM32+1,IF(WEEKDAY(DM32)=7,DM32+2,DM32)))+COUNTIF(ClosedDays!$F$4:$F$32,IF(WEEKDAY(DM32)=1,DM32+1,IF(WEEKDAY(DM32)=7,DM32+2,DM32)))+COUNTIF(ClosedDays!$J$4:$J$32,IF(WEEKDAY(DM32)=1,DM32+1,IF(WEEKDAY(DM32)=7,DM32+2,DM32)))+COUNTIF(ClosedDays!$N$4:$N$32,IF(WEEKDAY(DM32)=1,DM32+1,IF(WEEKDAY(DM32)=7,DM32+2,DM32)))</f>
        <v>44473</v>
      </c>
      <c r="DO32" s="405">
        <f>DN32+IF(WEEKDAY(DN32)=1,1,IF(WEEKDAY(DN32)=7,2,0))+COUNTIF(ClosedDays!$B$4:$B$32,IF(WEEKDAY(DN32)=1,DN32+1,IF(WEEKDAY(DN32)=7,DN32+2,DN32)))+COUNTIF(ClosedDays!$F$4:$F$32,IF(WEEKDAY(DN32)=1,DN32+1,IF(WEEKDAY(DN32)=7,DN32+2,DN32)))+COUNTIF(ClosedDays!$J$4:$J$32,IF(WEEKDAY(DN32)=1,DN32+1,IF(WEEKDAY(DN32)=7,DN32+2,DN32)))+COUNTIF(ClosedDays!$N$4:$N$32,IF(WEEKDAY(DN32)=1,DN32+1,IF(WEEKDAY(DN32)=7,DN32+2,DN32)))</f>
        <v>44473</v>
      </c>
      <c r="DP32" s="405">
        <f t="shared" si="23"/>
        <v>44473</v>
      </c>
      <c r="DQ32" s="405">
        <f t="shared" si="20"/>
        <v>44473</v>
      </c>
      <c r="DR32" s="394">
        <f t="shared" si="19"/>
        <v>1</v>
      </c>
      <c r="DS32" s="394">
        <f>IF(AND(DR32=1,COUNTIF(DS$7:DS31,1)&lt;12,VLOOKUP(COUNTIF(DS$7:DS31,1)+1,'Outline Info'!$A$21:$C$32,2)&lt;=I32),1,0)</f>
        <v>0</v>
      </c>
      <c r="DT32" s="405" t="str">
        <f>IF(DS32=1,IF(VLOOKUP(COUNTIF(DS$7:DS32,1),'Outline Info'!$A$21:$C$32,2)=0,"",VLOOKUP(COUNTIF(DS$7:DS32,1),'Outline Info'!$A$21:$C$32,2)),"")</f>
        <v/>
      </c>
      <c r="DU32" s="447">
        <f>IF(DS32=1,VLOOKUP(COUNTIF(DS$7:DS32,1),'Outline Info'!$A$21:$C$32,3),0)</f>
        <v>0</v>
      </c>
      <c r="DV32" s="445">
        <f>IF('Outline Info'!$B$8="Y",IF(B32="*",'Outline Info'!$B$19,IF(OR($A32="",B32="X",B32="x"),0,VLOOKUP($A32,'Course Table'!$A$2:$J$331,4,TRUE))),0)</f>
        <v>0</v>
      </c>
      <c r="DW32" s="447">
        <f t="shared" si="6"/>
        <v>0</v>
      </c>
      <c r="DX32" s="447">
        <f>IF('Outline Info'!$B$8="Y",$DV32,$DW32)</f>
        <v>0</v>
      </c>
      <c r="DY32" s="394"/>
      <c r="DZ32" s="934"/>
      <c r="EA32" s="934"/>
      <c r="EB32" s="394"/>
      <c r="EC32" s="394"/>
      <c r="ED32" s="394"/>
    </row>
    <row r="33" spans="1:134" s="400" customFormat="1" ht="20.100000000000001" customHeight="1">
      <c r="A33" s="874" t="str">
        <f t="shared" si="7"/>
        <v/>
      </c>
      <c r="B33" s="876" t="str">
        <f t="shared" si="8"/>
        <v/>
      </c>
      <c r="C33" s="878" t="str">
        <f t="shared" si="9"/>
        <v/>
      </c>
      <c r="D33" s="463">
        <f>IF(NOT(ISBLANK(DZ33)),DZ33,IF(AND($AC33=9998,'Outline Info'!$H$33&gt;='Outline Info'!$B$6,'Outline Info'!$H$33&lt;='Outline Info'!$C$6),'Outline Info'!$H$33,IF(AND($AC33=9997,'Outline Info'!$H$31&gt;='Outline Info'!$B$6,'Outline Info'!$H$31&lt;='Outline Info'!$C$6),'Outline Info'!$H$31,IF(AE33="*",DQ32,IF(OR(AE33="x",AE33="X"),I32,IF(AND(AC33&gt;6,AC32&lt;6),DQ32,IF(AND($AC33=9998,$AC32=9997),I31,I32)))))))</f>
        <v>44470</v>
      </c>
      <c r="E33" s="1286"/>
      <c r="F33" s="1287"/>
      <c r="G33" s="1282"/>
      <c r="H33" s="1283"/>
      <c r="I33" s="464">
        <f>IF(AND($AC33=9998,'Outline Info'!$I$33&gt;='Outline Info'!$B$6,'Outline Info'!$I$33&lt;='Outline Info'!$C$6),'Outline Info'!$I$33,IF(AND($AC33=9997,'Outline Info'!$I$31&gt;='Outline Info'!$B$6,'Outline Info'!$I$31&lt;='Outline Info'!$C$6),'Outline Info'!$I$31,IF(DP33&gt;$V$4,$V$4,DP33)))</f>
        <v>44470</v>
      </c>
      <c r="J33" s="436"/>
      <c r="K33" s="437"/>
      <c r="L33" s="438"/>
      <c r="M33" s="438"/>
      <c r="N33" s="435"/>
      <c r="O33" s="435"/>
      <c r="P33" s="438"/>
      <c r="Q33" s="438"/>
      <c r="R33" s="439"/>
      <c r="S33" s="872">
        <f>IF($V$5-SUM($DX$7:$DX33)&lt;0,IF($V$5-SUM($DX$7:$DX32)&lt;0,0,$V$5-SUM($DX$7:$DX32)),DX33)</f>
        <v>0</v>
      </c>
      <c r="T33" s="440" t="str">
        <f>IF(S33&gt;0,IF('Outline Info'!$B$8="Y",D33,DT33),"")</f>
        <v/>
      </c>
      <c r="U33" s="441"/>
      <c r="V33" s="442"/>
      <c r="W33" s="870" t="str">
        <f>IF('Outline Info'!$C$33&gt;0,ROUND(IF('Outline Info'!$B$8="Y",SUM(S$7:S33)-SUM(AJ$7:AJ33)-'Outline Info'!$B$14-'Outline Info'!$B$15-'Outline Info'!$B$17,IF(AL33=0,SUM(S$7:S33)-SUM(AK$7:AK33)-SUM(AP33:AS33)-'Outline Info'!$B$14-'Outline Info'!$B$15-'Outline Info'!$B$17,0)),0),IF('Outline Info'!$T$4&lt;&gt;1,"",IF(OR(AD33="",AL33=1),"",SUM(AK$7:AK33)+SUM(AP33:AS33)+'Outline Info'!$B$14+'Outline Info'!$B$15+'Outline Info'!$B$17)))</f>
        <v/>
      </c>
      <c r="X33" s="448"/>
      <c r="Y33" s="443">
        <f>IF(OR(AE33="X",AE33="x",AE33="*",AC33=99999),0,IF(AC33&lt;50,0,IF($S$4-SUM($Y$7:$Y32)&gt;0,1,0)))</f>
        <v>0</v>
      </c>
      <c r="Z33" s="444">
        <f>IF(AC33&lt;99999,IF(AE33="*",AH33,IF(OR(AE33="x",AE33="X",AC33&lt;10),0,IF(AND(AC33&lt;&gt;9998,AC33&lt;&gt;9997),IF(AM33=1,(AH33+$AM$5)*(1+('Outline Info'!$B$16)),IF(AN33=1,(AH33+$AN$5)*(1+('Outline Info'!$B$16)),0)),AH33))),0)</f>
        <v>0</v>
      </c>
      <c r="AA33" s="395">
        <f>Z33/'Outline Info'!$C$11+Y33</f>
        <v>0</v>
      </c>
      <c r="AB33" s="395">
        <f>ROUND(AA33/'Outline Info'!$B$11*7,0)</f>
        <v>0</v>
      </c>
      <c r="AC33" s="450">
        <f>IF($AD33&lt;&gt;"",VLOOKUP($AD33,'Course Table'!$A$2:$J$331,10,TRUE),99999)</f>
        <v>99999</v>
      </c>
      <c r="AD33" s="451"/>
      <c r="AE33" s="394"/>
      <c r="AF33" s="451"/>
      <c r="AG33" s="451"/>
      <c r="AH33" s="451"/>
      <c r="AI33" s="394">
        <v>389</v>
      </c>
      <c r="AJ33" s="394">
        <v>389</v>
      </c>
      <c r="AK33" s="394">
        <f t="shared" si="10"/>
        <v>389</v>
      </c>
      <c r="AL33" s="394">
        <f t="shared" si="11"/>
        <v>0</v>
      </c>
      <c r="AM33" s="394">
        <f t="shared" si="12"/>
        <v>0</v>
      </c>
      <c r="AN33" s="394">
        <f t="shared" si="13"/>
        <v>0</v>
      </c>
      <c r="AO33" s="394">
        <f>IF(AN33=1,SUMPRODUCT($AJ$7:$AJ33,$AN$7:$AN33),0)</f>
        <v>0</v>
      </c>
      <c r="AP33" s="394">
        <f t="shared" si="14"/>
        <v>0</v>
      </c>
      <c r="AQ33" s="394">
        <f t="shared" si="14"/>
        <v>0</v>
      </c>
      <c r="AR33" s="394">
        <f t="shared" si="14"/>
        <v>0</v>
      </c>
      <c r="AS33" s="394">
        <f t="shared" si="14"/>
        <v>0</v>
      </c>
      <c r="AT33" s="394">
        <f t="shared" si="15"/>
        <v>0</v>
      </c>
      <c r="AU33" s="394">
        <f t="shared" si="15"/>
        <v>0</v>
      </c>
      <c r="AV33" s="394">
        <f t="shared" si="15"/>
        <v>0</v>
      </c>
      <c r="AW33" s="394">
        <f t="shared" si="15"/>
        <v>0</v>
      </c>
      <c r="AX33" s="394">
        <f t="shared" si="1"/>
        <v>0</v>
      </c>
      <c r="AY33" s="394">
        <f t="shared" si="2"/>
        <v>0</v>
      </c>
      <c r="AZ33" s="394">
        <f t="shared" si="3"/>
        <v>0</v>
      </c>
      <c r="BA33" s="394">
        <f t="shared" si="4"/>
        <v>0</v>
      </c>
      <c r="BB33" s="405">
        <f t="shared" si="22"/>
        <v>44473</v>
      </c>
      <c r="BC33" s="405">
        <f>BB33+IF(WEEKDAY(BB33)=1,1,IF(WEEKDAY(BB33)=7,2,0))+COUNTIF(ClosedDays!$B$4:$B$32,IF(WEEKDAY(BB33)=1,BB33+1,IF(WEEKDAY(BB33)=7,BB33+2,BB33)))+COUNTIF(ClosedDays!$F$4:$F$32,IF(WEEKDAY(BB33)=1,BB33+1,IF(WEEKDAY(BB33)=7,BB33+2,BB33)))+COUNTIF(ClosedDays!$J$4:$J$32,IF(WEEKDAY(BB33)=1,BB33+1,IF(WEEKDAY(BB33)=7,BB33+2,BB33)))+COUNTIF(ClosedDays!$N$4:$N$32,IF(WEEKDAY(BB33)=1,BB33+1,IF(WEEKDAY(BB33)=7,BB33+2,BB33)))</f>
        <v>44473</v>
      </c>
      <c r="BD33" s="405">
        <f>BC33+IF(WEEKDAY(BC33)=1,1,IF(WEEKDAY(BC33)=7,2,0))+COUNTIF(ClosedDays!$B$4:$B$32,IF(WEEKDAY(BC33)=1,BC33+1,IF(WEEKDAY(BC33)=7,BC33+2,BC33)))+COUNTIF(ClosedDays!$F$4:$F$32,IF(WEEKDAY(BC33)=1,BC33+1,IF(WEEKDAY(BC33)=7,BC33+2,BC33)))+COUNTIF(ClosedDays!$J$4:$J$32,IF(WEEKDAY(BC33)=1,BC33+1,IF(WEEKDAY(BC33)=7,BC33+2,BC33)))+COUNTIF(ClosedDays!$N$4:$N$32,IF(WEEKDAY(BC33)=1,BC33+1,IF(WEEKDAY(BC33)=7,BC33+2,BC33)))</f>
        <v>44473</v>
      </c>
      <c r="BE33" s="405">
        <f>BD33+IF(WEEKDAY(BD33)=1,1,IF(WEEKDAY(BD33)=7,2,0))+COUNTIF(ClosedDays!$B$4:$B$32,IF(WEEKDAY(BD33)=1,BD33+1,IF(WEEKDAY(BD33)=7,BD33+2,BD33)))+COUNTIF(ClosedDays!$F$4:$F$32,IF(WEEKDAY(BD33)=1,BD33+1,IF(WEEKDAY(BD33)=7,BD33+2,BD33)))+COUNTIF(ClosedDays!$J$4:$J$32,IF(WEEKDAY(BD33)=1,BD33+1,IF(WEEKDAY(BD33)=7,BD33+2,BD33)))+COUNTIF(ClosedDays!$N$4:$N$32,IF(WEEKDAY(BD33)=1,BD33+1,IF(WEEKDAY(BD33)=7,BD33+2,BD33)))</f>
        <v>44473</v>
      </c>
      <c r="BF33" s="405">
        <f>BE33+IF(WEEKDAY(BE33)=1,1,IF(WEEKDAY(BE33)=7,2,0))+COUNTIF(ClosedDays!$B$4:$B$32,IF(WEEKDAY(BE33)=1,BE33+1,IF(WEEKDAY(BE33)=7,BE33+2,BE33)))+COUNTIF(ClosedDays!$F$4:$F$32,IF(WEEKDAY(BE33)=1,BE33+1,IF(WEEKDAY(BE33)=7,BE33+2,BE33)))+COUNTIF(ClosedDays!$J$4:$J$32,IF(WEEKDAY(BE33)=1,BE33+1,IF(WEEKDAY(BE33)=7,BE33+2,BE33)))+COUNTIF(ClosedDays!$N$4:$N$32,IF(WEEKDAY(BE33)=1,BE33+1,IF(WEEKDAY(BE33)=7,BE33+2,BE33)))</f>
        <v>44473</v>
      </c>
      <c r="BG33" s="405">
        <f>BF33+IF(WEEKDAY(BF33)=1,1,IF(WEEKDAY(BF33)=7,2,0))+COUNTIF(ClosedDays!$B$4:$B$32,IF(WEEKDAY(BF33)=1,BF33+1,IF(WEEKDAY(BF33)=7,BF33+2,BF33)))+COUNTIF(ClosedDays!$F$4:$F$32,IF(WEEKDAY(BF33)=1,BF33+1,IF(WEEKDAY(BF33)=7,BF33+2,BF33)))+COUNTIF(ClosedDays!$J$4:$J$32,IF(WEEKDAY(BF33)=1,BF33+1,IF(WEEKDAY(BF33)=7,BF33+2,BF33)))+COUNTIF(ClosedDays!$N$4:$N$32,IF(WEEKDAY(BF33)=1,BF33+1,IF(WEEKDAY(BF33)=7,BF33+2,BF33)))</f>
        <v>44473</v>
      </c>
      <c r="BH33" s="405">
        <f>BG33+IF(WEEKDAY(BG33)=1,1,IF(WEEKDAY(BG33)=7,2,0))+COUNTIF(ClosedDays!$B$4:$B$32,IF(WEEKDAY(BG33)=1,BG33+1,IF(WEEKDAY(BG33)=7,BG33+2,BG33)))+COUNTIF(ClosedDays!$F$4:$F$32,IF(WEEKDAY(BG33)=1,BG33+1,IF(WEEKDAY(BG33)=7,BG33+2,BG33)))+COUNTIF(ClosedDays!$J$4:$J$32,IF(WEEKDAY(BG33)=1,BG33+1,IF(WEEKDAY(BG33)=7,BG33+2,BG33)))+COUNTIF(ClosedDays!$N$4:$N$32,IF(WEEKDAY(BG33)=1,BG33+1,IF(WEEKDAY(BG33)=7,BG33+2,BG33)))</f>
        <v>44473</v>
      </c>
      <c r="BI33" s="405">
        <f>BH33+IF(WEEKDAY(BH33)=1,1,IF(WEEKDAY(BH33)=7,2,0))+COUNTIF(ClosedDays!$B$4:$B$32,IF(WEEKDAY(BH33)=1,BH33+1,IF(WEEKDAY(BH33)=7,BH33+2,BH33)))+COUNTIF(ClosedDays!$F$4:$F$32,IF(WEEKDAY(BH33)=1,BH33+1,IF(WEEKDAY(BH33)=7,BH33+2,BH33)))+COUNTIF(ClosedDays!$J$4:$J$32,IF(WEEKDAY(BH33)=1,BH33+1,IF(WEEKDAY(BH33)=7,BH33+2,BH33)))+COUNTIF(ClosedDays!$N$4:$N$32,IF(WEEKDAY(BH33)=1,BH33+1,IF(WEEKDAY(BH33)=7,BH33+2,BH33)))</f>
        <v>44473</v>
      </c>
      <c r="BJ33" s="405">
        <f>BI33+IF(WEEKDAY(BI33)=1,1,IF(WEEKDAY(BI33)=7,2,0))+COUNTIF(ClosedDays!$B$4:$B$32,IF(WEEKDAY(BI33)=1,BI33+1,IF(WEEKDAY(BI33)=7,BI33+2,BI33)))+COUNTIF(ClosedDays!$F$4:$F$32,IF(WEEKDAY(BI33)=1,BI33+1,IF(WEEKDAY(BI33)=7,BI33+2,BI33)))+COUNTIF(ClosedDays!$J$4:$J$32,IF(WEEKDAY(BI33)=1,BI33+1,IF(WEEKDAY(BI33)=7,BI33+2,BI33)))+COUNTIF(ClosedDays!$N$4:$N$32,IF(WEEKDAY(BI33)=1,BI33+1,IF(WEEKDAY(BI33)=7,BI33+2,BI33)))</f>
        <v>44473</v>
      </c>
      <c r="BK33" s="405">
        <f>BJ33+IF(WEEKDAY(BJ33)=1,1,IF(WEEKDAY(BJ33)=7,2,0))+COUNTIF(ClosedDays!$B$4:$B$32,IF(WEEKDAY(BJ33)=1,BJ33+1,IF(WEEKDAY(BJ33)=7,BJ33+2,BJ33)))+COUNTIF(ClosedDays!$F$4:$F$32,IF(WEEKDAY(BJ33)=1,BJ33+1,IF(WEEKDAY(BJ33)=7,BJ33+2,BJ33)))+COUNTIF(ClosedDays!$J$4:$J$32,IF(WEEKDAY(BJ33)=1,BJ33+1,IF(WEEKDAY(BJ33)=7,BJ33+2,BJ33)))+COUNTIF(ClosedDays!$N$4:$N$32,IF(WEEKDAY(BJ33)=1,BJ33+1,IF(WEEKDAY(BJ33)=7,BJ33+2,BJ33)))</f>
        <v>44473</v>
      </c>
      <c r="BL33" s="405">
        <f>BK33+IF(WEEKDAY(BK33)=1,1,IF(WEEKDAY(BK33)=7,2,0))+COUNTIF(ClosedDays!$B$4:$B$32,IF(WEEKDAY(BK33)=1,BK33+1,IF(WEEKDAY(BK33)=7,BK33+2,BK33)))+COUNTIF(ClosedDays!$F$4:$F$32,IF(WEEKDAY(BK33)=1,BK33+1,IF(WEEKDAY(BK33)=7,BK33+2,BK33)))+COUNTIF(ClosedDays!$J$4:$J$32,IF(WEEKDAY(BK33)=1,BK33+1,IF(WEEKDAY(BK33)=7,BK33+2,BK33)))+COUNTIF(ClosedDays!$N$4:$N$32,IF(WEEKDAY(BK33)=1,BK33+1,IF(WEEKDAY(BK33)=7,BK33+2,BK33)))</f>
        <v>44473</v>
      </c>
      <c r="BM33" s="405">
        <f>BL33+IF(WEEKDAY(BL33)=1,1,IF(WEEKDAY(BL33)=7,2,0))+COUNTIF(ClosedDays!$B$4:$B$32,IF(WEEKDAY(BL33)=1,BL33+1,IF(WEEKDAY(BL33)=7,BL33+2,BL33)))+COUNTIF(ClosedDays!$F$4:$F$32,IF(WEEKDAY(BL33)=1,BL33+1,IF(WEEKDAY(BL33)=7,BL33+2,BL33)))+COUNTIF(ClosedDays!$J$4:$J$32,IF(WEEKDAY(BL33)=1,BL33+1,IF(WEEKDAY(BL33)=7,BL33+2,BL33)))+COUNTIF(ClosedDays!$N$4:$N$32,IF(WEEKDAY(BL33)=1,BL33+1,IF(WEEKDAY(BL33)=7,BL33+2,BL33)))</f>
        <v>44473</v>
      </c>
      <c r="BN33" s="405">
        <f>BM33+IF(WEEKDAY(BM33)=1,1,IF(WEEKDAY(BM33)=7,2,0))+COUNTIF(ClosedDays!$B$4:$B$32,IF(WEEKDAY(BM33)=1,BM33+1,IF(WEEKDAY(BM33)=7,BM33+2,BM33)))+COUNTIF(ClosedDays!$F$4:$F$32,IF(WEEKDAY(BM33)=1,BM33+1,IF(WEEKDAY(BM33)=7,BM33+2,BM33)))+COUNTIF(ClosedDays!$J$4:$J$32,IF(WEEKDAY(BM33)=1,BM33+1,IF(WEEKDAY(BM33)=7,BM33+2,BM33)))+COUNTIF(ClosedDays!$N$4:$N$32,IF(WEEKDAY(BM33)=1,BM33+1,IF(WEEKDAY(BM33)=7,BM33+2,BM33)))</f>
        <v>44473</v>
      </c>
      <c r="BO33" s="405">
        <f>BN33+IF(WEEKDAY(BN33)=1,1,IF(WEEKDAY(BN33)=7,2,0))+COUNTIF(ClosedDays!$B$4:$B$32,IF(WEEKDAY(BN33)=1,BN33+1,IF(WEEKDAY(BN33)=7,BN33+2,BN33)))+COUNTIF(ClosedDays!$F$4:$F$32,IF(WEEKDAY(BN33)=1,BN33+1,IF(WEEKDAY(BN33)=7,BN33+2,BN33)))+COUNTIF(ClosedDays!$J$4:$J$32,IF(WEEKDAY(BN33)=1,BN33+1,IF(WEEKDAY(BN33)=7,BN33+2,BN33)))+COUNTIF(ClosedDays!$N$4:$N$32,IF(WEEKDAY(BN33)=1,BN33+1,IF(WEEKDAY(BN33)=7,BN33+2,BN33)))</f>
        <v>44473</v>
      </c>
      <c r="BP33" s="405">
        <f>BO33+IF(WEEKDAY(BO33)=1,1,IF(WEEKDAY(BO33)=7,2,0))+COUNTIF(ClosedDays!$B$4:$B$32,IF(WEEKDAY(BO33)=1,BO33+1,IF(WEEKDAY(BO33)=7,BO33+2,BO33)))+COUNTIF(ClosedDays!$F$4:$F$32,IF(WEEKDAY(BO33)=1,BO33+1,IF(WEEKDAY(BO33)=7,BO33+2,BO33)))+COUNTIF(ClosedDays!$J$4:$J$32,IF(WEEKDAY(BO33)=1,BO33+1,IF(WEEKDAY(BO33)=7,BO33+2,BO33)))+COUNTIF(ClosedDays!$N$4:$N$32,IF(WEEKDAY(BO33)=1,BO33+1,IF(WEEKDAY(BO33)=7,BO33+2,BO33)))</f>
        <v>44473</v>
      </c>
      <c r="BQ33" s="405">
        <f t="shared" si="16"/>
        <v>44473</v>
      </c>
      <c r="BR33" s="446">
        <f>IF(AND($D33&lt;='Outline Info'!$H$31,BQ33&gt;='Outline Info'!$H$31,$BS$4=1,$AC33&gt;10,$AC33&lt;9997),1,0)</f>
        <v>0</v>
      </c>
      <c r="BS33" s="405">
        <f>IF(BR33=1,BQ33+'Outline Info'!$I$31-'Outline Info'!$H$31+1,BQ33)</f>
        <v>44473</v>
      </c>
      <c r="BT33" s="405">
        <f>BS33+IF(WEEKDAY(BS33)=1,1,IF(WEEKDAY(BS33)=7,2,0))+COUNTIF(ClosedDays!$B$4:$B$32,IF(WEEKDAY(BS33)=1,BS33+1,IF(WEEKDAY(BS33)=7,BS33+2,BS33)))+COUNTIF(ClosedDays!$F$4:$F$32,IF(WEEKDAY(BS33)=1,BS33+1,IF(WEEKDAY(BS33)=7,BS33+2,BS33)))+COUNTIF(ClosedDays!$J$4:$J$32,IF(WEEKDAY(BS33)=1,BS33+1,IF(WEEKDAY(BS33)=7,BS33+2,BS33)))+COUNTIF(ClosedDays!$N$4:$N$32,IF(WEEKDAY(BS33)=1,BS33+1,IF(WEEKDAY(BS33)=7,BS33+2,BS33)))</f>
        <v>44473</v>
      </c>
      <c r="BU33" s="405">
        <f>BT33+IF(WEEKDAY(BT33)=1,1,IF(WEEKDAY(BT33)=7,2,0))+COUNTIF(ClosedDays!$B$4:$B$32,IF(WEEKDAY(BT33)=1,BT33+1,IF(WEEKDAY(BT33)=7,BT33+2,BT33)))+COUNTIF(ClosedDays!$F$4:$F$32,IF(WEEKDAY(BT33)=1,BT33+1,IF(WEEKDAY(BT33)=7,BT33+2,BT33)))+COUNTIF(ClosedDays!$J$4:$J$32,IF(WEEKDAY(BT33)=1,BT33+1,IF(WEEKDAY(BT33)=7,BT33+2,BT33)))+COUNTIF(ClosedDays!$N$4:$N$32,IF(WEEKDAY(BT33)=1,BT33+1,IF(WEEKDAY(BT33)=7,BT33+2,BT33)))</f>
        <v>44473</v>
      </c>
      <c r="BV33" s="405">
        <f>BU33+IF(WEEKDAY(BU33)=1,1,IF(WEEKDAY(BU33)=7,2,0))+COUNTIF(ClosedDays!$B$4:$B$32,IF(WEEKDAY(BU33)=1,BU33+1,IF(WEEKDAY(BU33)=7,BU33+2,BU33)))+COUNTIF(ClosedDays!$F$4:$F$32,IF(WEEKDAY(BU33)=1,BU33+1,IF(WEEKDAY(BU33)=7,BU33+2,BU33)))+COUNTIF(ClosedDays!$J$4:$J$32,IF(WEEKDAY(BU33)=1,BU33+1,IF(WEEKDAY(BU33)=7,BU33+2,BU33)))+COUNTIF(ClosedDays!$N$4:$N$32,IF(WEEKDAY(BU33)=1,BU33+1,IF(WEEKDAY(BU33)=7,BU33+2,BU33)))</f>
        <v>44473</v>
      </c>
      <c r="BW33" s="405">
        <f>BV33+IF(WEEKDAY(BV33)=1,1,IF(WEEKDAY(BV33)=7,2,0))+COUNTIF(ClosedDays!$B$4:$B$32,IF(WEEKDAY(BV33)=1,BV33+1,IF(WEEKDAY(BV33)=7,BV33+2,BV33)))+COUNTIF(ClosedDays!$F$4:$F$32,IF(WEEKDAY(BV33)=1,BV33+1,IF(WEEKDAY(BV33)=7,BV33+2,BV33)))+COUNTIF(ClosedDays!$J$4:$J$32,IF(WEEKDAY(BV33)=1,BV33+1,IF(WEEKDAY(BV33)=7,BV33+2,BV33)))+COUNTIF(ClosedDays!$N$4:$N$32,IF(WEEKDAY(BV33)=1,BV33+1,IF(WEEKDAY(BV33)=7,BV33+2,BV33)))</f>
        <v>44473</v>
      </c>
      <c r="BX33" s="405">
        <f>BW33+IF(WEEKDAY(BW33)=1,1,IF(WEEKDAY(BW33)=7,2,0))+COUNTIF(ClosedDays!$B$4:$B$32,IF(WEEKDAY(BW33)=1,BW33+1,IF(WEEKDAY(BW33)=7,BW33+2,BW33)))+COUNTIF(ClosedDays!$F$4:$F$32,IF(WEEKDAY(BW33)=1,BW33+1,IF(WEEKDAY(BW33)=7,BW33+2,BW33)))+COUNTIF(ClosedDays!$J$4:$J$32,IF(WEEKDAY(BW33)=1,BW33+1,IF(WEEKDAY(BW33)=7,BW33+2,BW33)))+COUNTIF(ClosedDays!$N$4:$N$32,IF(WEEKDAY(BW33)=1,BW33+1,IF(WEEKDAY(BW33)=7,BW33+2,BW33)))</f>
        <v>44473</v>
      </c>
      <c r="BY33" s="405">
        <f>BX33+IF(WEEKDAY(BX33)=1,1,IF(WEEKDAY(BX33)=7,2,0))+COUNTIF(ClosedDays!$B$4:$B$32,IF(WEEKDAY(BX33)=1,BX33+1,IF(WEEKDAY(BX33)=7,BX33+2,BX33)))+COUNTIF(ClosedDays!$F$4:$F$32,IF(WEEKDAY(BX33)=1,BX33+1,IF(WEEKDAY(BX33)=7,BX33+2,BX33)))+COUNTIF(ClosedDays!$J$4:$J$32,IF(WEEKDAY(BX33)=1,BX33+1,IF(WEEKDAY(BX33)=7,BX33+2,BX33)))+COUNTIF(ClosedDays!$N$4:$N$32,IF(WEEKDAY(BX33)=1,BX33+1,IF(WEEKDAY(BX33)=7,BX33+2,BX33)))</f>
        <v>44473</v>
      </c>
      <c r="BZ33" s="405">
        <f>BY33+IF(WEEKDAY(BY33)=1,1,IF(WEEKDAY(BY33)=7,2,0))+COUNTIF(ClosedDays!$B$4:$B$32,IF(WEEKDAY(BY33)=1,BY33+1,IF(WEEKDAY(BY33)=7,BY33+2,BY33)))+COUNTIF(ClosedDays!$F$4:$F$32,IF(WEEKDAY(BY33)=1,BY33+1,IF(WEEKDAY(BY33)=7,BY33+2,BY33)))+COUNTIF(ClosedDays!$J$4:$J$32,IF(WEEKDAY(BY33)=1,BY33+1,IF(WEEKDAY(BY33)=7,BY33+2,BY33)))+COUNTIF(ClosedDays!$N$4:$N$32,IF(WEEKDAY(BY33)=1,BY33+1,IF(WEEKDAY(BY33)=7,BY33+2,BY33)))</f>
        <v>44473</v>
      </c>
      <c r="CA33" s="405">
        <f>BZ33+IF(WEEKDAY(BZ33)=1,1,IF(WEEKDAY(BZ33)=7,2,0))+COUNTIF(ClosedDays!$B$4:$B$32,IF(WEEKDAY(BZ33)=1,BZ33+1,IF(WEEKDAY(BZ33)=7,BZ33+2,BZ33)))+COUNTIF(ClosedDays!$F$4:$F$32,IF(WEEKDAY(BZ33)=1,BZ33+1,IF(WEEKDAY(BZ33)=7,BZ33+2,BZ33)))+COUNTIF(ClosedDays!$J$4:$J$32,IF(WEEKDAY(BZ33)=1,BZ33+1,IF(WEEKDAY(BZ33)=7,BZ33+2,BZ33)))+COUNTIF(ClosedDays!$N$4:$N$32,IF(WEEKDAY(BZ33)=1,BZ33+1,IF(WEEKDAY(BZ33)=7,BZ33+2,BZ33)))</f>
        <v>44473</v>
      </c>
      <c r="CB33" s="405">
        <f>CA33+IF(WEEKDAY(CA33)=1,1,IF(WEEKDAY(CA33)=7,2,0))+COUNTIF(ClosedDays!$B$4:$B$32,IF(WEEKDAY(CA33)=1,CA33+1,IF(WEEKDAY(CA33)=7,CA33+2,CA33)))+COUNTIF(ClosedDays!$F$4:$F$32,IF(WEEKDAY(CA33)=1,CA33+1,IF(WEEKDAY(CA33)=7,CA33+2,CA33)))+COUNTIF(ClosedDays!$J$4:$J$32,IF(WEEKDAY(CA33)=1,CA33+1,IF(WEEKDAY(CA33)=7,CA33+2,CA33)))+COUNTIF(ClosedDays!$N$4:$N$32,IF(WEEKDAY(CA33)=1,CA33+1,IF(WEEKDAY(CA33)=7,CA33+2,CA33)))</f>
        <v>44473</v>
      </c>
      <c r="CC33" s="405">
        <f>CB33+IF(WEEKDAY(CB33)=1,1,IF(WEEKDAY(CB33)=7,2,0))+COUNTIF(ClosedDays!$B$4:$B$32,IF(WEEKDAY(CB33)=1,CB33+1,IF(WEEKDAY(CB33)=7,CB33+2,CB33)))+COUNTIF(ClosedDays!$F$4:$F$32,IF(WEEKDAY(CB33)=1,CB33+1,IF(WEEKDAY(CB33)=7,CB33+2,CB33)))+COUNTIF(ClosedDays!$J$4:$J$32,IF(WEEKDAY(CB33)=1,CB33+1,IF(WEEKDAY(CB33)=7,CB33+2,CB33)))+COUNTIF(ClosedDays!$N$4:$N$32,IF(WEEKDAY(CB33)=1,CB33+1,IF(WEEKDAY(CB33)=7,CB33+2,CB33)))</f>
        <v>44473</v>
      </c>
      <c r="CD33" s="405">
        <f>CC33+IF(WEEKDAY(CC33)=1,1,IF(WEEKDAY(CC33)=7,2,0))+COUNTIF(ClosedDays!$B$4:$B$32,IF(WEEKDAY(CC33)=1,CC33+1,IF(WEEKDAY(CC33)=7,CC33+2,CC33)))+COUNTIF(ClosedDays!$F$4:$F$32,IF(WEEKDAY(CC33)=1,CC33+1,IF(WEEKDAY(CC33)=7,CC33+2,CC33)))+COUNTIF(ClosedDays!$J$4:$J$32,IF(WEEKDAY(CC33)=1,CC33+1,IF(WEEKDAY(CC33)=7,CC33+2,CC33)))+COUNTIF(ClosedDays!$N$4:$N$32,IF(WEEKDAY(CC33)=1,CC33+1,IF(WEEKDAY(CC33)=7,CC33+2,CC33)))</f>
        <v>44473</v>
      </c>
      <c r="CE33" s="405">
        <f>CD33+IF(WEEKDAY(CD33)=1,1,IF(WEEKDAY(CD33)=7,2,0))+COUNTIF(ClosedDays!$B$4:$B$32,IF(WEEKDAY(CD33)=1,CD33+1,IF(WEEKDAY(CD33)=7,CD33+2,CD33)))+COUNTIF(ClosedDays!$F$4:$F$32,IF(WEEKDAY(CD33)=1,CD33+1,IF(WEEKDAY(CD33)=7,CD33+2,CD33)))+COUNTIF(ClosedDays!$J$4:$J$32,IF(WEEKDAY(CD33)=1,CD33+1,IF(WEEKDAY(CD33)=7,CD33+2,CD33)))+COUNTIF(ClosedDays!$N$4:$N$32,IF(WEEKDAY(CD33)=1,CD33+1,IF(WEEKDAY(CD33)=7,CD33+2,CD33)))</f>
        <v>44473</v>
      </c>
      <c r="CF33" s="405">
        <f>CE33+IF(WEEKDAY(CE33)=1,1,IF(WEEKDAY(CE33)=7,2,0))+COUNTIF(ClosedDays!$B$4:$B$32,IF(WEEKDAY(CE33)=1,CE33+1,IF(WEEKDAY(CE33)=7,CE33+2,CE33)))+COUNTIF(ClosedDays!$F$4:$F$32,IF(WEEKDAY(CE33)=1,CE33+1,IF(WEEKDAY(CE33)=7,CE33+2,CE33)))+COUNTIF(ClosedDays!$J$4:$J$32,IF(WEEKDAY(CE33)=1,CE33+1,IF(WEEKDAY(CE33)=7,CE33+2,CE33)))+COUNTIF(ClosedDays!$N$4:$N$32,IF(WEEKDAY(CE33)=1,CE33+1,IF(WEEKDAY(CE33)=7,CE33+2,CE33)))</f>
        <v>44473</v>
      </c>
      <c r="CG33" s="405">
        <f>CF33+IF(WEEKDAY(CF33)=1,1,IF(WEEKDAY(CF33)=7,2,0))+COUNTIF(ClosedDays!$B$4:$B$32,IF(WEEKDAY(CF33)=1,CF33+1,IF(WEEKDAY(CF33)=7,CF33+2,CF33)))+COUNTIF(ClosedDays!$F$4:$F$32,IF(WEEKDAY(CF33)=1,CF33+1,IF(WEEKDAY(CF33)=7,CF33+2,CF33)))+COUNTIF(ClosedDays!$J$4:$J$32,IF(WEEKDAY(CF33)=1,CF33+1,IF(WEEKDAY(CF33)=7,CF33+2,CF33)))+COUNTIF(ClosedDays!$N$4:$N$32,IF(WEEKDAY(CF33)=1,CF33+1,IF(WEEKDAY(CF33)=7,CF33+2,CF33)))</f>
        <v>44473</v>
      </c>
      <c r="CH33" s="405">
        <f t="shared" si="17"/>
        <v>44473</v>
      </c>
      <c r="CI33" s="446">
        <f>IF(AND($D33&lt;='Outline Info'!$H$33,CH33&gt;='Outline Info'!$H$33,$CJ$4=1,$AC33&gt;10,$AC33&lt;9997),1,0)</f>
        <v>0</v>
      </c>
      <c r="CJ33" s="405">
        <f>IF(CI33=1,CH33+'Outline Info'!$I$33-'Outline Info'!$H$33+1,CH33)</f>
        <v>44473</v>
      </c>
      <c r="CK33" s="405">
        <f>CJ33+IF(WEEKDAY(CJ33)=1,1,IF(WEEKDAY(CJ33)=7,2,0))+COUNTIF(ClosedDays!$B$4:$B$32,IF(WEEKDAY(CJ33)=1,CJ33+1,IF(WEEKDAY(CJ33)=7,CJ33+2,CJ33)))+COUNTIF(ClosedDays!$F$4:$F$32,IF(WEEKDAY(CJ33)=1,CJ33+1,IF(WEEKDAY(CJ33)=7,CJ33+2,CJ33)))+COUNTIF(ClosedDays!$J$4:$J$32,IF(WEEKDAY(CJ33)=1,CJ33+1,IF(WEEKDAY(CJ33)=7,CJ33+2,CJ33)))+COUNTIF(ClosedDays!$N$4:$N$32,IF(WEEKDAY(CJ33)=1,CJ33+1,IF(WEEKDAY(CJ33)=7,CJ33+2,CJ33)))</f>
        <v>44473</v>
      </c>
      <c r="CL33" s="405">
        <f>CK33+IF(WEEKDAY(CK33)=1,1,IF(WEEKDAY(CK33)=7,2,0))+COUNTIF(ClosedDays!$B$4:$B$32,IF(WEEKDAY(CK33)=1,CK33+1,IF(WEEKDAY(CK33)=7,CK33+2,CK33)))+COUNTIF(ClosedDays!$F$4:$F$32,IF(WEEKDAY(CK33)=1,CK33+1,IF(WEEKDAY(CK33)=7,CK33+2,CK33)))+COUNTIF(ClosedDays!$J$4:$J$32,IF(WEEKDAY(CK33)=1,CK33+1,IF(WEEKDAY(CK33)=7,CK33+2,CK33)))+COUNTIF(ClosedDays!$N$4:$N$32,IF(WEEKDAY(CK33)=1,CK33+1,IF(WEEKDAY(CK33)=7,CK33+2,CK33)))</f>
        <v>44473</v>
      </c>
      <c r="CM33" s="405">
        <f>CL33+IF(WEEKDAY(CL33)=1,1,IF(WEEKDAY(CL33)=7,2,0))+COUNTIF(ClosedDays!$B$4:$B$32,IF(WEEKDAY(CL33)=1,CL33+1,IF(WEEKDAY(CL33)=7,CL33+2,CL33)))+COUNTIF(ClosedDays!$F$4:$F$32,IF(WEEKDAY(CL33)=1,CL33+1,IF(WEEKDAY(CL33)=7,CL33+2,CL33)))+COUNTIF(ClosedDays!$J$4:$J$32,IF(WEEKDAY(CL33)=1,CL33+1,IF(WEEKDAY(CL33)=7,CL33+2,CL33)))+COUNTIF(ClosedDays!$N$4:$N$32,IF(WEEKDAY(CL33)=1,CL33+1,IF(WEEKDAY(CL33)=7,CL33+2,CL33)))</f>
        <v>44473</v>
      </c>
      <c r="CN33" s="405">
        <f>CM33+IF(WEEKDAY(CM33)=1,1,IF(WEEKDAY(CM33)=7,2,0))+COUNTIF(ClosedDays!$B$4:$B$32,IF(WEEKDAY(CM33)=1,CM33+1,IF(WEEKDAY(CM33)=7,CM33+2,CM33)))+COUNTIF(ClosedDays!$F$4:$F$32,IF(WEEKDAY(CM33)=1,CM33+1,IF(WEEKDAY(CM33)=7,CM33+2,CM33)))+COUNTIF(ClosedDays!$J$4:$J$32,IF(WEEKDAY(CM33)=1,CM33+1,IF(WEEKDAY(CM33)=7,CM33+2,CM33)))+COUNTIF(ClosedDays!$N$4:$N$32,IF(WEEKDAY(CM33)=1,CM33+1,IF(WEEKDAY(CM33)=7,CM33+2,CM33)))</f>
        <v>44473</v>
      </c>
      <c r="CO33" s="405">
        <f>CN33+IF(WEEKDAY(CN33)=1,1,IF(WEEKDAY(CN33)=7,2,0))+COUNTIF(ClosedDays!$B$4:$B$32,IF(WEEKDAY(CN33)=1,CN33+1,IF(WEEKDAY(CN33)=7,CN33+2,CN33)))+COUNTIF(ClosedDays!$F$4:$F$32,IF(WEEKDAY(CN33)=1,CN33+1,IF(WEEKDAY(CN33)=7,CN33+2,CN33)))+COUNTIF(ClosedDays!$J$4:$J$32,IF(WEEKDAY(CN33)=1,CN33+1,IF(WEEKDAY(CN33)=7,CN33+2,CN33)))+COUNTIF(ClosedDays!$N$4:$N$32,IF(WEEKDAY(CN33)=1,CN33+1,IF(WEEKDAY(CN33)=7,CN33+2,CN33)))</f>
        <v>44473</v>
      </c>
      <c r="CP33" s="405">
        <f>CO33+IF(WEEKDAY(CO33)=1,1,IF(WEEKDAY(CO33)=7,2,0))+COUNTIF(ClosedDays!$B$4:$B$32,IF(WEEKDAY(CO33)=1,CO33+1,IF(WEEKDAY(CO33)=7,CO33+2,CO33)))+COUNTIF(ClosedDays!$F$4:$F$32,IF(WEEKDAY(CO33)=1,CO33+1,IF(WEEKDAY(CO33)=7,CO33+2,CO33)))+COUNTIF(ClosedDays!$J$4:$J$32,IF(WEEKDAY(CO33)=1,CO33+1,IF(WEEKDAY(CO33)=7,CO33+2,CO33)))+COUNTIF(ClosedDays!$N$4:$N$32,IF(WEEKDAY(CO33)=1,CO33+1,IF(WEEKDAY(CO33)=7,CO33+2,CO33)))</f>
        <v>44473</v>
      </c>
      <c r="CQ33" s="405">
        <f>CP33+IF(WEEKDAY(CP33)=1,1,IF(WEEKDAY(CP33)=7,2,0))+COUNTIF(ClosedDays!$B$4:$B$32,IF(WEEKDAY(CP33)=1,CP33+1,IF(WEEKDAY(CP33)=7,CP33+2,CP33)))+COUNTIF(ClosedDays!$F$4:$F$32,IF(WEEKDAY(CP33)=1,CP33+1,IF(WEEKDAY(CP33)=7,CP33+2,CP33)))+COUNTIF(ClosedDays!$J$4:$J$32,IF(WEEKDAY(CP33)=1,CP33+1,IF(WEEKDAY(CP33)=7,CP33+2,CP33)))+COUNTIF(ClosedDays!$N$4:$N$32,IF(WEEKDAY(CP33)=1,CP33+1,IF(WEEKDAY(CP33)=7,CP33+2,CP33)))</f>
        <v>44473</v>
      </c>
      <c r="CR33" s="405">
        <f>CQ33+IF(WEEKDAY(CQ33)=1,1,IF(WEEKDAY(CQ33)=7,2,0))+COUNTIF(ClosedDays!$B$4:$B$32,IF(WEEKDAY(CQ33)=1,CQ33+1,IF(WEEKDAY(CQ33)=7,CQ33+2,CQ33)))+COUNTIF(ClosedDays!$F$4:$F$32,IF(WEEKDAY(CQ33)=1,CQ33+1,IF(WEEKDAY(CQ33)=7,CQ33+2,CQ33)))+COUNTIF(ClosedDays!$J$4:$J$32,IF(WEEKDAY(CQ33)=1,CQ33+1,IF(WEEKDAY(CQ33)=7,CQ33+2,CQ33)))+COUNTIF(ClosedDays!$N$4:$N$32,IF(WEEKDAY(CQ33)=1,CQ33+1,IF(WEEKDAY(CQ33)=7,CQ33+2,CQ33)))</f>
        <v>44473</v>
      </c>
      <c r="CS33" s="405">
        <f>CR33+IF(WEEKDAY(CR33)=1,1,IF(WEEKDAY(CR33)=7,2,0))+COUNTIF(ClosedDays!$B$4:$B$32,IF(WEEKDAY(CR33)=1,CR33+1,IF(WEEKDAY(CR33)=7,CR33+2,CR33)))+COUNTIF(ClosedDays!$F$4:$F$32,IF(WEEKDAY(CR33)=1,CR33+1,IF(WEEKDAY(CR33)=7,CR33+2,CR33)))+COUNTIF(ClosedDays!$J$4:$J$32,IF(WEEKDAY(CR33)=1,CR33+1,IF(WEEKDAY(CR33)=7,CR33+2,CR33)))+COUNTIF(ClosedDays!$N$4:$N$32,IF(WEEKDAY(CR33)=1,CR33+1,IF(WEEKDAY(CR33)=7,CR33+2,CR33)))</f>
        <v>44473</v>
      </c>
      <c r="CT33" s="405">
        <f>CS33+IF(WEEKDAY(CS33)=1,1,IF(WEEKDAY(CS33)=7,2,0))+COUNTIF(ClosedDays!$B$4:$B$32,IF(WEEKDAY(CS33)=1,CS33+1,IF(WEEKDAY(CS33)=7,CS33+2,CS33)))+COUNTIF(ClosedDays!$F$4:$F$32,IF(WEEKDAY(CS33)=1,CS33+1,IF(WEEKDAY(CS33)=7,CS33+2,CS33)))+COUNTIF(ClosedDays!$J$4:$J$32,IF(WEEKDAY(CS33)=1,CS33+1,IF(WEEKDAY(CS33)=7,CS33+2,CS33)))+COUNTIF(ClosedDays!$N$4:$N$32,IF(WEEKDAY(CS33)=1,CS33+1,IF(WEEKDAY(CS33)=7,CS33+2,CS33)))</f>
        <v>44473</v>
      </c>
      <c r="CU33" s="405">
        <f>CT33+IF(WEEKDAY(CT33)=1,1,IF(WEEKDAY(CT33)=7,2,0))+COUNTIF(ClosedDays!$B$4:$B$32,IF(WEEKDAY(CT33)=1,CT33+1,IF(WEEKDAY(CT33)=7,CT33+2,CT33)))+COUNTIF(ClosedDays!$F$4:$F$32,IF(WEEKDAY(CT33)=1,CT33+1,IF(WEEKDAY(CT33)=7,CT33+2,CT33)))+COUNTIF(ClosedDays!$J$4:$J$32,IF(WEEKDAY(CT33)=1,CT33+1,IF(WEEKDAY(CT33)=7,CT33+2,CT33)))+COUNTIF(ClosedDays!$N$4:$N$32,IF(WEEKDAY(CT33)=1,CT33+1,IF(WEEKDAY(CT33)=7,CT33+2,CT33)))</f>
        <v>44473</v>
      </c>
      <c r="CV33" s="405">
        <f>CU33+IF(WEEKDAY(CU33)=1,1,IF(WEEKDAY(CU33)=7,2,0))+COUNTIF(ClosedDays!$B$4:$B$32,IF(WEEKDAY(CU33)=1,CU33+1,IF(WEEKDAY(CU33)=7,CU33+2,CU33)))+COUNTIF(ClosedDays!$F$4:$F$32,IF(WEEKDAY(CU33)=1,CU33+1,IF(WEEKDAY(CU33)=7,CU33+2,CU33)))+COUNTIF(ClosedDays!$J$4:$J$32,IF(WEEKDAY(CU33)=1,CU33+1,IF(WEEKDAY(CU33)=7,CU33+2,CU33)))+COUNTIF(ClosedDays!$N$4:$N$32,IF(WEEKDAY(CU33)=1,CU33+1,IF(WEEKDAY(CU33)=7,CU33+2,CU33)))</f>
        <v>44473</v>
      </c>
      <c r="CW33" s="405">
        <f>CV33+IF(WEEKDAY(CV33)=1,1,IF(WEEKDAY(CV33)=7,2,0))+COUNTIF(ClosedDays!$B$4:$B$32,IF(WEEKDAY(CV33)=1,CV33+1,IF(WEEKDAY(CV33)=7,CV33+2,CV33)))+COUNTIF(ClosedDays!$F$4:$F$32,IF(WEEKDAY(CV33)=1,CV33+1,IF(WEEKDAY(CV33)=7,CV33+2,CV33)))+COUNTIF(ClosedDays!$J$4:$J$32,IF(WEEKDAY(CV33)=1,CV33+1,IF(WEEKDAY(CV33)=7,CV33+2,CV33)))+COUNTIF(ClosedDays!$N$4:$N$32,IF(WEEKDAY(CV33)=1,CV33+1,IF(WEEKDAY(CV33)=7,CV33+2,CV33)))</f>
        <v>44473</v>
      </c>
      <c r="CX33" s="405">
        <f>CW33+IF(WEEKDAY(CW33)=1,1,IF(WEEKDAY(CW33)=7,2,0))+COUNTIF(ClosedDays!$B$4:$B$32,IF(WEEKDAY(CW33)=1,CW33+1,IF(WEEKDAY(CW33)=7,CW33+2,CW33)))+COUNTIF(ClosedDays!$F$4:$F$32,IF(WEEKDAY(CW33)=1,CW33+1,IF(WEEKDAY(CW33)=7,CW33+2,CW33)))+COUNTIF(ClosedDays!$J$4:$J$32,IF(WEEKDAY(CW33)=1,CW33+1,IF(WEEKDAY(CW33)=7,CW33+2,CW33)))+COUNTIF(ClosedDays!$N$4:$N$32,IF(WEEKDAY(CW33)=1,CW33+1,IF(WEEKDAY(CW33)=7,CW33+2,CW33)))</f>
        <v>44473</v>
      </c>
      <c r="CY33" s="405">
        <f t="shared" si="18"/>
        <v>44473</v>
      </c>
      <c r="CZ33" s="446">
        <f>IF(AND($D33&lt;='Outline Info'!$E$33,CY33&gt;='Outline Info'!$E$33,$AC33&gt;10,$AC33&lt;9997),1,0)</f>
        <v>0</v>
      </c>
      <c r="DA33" s="405">
        <f>IF(AND($D33&lt;='Outline Info'!$E$33,CY33&gt;='Outline Info'!$E$33),CY33+'Outline Info'!$F$33-'Outline Info'!$E$33+1,CY33)</f>
        <v>44473</v>
      </c>
      <c r="DB33" s="405">
        <f>DA33+IF(WEEKDAY(DA33)=1,1,IF(WEEKDAY(DA33)=7,2,0))+COUNTIF(ClosedDays!$B$4:$B$32,IF(WEEKDAY(DA33)=1,DA33+1,IF(WEEKDAY(DA33)=7,DA33+2,DA33)))+COUNTIF(ClosedDays!$F$4:$F$32,IF(WEEKDAY(DA33)=1,DA33+1,IF(WEEKDAY(DA33)=7,DA33+2,DA33)))+COUNTIF(ClosedDays!$J$4:$J$32,IF(WEEKDAY(DA33)=1,DA33+1,IF(WEEKDAY(DA33)=7,DA33+2,DA33)))+COUNTIF(ClosedDays!$N$4:$N$32,IF(WEEKDAY(DA33)=1,DA33+1,IF(WEEKDAY(DA33)=7,DA33+2,DA33)))</f>
        <v>44473</v>
      </c>
      <c r="DC33" s="405">
        <f>DB33+IF(WEEKDAY(DB33)=1,1,IF(WEEKDAY(DB33)=7,2,0))+COUNTIF(ClosedDays!$B$4:$B$32,IF(WEEKDAY(DB33)=1,DB33+1,IF(WEEKDAY(DB33)=7,DB33+2,DB33)))+COUNTIF(ClosedDays!$F$4:$F$32,IF(WEEKDAY(DB33)=1,DB33+1,IF(WEEKDAY(DB33)=7,DB33+2,DB33)))+COUNTIF(ClosedDays!$J$4:$J$32,IF(WEEKDAY(DB33)=1,DB33+1,IF(WEEKDAY(DB33)=7,DB33+2,DB33)))+COUNTIF(ClosedDays!$N$4:$N$32,IF(WEEKDAY(DB33)=1,DB33+1,IF(WEEKDAY(DB33)=7,DB33+2,DB33)))</f>
        <v>44473</v>
      </c>
      <c r="DD33" s="405">
        <f>DC33+IF(WEEKDAY(DC33)=1,1,IF(WEEKDAY(DC33)=7,2,0))+COUNTIF(ClosedDays!$B$4:$B$32,IF(WEEKDAY(DC33)=1,DC33+1,IF(WEEKDAY(DC33)=7,DC33+2,DC33)))+COUNTIF(ClosedDays!$F$4:$F$32,IF(WEEKDAY(DC33)=1,DC33+1,IF(WEEKDAY(DC33)=7,DC33+2,DC33)))+COUNTIF(ClosedDays!$J$4:$J$32,IF(WEEKDAY(DC33)=1,DC33+1,IF(WEEKDAY(DC33)=7,DC33+2,DC33)))+COUNTIF(ClosedDays!$N$4:$N$32,IF(WEEKDAY(DC33)=1,DC33+1,IF(WEEKDAY(DC33)=7,DC33+2,DC33)))</f>
        <v>44473</v>
      </c>
      <c r="DE33" s="405">
        <f>DD33+IF(WEEKDAY(DD33)=1,1,IF(WEEKDAY(DD33)=7,2,0))+COUNTIF(ClosedDays!$B$4:$B$32,IF(WEEKDAY(DD33)=1,DD33+1,IF(WEEKDAY(DD33)=7,DD33+2,DD33)))+COUNTIF(ClosedDays!$F$4:$F$32,IF(WEEKDAY(DD33)=1,DD33+1,IF(WEEKDAY(DD33)=7,DD33+2,DD33)))+COUNTIF(ClosedDays!$J$4:$J$32,IF(WEEKDAY(DD33)=1,DD33+1,IF(WEEKDAY(DD33)=7,DD33+2,DD33)))+COUNTIF(ClosedDays!$N$4:$N$32,IF(WEEKDAY(DD33)=1,DD33+1,IF(WEEKDAY(DD33)=7,DD33+2,DD33)))</f>
        <v>44473</v>
      </c>
      <c r="DF33" s="405">
        <f>DE33+IF(WEEKDAY(DE33)=1,1,IF(WEEKDAY(DE33)=7,2,0))+COUNTIF(ClosedDays!$B$4:$B$32,IF(WEEKDAY(DE33)=1,DE33+1,IF(WEEKDAY(DE33)=7,DE33+2,DE33)))+COUNTIF(ClosedDays!$F$4:$F$32,IF(WEEKDAY(DE33)=1,DE33+1,IF(WEEKDAY(DE33)=7,DE33+2,DE33)))+COUNTIF(ClosedDays!$J$4:$J$32,IF(WEEKDAY(DE33)=1,DE33+1,IF(WEEKDAY(DE33)=7,DE33+2,DE33)))+COUNTIF(ClosedDays!$N$4:$N$32,IF(WEEKDAY(DE33)=1,DE33+1,IF(WEEKDAY(DE33)=7,DE33+2,DE33)))</f>
        <v>44473</v>
      </c>
      <c r="DG33" s="405">
        <f>DF33+IF(WEEKDAY(DF33)=1,1,IF(WEEKDAY(DF33)=7,2,0))+COUNTIF(ClosedDays!$B$4:$B$32,IF(WEEKDAY(DF33)=1,DF33+1,IF(WEEKDAY(DF33)=7,DF33+2,DF33)))+COUNTIF(ClosedDays!$F$4:$F$32,IF(WEEKDAY(DF33)=1,DF33+1,IF(WEEKDAY(DF33)=7,DF33+2,DF33)))+COUNTIF(ClosedDays!$J$4:$J$32,IF(WEEKDAY(DF33)=1,DF33+1,IF(WEEKDAY(DF33)=7,DF33+2,DF33)))+COUNTIF(ClosedDays!$N$4:$N$32,IF(WEEKDAY(DF33)=1,DF33+1,IF(WEEKDAY(DF33)=7,DF33+2,DF33)))</f>
        <v>44473</v>
      </c>
      <c r="DH33" s="405">
        <f>DG33+IF(WEEKDAY(DG33)=1,1,IF(WEEKDAY(DG33)=7,2,0))+COUNTIF(ClosedDays!$B$4:$B$32,IF(WEEKDAY(DG33)=1,DG33+1,IF(WEEKDAY(DG33)=7,DG33+2,DG33)))+COUNTIF(ClosedDays!$F$4:$F$32,IF(WEEKDAY(DG33)=1,DG33+1,IF(WEEKDAY(DG33)=7,DG33+2,DG33)))+COUNTIF(ClosedDays!$J$4:$J$32,IF(WEEKDAY(DG33)=1,DG33+1,IF(WEEKDAY(DG33)=7,DG33+2,DG33)))+COUNTIF(ClosedDays!$N$4:$N$32,IF(WEEKDAY(DG33)=1,DG33+1,IF(WEEKDAY(DG33)=7,DG33+2,DG33)))</f>
        <v>44473</v>
      </c>
      <c r="DI33" s="405">
        <f>DH33+IF(WEEKDAY(DH33)=1,1,IF(WEEKDAY(DH33)=7,2,0))+COUNTIF(ClosedDays!$B$4:$B$32,IF(WEEKDAY(DH33)=1,DH33+1,IF(WEEKDAY(DH33)=7,DH33+2,DH33)))+COUNTIF(ClosedDays!$F$4:$F$32,IF(WEEKDAY(DH33)=1,DH33+1,IF(WEEKDAY(DH33)=7,DH33+2,DH33)))+COUNTIF(ClosedDays!$J$4:$J$32,IF(WEEKDAY(DH33)=1,DH33+1,IF(WEEKDAY(DH33)=7,DH33+2,DH33)))+COUNTIF(ClosedDays!$N$4:$N$32,IF(WEEKDAY(DH33)=1,DH33+1,IF(WEEKDAY(DH33)=7,DH33+2,DH33)))</f>
        <v>44473</v>
      </c>
      <c r="DJ33" s="405">
        <f>DI33+IF(WEEKDAY(DI33)=1,1,IF(WEEKDAY(DI33)=7,2,0))+COUNTIF(ClosedDays!$B$4:$B$32,IF(WEEKDAY(DI33)=1,DI33+1,IF(WEEKDAY(DI33)=7,DI33+2,DI33)))+COUNTIF(ClosedDays!$F$4:$F$32,IF(WEEKDAY(DI33)=1,DI33+1,IF(WEEKDAY(DI33)=7,DI33+2,DI33)))+COUNTIF(ClosedDays!$J$4:$J$32,IF(WEEKDAY(DI33)=1,DI33+1,IF(WEEKDAY(DI33)=7,DI33+2,DI33)))+COUNTIF(ClosedDays!$N$4:$N$32,IF(WEEKDAY(DI33)=1,DI33+1,IF(WEEKDAY(DI33)=7,DI33+2,DI33)))</f>
        <v>44473</v>
      </c>
      <c r="DK33" s="405">
        <f>DJ33+IF(WEEKDAY(DJ33)=1,1,IF(WEEKDAY(DJ33)=7,2,0))+COUNTIF(ClosedDays!$B$4:$B$32,IF(WEEKDAY(DJ33)=1,DJ33+1,IF(WEEKDAY(DJ33)=7,DJ33+2,DJ33)))+COUNTIF(ClosedDays!$F$4:$F$32,IF(WEEKDAY(DJ33)=1,DJ33+1,IF(WEEKDAY(DJ33)=7,DJ33+2,DJ33)))+COUNTIF(ClosedDays!$J$4:$J$32,IF(WEEKDAY(DJ33)=1,DJ33+1,IF(WEEKDAY(DJ33)=7,DJ33+2,DJ33)))+COUNTIF(ClosedDays!$N$4:$N$32,IF(WEEKDAY(DJ33)=1,DJ33+1,IF(WEEKDAY(DJ33)=7,DJ33+2,DJ33)))</f>
        <v>44473</v>
      </c>
      <c r="DL33" s="405">
        <f>DK33+IF(WEEKDAY(DK33)=1,1,IF(WEEKDAY(DK33)=7,2,0))+COUNTIF(ClosedDays!$B$4:$B$32,IF(WEEKDAY(DK33)=1,DK33+1,IF(WEEKDAY(DK33)=7,DK33+2,DK33)))+COUNTIF(ClosedDays!$F$4:$F$32,IF(WEEKDAY(DK33)=1,DK33+1,IF(WEEKDAY(DK33)=7,DK33+2,DK33)))+COUNTIF(ClosedDays!$J$4:$J$32,IF(WEEKDAY(DK33)=1,DK33+1,IF(WEEKDAY(DK33)=7,DK33+2,DK33)))+COUNTIF(ClosedDays!$N$4:$N$32,IF(WEEKDAY(DK33)=1,DK33+1,IF(WEEKDAY(DK33)=7,DK33+2,DK33)))</f>
        <v>44473</v>
      </c>
      <c r="DM33" s="405">
        <f>DL33+IF(WEEKDAY(DL33)=1,1,IF(WEEKDAY(DL33)=7,2,0))+COUNTIF(ClosedDays!$B$4:$B$32,IF(WEEKDAY(DL33)=1,DL33+1,IF(WEEKDAY(DL33)=7,DL33+2,DL33)))+COUNTIF(ClosedDays!$F$4:$F$32,IF(WEEKDAY(DL33)=1,DL33+1,IF(WEEKDAY(DL33)=7,DL33+2,DL33)))+COUNTIF(ClosedDays!$J$4:$J$32,IF(WEEKDAY(DL33)=1,DL33+1,IF(WEEKDAY(DL33)=7,DL33+2,DL33)))+COUNTIF(ClosedDays!$N$4:$N$32,IF(WEEKDAY(DL33)=1,DL33+1,IF(WEEKDAY(DL33)=7,DL33+2,DL33)))</f>
        <v>44473</v>
      </c>
      <c r="DN33" s="405">
        <f>DM33+IF(WEEKDAY(DM33)=1,1,IF(WEEKDAY(DM33)=7,2,0))+COUNTIF(ClosedDays!$B$4:$B$32,IF(WEEKDAY(DM33)=1,DM33+1,IF(WEEKDAY(DM33)=7,DM33+2,DM33)))+COUNTIF(ClosedDays!$F$4:$F$32,IF(WEEKDAY(DM33)=1,DM33+1,IF(WEEKDAY(DM33)=7,DM33+2,DM33)))+COUNTIF(ClosedDays!$J$4:$J$32,IF(WEEKDAY(DM33)=1,DM33+1,IF(WEEKDAY(DM33)=7,DM33+2,DM33)))+COUNTIF(ClosedDays!$N$4:$N$32,IF(WEEKDAY(DM33)=1,DM33+1,IF(WEEKDAY(DM33)=7,DM33+2,DM33)))</f>
        <v>44473</v>
      </c>
      <c r="DO33" s="405">
        <f>DN33+IF(WEEKDAY(DN33)=1,1,IF(WEEKDAY(DN33)=7,2,0))+COUNTIF(ClosedDays!$B$4:$B$32,IF(WEEKDAY(DN33)=1,DN33+1,IF(WEEKDAY(DN33)=7,DN33+2,DN33)))+COUNTIF(ClosedDays!$F$4:$F$32,IF(WEEKDAY(DN33)=1,DN33+1,IF(WEEKDAY(DN33)=7,DN33+2,DN33)))+COUNTIF(ClosedDays!$J$4:$J$32,IF(WEEKDAY(DN33)=1,DN33+1,IF(WEEKDAY(DN33)=7,DN33+2,DN33)))+COUNTIF(ClosedDays!$N$4:$N$32,IF(WEEKDAY(DN33)=1,DN33+1,IF(WEEKDAY(DN33)=7,DN33+2,DN33)))</f>
        <v>44473</v>
      </c>
      <c r="DP33" s="405">
        <f t="shared" si="23"/>
        <v>44473</v>
      </c>
      <c r="DQ33" s="405">
        <f t="shared" si="20"/>
        <v>44473</v>
      </c>
      <c r="DR33" s="394">
        <f t="shared" si="19"/>
        <v>1</v>
      </c>
      <c r="DS33" s="394">
        <f>IF(AND(DR33=1,COUNTIF(DS$7:DS32,1)&lt;12,VLOOKUP(COUNTIF(DS$7:DS32,1)+1,'Outline Info'!$A$21:$C$32,2)&lt;=I33),1,0)</f>
        <v>0</v>
      </c>
      <c r="DT33" s="405" t="str">
        <f>IF(DS33=1,IF(VLOOKUP(COUNTIF(DS$7:DS33,1),'Outline Info'!$A$21:$C$32,2)=0,"",VLOOKUP(COUNTIF(DS$7:DS33,1),'Outline Info'!$A$21:$C$32,2)),"")</f>
        <v/>
      </c>
      <c r="DU33" s="447">
        <f>IF(DS33=1,VLOOKUP(COUNTIF(DS$7:DS33,1),'Outline Info'!$A$21:$C$32,3),0)</f>
        <v>0</v>
      </c>
      <c r="DV33" s="445">
        <f>IF('Outline Info'!$B$8="Y",IF(B33="*",'Outline Info'!$B$19,IF(OR($A33="",B33="X",B33="x"),0,VLOOKUP($A33,'Course Table'!$A$2:$J$331,4,TRUE))),0)</f>
        <v>0</v>
      </c>
      <c r="DW33" s="447">
        <f t="shared" si="6"/>
        <v>0</v>
      </c>
      <c r="DX33" s="447">
        <f>IF('Outline Info'!$B$8="Y",$DV33,$DW33)</f>
        <v>0</v>
      </c>
      <c r="DY33" s="394"/>
      <c r="DZ33" s="934"/>
      <c r="EA33" s="934"/>
      <c r="EB33" s="394"/>
      <c r="EC33" s="394"/>
      <c r="ED33" s="394"/>
    </row>
    <row r="34" spans="1:134" s="400" customFormat="1" ht="20.100000000000001" customHeight="1">
      <c r="A34" s="874" t="str">
        <f t="shared" si="7"/>
        <v/>
      </c>
      <c r="B34" s="876" t="str">
        <f t="shared" si="8"/>
        <v/>
      </c>
      <c r="C34" s="878" t="str">
        <f t="shared" si="9"/>
        <v/>
      </c>
      <c r="D34" s="463">
        <f>IF(NOT(ISBLANK(DZ34)),DZ34,IF(AND($AC34=9998,'Outline Info'!$H$33&gt;='Outline Info'!$B$6,'Outline Info'!$H$33&lt;='Outline Info'!$C$6),'Outline Info'!$H$33,IF(AND($AC34=9997,'Outline Info'!$H$31&gt;='Outline Info'!$B$6,'Outline Info'!$H$31&lt;='Outline Info'!$C$6),'Outline Info'!$H$31,IF(AE34="*",DQ33,IF(OR(AE34="x",AE34="X"),I33,IF(AND(AC34&gt;6,AC33&lt;6),DQ33,IF(AND($AC34=9998,$AC33=9997),I32,I33)))))))</f>
        <v>44470</v>
      </c>
      <c r="E34" s="1286"/>
      <c r="F34" s="1287"/>
      <c r="G34" s="1282"/>
      <c r="H34" s="1283"/>
      <c r="I34" s="464">
        <f>IF(AND($AC34=9998,'Outline Info'!$I$33&gt;='Outline Info'!$B$6,'Outline Info'!$I$33&lt;='Outline Info'!$C$6),'Outline Info'!$I$33,IF(AND($AC34=9997,'Outline Info'!$I$31&gt;='Outline Info'!$B$6,'Outline Info'!$I$31&lt;='Outline Info'!$C$6),'Outline Info'!$I$31,IF(DP34&gt;$V$4,$V$4,DP34)))</f>
        <v>44470</v>
      </c>
      <c r="J34" s="436"/>
      <c r="K34" s="437"/>
      <c r="L34" s="438"/>
      <c r="M34" s="438"/>
      <c r="N34" s="435"/>
      <c r="O34" s="435"/>
      <c r="P34" s="438"/>
      <c r="Q34" s="438"/>
      <c r="R34" s="439"/>
      <c r="S34" s="872">
        <f>IF($V$5-SUM($DX$7:$DX34)&lt;0,IF($V$5-SUM($DX$7:$DX33)&lt;0,0,$V$5-SUM($DX$7:$DX33)),DX34)</f>
        <v>0</v>
      </c>
      <c r="T34" s="440" t="str">
        <f>IF(S34&gt;0,IF('Outline Info'!$B$8="Y",D34,DT34),"")</f>
        <v/>
      </c>
      <c r="U34" s="441"/>
      <c r="V34" s="442"/>
      <c r="W34" s="870" t="str">
        <f>IF('Outline Info'!$C$33&gt;0,ROUND(IF('Outline Info'!$B$8="Y",SUM(S$7:S34)-SUM(AJ$7:AJ34)-'Outline Info'!$B$14-'Outline Info'!$B$15-'Outline Info'!$B$17,IF(AL34=0,SUM(S$7:S34)-SUM(AK$7:AK34)-SUM(AP34:AS34)-'Outline Info'!$B$14-'Outline Info'!$B$15-'Outline Info'!$B$17,0)),0),IF('Outline Info'!$T$4&lt;&gt;1,"",IF(OR(AD34="",AL34=1),"",SUM(AK$7:AK34)+SUM(AP34:AS34)+'Outline Info'!$B$14+'Outline Info'!$B$15+'Outline Info'!$B$17)))</f>
        <v/>
      </c>
      <c r="X34" s="448"/>
      <c r="Y34" s="443">
        <f>IF(OR(AE34="X",AE34="x",AE34="*",AC34=99999),0,IF(AC34&lt;50,0,IF($S$4-SUM($Y$7:$Y33)&gt;0,1,0)))</f>
        <v>0</v>
      </c>
      <c r="Z34" s="444">
        <f>IF(AC34&lt;99999,IF(AE34="*",AH34,IF(OR(AE34="x",AE34="X",AC34&lt;10),0,IF(AND(AC34&lt;&gt;9998,AC34&lt;&gt;9997),IF(AM34=1,(AH34+$AM$5)*(1+('Outline Info'!$B$16)),IF(AN34=1,(AH34+$AN$5)*(1+('Outline Info'!$B$16)),0)),AH34))),0)</f>
        <v>0</v>
      </c>
      <c r="AA34" s="395">
        <f>Z34/'Outline Info'!$C$11+Y34</f>
        <v>0</v>
      </c>
      <c r="AB34" s="395">
        <f>ROUND(AA34/'Outline Info'!$B$11*7,0)</f>
        <v>0</v>
      </c>
      <c r="AC34" s="445">
        <f>IF($AD34&lt;&gt;"",VLOOKUP($AD34,'Course Table'!$A$2:$J$331,10,TRUE),99999)</f>
        <v>99999</v>
      </c>
      <c r="AD34" s="394"/>
      <c r="AE34" s="394"/>
      <c r="AF34" s="394"/>
      <c r="AG34" s="394"/>
      <c r="AH34" s="394"/>
      <c r="AI34" s="394">
        <v>399</v>
      </c>
      <c r="AJ34" s="394">
        <v>399</v>
      </c>
      <c r="AK34" s="394">
        <f t="shared" si="10"/>
        <v>399</v>
      </c>
      <c r="AL34" s="394">
        <f t="shared" si="11"/>
        <v>0</v>
      </c>
      <c r="AM34" s="394">
        <f t="shared" si="12"/>
        <v>0</v>
      </c>
      <c r="AN34" s="394">
        <f t="shared" si="13"/>
        <v>0</v>
      </c>
      <c r="AO34" s="394">
        <f>IF(AN34=1,SUMPRODUCT($AJ$7:$AJ34,$AN$7:$AN34),0)</f>
        <v>0</v>
      </c>
      <c r="AP34" s="394">
        <f t="shared" si="14"/>
        <v>0</v>
      </c>
      <c r="AQ34" s="394">
        <f t="shared" si="14"/>
        <v>0</v>
      </c>
      <c r="AR34" s="394">
        <f t="shared" si="14"/>
        <v>0</v>
      </c>
      <c r="AS34" s="394">
        <f t="shared" si="14"/>
        <v>0</v>
      </c>
      <c r="AT34" s="394">
        <f t="shared" si="15"/>
        <v>0</v>
      </c>
      <c r="AU34" s="394">
        <f t="shared" si="15"/>
        <v>0</v>
      </c>
      <c r="AV34" s="394">
        <f t="shared" si="15"/>
        <v>0</v>
      </c>
      <c r="AW34" s="394">
        <f t="shared" si="15"/>
        <v>0</v>
      </c>
      <c r="AX34" s="394">
        <f t="shared" si="1"/>
        <v>0</v>
      </c>
      <c r="AY34" s="394">
        <f t="shared" si="2"/>
        <v>0</v>
      </c>
      <c r="AZ34" s="394">
        <f t="shared" si="3"/>
        <v>0</v>
      </c>
      <c r="BA34" s="394">
        <f t="shared" si="4"/>
        <v>0</v>
      </c>
      <c r="BB34" s="405">
        <f t="shared" si="22"/>
        <v>44473</v>
      </c>
      <c r="BC34" s="405">
        <f>BB34+IF(WEEKDAY(BB34)=1,1,IF(WEEKDAY(BB34)=7,2,0))+COUNTIF(ClosedDays!$B$4:$B$32,IF(WEEKDAY(BB34)=1,BB34+1,IF(WEEKDAY(BB34)=7,BB34+2,BB34)))+COUNTIF(ClosedDays!$F$4:$F$32,IF(WEEKDAY(BB34)=1,BB34+1,IF(WEEKDAY(BB34)=7,BB34+2,BB34)))+COUNTIF(ClosedDays!$J$4:$J$32,IF(WEEKDAY(BB34)=1,BB34+1,IF(WEEKDAY(BB34)=7,BB34+2,BB34)))+COUNTIF(ClosedDays!$N$4:$N$32,IF(WEEKDAY(BB34)=1,BB34+1,IF(WEEKDAY(BB34)=7,BB34+2,BB34)))</f>
        <v>44473</v>
      </c>
      <c r="BD34" s="405">
        <f>BC34+IF(WEEKDAY(BC34)=1,1,IF(WEEKDAY(BC34)=7,2,0))+COUNTIF(ClosedDays!$B$4:$B$32,IF(WEEKDAY(BC34)=1,BC34+1,IF(WEEKDAY(BC34)=7,BC34+2,BC34)))+COUNTIF(ClosedDays!$F$4:$F$32,IF(WEEKDAY(BC34)=1,BC34+1,IF(WEEKDAY(BC34)=7,BC34+2,BC34)))+COUNTIF(ClosedDays!$J$4:$J$32,IF(WEEKDAY(BC34)=1,BC34+1,IF(WEEKDAY(BC34)=7,BC34+2,BC34)))+COUNTIF(ClosedDays!$N$4:$N$32,IF(WEEKDAY(BC34)=1,BC34+1,IF(WEEKDAY(BC34)=7,BC34+2,BC34)))</f>
        <v>44473</v>
      </c>
      <c r="BE34" s="405">
        <f>BD34+IF(WEEKDAY(BD34)=1,1,IF(WEEKDAY(BD34)=7,2,0))+COUNTIF(ClosedDays!$B$4:$B$32,IF(WEEKDAY(BD34)=1,BD34+1,IF(WEEKDAY(BD34)=7,BD34+2,BD34)))+COUNTIF(ClosedDays!$F$4:$F$32,IF(WEEKDAY(BD34)=1,BD34+1,IF(WEEKDAY(BD34)=7,BD34+2,BD34)))+COUNTIF(ClosedDays!$J$4:$J$32,IF(WEEKDAY(BD34)=1,BD34+1,IF(WEEKDAY(BD34)=7,BD34+2,BD34)))+COUNTIF(ClosedDays!$N$4:$N$32,IF(WEEKDAY(BD34)=1,BD34+1,IF(WEEKDAY(BD34)=7,BD34+2,BD34)))</f>
        <v>44473</v>
      </c>
      <c r="BF34" s="405">
        <f>BE34+IF(WEEKDAY(BE34)=1,1,IF(WEEKDAY(BE34)=7,2,0))+COUNTIF(ClosedDays!$B$4:$B$32,IF(WEEKDAY(BE34)=1,BE34+1,IF(WEEKDAY(BE34)=7,BE34+2,BE34)))+COUNTIF(ClosedDays!$F$4:$F$32,IF(WEEKDAY(BE34)=1,BE34+1,IF(WEEKDAY(BE34)=7,BE34+2,BE34)))+COUNTIF(ClosedDays!$J$4:$J$32,IF(WEEKDAY(BE34)=1,BE34+1,IF(WEEKDAY(BE34)=7,BE34+2,BE34)))+COUNTIF(ClosedDays!$N$4:$N$32,IF(WEEKDAY(BE34)=1,BE34+1,IF(WEEKDAY(BE34)=7,BE34+2,BE34)))</f>
        <v>44473</v>
      </c>
      <c r="BG34" s="405">
        <f>BF34+IF(WEEKDAY(BF34)=1,1,IF(WEEKDAY(BF34)=7,2,0))+COUNTIF(ClosedDays!$B$4:$B$32,IF(WEEKDAY(BF34)=1,BF34+1,IF(WEEKDAY(BF34)=7,BF34+2,BF34)))+COUNTIF(ClosedDays!$F$4:$F$32,IF(WEEKDAY(BF34)=1,BF34+1,IF(WEEKDAY(BF34)=7,BF34+2,BF34)))+COUNTIF(ClosedDays!$J$4:$J$32,IF(WEEKDAY(BF34)=1,BF34+1,IF(WEEKDAY(BF34)=7,BF34+2,BF34)))+COUNTIF(ClosedDays!$N$4:$N$32,IF(WEEKDAY(BF34)=1,BF34+1,IF(WEEKDAY(BF34)=7,BF34+2,BF34)))</f>
        <v>44473</v>
      </c>
      <c r="BH34" s="405">
        <f>BG34+IF(WEEKDAY(BG34)=1,1,IF(WEEKDAY(BG34)=7,2,0))+COUNTIF(ClosedDays!$B$4:$B$32,IF(WEEKDAY(BG34)=1,BG34+1,IF(WEEKDAY(BG34)=7,BG34+2,BG34)))+COUNTIF(ClosedDays!$F$4:$F$32,IF(WEEKDAY(BG34)=1,BG34+1,IF(WEEKDAY(BG34)=7,BG34+2,BG34)))+COUNTIF(ClosedDays!$J$4:$J$32,IF(WEEKDAY(BG34)=1,BG34+1,IF(WEEKDAY(BG34)=7,BG34+2,BG34)))+COUNTIF(ClosedDays!$N$4:$N$32,IF(WEEKDAY(BG34)=1,BG34+1,IF(WEEKDAY(BG34)=7,BG34+2,BG34)))</f>
        <v>44473</v>
      </c>
      <c r="BI34" s="405">
        <f>BH34+IF(WEEKDAY(BH34)=1,1,IF(WEEKDAY(BH34)=7,2,0))+COUNTIF(ClosedDays!$B$4:$B$32,IF(WEEKDAY(BH34)=1,BH34+1,IF(WEEKDAY(BH34)=7,BH34+2,BH34)))+COUNTIF(ClosedDays!$F$4:$F$32,IF(WEEKDAY(BH34)=1,BH34+1,IF(WEEKDAY(BH34)=7,BH34+2,BH34)))+COUNTIF(ClosedDays!$J$4:$J$32,IF(WEEKDAY(BH34)=1,BH34+1,IF(WEEKDAY(BH34)=7,BH34+2,BH34)))+COUNTIF(ClosedDays!$N$4:$N$32,IF(WEEKDAY(BH34)=1,BH34+1,IF(WEEKDAY(BH34)=7,BH34+2,BH34)))</f>
        <v>44473</v>
      </c>
      <c r="BJ34" s="405">
        <f>BI34+IF(WEEKDAY(BI34)=1,1,IF(WEEKDAY(BI34)=7,2,0))+COUNTIF(ClosedDays!$B$4:$B$32,IF(WEEKDAY(BI34)=1,BI34+1,IF(WEEKDAY(BI34)=7,BI34+2,BI34)))+COUNTIF(ClosedDays!$F$4:$F$32,IF(WEEKDAY(BI34)=1,BI34+1,IF(WEEKDAY(BI34)=7,BI34+2,BI34)))+COUNTIF(ClosedDays!$J$4:$J$32,IF(WEEKDAY(BI34)=1,BI34+1,IF(WEEKDAY(BI34)=7,BI34+2,BI34)))+COUNTIF(ClosedDays!$N$4:$N$32,IF(WEEKDAY(BI34)=1,BI34+1,IF(WEEKDAY(BI34)=7,BI34+2,BI34)))</f>
        <v>44473</v>
      </c>
      <c r="BK34" s="405">
        <f>BJ34+IF(WEEKDAY(BJ34)=1,1,IF(WEEKDAY(BJ34)=7,2,0))+COUNTIF(ClosedDays!$B$4:$B$32,IF(WEEKDAY(BJ34)=1,BJ34+1,IF(WEEKDAY(BJ34)=7,BJ34+2,BJ34)))+COUNTIF(ClosedDays!$F$4:$F$32,IF(WEEKDAY(BJ34)=1,BJ34+1,IF(WEEKDAY(BJ34)=7,BJ34+2,BJ34)))+COUNTIF(ClosedDays!$J$4:$J$32,IF(WEEKDAY(BJ34)=1,BJ34+1,IF(WEEKDAY(BJ34)=7,BJ34+2,BJ34)))+COUNTIF(ClosedDays!$N$4:$N$32,IF(WEEKDAY(BJ34)=1,BJ34+1,IF(WEEKDAY(BJ34)=7,BJ34+2,BJ34)))</f>
        <v>44473</v>
      </c>
      <c r="BL34" s="405">
        <f>BK34+IF(WEEKDAY(BK34)=1,1,IF(WEEKDAY(BK34)=7,2,0))+COUNTIF(ClosedDays!$B$4:$B$32,IF(WEEKDAY(BK34)=1,BK34+1,IF(WEEKDAY(BK34)=7,BK34+2,BK34)))+COUNTIF(ClosedDays!$F$4:$F$32,IF(WEEKDAY(BK34)=1,BK34+1,IF(WEEKDAY(BK34)=7,BK34+2,BK34)))+COUNTIF(ClosedDays!$J$4:$J$32,IF(WEEKDAY(BK34)=1,BK34+1,IF(WEEKDAY(BK34)=7,BK34+2,BK34)))+COUNTIF(ClosedDays!$N$4:$N$32,IF(WEEKDAY(BK34)=1,BK34+1,IF(WEEKDAY(BK34)=7,BK34+2,BK34)))</f>
        <v>44473</v>
      </c>
      <c r="BM34" s="405">
        <f>BL34+IF(WEEKDAY(BL34)=1,1,IF(WEEKDAY(BL34)=7,2,0))+COUNTIF(ClosedDays!$B$4:$B$32,IF(WEEKDAY(BL34)=1,BL34+1,IF(WEEKDAY(BL34)=7,BL34+2,BL34)))+COUNTIF(ClosedDays!$F$4:$F$32,IF(WEEKDAY(BL34)=1,BL34+1,IF(WEEKDAY(BL34)=7,BL34+2,BL34)))+COUNTIF(ClosedDays!$J$4:$J$32,IF(WEEKDAY(BL34)=1,BL34+1,IF(WEEKDAY(BL34)=7,BL34+2,BL34)))+COUNTIF(ClosedDays!$N$4:$N$32,IF(WEEKDAY(BL34)=1,BL34+1,IF(WEEKDAY(BL34)=7,BL34+2,BL34)))</f>
        <v>44473</v>
      </c>
      <c r="BN34" s="405">
        <f>BM34+IF(WEEKDAY(BM34)=1,1,IF(WEEKDAY(BM34)=7,2,0))+COUNTIF(ClosedDays!$B$4:$B$32,IF(WEEKDAY(BM34)=1,BM34+1,IF(WEEKDAY(BM34)=7,BM34+2,BM34)))+COUNTIF(ClosedDays!$F$4:$F$32,IF(WEEKDAY(BM34)=1,BM34+1,IF(WEEKDAY(BM34)=7,BM34+2,BM34)))+COUNTIF(ClosedDays!$J$4:$J$32,IF(WEEKDAY(BM34)=1,BM34+1,IF(WEEKDAY(BM34)=7,BM34+2,BM34)))+COUNTIF(ClosedDays!$N$4:$N$32,IF(WEEKDAY(BM34)=1,BM34+1,IF(WEEKDAY(BM34)=7,BM34+2,BM34)))</f>
        <v>44473</v>
      </c>
      <c r="BO34" s="405">
        <f>BN34+IF(WEEKDAY(BN34)=1,1,IF(WEEKDAY(BN34)=7,2,0))+COUNTIF(ClosedDays!$B$4:$B$32,IF(WEEKDAY(BN34)=1,BN34+1,IF(WEEKDAY(BN34)=7,BN34+2,BN34)))+COUNTIF(ClosedDays!$F$4:$F$32,IF(WEEKDAY(BN34)=1,BN34+1,IF(WEEKDAY(BN34)=7,BN34+2,BN34)))+COUNTIF(ClosedDays!$J$4:$J$32,IF(WEEKDAY(BN34)=1,BN34+1,IF(WEEKDAY(BN34)=7,BN34+2,BN34)))+COUNTIF(ClosedDays!$N$4:$N$32,IF(WEEKDAY(BN34)=1,BN34+1,IF(WEEKDAY(BN34)=7,BN34+2,BN34)))</f>
        <v>44473</v>
      </c>
      <c r="BP34" s="405">
        <f>BO34+IF(WEEKDAY(BO34)=1,1,IF(WEEKDAY(BO34)=7,2,0))+COUNTIF(ClosedDays!$B$4:$B$32,IF(WEEKDAY(BO34)=1,BO34+1,IF(WEEKDAY(BO34)=7,BO34+2,BO34)))+COUNTIF(ClosedDays!$F$4:$F$32,IF(WEEKDAY(BO34)=1,BO34+1,IF(WEEKDAY(BO34)=7,BO34+2,BO34)))+COUNTIF(ClosedDays!$J$4:$J$32,IF(WEEKDAY(BO34)=1,BO34+1,IF(WEEKDAY(BO34)=7,BO34+2,BO34)))+COUNTIF(ClosedDays!$N$4:$N$32,IF(WEEKDAY(BO34)=1,BO34+1,IF(WEEKDAY(BO34)=7,BO34+2,BO34)))</f>
        <v>44473</v>
      </c>
      <c r="BQ34" s="405">
        <f t="shared" si="16"/>
        <v>44473</v>
      </c>
      <c r="BR34" s="446">
        <f>IF(AND($D34&lt;='Outline Info'!$H$31,BQ34&gt;='Outline Info'!$H$31,$BS$4=1,$AC34&gt;10,$AC34&lt;9997),1,0)</f>
        <v>0</v>
      </c>
      <c r="BS34" s="405">
        <f>IF(BR34=1,BQ34+'Outline Info'!$I$31-'Outline Info'!$H$31+1,BQ34)</f>
        <v>44473</v>
      </c>
      <c r="BT34" s="405">
        <f>BS34+IF(WEEKDAY(BS34)=1,1,IF(WEEKDAY(BS34)=7,2,0))+COUNTIF(ClosedDays!$B$4:$B$32,IF(WEEKDAY(BS34)=1,BS34+1,IF(WEEKDAY(BS34)=7,BS34+2,BS34)))+COUNTIF(ClosedDays!$F$4:$F$32,IF(WEEKDAY(BS34)=1,BS34+1,IF(WEEKDAY(BS34)=7,BS34+2,BS34)))+COUNTIF(ClosedDays!$J$4:$J$32,IF(WEEKDAY(BS34)=1,BS34+1,IF(WEEKDAY(BS34)=7,BS34+2,BS34)))+COUNTIF(ClosedDays!$N$4:$N$32,IF(WEEKDAY(BS34)=1,BS34+1,IF(WEEKDAY(BS34)=7,BS34+2,BS34)))</f>
        <v>44473</v>
      </c>
      <c r="BU34" s="405">
        <f>BT34+IF(WEEKDAY(BT34)=1,1,IF(WEEKDAY(BT34)=7,2,0))+COUNTIF(ClosedDays!$B$4:$B$32,IF(WEEKDAY(BT34)=1,BT34+1,IF(WEEKDAY(BT34)=7,BT34+2,BT34)))+COUNTIF(ClosedDays!$F$4:$F$32,IF(WEEKDAY(BT34)=1,BT34+1,IF(WEEKDAY(BT34)=7,BT34+2,BT34)))+COUNTIF(ClosedDays!$J$4:$J$32,IF(WEEKDAY(BT34)=1,BT34+1,IF(WEEKDAY(BT34)=7,BT34+2,BT34)))+COUNTIF(ClosedDays!$N$4:$N$32,IF(WEEKDAY(BT34)=1,BT34+1,IF(WEEKDAY(BT34)=7,BT34+2,BT34)))</f>
        <v>44473</v>
      </c>
      <c r="BV34" s="405">
        <f>BU34+IF(WEEKDAY(BU34)=1,1,IF(WEEKDAY(BU34)=7,2,0))+COUNTIF(ClosedDays!$B$4:$B$32,IF(WEEKDAY(BU34)=1,BU34+1,IF(WEEKDAY(BU34)=7,BU34+2,BU34)))+COUNTIF(ClosedDays!$F$4:$F$32,IF(WEEKDAY(BU34)=1,BU34+1,IF(WEEKDAY(BU34)=7,BU34+2,BU34)))+COUNTIF(ClosedDays!$J$4:$J$32,IF(WEEKDAY(BU34)=1,BU34+1,IF(WEEKDAY(BU34)=7,BU34+2,BU34)))+COUNTIF(ClosedDays!$N$4:$N$32,IF(WEEKDAY(BU34)=1,BU34+1,IF(WEEKDAY(BU34)=7,BU34+2,BU34)))</f>
        <v>44473</v>
      </c>
      <c r="BW34" s="405">
        <f>BV34+IF(WEEKDAY(BV34)=1,1,IF(WEEKDAY(BV34)=7,2,0))+COUNTIF(ClosedDays!$B$4:$B$32,IF(WEEKDAY(BV34)=1,BV34+1,IF(WEEKDAY(BV34)=7,BV34+2,BV34)))+COUNTIF(ClosedDays!$F$4:$F$32,IF(WEEKDAY(BV34)=1,BV34+1,IF(WEEKDAY(BV34)=7,BV34+2,BV34)))+COUNTIF(ClosedDays!$J$4:$J$32,IF(WEEKDAY(BV34)=1,BV34+1,IF(WEEKDAY(BV34)=7,BV34+2,BV34)))+COUNTIF(ClosedDays!$N$4:$N$32,IF(WEEKDAY(BV34)=1,BV34+1,IF(WEEKDAY(BV34)=7,BV34+2,BV34)))</f>
        <v>44473</v>
      </c>
      <c r="BX34" s="405">
        <f>BW34+IF(WEEKDAY(BW34)=1,1,IF(WEEKDAY(BW34)=7,2,0))+COUNTIF(ClosedDays!$B$4:$B$32,IF(WEEKDAY(BW34)=1,BW34+1,IF(WEEKDAY(BW34)=7,BW34+2,BW34)))+COUNTIF(ClosedDays!$F$4:$F$32,IF(WEEKDAY(BW34)=1,BW34+1,IF(WEEKDAY(BW34)=7,BW34+2,BW34)))+COUNTIF(ClosedDays!$J$4:$J$32,IF(WEEKDAY(BW34)=1,BW34+1,IF(WEEKDAY(BW34)=7,BW34+2,BW34)))+COUNTIF(ClosedDays!$N$4:$N$32,IF(WEEKDAY(BW34)=1,BW34+1,IF(WEEKDAY(BW34)=7,BW34+2,BW34)))</f>
        <v>44473</v>
      </c>
      <c r="BY34" s="405">
        <f>BX34+IF(WEEKDAY(BX34)=1,1,IF(WEEKDAY(BX34)=7,2,0))+COUNTIF(ClosedDays!$B$4:$B$32,IF(WEEKDAY(BX34)=1,BX34+1,IF(WEEKDAY(BX34)=7,BX34+2,BX34)))+COUNTIF(ClosedDays!$F$4:$F$32,IF(WEEKDAY(BX34)=1,BX34+1,IF(WEEKDAY(BX34)=7,BX34+2,BX34)))+COUNTIF(ClosedDays!$J$4:$J$32,IF(WEEKDAY(BX34)=1,BX34+1,IF(WEEKDAY(BX34)=7,BX34+2,BX34)))+COUNTIF(ClosedDays!$N$4:$N$32,IF(WEEKDAY(BX34)=1,BX34+1,IF(WEEKDAY(BX34)=7,BX34+2,BX34)))</f>
        <v>44473</v>
      </c>
      <c r="BZ34" s="405">
        <f>BY34+IF(WEEKDAY(BY34)=1,1,IF(WEEKDAY(BY34)=7,2,0))+COUNTIF(ClosedDays!$B$4:$B$32,IF(WEEKDAY(BY34)=1,BY34+1,IF(WEEKDAY(BY34)=7,BY34+2,BY34)))+COUNTIF(ClosedDays!$F$4:$F$32,IF(WEEKDAY(BY34)=1,BY34+1,IF(WEEKDAY(BY34)=7,BY34+2,BY34)))+COUNTIF(ClosedDays!$J$4:$J$32,IF(WEEKDAY(BY34)=1,BY34+1,IF(WEEKDAY(BY34)=7,BY34+2,BY34)))+COUNTIF(ClosedDays!$N$4:$N$32,IF(WEEKDAY(BY34)=1,BY34+1,IF(WEEKDAY(BY34)=7,BY34+2,BY34)))</f>
        <v>44473</v>
      </c>
      <c r="CA34" s="405">
        <f>BZ34+IF(WEEKDAY(BZ34)=1,1,IF(WEEKDAY(BZ34)=7,2,0))+COUNTIF(ClosedDays!$B$4:$B$32,IF(WEEKDAY(BZ34)=1,BZ34+1,IF(WEEKDAY(BZ34)=7,BZ34+2,BZ34)))+COUNTIF(ClosedDays!$F$4:$F$32,IF(WEEKDAY(BZ34)=1,BZ34+1,IF(WEEKDAY(BZ34)=7,BZ34+2,BZ34)))+COUNTIF(ClosedDays!$J$4:$J$32,IF(WEEKDAY(BZ34)=1,BZ34+1,IF(WEEKDAY(BZ34)=7,BZ34+2,BZ34)))+COUNTIF(ClosedDays!$N$4:$N$32,IF(WEEKDAY(BZ34)=1,BZ34+1,IF(WEEKDAY(BZ34)=7,BZ34+2,BZ34)))</f>
        <v>44473</v>
      </c>
      <c r="CB34" s="405">
        <f>CA34+IF(WEEKDAY(CA34)=1,1,IF(WEEKDAY(CA34)=7,2,0))+COUNTIF(ClosedDays!$B$4:$B$32,IF(WEEKDAY(CA34)=1,CA34+1,IF(WEEKDAY(CA34)=7,CA34+2,CA34)))+COUNTIF(ClosedDays!$F$4:$F$32,IF(WEEKDAY(CA34)=1,CA34+1,IF(WEEKDAY(CA34)=7,CA34+2,CA34)))+COUNTIF(ClosedDays!$J$4:$J$32,IF(WEEKDAY(CA34)=1,CA34+1,IF(WEEKDAY(CA34)=7,CA34+2,CA34)))+COUNTIF(ClosedDays!$N$4:$N$32,IF(WEEKDAY(CA34)=1,CA34+1,IF(WEEKDAY(CA34)=7,CA34+2,CA34)))</f>
        <v>44473</v>
      </c>
      <c r="CC34" s="405">
        <f>CB34+IF(WEEKDAY(CB34)=1,1,IF(WEEKDAY(CB34)=7,2,0))+COUNTIF(ClosedDays!$B$4:$B$32,IF(WEEKDAY(CB34)=1,CB34+1,IF(WEEKDAY(CB34)=7,CB34+2,CB34)))+COUNTIF(ClosedDays!$F$4:$F$32,IF(WEEKDAY(CB34)=1,CB34+1,IF(WEEKDAY(CB34)=7,CB34+2,CB34)))+COUNTIF(ClosedDays!$J$4:$J$32,IF(WEEKDAY(CB34)=1,CB34+1,IF(WEEKDAY(CB34)=7,CB34+2,CB34)))+COUNTIF(ClosedDays!$N$4:$N$32,IF(WEEKDAY(CB34)=1,CB34+1,IF(WEEKDAY(CB34)=7,CB34+2,CB34)))</f>
        <v>44473</v>
      </c>
      <c r="CD34" s="405">
        <f>CC34+IF(WEEKDAY(CC34)=1,1,IF(WEEKDAY(CC34)=7,2,0))+COUNTIF(ClosedDays!$B$4:$B$32,IF(WEEKDAY(CC34)=1,CC34+1,IF(WEEKDAY(CC34)=7,CC34+2,CC34)))+COUNTIF(ClosedDays!$F$4:$F$32,IF(WEEKDAY(CC34)=1,CC34+1,IF(WEEKDAY(CC34)=7,CC34+2,CC34)))+COUNTIF(ClosedDays!$J$4:$J$32,IF(WEEKDAY(CC34)=1,CC34+1,IF(WEEKDAY(CC34)=7,CC34+2,CC34)))+COUNTIF(ClosedDays!$N$4:$N$32,IF(WEEKDAY(CC34)=1,CC34+1,IF(WEEKDAY(CC34)=7,CC34+2,CC34)))</f>
        <v>44473</v>
      </c>
      <c r="CE34" s="405">
        <f>CD34+IF(WEEKDAY(CD34)=1,1,IF(WEEKDAY(CD34)=7,2,0))+COUNTIF(ClosedDays!$B$4:$B$32,IF(WEEKDAY(CD34)=1,CD34+1,IF(WEEKDAY(CD34)=7,CD34+2,CD34)))+COUNTIF(ClosedDays!$F$4:$F$32,IF(WEEKDAY(CD34)=1,CD34+1,IF(WEEKDAY(CD34)=7,CD34+2,CD34)))+COUNTIF(ClosedDays!$J$4:$J$32,IF(WEEKDAY(CD34)=1,CD34+1,IF(WEEKDAY(CD34)=7,CD34+2,CD34)))+COUNTIF(ClosedDays!$N$4:$N$32,IF(WEEKDAY(CD34)=1,CD34+1,IF(WEEKDAY(CD34)=7,CD34+2,CD34)))</f>
        <v>44473</v>
      </c>
      <c r="CF34" s="405">
        <f>CE34+IF(WEEKDAY(CE34)=1,1,IF(WEEKDAY(CE34)=7,2,0))+COUNTIF(ClosedDays!$B$4:$B$32,IF(WEEKDAY(CE34)=1,CE34+1,IF(WEEKDAY(CE34)=7,CE34+2,CE34)))+COUNTIF(ClosedDays!$F$4:$F$32,IF(WEEKDAY(CE34)=1,CE34+1,IF(WEEKDAY(CE34)=7,CE34+2,CE34)))+COUNTIF(ClosedDays!$J$4:$J$32,IF(WEEKDAY(CE34)=1,CE34+1,IF(WEEKDAY(CE34)=7,CE34+2,CE34)))+COUNTIF(ClosedDays!$N$4:$N$32,IF(WEEKDAY(CE34)=1,CE34+1,IF(WEEKDAY(CE34)=7,CE34+2,CE34)))</f>
        <v>44473</v>
      </c>
      <c r="CG34" s="405">
        <f>CF34+IF(WEEKDAY(CF34)=1,1,IF(WEEKDAY(CF34)=7,2,0))+COUNTIF(ClosedDays!$B$4:$B$32,IF(WEEKDAY(CF34)=1,CF34+1,IF(WEEKDAY(CF34)=7,CF34+2,CF34)))+COUNTIF(ClosedDays!$F$4:$F$32,IF(WEEKDAY(CF34)=1,CF34+1,IF(WEEKDAY(CF34)=7,CF34+2,CF34)))+COUNTIF(ClosedDays!$J$4:$J$32,IF(WEEKDAY(CF34)=1,CF34+1,IF(WEEKDAY(CF34)=7,CF34+2,CF34)))+COUNTIF(ClosedDays!$N$4:$N$32,IF(WEEKDAY(CF34)=1,CF34+1,IF(WEEKDAY(CF34)=7,CF34+2,CF34)))</f>
        <v>44473</v>
      </c>
      <c r="CH34" s="405">
        <f t="shared" si="17"/>
        <v>44473</v>
      </c>
      <c r="CI34" s="446">
        <f>IF(AND($D34&lt;='Outline Info'!$H$33,CH34&gt;='Outline Info'!$H$33,$CJ$4=1,$AC34&gt;10,$AC34&lt;9997),1,0)</f>
        <v>0</v>
      </c>
      <c r="CJ34" s="405">
        <f>IF(CI34=1,CH34+'Outline Info'!$I$33-'Outline Info'!$H$33+1,CH34)</f>
        <v>44473</v>
      </c>
      <c r="CK34" s="405">
        <f>CJ34+IF(WEEKDAY(CJ34)=1,1,IF(WEEKDAY(CJ34)=7,2,0))+COUNTIF(ClosedDays!$B$4:$B$32,IF(WEEKDAY(CJ34)=1,CJ34+1,IF(WEEKDAY(CJ34)=7,CJ34+2,CJ34)))+COUNTIF(ClosedDays!$F$4:$F$32,IF(WEEKDAY(CJ34)=1,CJ34+1,IF(WEEKDAY(CJ34)=7,CJ34+2,CJ34)))+COUNTIF(ClosedDays!$J$4:$J$32,IF(WEEKDAY(CJ34)=1,CJ34+1,IF(WEEKDAY(CJ34)=7,CJ34+2,CJ34)))+COUNTIF(ClosedDays!$N$4:$N$32,IF(WEEKDAY(CJ34)=1,CJ34+1,IF(WEEKDAY(CJ34)=7,CJ34+2,CJ34)))</f>
        <v>44473</v>
      </c>
      <c r="CL34" s="405">
        <f>CK34+IF(WEEKDAY(CK34)=1,1,IF(WEEKDAY(CK34)=7,2,0))+COUNTIF(ClosedDays!$B$4:$B$32,IF(WEEKDAY(CK34)=1,CK34+1,IF(WEEKDAY(CK34)=7,CK34+2,CK34)))+COUNTIF(ClosedDays!$F$4:$F$32,IF(WEEKDAY(CK34)=1,CK34+1,IF(WEEKDAY(CK34)=7,CK34+2,CK34)))+COUNTIF(ClosedDays!$J$4:$J$32,IF(WEEKDAY(CK34)=1,CK34+1,IF(WEEKDAY(CK34)=7,CK34+2,CK34)))+COUNTIF(ClosedDays!$N$4:$N$32,IF(WEEKDAY(CK34)=1,CK34+1,IF(WEEKDAY(CK34)=7,CK34+2,CK34)))</f>
        <v>44473</v>
      </c>
      <c r="CM34" s="405">
        <f>CL34+IF(WEEKDAY(CL34)=1,1,IF(WEEKDAY(CL34)=7,2,0))+COUNTIF(ClosedDays!$B$4:$B$32,IF(WEEKDAY(CL34)=1,CL34+1,IF(WEEKDAY(CL34)=7,CL34+2,CL34)))+COUNTIF(ClosedDays!$F$4:$F$32,IF(WEEKDAY(CL34)=1,CL34+1,IF(WEEKDAY(CL34)=7,CL34+2,CL34)))+COUNTIF(ClosedDays!$J$4:$J$32,IF(WEEKDAY(CL34)=1,CL34+1,IF(WEEKDAY(CL34)=7,CL34+2,CL34)))+COUNTIF(ClosedDays!$N$4:$N$32,IF(WEEKDAY(CL34)=1,CL34+1,IF(WEEKDAY(CL34)=7,CL34+2,CL34)))</f>
        <v>44473</v>
      </c>
      <c r="CN34" s="405">
        <f>CM34+IF(WEEKDAY(CM34)=1,1,IF(WEEKDAY(CM34)=7,2,0))+COUNTIF(ClosedDays!$B$4:$B$32,IF(WEEKDAY(CM34)=1,CM34+1,IF(WEEKDAY(CM34)=7,CM34+2,CM34)))+COUNTIF(ClosedDays!$F$4:$F$32,IF(WEEKDAY(CM34)=1,CM34+1,IF(WEEKDAY(CM34)=7,CM34+2,CM34)))+COUNTIF(ClosedDays!$J$4:$J$32,IF(WEEKDAY(CM34)=1,CM34+1,IF(WEEKDAY(CM34)=7,CM34+2,CM34)))+COUNTIF(ClosedDays!$N$4:$N$32,IF(WEEKDAY(CM34)=1,CM34+1,IF(WEEKDAY(CM34)=7,CM34+2,CM34)))</f>
        <v>44473</v>
      </c>
      <c r="CO34" s="405">
        <f>CN34+IF(WEEKDAY(CN34)=1,1,IF(WEEKDAY(CN34)=7,2,0))+COUNTIF(ClosedDays!$B$4:$B$32,IF(WEEKDAY(CN34)=1,CN34+1,IF(WEEKDAY(CN34)=7,CN34+2,CN34)))+COUNTIF(ClosedDays!$F$4:$F$32,IF(WEEKDAY(CN34)=1,CN34+1,IF(WEEKDAY(CN34)=7,CN34+2,CN34)))+COUNTIF(ClosedDays!$J$4:$J$32,IF(WEEKDAY(CN34)=1,CN34+1,IF(WEEKDAY(CN34)=7,CN34+2,CN34)))+COUNTIF(ClosedDays!$N$4:$N$32,IF(WEEKDAY(CN34)=1,CN34+1,IF(WEEKDAY(CN34)=7,CN34+2,CN34)))</f>
        <v>44473</v>
      </c>
      <c r="CP34" s="405">
        <f>CO34+IF(WEEKDAY(CO34)=1,1,IF(WEEKDAY(CO34)=7,2,0))+COUNTIF(ClosedDays!$B$4:$B$32,IF(WEEKDAY(CO34)=1,CO34+1,IF(WEEKDAY(CO34)=7,CO34+2,CO34)))+COUNTIF(ClosedDays!$F$4:$F$32,IF(WEEKDAY(CO34)=1,CO34+1,IF(WEEKDAY(CO34)=7,CO34+2,CO34)))+COUNTIF(ClosedDays!$J$4:$J$32,IF(WEEKDAY(CO34)=1,CO34+1,IF(WEEKDAY(CO34)=7,CO34+2,CO34)))+COUNTIF(ClosedDays!$N$4:$N$32,IF(WEEKDAY(CO34)=1,CO34+1,IF(WEEKDAY(CO34)=7,CO34+2,CO34)))</f>
        <v>44473</v>
      </c>
      <c r="CQ34" s="405">
        <f>CP34+IF(WEEKDAY(CP34)=1,1,IF(WEEKDAY(CP34)=7,2,0))+COUNTIF(ClosedDays!$B$4:$B$32,IF(WEEKDAY(CP34)=1,CP34+1,IF(WEEKDAY(CP34)=7,CP34+2,CP34)))+COUNTIF(ClosedDays!$F$4:$F$32,IF(WEEKDAY(CP34)=1,CP34+1,IF(WEEKDAY(CP34)=7,CP34+2,CP34)))+COUNTIF(ClosedDays!$J$4:$J$32,IF(WEEKDAY(CP34)=1,CP34+1,IF(WEEKDAY(CP34)=7,CP34+2,CP34)))+COUNTIF(ClosedDays!$N$4:$N$32,IF(WEEKDAY(CP34)=1,CP34+1,IF(WEEKDAY(CP34)=7,CP34+2,CP34)))</f>
        <v>44473</v>
      </c>
      <c r="CR34" s="405">
        <f>CQ34+IF(WEEKDAY(CQ34)=1,1,IF(WEEKDAY(CQ34)=7,2,0))+COUNTIF(ClosedDays!$B$4:$B$32,IF(WEEKDAY(CQ34)=1,CQ34+1,IF(WEEKDAY(CQ34)=7,CQ34+2,CQ34)))+COUNTIF(ClosedDays!$F$4:$F$32,IF(WEEKDAY(CQ34)=1,CQ34+1,IF(WEEKDAY(CQ34)=7,CQ34+2,CQ34)))+COUNTIF(ClosedDays!$J$4:$J$32,IF(WEEKDAY(CQ34)=1,CQ34+1,IF(WEEKDAY(CQ34)=7,CQ34+2,CQ34)))+COUNTIF(ClosedDays!$N$4:$N$32,IF(WEEKDAY(CQ34)=1,CQ34+1,IF(WEEKDAY(CQ34)=7,CQ34+2,CQ34)))</f>
        <v>44473</v>
      </c>
      <c r="CS34" s="405">
        <f>CR34+IF(WEEKDAY(CR34)=1,1,IF(WEEKDAY(CR34)=7,2,0))+COUNTIF(ClosedDays!$B$4:$B$32,IF(WEEKDAY(CR34)=1,CR34+1,IF(WEEKDAY(CR34)=7,CR34+2,CR34)))+COUNTIF(ClosedDays!$F$4:$F$32,IF(WEEKDAY(CR34)=1,CR34+1,IF(WEEKDAY(CR34)=7,CR34+2,CR34)))+COUNTIF(ClosedDays!$J$4:$J$32,IF(WEEKDAY(CR34)=1,CR34+1,IF(WEEKDAY(CR34)=7,CR34+2,CR34)))+COUNTIF(ClosedDays!$N$4:$N$32,IF(WEEKDAY(CR34)=1,CR34+1,IF(WEEKDAY(CR34)=7,CR34+2,CR34)))</f>
        <v>44473</v>
      </c>
      <c r="CT34" s="405">
        <f>CS34+IF(WEEKDAY(CS34)=1,1,IF(WEEKDAY(CS34)=7,2,0))+COUNTIF(ClosedDays!$B$4:$B$32,IF(WEEKDAY(CS34)=1,CS34+1,IF(WEEKDAY(CS34)=7,CS34+2,CS34)))+COUNTIF(ClosedDays!$F$4:$F$32,IF(WEEKDAY(CS34)=1,CS34+1,IF(WEEKDAY(CS34)=7,CS34+2,CS34)))+COUNTIF(ClosedDays!$J$4:$J$32,IF(WEEKDAY(CS34)=1,CS34+1,IF(WEEKDAY(CS34)=7,CS34+2,CS34)))+COUNTIF(ClosedDays!$N$4:$N$32,IF(WEEKDAY(CS34)=1,CS34+1,IF(WEEKDAY(CS34)=7,CS34+2,CS34)))</f>
        <v>44473</v>
      </c>
      <c r="CU34" s="405">
        <f>CT34+IF(WEEKDAY(CT34)=1,1,IF(WEEKDAY(CT34)=7,2,0))+COUNTIF(ClosedDays!$B$4:$B$32,IF(WEEKDAY(CT34)=1,CT34+1,IF(WEEKDAY(CT34)=7,CT34+2,CT34)))+COUNTIF(ClosedDays!$F$4:$F$32,IF(WEEKDAY(CT34)=1,CT34+1,IF(WEEKDAY(CT34)=7,CT34+2,CT34)))+COUNTIF(ClosedDays!$J$4:$J$32,IF(WEEKDAY(CT34)=1,CT34+1,IF(WEEKDAY(CT34)=7,CT34+2,CT34)))+COUNTIF(ClosedDays!$N$4:$N$32,IF(WEEKDAY(CT34)=1,CT34+1,IF(WEEKDAY(CT34)=7,CT34+2,CT34)))</f>
        <v>44473</v>
      </c>
      <c r="CV34" s="405">
        <f>CU34+IF(WEEKDAY(CU34)=1,1,IF(WEEKDAY(CU34)=7,2,0))+COUNTIF(ClosedDays!$B$4:$B$32,IF(WEEKDAY(CU34)=1,CU34+1,IF(WEEKDAY(CU34)=7,CU34+2,CU34)))+COUNTIF(ClosedDays!$F$4:$F$32,IF(WEEKDAY(CU34)=1,CU34+1,IF(WEEKDAY(CU34)=7,CU34+2,CU34)))+COUNTIF(ClosedDays!$J$4:$J$32,IF(WEEKDAY(CU34)=1,CU34+1,IF(WEEKDAY(CU34)=7,CU34+2,CU34)))+COUNTIF(ClosedDays!$N$4:$N$32,IF(WEEKDAY(CU34)=1,CU34+1,IF(WEEKDAY(CU34)=7,CU34+2,CU34)))</f>
        <v>44473</v>
      </c>
      <c r="CW34" s="405">
        <f>CV34+IF(WEEKDAY(CV34)=1,1,IF(WEEKDAY(CV34)=7,2,0))+COUNTIF(ClosedDays!$B$4:$B$32,IF(WEEKDAY(CV34)=1,CV34+1,IF(WEEKDAY(CV34)=7,CV34+2,CV34)))+COUNTIF(ClosedDays!$F$4:$F$32,IF(WEEKDAY(CV34)=1,CV34+1,IF(WEEKDAY(CV34)=7,CV34+2,CV34)))+COUNTIF(ClosedDays!$J$4:$J$32,IF(WEEKDAY(CV34)=1,CV34+1,IF(WEEKDAY(CV34)=7,CV34+2,CV34)))+COUNTIF(ClosedDays!$N$4:$N$32,IF(WEEKDAY(CV34)=1,CV34+1,IF(WEEKDAY(CV34)=7,CV34+2,CV34)))</f>
        <v>44473</v>
      </c>
      <c r="CX34" s="405">
        <f>CW34+IF(WEEKDAY(CW34)=1,1,IF(WEEKDAY(CW34)=7,2,0))+COUNTIF(ClosedDays!$B$4:$B$32,IF(WEEKDAY(CW34)=1,CW34+1,IF(WEEKDAY(CW34)=7,CW34+2,CW34)))+COUNTIF(ClosedDays!$F$4:$F$32,IF(WEEKDAY(CW34)=1,CW34+1,IF(WEEKDAY(CW34)=7,CW34+2,CW34)))+COUNTIF(ClosedDays!$J$4:$J$32,IF(WEEKDAY(CW34)=1,CW34+1,IF(WEEKDAY(CW34)=7,CW34+2,CW34)))+COUNTIF(ClosedDays!$N$4:$N$32,IF(WEEKDAY(CW34)=1,CW34+1,IF(WEEKDAY(CW34)=7,CW34+2,CW34)))</f>
        <v>44473</v>
      </c>
      <c r="CY34" s="405">
        <f t="shared" si="18"/>
        <v>44473</v>
      </c>
      <c r="CZ34" s="446">
        <f>IF(AND($D34&lt;='Outline Info'!$E$33,CY34&gt;='Outline Info'!$E$33,$AC34&gt;10,$AC34&lt;9997),1,0)</f>
        <v>0</v>
      </c>
      <c r="DA34" s="405">
        <f>IF(AND($D34&lt;='Outline Info'!$E$33,CY34&gt;='Outline Info'!$E$33),CY34+'Outline Info'!$F$33-'Outline Info'!$E$33+1,CY34)</f>
        <v>44473</v>
      </c>
      <c r="DB34" s="405">
        <f>DA34+IF(WEEKDAY(DA34)=1,1,IF(WEEKDAY(DA34)=7,2,0))+COUNTIF(ClosedDays!$B$4:$B$32,IF(WEEKDAY(DA34)=1,DA34+1,IF(WEEKDAY(DA34)=7,DA34+2,DA34)))+COUNTIF(ClosedDays!$F$4:$F$32,IF(WEEKDAY(DA34)=1,DA34+1,IF(WEEKDAY(DA34)=7,DA34+2,DA34)))+COUNTIF(ClosedDays!$J$4:$J$32,IF(WEEKDAY(DA34)=1,DA34+1,IF(WEEKDAY(DA34)=7,DA34+2,DA34)))+COUNTIF(ClosedDays!$N$4:$N$32,IF(WEEKDAY(DA34)=1,DA34+1,IF(WEEKDAY(DA34)=7,DA34+2,DA34)))</f>
        <v>44473</v>
      </c>
      <c r="DC34" s="405">
        <f>DB34+IF(WEEKDAY(DB34)=1,1,IF(WEEKDAY(DB34)=7,2,0))+COUNTIF(ClosedDays!$B$4:$B$32,IF(WEEKDAY(DB34)=1,DB34+1,IF(WEEKDAY(DB34)=7,DB34+2,DB34)))+COUNTIF(ClosedDays!$F$4:$F$32,IF(WEEKDAY(DB34)=1,DB34+1,IF(WEEKDAY(DB34)=7,DB34+2,DB34)))+COUNTIF(ClosedDays!$J$4:$J$32,IF(WEEKDAY(DB34)=1,DB34+1,IF(WEEKDAY(DB34)=7,DB34+2,DB34)))+COUNTIF(ClosedDays!$N$4:$N$32,IF(WEEKDAY(DB34)=1,DB34+1,IF(WEEKDAY(DB34)=7,DB34+2,DB34)))</f>
        <v>44473</v>
      </c>
      <c r="DD34" s="405">
        <f>DC34+IF(WEEKDAY(DC34)=1,1,IF(WEEKDAY(DC34)=7,2,0))+COUNTIF(ClosedDays!$B$4:$B$32,IF(WEEKDAY(DC34)=1,DC34+1,IF(WEEKDAY(DC34)=7,DC34+2,DC34)))+COUNTIF(ClosedDays!$F$4:$F$32,IF(WEEKDAY(DC34)=1,DC34+1,IF(WEEKDAY(DC34)=7,DC34+2,DC34)))+COUNTIF(ClosedDays!$J$4:$J$32,IF(WEEKDAY(DC34)=1,DC34+1,IF(WEEKDAY(DC34)=7,DC34+2,DC34)))+COUNTIF(ClosedDays!$N$4:$N$32,IF(WEEKDAY(DC34)=1,DC34+1,IF(WEEKDAY(DC34)=7,DC34+2,DC34)))</f>
        <v>44473</v>
      </c>
      <c r="DE34" s="405">
        <f>DD34+IF(WEEKDAY(DD34)=1,1,IF(WEEKDAY(DD34)=7,2,0))+COUNTIF(ClosedDays!$B$4:$B$32,IF(WEEKDAY(DD34)=1,DD34+1,IF(WEEKDAY(DD34)=7,DD34+2,DD34)))+COUNTIF(ClosedDays!$F$4:$F$32,IF(WEEKDAY(DD34)=1,DD34+1,IF(WEEKDAY(DD34)=7,DD34+2,DD34)))+COUNTIF(ClosedDays!$J$4:$J$32,IF(WEEKDAY(DD34)=1,DD34+1,IF(WEEKDAY(DD34)=7,DD34+2,DD34)))+COUNTIF(ClosedDays!$N$4:$N$32,IF(WEEKDAY(DD34)=1,DD34+1,IF(WEEKDAY(DD34)=7,DD34+2,DD34)))</f>
        <v>44473</v>
      </c>
      <c r="DF34" s="405">
        <f>DE34+IF(WEEKDAY(DE34)=1,1,IF(WEEKDAY(DE34)=7,2,0))+COUNTIF(ClosedDays!$B$4:$B$32,IF(WEEKDAY(DE34)=1,DE34+1,IF(WEEKDAY(DE34)=7,DE34+2,DE34)))+COUNTIF(ClosedDays!$F$4:$F$32,IF(WEEKDAY(DE34)=1,DE34+1,IF(WEEKDAY(DE34)=7,DE34+2,DE34)))+COUNTIF(ClosedDays!$J$4:$J$32,IF(WEEKDAY(DE34)=1,DE34+1,IF(WEEKDAY(DE34)=7,DE34+2,DE34)))+COUNTIF(ClosedDays!$N$4:$N$32,IF(WEEKDAY(DE34)=1,DE34+1,IF(WEEKDAY(DE34)=7,DE34+2,DE34)))</f>
        <v>44473</v>
      </c>
      <c r="DG34" s="405">
        <f>DF34+IF(WEEKDAY(DF34)=1,1,IF(WEEKDAY(DF34)=7,2,0))+COUNTIF(ClosedDays!$B$4:$B$32,IF(WEEKDAY(DF34)=1,DF34+1,IF(WEEKDAY(DF34)=7,DF34+2,DF34)))+COUNTIF(ClosedDays!$F$4:$F$32,IF(WEEKDAY(DF34)=1,DF34+1,IF(WEEKDAY(DF34)=7,DF34+2,DF34)))+COUNTIF(ClosedDays!$J$4:$J$32,IF(WEEKDAY(DF34)=1,DF34+1,IF(WEEKDAY(DF34)=7,DF34+2,DF34)))+COUNTIF(ClosedDays!$N$4:$N$32,IF(WEEKDAY(DF34)=1,DF34+1,IF(WEEKDAY(DF34)=7,DF34+2,DF34)))</f>
        <v>44473</v>
      </c>
      <c r="DH34" s="405">
        <f>DG34+IF(WEEKDAY(DG34)=1,1,IF(WEEKDAY(DG34)=7,2,0))+COUNTIF(ClosedDays!$B$4:$B$32,IF(WEEKDAY(DG34)=1,DG34+1,IF(WEEKDAY(DG34)=7,DG34+2,DG34)))+COUNTIF(ClosedDays!$F$4:$F$32,IF(WEEKDAY(DG34)=1,DG34+1,IF(WEEKDAY(DG34)=7,DG34+2,DG34)))+COUNTIF(ClosedDays!$J$4:$J$32,IF(WEEKDAY(DG34)=1,DG34+1,IF(WEEKDAY(DG34)=7,DG34+2,DG34)))+COUNTIF(ClosedDays!$N$4:$N$32,IF(WEEKDAY(DG34)=1,DG34+1,IF(WEEKDAY(DG34)=7,DG34+2,DG34)))</f>
        <v>44473</v>
      </c>
      <c r="DI34" s="405">
        <f>DH34+IF(WEEKDAY(DH34)=1,1,IF(WEEKDAY(DH34)=7,2,0))+COUNTIF(ClosedDays!$B$4:$B$32,IF(WEEKDAY(DH34)=1,DH34+1,IF(WEEKDAY(DH34)=7,DH34+2,DH34)))+COUNTIF(ClosedDays!$F$4:$F$32,IF(WEEKDAY(DH34)=1,DH34+1,IF(WEEKDAY(DH34)=7,DH34+2,DH34)))+COUNTIF(ClosedDays!$J$4:$J$32,IF(WEEKDAY(DH34)=1,DH34+1,IF(WEEKDAY(DH34)=7,DH34+2,DH34)))+COUNTIF(ClosedDays!$N$4:$N$32,IF(WEEKDAY(DH34)=1,DH34+1,IF(WEEKDAY(DH34)=7,DH34+2,DH34)))</f>
        <v>44473</v>
      </c>
      <c r="DJ34" s="405">
        <f>DI34+IF(WEEKDAY(DI34)=1,1,IF(WEEKDAY(DI34)=7,2,0))+COUNTIF(ClosedDays!$B$4:$B$32,IF(WEEKDAY(DI34)=1,DI34+1,IF(WEEKDAY(DI34)=7,DI34+2,DI34)))+COUNTIF(ClosedDays!$F$4:$F$32,IF(WEEKDAY(DI34)=1,DI34+1,IF(WEEKDAY(DI34)=7,DI34+2,DI34)))+COUNTIF(ClosedDays!$J$4:$J$32,IF(WEEKDAY(DI34)=1,DI34+1,IF(WEEKDAY(DI34)=7,DI34+2,DI34)))+COUNTIF(ClosedDays!$N$4:$N$32,IF(WEEKDAY(DI34)=1,DI34+1,IF(WEEKDAY(DI34)=7,DI34+2,DI34)))</f>
        <v>44473</v>
      </c>
      <c r="DK34" s="405">
        <f>DJ34+IF(WEEKDAY(DJ34)=1,1,IF(WEEKDAY(DJ34)=7,2,0))+COUNTIF(ClosedDays!$B$4:$B$32,IF(WEEKDAY(DJ34)=1,DJ34+1,IF(WEEKDAY(DJ34)=7,DJ34+2,DJ34)))+COUNTIF(ClosedDays!$F$4:$F$32,IF(WEEKDAY(DJ34)=1,DJ34+1,IF(WEEKDAY(DJ34)=7,DJ34+2,DJ34)))+COUNTIF(ClosedDays!$J$4:$J$32,IF(WEEKDAY(DJ34)=1,DJ34+1,IF(WEEKDAY(DJ34)=7,DJ34+2,DJ34)))+COUNTIF(ClosedDays!$N$4:$N$32,IF(WEEKDAY(DJ34)=1,DJ34+1,IF(WEEKDAY(DJ34)=7,DJ34+2,DJ34)))</f>
        <v>44473</v>
      </c>
      <c r="DL34" s="405">
        <f>DK34+IF(WEEKDAY(DK34)=1,1,IF(WEEKDAY(DK34)=7,2,0))+COUNTIF(ClosedDays!$B$4:$B$32,IF(WEEKDAY(DK34)=1,DK34+1,IF(WEEKDAY(DK34)=7,DK34+2,DK34)))+COUNTIF(ClosedDays!$F$4:$F$32,IF(WEEKDAY(DK34)=1,DK34+1,IF(WEEKDAY(DK34)=7,DK34+2,DK34)))+COUNTIF(ClosedDays!$J$4:$J$32,IF(WEEKDAY(DK34)=1,DK34+1,IF(WEEKDAY(DK34)=7,DK34+2,DK34)))+COUNTIF(ClosedDays!$N$4:$N$32,IF(WEEKDAY(DK34)=1,DK34+1,IF(WEEKDAY(DK34)=7,DK34+2,DK34)))</f>
        <v>44473</v>
      </c>
      <c r="DM34" s="405">
        <f>DL34+IF(WEEKDAY(DL34)=1,1,IF(WEEKDAY(DL34)=7,2,0))+COUNTIF(ClosedDays!$B$4:$B$32,IF(WEEKDAY(DL34)=1,DL34+1,IF(WEEKDAY(DL34)=7,DL34+2,DL34)))+COUNTIF(ClosedDays!$F$4:$F$32,IF(WEEKDAY(DL34)=1,DL34+1,IF(WEEKDAY(DL34)=7,DL34+2,DL34)))+COUNTIF(ClosedDays!$J$4:$J$32,IF(WEEKDAY(DL34)=1,DL34+1,IF(WEEKDAY(DL34)=7,DL34+2,DL34)))+COUNTIF(ClosedDays!$N$4:$N$32,IF(WEEKDAY(DL34)=1,DL34+1,IF(WEEKDAY(DL34)=7,DL34+2,DL34)))</f>
        <v>44473</v>
      </c>
      <c r="DN34" s="405">
        <f>DM34+IF(WEEKDAY(DM34)=1,1,IF(WEEKDAY(DM34)=7,2,0))+COUNTIF(ClosedDays!$B$4:$B$32,IF(WEEKDAY(DM34)=1,DM34+1,IF(WEEKDAY(DM34)=7,DM34+2,DM34)))+COUNTIF(ClosedDays!$F$4:$F$32,IF(WEEKDAY(DM34)=1,DM34+1,IF(WEEKDAY(DM34)=7,DM34+2,DM34)))+COUNTIF(ClosedDays!$J$4:$J$32,IF(WEEKDAY(DM34)=1,DM34+1,IF(WEEKDAY(DM34)=7,DM34+2,DM34)))+COUNTIF(ClosedDays!$N$4:$N$32,IF(WEEKDAY(DM34)=1,DM34+1,IF(WEEKDAY(DM34)=7,DM34+2,DM34)))</f>
        <v>44473</v>
      </c>
      <c r="DO34" s="405">
        <f>DN34+IF(WEEKDAY(DN34)=1,1,IF(WEEKDAY(DN34)=7,2,0))+COUNTIF(ClosedDays!$B$4:$B$32,IF(WEEKDAY(DN34)=1,DN34+1,IF(WEEKDAY(DN34)=7,DN34+2,DN34)))+COUNTIF(ClosedDays!$F$4:$F$32,IF(WEEKDAY(DN34)=1,DN34+1,IF(WEEKDAY(DN34)=7,DN34+2,DN34)))+COUNTIF(ClosedDays!$J$4:$J$32,IF(WEEKDAY(DN34)=1,DN34+1,IF(WEEKDAY(DN34)=7,DN34+2,DN34)))+COUNTIF(ClosedDays!$N$4:$N$32,IF(WEEKDAY(DN34)=1,DN34+1,IF(WEEKDAY(DN34)=7,DN34+2,DN34)))</f>
        <v>44473</v>
      </c>
      <c r="DP34" s="405">
        <f t="shared" si="23"/>
        <v>44473</v>
      </c>
      <c r="DQ34" s="405">
        <f t="shared" si="20"/>
        <v>44473</v>
      </c>
      <c r="DR34" s="394">
        <f t="shared" si="19"/>
        <v>1</v>
      </c>
      <c r="DS34" s="394">
        <f>IF(AND(DR34=1,COUNTIF(DS$7:DS33,1)&lt;12,VLOOKUP(COUNTIF(DS$7:DS33,1)+1,'Outline Info'!$A$21:$C$32,2)&lt;=I34),1,0)</f>
        <v>0</v>
      </c>
      <c r="DT34" s="405" t="str">
        <f>IF(DS34=1,IF(VLOOKUP(COUNTIF(DS$7:DS34,1),'Outline Info'!$A$21:$C$32,2)=0,"",VLOOKUP(COUNTIF(DS$7:DS34,1),'Outline Info'!$A$21:$C$32,2)),"")</f>
        <v/>
      </c>
      <c r="DU34" s="447">
        <f>IF(DS34=1,VLOOKUP(COUNTIF(DS$7:DS34,1),'Outline Info'!$A$21:$C$32,3),0)</f>
        <v>0</v>
      </c>
      <c r="DV34" s="445">
        <f>IF('Outline Info'!$B$8="Y",IF(B34="*",'Outline Info'!$B$19,IF(OR($A34="",B34="X",B34="x"),0,VLOOKUP($A34,'Course Table'!$A$2:$J$331,4,TRUE))),0)</f>
        <v>0</v>
      </c>
      <c r="DW34" s="447">
        <f t="shared" si="6"/>
        <v>0</v>
      </c>
      <c r="DX34" s="447">
        <f>IF('Outline Info'!$B$8="Y",$DV34,$DW34)</f>
        <v>0</v>
      </c>
      <c r="DY34" s="394"/>
      <c r="DZ34" s="934"/>
      <c r="EA34" s="934"/>
      <c r="EB34" s="394"/>
      <c r="EC34" s="394"/>
      <c r="ED34" s="394"/>
    </row>
    <row r="35" spans="1:134" s="400" customFormat="1" ht="20.100000000000001" customHeight="1">
      <c r="A35" s="874" t="str">
        <f t="shared" si="7"/>
        <v/>
      </c>
      <c r="B35" s="876" t="str">
        <f t="shared" si="8"/>
        <v/>
      </c>
      <c r="C35" s="878" t="str">
        <f t="shared" si="9"/>
        <v/>
      </c>
      <c r="D35" s="463">
        <f>IF(NOT(ISBLANK(DZ35)),DZ35,IF(AND($AC35=9998,'Outline Info'!$H$33&gt;='Outline Info'!$B$6,'Outline Info'!$H$33&lt;='Outline Info'!$C$6),'Outline Info'!$H$33,IF(AND($AC35=9997,'Outline Info'!$H$31&gt;='Outline Info'!$B$6,'Outline Info'!$H$31&lt;='Outline Info'!$C$6),'Outline Info'!$H$31,IF(AE35="*",DQ34,IF(OR(AE35="x",AE35="X"),I34,IF(AND(AC35&gt;6,AC34&lt;6),DQ34,IF(AND($AC35=9998,$AC34=9997),I33,I34)))))))</f>
        <v>44470</v>
      </c>
      <c r="E35" s="1286"/>
      <c r="F35" s="1287"/>
      <c r="G35" s="1282"/>
      <c r="H35" s="1283"/>
      <c r="I35" s="464">
        <f>IF(AND($AC35=9998,'Outline Info'!$I$33&gt;='Outline Info'!$B$6,'Outline Info'!$I$33&lt;='Outline Info'!$C$6),'Outline Info'!$I$33,IF(AND($AC35=9997,'Outline Info'!$I$31&gt;='Outline Info'!$B$6,'Outline Info'!$I$31&lt;='Outline Info'!$C$6),'Outline Info'!$I$31,IF(DP35&gt;$V$4,$V$4,DP35)))</f>
        <v>44470</v>
      </c>
      <c r="J35" s="436"/>
      <c r="K35" s="437"/>
      <c r="L35" s="438"/>
      <c r="M35" s="438"/>
      <c r="N35" s="435"/>
      <c r="O35" s="435"/>
      <c r="P35" s="438"/>
      <c r="Q35" s="438"/>
      <c r="R35" s="439"/>
      <c r="S35" s="872">
        <f>IF($V$5-SUM($DX$7:$DX35)&lt;0,IF($V$5-SUM($DX$7:$DX34)&lt;0,0,$V$5-SUM($DX$7:$DX34)),DX35)</f>
        <v>0</v>
      </c>
      <c r="T35" s="440" t="str">
        <f>IF(S35&gt;0,IF('Outline Info'!$B$8="Y",D35,DT35),"")</f>
        <v/>
      </c>
      <c r="U35" s="441"/>
      <c r="V35" s="442"/>
      <c r="W35" s="870" t="str">
        <f>IF('Outline Info'!$C$33&gt;0,ROUND(IF('Outline Info'!$B$8="Y",SUM(S$7:S35)-SUM(AJ$7:AJ35)-'Outline Info'!$B$14-'Outline Info'!$B$15-'Outline Info'!$B$17,IF(AL35=0,SUM(S$7:S35)-SUM(AK$7:AK35)-SUM(AP35:AS35)-'Outline Info'!$B$14-'Outline Info'!$B$15-'Outline Info'!$B$17,0)),0),IF('Outline Info'!$T$4&lt;&gt;1,"",IF(OR(AD35="",AL35=1),"",SUM(AK$7:AK35)+SUM(AP35:AS35)+'Outline Info'!$B$14+'Outline Info'!$B$15+'Outline Info'!$B$17)))</f>
        <v/>
      </c>
      <c r="X35" s="448"/>
      <c r="Y35" s="443">
        <f>IF(OR(AE35="X",AE35="x",AE35="*",AC35=99999),0,IF(AC35&lt;50,0,IF($S$4-SUM($Y$7:$Y34)&gt;0,1,0)))</f>
        <v>0</v>
      </c>
      <c r="Z35" s="444">
        <f>IF(AC35&lt;99999,IF(AE35="*",AH35,IF(OR(AE35="x",AE35="X",AC35&lt;10),0,IF(AND(AC35&lt;&gt;9998,AC35&lt;&gt;9997),IF(AM35=1,(AH35+$AM$5)*(1+('Outline Info'!$B$16)),IF(AN35=1,(AH35+$AN$5)*(1+('Outline Info'!$B$16)),0)),AH35))),0)</f>
        <v>0</v>
      </c>
      <c r="AA35" s="395">
        <f>Z35/'Outline Info'!$C$11+Y35</f>
        <v>0</v>
      </c>
      <c r="AB35" s="395">
        <f>ROUND(AA35/'Outline Info'!$B$11*7,0)</f>
        <v>0</v>
      </c>
      <c r="AC35" s="445">
        <f>IF($AD35&lt;&gt;"",VLOOKUP($AD35,'Course Table'!$A$2:$J$331,10,TRUE),99999)</f>
        <v>99999</v>
      </c>
      <c r="AD35" s="394"/>
      <c r="AE35" s="394"/>
      <c r="AF35" s="394"/>
      <c r="AG35" s="394"/>
      <c r="AH35" s="394"/>
      <c r="AI35" s="394">
        <v>375</v>
      </c>
      <c r="AJ35" s="394">
        <v>375</v>
      </c>
      <c r="AK35" s="394">
        <f t="shared" si="10"/>
        <v>375</v>
      </c>
      <c r="AL35" s="394">
        <f t="shared" si="11"/>
        <v>0</v>
      </c>
      <c r="AM35" s="394">
        <f t="shared" si="12"/>
        <v>0</v>
      </c>
      <c r="AN35" s="394">
        <f t="shared" si="13"/>
        <v>0</v>
      </c>
      <c r="AO35" s="394">
        <f>IF(AN35=1,SUMPRODUCT($AJ$7:$AJ35,$AN$7:$AN35),0)</f>
        <v>0</v>
      </c>
      <c r="AP35" s="394">
        <f t="shared" si="14"/>
        <v>0</v>
      </c>
      <c r="AQ35" s="394">
        <f t="shared" si="14"/>
        <v>0</v>
      </c>
      <c r="AR35" s="394">
        <f t="shared" si="14"/>
        <v>0</v>
      </c>
      <c r="AS35" s="394">
        <f t="shared" si="14"/>
        <v>0</v>
      </c>
      <c r="AT35" s="394">
        <f t="shared" si="15"/>
        <v>0</v>
      </c>
      <c r="AU35" s="394">
        <f t="shared" si="15"/>
        <v>0</v>
      </c>
      <c r="AV35" s="394">
        <f t="shared" si="15"/>
        <v>0</v>
      </c>
      <c r="AW35" s="394">
        <f t="shared" si="15"/>
        <v>0</v>
      </c>
      <c r="AX35" s="394">
        <f t="shared" si="1"/>
        <v>0</v>
      </c>
      <c r="AY35" s="394">
        <f t="shared" si="2"/>
        <v>0</v>
      </c>
      <c r="AZ35" s="394">
        <f t="shared" si="3"/>
        <v>0</v>
      </c>
      <c r="BA35" s="394">
        <f t="shared" si="4"/>
        <v>0</v>
      </c>
      <c r="BB35" s="405">
        <f t="shared" si="22"/>
        <v>44473</v>
      </c>
      <c r="BC35" s="405">
        <f>BB35+IF(WEEKDAY(BB35)=1,1,IF(WEEKDAY(BB35)=7,2,0))+COUNTIF(ClosedDays!$B$4:$B$32,IF(WEEKDAY(BB35)=1,BB35+1,IF(WEEKDAY(BB35)=7,BB35+2,BB35)))+COUNTIF(ClosedDays!$F$4:$F$32,IF(WEEKDAY(BB35)=1,BB35+1,IF(WEEKDAY(BB35)=7,BB35+2,BB35)))+COUNTIF(ClosedDays!$J$4:$J$32,IF(WEEKDAY(BB35)=1,BB35+1,IF(WEEKDAY(BB35)=7,BB35+2,BB35)))+COUNTIF(ClosedDays!$N$4:$N$32,IF(WEEKDAY(BB35)=1,BB35+1,IF(WEEKDAY(BB35)=7,BB35+2,BB35)))</f>
        <v>44473</v>
      </c>
      <c r="BD35" s="405">
        <f>BC35+IF(WEEKDAY(BC35)=1,1,IF(WEEKDAY(BC35)=7,2,0))+COUNTIF(ClosedDays!$B$4:$B$32,IF(WEEKDAY(BC35)=1,BC35+1,IF(WEEKDAY(BC35)=7,BC35+2,BC35)))+COUNTIF(ClosedDays!$F$4:$F$32,IF(WEEKDAY(BC35)=1,BC35+1,IF(WEEKDAY(BC35)=7,BC35+2,BC35)))+COUNTIF(ClosedDays!$J$4:$J$32,IF(WEEKDAY(BC35)=1,BC35+1,IF(WEEKDAY(BC35)=7,BC35+2,BC35)))+COUNTIF(ClosedDays!$N$4:$N$32,IF(WEEKDAY(BC35)=1,BC35+1,IF(WEEKDAY(BC35)=7,BC35+2,BC35)))</f>
        <v>44473</v>
      </c>
      <c r="BE35" s="405">
        <f>BD35+IF(WEEKDAY(BD35)=1,1,IF(WEEKDAY(BD35)=7,2,0))+COUNTIF(ClosedDays!$B$4:$B$32,IF(WEEKDAY(BD35)=1,BD35+1,IF(WEEKDAY(BD35)=7,BD35+2,BD35)))+COUNTIF(ClosedDays!$F$4:$F$32,IF(WEEKDAY(BD35)=1,BD35+1,IF(WEEKDAY(BD35)=7,BD35+2,BD35)))+COUNTIF(ClosedDays!$J$4:$J$32,IF(WEEKDAY(BD35)=1,BD35+1,IF(WEEKDAY(BD35)=7,BD35+2,BD35)))+COUNTIF(ClosedDays!$N$4:$N$32,IF(WEEKDAY(BD35)=1,BD35+1,IF(WEEKDAY(BD35)=7,BD35+2,BD35)))</f>
        <v>44473</v>
      </c>
      <c r="BF35" s="405">
        <f>BE35+IF(WEEKDAY(BE35)=1,1,IF(WEEKDAY(BE35)=7,2,0))+COUNTIF(ClosedDays!$B$4:$B$32,IF(WEEKDAY(BE35)=1,BE35+1,IF(WEEKDAY(BE35)=7,BE35+2,BE35)))+COUNTIF(ClosedDays!$F$4:$F$32,IF(WEEKDAY(BE35)=1,BE35+1,IF(WEEKDAY(BE35)=7,BE35+2,BE35)))+COUNTIF(ClosedDays!$J$4:$J$32,IF(WEEKDAY(BE35)=1,BE35+1,IF(WEEKDAY(BE35)=7,BE35+2,BE35)))+COUNTIF(ClosedDays!$N$4:$N$32,IF(WEEKDAY(BE35)=1,BE35+1,IF(WEEKDAY(BE35)=7,BE35+2,BE35)))</f>
        <v>44473</v>
      </c>
      <c r="BG35" s="405">
        <f>BF35+IF(WEEKDAY(BF35)=1,1,IF(WEEKDAY(BF35)=7,2,0))+COUNTIF(ClosedDays!$B$4:$B$32,IF(WEEKDAY(BF35)=1,BF35+1,IF(WEEKDAY(BF35)=7,BF35+2,BF35)))+COUNTIF(ClosedDays!$F$4:$F$32,IF(WEEKDAY(BF35)=1,BF35+1,IF(WEEKDAY(BF35)=7,BF35+2,BF35)))+COUNTIF(ClosedDays!$J$4:$J$32,IF(WEEKDAY(BF35)=1,BF35+1,IF(WEEKDAY(BF35)=7,BF35+2,BF35)))+COUNTIF(ClosedDays!$N$4:$N$32,IF(WEEKDAY(BF35)=1,BF35+1,IF(WEEKDAY(BF35)=7,BF35+2,BF35)))</f>
        <v>44473</v>
      </c>
      <c r="BH35" s="405">
        <f>BG35+IF(WEEKDAY(BG35)=1,1,IF(WEEKDAY(BG35)=7,2,0))+COUNTIF(ClosedDays!$B$4:$B$32,IF(WEEKDAY(BG35)=1,BG35+1,IF(WEEKDAY(BG35)=7,BG35+2,BG35)))+COUNTIF(ClosedDays!$F$4:$F$32,IF(WEEKDAY(BG35)=1,BG35+1,IF(WEEKDAY(BG35)=7,BG35+2,BG35)))+COUNTIF(ClosedDays!$J$4:$J$32,IF(WEEKDAY(BG35)=1,BG35+1,IF(WEEKDAY(BG35)=7,BG35+2,BG35)))+COUNTIF(ClosedDays!$N$4:$N$32,IF(WEEKDAY(BG35)=1,BG35+1,IF(WEEKDAY(BG35)=7,BG35+2,BG35)))</f>
        <v>44473</v>
      </c>
      <c r="BI35" s="405">
        <f>BH35+IF(WEEKDAY(BH35)=1,1,IF(WEEKDAY(BH35)=7,2,0))+COUNTIF(ClosedDays!$B$4:$B$32,IF(WEEKDAY(BH35)=1,BH35+1,IF(WEEKDAY(BH35)=7,BH35+2,BH35)))+COUNTIF(ClosedDays!$F$4:$F$32,IF(WEEKDAY(BH35)=1,BH35+1,IF(WEEKDAY(BH35)=7,BH35+2,BH35)))+COUNTIF(ClosedDays!$J$4:$J$32,IF(WEEKDAY(BH35)=1,BH35+1,IF(WEEKDAY(BH35)=7,BH35+2,BH35)))+COUNTIF(ClosedDays!$N$4:$N$32,IF(WEEKDAY(BH35)=1,BH35+1,IF(WEEKDAY(BH35)=7,BH35+2,BH35)))</f>
        <v>44473</v>
      </c>
      <c r="BJ35" s="405">
        <f>BI35+IF(WEEKDAY(BI35)=1,1,IF(WEEKDAY(BI35)=7,2,0))+COUNTIF(ClosedDays!$B$4:$B$32,IF(WEEKDAY(BI35)=1,BI35+1,IF(WEEKDAY(BI35)=7,BI35+2,BI35)))+COUNTIF(ClosedDays!$F$4:$F$32,IF(WEEKDAY(BI35)=1,BI35+1,IF(WEEKDAY(BI35)=7,BI35+2,BI35)))+COUNTIF(ClosedDays!$J$4:$J$32,IF(WEEKDAY(BI35)=1,BI35+1,IF(WEEKDAY(BI35)=7,BI35+2,BI35)))+COUNTIF(ClosedDays!$N$4:$N$32,IF(WEEKDAY(BI35)=1,BI35+1,IF(WEEKDAY(BI35)=7,BI35+2,BI35)))</f>
        <v>44473</v>
      </c>
      <c r="BK35" s="405">
        <f>BJ35+IF(WEEKDAY(BJ35)=1,1,IF(WEEKDAY(BJ35)=7,2,0))+COUNTIF(ClosedDays!$B$4:$B$32,IF(WEEKDAY(BJ35)=1,BJ35+1,IF(WEEKDAY(BJ35)=7,BJ35+2,BJ35)))+COUNTIF(ClosedDays!$F$4:$F$32,IF(WEEKDAY(BJ35)=1,BJ35+1,IF(WEEKDAY(BJ35)=7,BJ35+2,BJ35)))+COUNTIF(ClosedDays!$J$4:$J$32,IF(WEEKDAY(BJ35)=1,BJ35+1,IF(WEEKDAY(BJ35)=7,BJ35+2,BJ35)))+COUNTIF(ClosedDays!$N$4:$N$32,IF(WEEKDAY(BJ35)=1,BJ35+1,IF(WEEKDAY(BJ35)=7,BJ35+2,BJ35)))</f>
        <v>44473</v>
      </c>
      <c r="BL35" s="405">
        <f>BK35+IF(WEEKDAY(BK35)=1,1,IF(WEEKDAY(BK35)=7,2,0))+COUNTIF(ClosedDays!$B$4:$B$32,IF(WEEKDAY(BK35)=1,BK35+1,IF(WEEKDAY(BK35)=7,BK35+2,BK35)))+COUNTIF(ClosedDays!$F$4:$F$32,IF(WEEKDAY(BK35)=1,BK35+1,IF(WEEKDAY(BK35)=7,BK35+2,BK35)))+COUNTIF(ClosedDays!$J$4:$J$32,IF(WEEKDAY(BK35)=1,BK35+1,IF(WEEKDAY(BK35)=7,BK35+2,BK35)))+COUNTIF(ClosedDays!$N$4:$N$32,IF(WEEKDAY(BK35)=1,BK35+1,IF(WEEKDAY(BK35)=7,BK35+2,BK35)))</f>
        <v>44473</v>
      </c>
      <c r="BM35" s="405">
        <f>BL35+IF(WEEKDAY(BL35)=1,1,IF(WEEKDAY(BL35)=7,2,0))+COUNTIF(ClosedDays!$B$4:$B$32,IF(WEEKDAY(BL35)=1,BL35+1,IF(WEEKDAY(BL35)=7,BL35+2,BL35)))+COUNTIF(ClosedDays!$F$4:$F$32,IF(WEEKDAY(BL35)=1,BL35+1,IF(WEEKDAY(BL35)=7,BL35+2,BL35)))+COUNTIF(ClosedDays!$J$4:$J$32,IF(WEEKDAY(BL35)=1,BL35+1,IF(WEEKDAY(BL35)=7,BL35+2,BL35)))+COUNTIF(ClosedDays!$N$4:$N$32,IF(WEEKDAY(BL35)=1,BL35+1,IF(WEEKDAY(BL35)=7,BL35+2,BL35)))</f>
        <v>44473</v>
      </c>
      <c r="BN35" s="405">
        <f>BM35+IF(WEEKDAY(BM35)=1,1,IF(WEEKDAY(BM35)=7,2,0))+COUNTIF(ClosedDays!$B$4:$B$32,IF(WEEKDAY(BM35)=1,BM35+1,IF(WEEKDAY(BM35)=7,BM35+2,BM35)))+COUNTIF(ClosedDays!$F$4:$F$32,IF(WEEKDAY(BM35)=1,BM35+1,IF(WEEKDAY(BM35)=7,BM35+2,BM35)))+COUNTIF(ClosedDays!$J$4:$J$32,IF(WEEKDAY(BM35)=1,BM35+1,IF(WEEKDAY(BM35)=7,BM35+2,BM35)))+COUNTIF(ClosedDays!$N$4:$N$32,IF(WEEKDAY(BM35)=1,BM35+1,IF(WEEKDAY(BM35)=7,BM35+2,BM35)))</f>
        <v>44473</v>
      </c>
      <c r="BO35" s="405">
        <f>BN35+IF(WEEKDAY(BN35)=1,1,IF(WEEKDAY(BN35)=7,2,0))+COUNTIF(ClosedDays!$B$4:$B$32,IF(WEEKDAY(BN35)=1,BN35+1,IF(WEEKDAY(BN35)=7,BN35+2,BN35)))+COUNTIF(ClosedDays!$F$4:$F$32,IF(WEEKDAY(BN35)=1,BN35+1,IF(WEEKDAY(BN35)=7,BN35+2,BN35)))+COUNTIF(ClosedDays!$J$4:$J$32,IF(WEEKDAY(BN35)=1,BN35+1,IF(WEEKDAY(BN35)=7,BN35+2,BN35)))+COUNTIF(ClosedDays!$N$4:$N$32,IF(WEEKDAY(BN35)=1,BN35+1,IF(WEEKDAY(BN35)=7,BN35+2,BN35)))</f>
        <v>44473</v>
      </c>
      <c r="BP35" s="405">
        <f>BO35+IF(WEEKDAY(BO35)=1,1,IF(WEEKDAY(BO35)=7,2,0))+COUNTIF(ClosedDays!$B$4:$B$32,IF(WEEKDAY(BO35)=1,BO35+1,IF(WEEKDAY(BO35)=7,BO35+2,BO35)))+COUNTIF(ClosedDays!$F$4:$F$32,IF(WEEKDAY(BO35)=1,BO35+1,IF(WEEKDAY(BO35)=7,BO35+2,BO35)))+COUNTIF(ClosedDays!$J$4:$J$32,IF(WEEKDAY(BO35)=1,BO35+1,IF(WEEKDAY(BO35)=7,BO35+2,BO35)))+COUNTIF(ClosedDays!$N$4:$N$32,IF(WEEKDAY(BO35)=1,BO35+1,IF(WEEKDAY(BO35)=7,BO35+2,BO35)))</f>
        <v>44473</v>
      </c>
      <c r="BQ35" s="405">
        <f t="shared" si="16"/>
        <v>44473</v>
      </c>
      <c r="BR35" s="446">
        <f>IF(AND($D35&lt;='Outline Info'!$H$31,BQ35&gt;='Outline Info'!$H$31,$BS$4=1,$AC35&gt;10,$AC35&lt;9997),1,0)</f>
        <v>0</v>
      </c>
      <c r="BS35" s="405">
        <f>IF(BR35=1,BQ35+'Outline Info'!$I$31-'Outline Info'!$H$31+1,BQ35)</f>
        <v>44473</v>
      </c>
      <c r="BT35" s="405">
        <f>BS35+IF(WEEKDAY(BS35)=1,1,IF(WEEKDAY(BS35)=7,2,0))+COUNTIF(ClosedDays!$B$4:$B$32,IF(WEEKDAY(BS35)=1,BS35+1,IF(WEEKDAY(BS35)=7,BS35+2,BS35)))+COUNTIF(ClosedDays!$F$4:$F$32,IF(WEEKDAY(BS35)=1,BS35+1,IF(WEEKDAY(BS35)=7,BS35+2,BS35)))+COUNTIF(ClosedDays!$J$4:$J$32,IF(WEEKDAY(BS35)=1,BS35+1,IF(WEEKDAY(BS35)=7,BS35+2,BS35)))+COUNTIF(ClosedDays!$N$4:$N$32,IF(WEEKDAY(BS35)=1,BS35+1,IF(WEEKDAY(BS35)=7,BS35+2,BS35)))</f>
        <v>44473</v>
      </c>
      <c r="BU35" s="405">
        <f>BT35+IF(WEEKDAY(BT35)=1,1,IF(WEEKDAY(BT35)=7,2,0))+COUNTIF(ClosedDays!$B$4:$B$32,IF(WEEKDAY(BT35)=1,BT35+1,IF(WEEKDAY(BT35)=7,BT35+2,BT35)))+COUNTIF(ClosedDays!$F$4:$F$32,IF(WEEKDAY(BT35)=1,BT35+1,IF(WEEKDAY(BT35)=7,BT35+2,BT35)))+COUNTIF(ClosedDays!$J$4:$J$32,IF(WEEKDAY(BT35)=1,BT35+1,IF(WEEKDAY(BT35)=7,BT35+2,BT35)))+COUNTIF(ClosedDays!$N$4:$N$32,IF(WEEKDAY(BT35)=1,BT35+1,IF(WEEKDAY(BT35)=7,BT35+2,BT35)))</f>
        <v>44473</v>
      </c>
      <c r="BV35" s="405">
        <f>BU35+IF(WEEKDAY(BU35)=1,1,IF(WEEKDAY(BU35)=7,2,0))+COUNTIF(ClosedDays!$B$4:$B$32,IF(WEEKDAY(BU35)=1,BU35+1,IF(WEEKDAY(BU35)=7,BU35+2,BU35)))+COUNTIF(ClosedDays!$F$4:$F$32,IF(WEEKDAY(BU35)=1,BU35+1,IF(WEEKDAY(BU35)=7,BU35+2,BU35)))+COUNTIF(ClosedDays!$J$4:$J$32,IF(WEEKDAY(BU35)=1,BU35+1,IF(WEEKDAY(BU35)=7,BU35+2,BU35)))+COUNTIF(ClosedDays!$N$4:$N$32,IF(WEEKDAY(BU35)=1,BU35+1,IF(WEEKDAY(BU35)=7,BU35+2,BU35)))</f>
        <v>44473</v>
      </c>
      <c r="BW35" s="405">
        <f>BV35+IF(WEEKDAY(BV35)=1,1,IF(WEEKDAY(BV35)=7,2,0))+COUNTIF(ClosedDays!$B$4:$B$32,IF(WEEKDAY(BV35)=1,BV35+1,IF(WEEKDAY(BV35)=7,BV35+2,BV35)))+COUNTIF(ClosedDays!$F$4:$F$32,IF(WEEKDAY(BV35)=1,BV35+1,IF(WEEKDAY(BV35)=7,BV35+2,BV35)))+COUNTIF(ClosedDays!$J$4:$J$32,IF(WEEKDAY(BV35)=1,BV35+1,IF(WEEKDAY(BV35)=7,BV35+2,BV35)))+COUNTIF(ClosedDays!$N$4:$N$32,IF(WEEKDAY(BV35)=1,BV35+1,IF(WEEKDAY(BV35)=7,BV35+2,BV35)))</f>
        <v>44473</v>
      </c>
      <c r="BX35" s="405">
        <f>BW35+IF(WEEKDAY(BW35)=1,1,IF(WEEKDAY(BW35)=7,2,0))+COUNTIF(ClosedDays!$B$4:$B$32,IF(WEEKDAY(BW35)=1,BW35+1,IF(WEEKDAY(BW35)=7,BW35+2,BW35)))+COUNTIF(ClosedDays!$F$4:$F$32,IF(WEEKDAY(BW35)=1,BW35+1,IF(WEEKDAY(BW35)=7,BW35+2,BW35)))+COUNTIF(ClosedDays!$J$4:$J$32,IF(WEEKDAY(BW35)=1,BW35+1,IF(WEEKDAY(BW35)=7,BW35+2,BW35)))+COUNTIF(ClosedDays!$N$4:$N$32,IF(WEEKDAY(BW35)=1,BW35+1,IF(WEEKDAY(BW35)=7,BW35+2,BW35)))</f>
        <v>44473</v>
      </c>
      <c r="BY35" s="405">
        <f>BX35+IF(WEEKDAY(BX35)=1,1,IF(WEEKDAY(BX35)=7,2,0))+COUNTIF(ClosedDays!$B$4:$B$32,IF(WEEKDAY(BX35)=1,BX35+1,IF(WEEKDAY(BX35)=7,BX35+2,BX35)))+COUNTIF(ClosedDays!$F$4:$F$32,IF(WEEKDAY(BX35)=1,BX35+1,IF(WEEKDAY(BX35)=7,BX35+2,BX35)))+COUNTIF(ClosedDays!$J$4:$J$32,IF(WEEKDAY(BX35)=1,BX35+1,IF(WEEKDAY(BX35)=7,BX35+2,BX35)))+COUNTIF(ClosedDays!$N$4:$N$32,IF(WEEKDAY(BX35)=1,BX35+1,IF(WEEKDAY(BX35)=7,BX35+2,BX35)))</f>
        <v>44473</v>
      </c>
      <c r="BZ35" s="405">
        <f>BY35+IF(WEEKDAY(BY35)=1,1,IF(WEEKDAY(BY35)=7,2,0))+COUNTIF(ClosedDays!$B$4:$B$32,IF(WEEKDAY(BY35)=1,BY35+1,IF(WEEKDAY(BY35)=7,BY35+2,BY35)))+COUNTIF(ClosedDays!$F$4:$F$32,IF(WEEKDAY(BY35)=1,BY35+1,IF(WEEKDAY(BY35)=7,BY35+2,BY35)))+COUNTIF(ClosedDays!$J$4:$J$32,IF(WEEKDAY(BY35)=1,BY35+1,IF(WEEKDAY(BY35)=7,BY35+2,BY35)))+COUNTIF(ClosedDays!$N$4:$N$32,IF(WEEKDAY(BY35)=1,BY35+1,IF(WEEKDAY(BY35)=7,BY35+2,BY35)))</f>
        <v>44473</v>
      </c>
      <c r="CA35" s="405">
        <f>BZ35+IF(WEEKDAY(BZ35)=1,1,IF(WEEKDAY(BZ35)=7,2,0))+COUNTIF(ClosedDays!$B$4:$B$32,IF(WEEKDAY(BZ35)=1,BZ35+1,IF(WEEKDAY(BZ35)=7,BZ35+2,BZ35)))+COUNTIF(ClosedDays!$F$4:$F$32,IF(WEEKDAY(BZ35)=1,BZ35+1,IF(WEEKDAY(BZ35)=7,BZ35+2,BZ35)))+COUNTIF(ClosedDays!$J$4:$J$32,IF(WEEKDAY(BZ35)=1,BZ35+1,IF(WEEKDAY(BZ35)=7,BZ35+2,BZ35)))+COUNTIF(ClosedDays!$N$4:$N$32,IF(WEEKDAY(BZ35)=1,BZ35+1,IF(WEEKDAY(BZ35)=7,BZ35+2,BZ35)))</f>
        <v>44473</v>
      </c>
      <c r="CB35" s="405">
        <f>CA35+IF(WEEKDAY(CA35)=1,1,IF(WEEKDAY(CA35)=7,2,0))+COUNTIF(ClosedDays!$B$4:$B$32,IF(WEEKDAY(CA35)=1,CA35+1,IF(WEEKDAY(CA35)=7,CA35+2,CA35)))+COUNTIF(ClosedDays!$F$4:$F$32,IF(WEEKDAY(CA35)=1,CA35+1,IF(WEEKDAY(CA35)=7,CA35+2,CA35)))+COUNTIF(ClosedDays!$J$4:$J$32,IF(WEEKDAY(CA35)=1,CA35+1,IF(WEEKDAY(CA35)=7,CA35+2,CA35)))+COUNTIF(ClosedDays!$N$4:$N$32,IF(WEEKDAY(CA35)=1,CA35+1,IF(WEEKDAY(CA35)=7,CA35+2,CA35)))</f>
        <v>44473</v>
      </c>
      <c r="CC35" s="405">
        <f>CB35+IF(WEEKDAY(CB35)=1,1,IF(WEEKDAY(CB35)=7,2,0))+COUNTIF(ClosedDays!$B$4:$B$32,IF(WEEKDAY(CB35)=1,CB35+1,IF(WEEKDAY(CB35)=7,CB35+2,CB35)))+COUNTIF(ClosedDays!$F$4:$F$32,IF(WEEKDAY(CB35)=1,CB35+1,IF(WEEKDAY(CB35)=7,CB35+2,CB35)))+COUNTIF(ClosedDays!$J$4:$J$32,IF(WEEKDAY(CB35)=1,CB35+1,IF(WEEKDAY(CB35)=7,CB35+2,CB35)))+COUNTIF(ClosedDays!$N$4:$N$32,IF(WEEKDAY(CB35)=1,CB35+1,IF(WEEKDAY(CB35)=7,CB35+2,CB35)))</f>
        <v>44473</v>
      </c>
      <c r="CD35" s="405">
        <f>CC35+IF(WEEKDAY(CC35)=1,1,IF(WEEKDAY(CC35)=7,2,0))+COUNTIF(ClosedDays!$B$4:$B$32,IF(WEEKDAY(CC35)=1,CC35+1,IF(WEEKDAY(CC35)=7,CC35+2,CC35)))+COUNTIF(ClosedDays!$F$4:$F$32,IF(WEEKDAY(CC35)=1,CC35+1,IF(WEEKDAY(CC35)=7,CC35+2,CC35)))+COUNTIF(ClosedDays!$J$4:$J$32,IF(WEEKDAY(CC35)=1,CC35+1,IF(WEEKDAY(CC35)=7,CC35+2,CC35)))+COUNTIF(ClosedDays!$N$4:$N$32,IF(WEEKDAY(CC35)=1,CC35+1,IF(WEEKDAY(CC35)=7,CC35+2,CC35)))</f>
        <v>44473</v>
      </c>
      <c r="CE35" s="405">
        <f>CD35+IF(WEEKDAY(CD35)=1,1,IF(WEEKDAY(CD35)=7,2,0))+COUNTIF(ClosedDays!$B$4:$B$32,IF(WEEKDAY(CD35)=1,CD35+1,IF(WEEKDAY(CD35)=7,CD35+2,CD35)))+COUNTIF(ClosedDays!$F$4:$F$32,IF(WEEKDAY(CD35)=1,CD35+1,IF(WEEKDAY(CD35)=7,CD35+2,CD35)))+COUNTIF(ClosedDays!$J$4:$J$32,IF(WEEKDAY(CD35)=1,CD35+1,IF(WEEKDAY(CD35)=7,CD35+2,CD35)))+COUNTIF(ClosedDays!$N$4:$N$32,IF(WEEKDAY(CD35)=1,CD35+1,IF(WEEKDAY(CD35)=7,CD35+2,CD35)))</f>
        <v>44473</v>
      </c>
      <c r="CF35" s="405">
        <f>CE35+IF(WEEKDAY(CE35)=1,1,IF(WEEKDAY(CE35)=7,2,0))+COUNTIF(ClosedDays!$B$4:$B$32,IF(WEEKDAY(CE35)=1,CE35+1,IF(WEEKDAY(CE35)=7,CE35+2,CE35)))+COUNTIF(ClosedDays!$F$4:$F$32,IF(WEEKDAY(CE35)=1,CE35+1,IF(WEEKDAY(CE35)=7,CE35+2,CE35)))+COUNTIF(ClosedDays!$J$4:$J$32,IF(WEEKDAY(CE35)=1,CE35+1,IF(WEEKDAY(CE35)=7,CE35+2,CE35)))+COUNTIF(ClosedDays!$N$4:$N$32,IF(WEEKDAY(CE35)=1,CE35+1,IF(WEEKDAY(CE35)=7,CE35+2,CE35)))</f>
        <v>44473</v>
      </c>
      <c r="CG35" s="405">
        <f>CF35+IF(WEEKDAY(CF35)=1,1,IF(WEEKDAY(CF35)=7,2,0))+COUNTIF(ClosedDays!$B$4:$B$32,IF(WEEKDAY(CF35)=1,CF35+1,IF(WEEKDAY(CF35)=7,CF35+2,CF35)))+COUNTIF(ClosedDays!$F$4:$F$32,IF(WEEKDAY(CF35)=1,CF35+1,IF(WEEKDAY(CF35)=7,CF35+2,CF35)))+COUNTIF(ClosedDays!$J$4:$J$32,IF(WEEKDAY(CF35)=1,CF35+1,IF(WEEKDAY(CF35)=7,CF35+2,CF35)))+COUNTIF(ClosedDays!$N$4:$N$32,IF(WEEKDAY(CF35)=1,CF35+1,IF(WEEKDAY(CF35)=7,CF35+2,CF35)))</f>
        <v>44473</v>
      </c>
      <c r="CH35" s="405">
        <f t="shared" si="17"/>
        <v>44473</v>
      </c>
      <c r="CI35" s="446">
        <f>IF(AND($D35&lt;='Outline Info'!$H$33,CH35&gt;='Outline Info'!$H$33,$CJ$4=1,$AC35&gt;10,$AC35&lt;9997),1,0)</f>
        <v>0</v>
      </c>
      <c r="CJ35" s="405">
        <f>IF(CI35=1,CH35+'Outline Info'!$I$33-'Outline Info'!$H$33+1,CH35)</f>
        <v>44473</v>
      </c>
      <c r="CK35" s="405">
        <f>CJ35+IF(WEEKDAY(CJ35)=1,1,IF(WEEKDAY(CJ35)=7,2,0))+COUNTIF(ClosedDays!$B$4:$B$32,IF(WEEKDAY(CJ35)=1,CJ35+1,IF(WEEKDAY(CJ35)=7,CJ35+2,CJ35)))+COUNTIF(ClosedDays!$F$4:$F$32,IF(WEEKDAY(CJ35)=1,CJ35+1,IF(WEEKDAY(CJ35)=7,CJ35+2,CJ35)))+COUNTIF(ClosedDays!$J$4:$J$32,IF(WEEKDAY(CJ35)=1,CJ35+1,IF(WEEKDAY(CJ35)=7,CJ35+2,CJ35)))+COUNTIF(ClosedDays!$N$4:$N$32,IF(WEEKDAY(CJ35)=1,CJ35+1,IF(WEEKDAY(CJ35)=7,CJ35+2,CJ35)))</f>
        <v>44473</v>
      </c>
      <c r="CL35" s="405">
        <f>CK35+IF(WEEKDAY(CK35)=1,1,IF(WEEKDAY(CK35)=7,2,0))+COUNTIF(ClosedDays!$B$4:$B$32,IF(WEEKDAY(CK35)=1,CK35+1,IF(WEEKDAY(CK35)=7,CK35+2,CK35)))+COUNTIF(ClosedDays!$F$4:$F$32,IF(WEEKDAY(CK35)=1,CK35+1,IF(WEEKDAY(CK35)=7,CK35+2,CK35)))+COUNTIF(ClosedDays!$J$4:$J$32,IF(WEEKDAY(CK35)=1,CK35+1,IF(WEEKDAY(CK35)=7,CK35+2,CK35)))+COUNTIF(ClosedDays!$N$4:$N$32,IF(WEEKDAY(CK35)=1,CK35+1,IF(WEEKDAY(CK35)=7,CK35+2,CK35)))</f>
        <v>44473</v>
      </c>
      <c r="CM35" s="405">
        <f>CL35+IF(WEEKDAY(CL35)=1,1,IF(WEEKDAY(CL35)=7,2,0))+COUNTIF(ClosedDays!$B$4:$B$32,IF(WEEKDAY(CL35)=1,CL35+1,IF(WEEKDAY(CL35)=7,CL35+2,CL35)))+COUNTIF(ClosedDays!$F$4:$F$32,IF(WEEKDAY(CL35)=1,CL35+1,IF(WEEKDAY(CL35)=7,CL35+2,CL35)))+COUNTIF(ClosedDays!$J$4:$J$32,IF(WEEKDAY(CL35)=1,CL35+1,IF(WEEKDAY(CL35)=7,CL35+2,CL35)))+COUNTIF(ClosedDays!$N$4:$N$32,IF(WEEKDAY(CL35)=1,CL35+1,IF(WEEKDAY(CL35)=7,CL35+2,CL35)))</f>
        <v>44473</v>
      </c>
      <c r="CN35" s="405">
        <f>CM35+IF(WEEKDAY(CM35)=1,1,IF(WEEKDAY(CM35)=7,2,0))+COUNTIF(ClosedDays!$B$4:$B$32,IF(WEEKDAY(CM35)=1,CM35+1,IF(WEEKDAY(CM35)=7,CM35+2,CM35)))+COUNTIF(ClosedDays!$F$4:$F$32,IF(WEEKDAY(CM35)=1,CM35+1,IF(WEEKDAY(CM35)=7,CM35+2,CM35)))+COUNTIF(ClosedDays!$J$4:$J$32,IF(WEEKDAY(CM35)=1,CM35+1,IF(WEEKDAY(CM35)=7,CM35+2,CM35)))+COUNTIF(ClosedDays!$N$4:$N$32,IF(WEEKDAY(CM35)=1,CM35+1,IF(WEEKDAY(CM35)=7,CM35+2,CM35)))</f>
        <v>44473</v>
      </c>
      <c r="CO35" s="405">
        <f>CN35+IF(WEEKDAY(CN35)=1,1,IF(WEEKDAY(CN35)=7,2,0))+COUNTIF(ClosedDays!$B$4:$B$32,IF(WEEKDAY(CN35)=1,CN35+1,IF(WEEKDAY(CN35)=7,CN35+2,CN35)))+COUNTIF(ClosedDays!$F$4:$F$32,IF(WEEKDAY(CN35)=1,CN35+1,IF(WEEKDAY(CN35)=7,CN35+2,CN35)))+COUNTIF(ClosedDays!$J$4:$J$32,IF(WEEKDAY(CN35)=1,CN35+1,IF(WEEKDAY(CN35)=7,CN35+2,CN35)))+COUNTIF(ClosedDays!$N$4:$N$32,IF(WEEKDAY(CN35)=1,CN35+1,IF(WEEKDAY(CN35)=7,CN35+2,CN35)))</f>
        <v>44473</v>
      </c>
      <c r="CP35" s="405">
        <f>CO35+IF(WEEKDAY(CO35)=1,1,IF(WEEKDAY(CO35)=7,2,0))+COUNTIF(ClosedDays!$B$4:$B$32,IF(WEEKDAY(CO35)=1,CO35+1,IF(WEEKDAY(CO35)=7,CO35+2,CO35)))+COUNTIF(ClosedDays!$F$4:$F$32,IF(WEEKDAY(CO35)=1,CO35+1,IF(WEEKDAY(CO35)=7,CO35+2,CO35)))+COUNTIF(ClosedDays!$J$4:$J$32,IF(WEEKDAY(CO35)=1,CO35+1,IF(WEEKDAY(CO35)=7,CO35+2,CO35)))+COUNTIF(ClosedDays!$N$4:$N$32,IF(WEEKDAY(CO35)=1,CO35+1,IF(WEEKDAY(CO35)=7,CO35+2,CO35)))</f>
        <v>44473</v>
      </c>
      <c r="CQ35" s="405">
        <f>CP35+IF(WEEKDAY(CP35)=1,1,IF(WEEKDAY(CP35)=7,2,0))+COUNTIF(ClosedDays!$B$4:$B$32,IF(WEEKDAY(CP35)=1,CP35+1,IF(WEEKDAY(CP35)=7,CP35+2,CP35)))+COUNTIF(ClosedDays!$F$4:$F$32,IF(WEEKDAY(CP35)=1,CP35+1,IF(WEEKDAY(CP35)=7,CP35+2,CP35)))+COUNTIF(ClosedDays!$J$4:$J$32,IF(WEEKDAY(CP35)=1,CP35+1,IF(WEEKDAY(CP35)=7,CP35+2,CP35)))+COUNTIF(ClosedDays!$N$4:$N$32,IF(WEEKDAY(CP35)=1,CP35+1,IF(WEEKDAY(CP35)=7,CP35+2,CP35)))</f>
        <v>44473</v>
      </c>
      <c r="CR35" s="405">
        <f>CQ35+IF(WEEKDAY(CQ35)=1,1,IF(WEEKDAY(CQ35)=7,2,0))+COUNTIF(ClosedDays!$B$4:$B$32,IF(WEEKDAY(CQ35)=1,CQ35+1,IF(WEEKDAY(CQ35)=7,CQ35+2,CQ35)))+COUNTIF(ClosedDays!$F$4:$F$32,IF(WEEKDAY(CQ35)=1,CQ35+1,IF(WEEKDAY(CQ35)=7,CQ35+2,CQ35)))+COUNTIF(ClosedDays!$J$4:$J$32,IF(WEEKDAY(CQ35)=1,CQ35+1,IF(WEEKDAY(CQ35)=7,CQ35+2,CQ35)))+COUNTIF(ClosedDays!$N$4:$N$32,IF(WEEKDAY(CQ35)=1,CQ35+1,IF(WEEKDAY(CQ35)=7,CQ35+2,CQ35)))</f>
        <v>44473</v>
      </c>
      <c r="CS35" s="405">
        <f>CR35+IF(WEEKDAY(CR35)=1,1,IF(WEEKDAY(CR35)=7,2,0))+COUNTIF(ClosedDays!$B$4:$B$32,IF(WEEKDAY(CR35)=1,CR35+1,IF(WEEKDAY(CR35)=7,CR35+2,CR35)))+COUNTIF(ClosedDays!$F$4:$F$32,IF(WEEKDAY(CR35)=1,CR35+1,IF(WEEKDAY(CR35)=7,CR35+2,CR35)))+COUNTIF(ClosedDays!$J$4:$J$32,IF(WEEKDAY(CR35)=1,CR35+1,IF(WEEKDAY(CR35)=7,CR35+2,CR35)))+COUNTIF(ClosedDays!$N$4:$N$32,IF(WEEKDAY(CR35)=1,CR35+1,IF(WEEKDAY(CR35)=7,CR35+2,CR35)))</f>
        <v>44473</v>
      </c>
      <c r="CT35" s="405">
        <f>CS35+IF(WEEKDAY(CS35)=1,1,IF(WEEKDAY(CS35)=7,2,0))+COUNTIF(ClosedDays!$B$4:$B$32,IF(WEEKDAY(CS35)=1,CS35+1,IF(WEEKDAY(CS35)=7,CS35+2,CS35)))+COUNTIF(ClosedDays!$F$4:$F$32,IF(WEEKDAY(CS35)=1,CS35+1,IF(WEEKDAY(CS35)=7,CS35+2,CS35)))+COUNTIF(ClosedDays!$J$4:$J$32,IF(WEEKDAY(CS35)=1,CS35+1,IF(WEEKDAY(CS35)=7,CS35+2,CS35)))+COUNTIF(ClosedDays!$N$4:$N$32,IF(WEEKDAY(CS35)=1,CS35+1,IF(WEEKDAY(CS35)=7,CS35+2,CS35)))</f>
        <v>44473</v>
      </c>
      <c r="CU35" s="405">
        <f>CT35+IF(WEEKDAY(CT35)=1,1,IF(WEEKDAY(CT35)=7,2,0))+COUNTIF(ClosedDays!$B$4:$B$32,IF(WEEKDAY(CT35)=1,CT35+1,IF(WEEKDAY(CT35)=7,CT35+2,CT35)))+COUNTIF(ClosedDays!$F$4:$F$32,IF(WEEKDAY(CT35)=1,CT35+1,IF(WEEKDAY(CT35)=7,CT35+2,CT35)))+COUNTIF(ClosedDays!$J$4:$J$32,IF(WEEKDAY(CT35)=1,CT35+1,IF(WEEKDAY(CT35)=7,CT35+2,CT35)))+COUNTIF(ClosedDays!$N$4:$N$32,IF(WEEKDAY(CT35)=1,CT35+1,IF(WEEKDAY(CT35)=7,CT35+2,CT35)))</f>
        <v>44473</v>
      </c>
      <c r="CV35" s="405">
        <f>CU35+IF(WEEKDAY(CU35)=1,1,IF(WEEKDAY(CU35)=7,2,0))+COUNTIF(ClosedDays!$B$4:$B$32,IF(WEEKDAY(CU35)=1,CU35+1,IF(WEEKDAY(CU35)=7,CU35+2,CU35)))+COUNTIF(ClosedDays!$F$4:$F$32,IF(WEEKDAY(CU35)=1,CU35+1,IF(WEEKDAY(CU35)=7,CU35+2,CU35)))+COUNTIF(ClosedDays!$J$4:$J$32,IF(WEEKDAY(CU35)=1,CU35+1,IF(WEEKDAY(CU35)=7,CU35+2,CU35)))+COUNTIF(ClosedDays!$N$4:$N$32,IF(WEEKDAY(CU35)=1,CU35+1,IF(WEEKDAY(CU35)=7,CU35+2,CU35)))</f>
        <v>44473</v>
      </c>
      <c r="CW35" s="405">
        <f>CV35+IF(WEEKDAY(CV35)=1,1,IF(WEEKDAY(CV35)=7,2,0))+COUNTIF(ClosedDays!$B$4:$B$32,IF(WEEKDAY(CV35)=1,CV35+1,IF(WEEKDAY(CV35)=7,CV35+2,CV35)))+COUNTIF(ClosedDays!$F$4:$F$32,IF(WEEKDAY(CV35)=1,CV35+1,IF(WEEKDAY(CV35)=7,CV35+2,CV35)))+COUNTIF(ClosedDays!$J$4:$J$32,IF(WEEKDAY(CV35)=1,CV35+1,IF(WEEKDAY(CV35)=7,CV35+2,CV35)))+COUNTIF(ClosedDays!$N$4:$N$32,IF(WEEKDAY(CV35)=1,CV35+1,IF(WEEKDAY(CV35)=7,CV35+2,CV35)))</f>
        <v>44473</v>
      </c>
      <c r="CX35" s="405">
        <f>CW35+IF(WEEKDAY(CW35)=1,1,IF(WEEKDAY(CW35)=7,2,0))+COUNTIF(ClosedDays!$B$4:$B$32,IF(WEEKDAY(CW35)=1,CW35+1,IF(WEEKDAY(CW35)=7,CW35+2,CW35)))+COUNTIF(ClosedDays!$F$4:$F$32,IF(WEEKDAY(CW35)=1,CW35+1,IF(WEEKDAY(CW35)=7,CW35+2,CW35)))+COUNTIF(ClosedDays!$J$4:$J$32,IF(WEEKDAY(CW35)=1,CW35+1,IF(WEEKDAY(CW35)=7,CW35+2,CW35)))+COUNTIF(ClosedDays!$N$4:$N$32,IF(WEEKDAY(CW35)=1,CW35+1,IF(WEEKDAY(CW35)=7,CW35+2,CW35)))</f>
        <v>44473</v>
      </c>
      <c r="CY35" s="405">
        <f t="shared" si="18"/>
        <v>44473</v>
      </c>
      <c r="CZ35" s="446">
        <f>IF(AND($D35&lt;='Outline Info'!$E$33,CY35&gt;='Outline Info'!$E$33,$AC35&gt;10,$AC35&lt;9997),1,0)</f>
        <v>0</v>
      </c>
      <c r="DA35" s="405">
        <f>IF(AND($D35&lt;='Outline Info'!$E$33,CY35&gt;='Outline Info'!$E$33),CY35+'Outline Info'!$F$33-'Outline Info'!$E$33+1,CY35)</f>
        <v>44473</v>
      </c>
      <c r="DB35" s="405">
        <f>DA35+IF(WEEKDAY(DA35)=1,1,IF(WEEKDAY(DA35)=7,2,0))+COUNTIF(ClosedDays!$B$4:$B$32,IF(WEEKDAY(DA35)=1,DA35+1,IF(WEEKDAY(DA35)=7,DA35+2,DA35)))+COUNTIF(ClosedDays!$F$4:$F$32,IF(WEEKDAY(DA35)=1,DA35+1,IF(WEEKDAY(DA35)=7,DA35+2,DA35)))+COUNTIF(ClosedDays!$J$4:$J$32,IF(WEEKDAY(DA35)=1,DA35+1,IF(WEEKDAY(DA35)=7,DA35+2,DA35)))+COUNTIF(ClosedDays!$N$4:$N$32,IF(WEEKDAY(DA35)=1,DA35+1,IF(WEEKDAY(DA35)=7,DA35+2,DA35)))</f>
        <v>44473</v>
      </c>
      <c r="DC35" s="405">
        <f>DB35+IF(WEEKDAY(DB35)=1,1,IF(WEEKDAY(DB35)=7,2,0))+COUNTIF(ClosedDays!$B$4:$B$32,IF(WEEKDAY(DB35)=1,DB35+1,IF(WEEKDAY(DB35)=7,DB35+2,DB35)))+COUNTIF(ClosedDays!$F$4:$F$32,IF(WEEKDAY(DB35)=1,DB35+1,IF(WEEKDAY(DB35)=7,DB35+2,DB35)))+COUNTIF(ClosedDays!$J$4:$J$32,IF(WEEKDAY(DB35)=1,DB35+1,IF(WEEKDAY(DB35)=7,DB35+2,DB35)))+COUNTIF(ClosedDays!$N$4:$N$32,IF(WEEKDAY(DB35)=1,DB35+1,IF(WEEKDAY(DB35)=7,DB35+2,DB35)))</f>
        <v>44473</v>
      </c>
      <c r="DD35" s="405">
        <f>DC35+IF(WEEKDAY(DC35)=1,1,IF(WEEKDAY(DC35)=7,2,0))+COUNTIF(ClosedDays!$B$4:$B$32,IF(WEEKDAY(DC35)=1,DC35+1,IF(WEEKDAY(DC35)=7,DC35+2,DC35)))+COUNTIF(ClosedDays!$F$4:$F$32,IF(WEEKDAY(DC35)=1,DC35+1,IF(WEEKDAY(DC35)=7,DC35+2,DC35)))+COUNTIF(ClosedDays!$J$4:$J$32,IF(WEEKDAY(DC35)=1,DC35+1,IF(WEEKDAY(DC35)=7,DC35+2,DC35)))+COUNTIF(ClosedDays!$N$4:$N$32,IF(WEEKDAY(DC35)=1,DC35+1,IF(WEEKDAY(DC35)=7,DC35+2,DC35)))</f>
        <v>44473</v>
      </c>
      <c r="DE35" s="405">
        <f>DD35+IF(WEEKDAY(DD35)=1,1,IF(WEEKDAY(DD35)=7,2,0))+COUNTIF(ClosedDays!$B$4:$B$32,IF(WEEKDAY(DD35)=1,DD35+1,IF(WEEKDAY(DD35)=7,DD35+2,DD35)))+COUNTIF(ClosedDays!$F$4:$F$32,IF(WEEKDAY(DD35)=1,DD35+1,IF(WEEKDAY(DD35)=7,DD35+2,DD35)))+COUNTIF(ClosedDays!$J$4:$J$32,IF(WEEKDAY(DD35)=1,DD35+1,IF(WEEKDAY(DD35)=7,DD35+2,DD35)))+COUNTIF(ClosedDays!$N$4:$N$32,IF(WEEKDAY(DD35)=1,DD35+1,IF(WEEKDAY(DD35)=7,DD35+2,DD35)))</f>
        <v>44473</v>
      </c>
      <c r="DF35" s="405">
        <f>DE35+IF(WEEKDAY(DE35)=1,1,IF(WEEKDAY(DE35)=7,2,0))+COUNTIF(ClosedDays!$B$4:$B$32,IF(WEEKDAY(DE35)=1,DE35+1,IF(WEEKDAY(DE35)=7,DE35+2,DE35)))+COUNTIF(ClosedDays!$F$4:$F$32,IF(WEEKDAY(DE35)=1,DE35+1,IF(WEEKDAY(DE35)=7,DE35+2,DE35)))+COUNTIF(ClosedDays!$J$4:$J$32,IF(WEEKDAY(DE35)=1,DE35+1,IF(WEEKDAY(DE35)=7,DE35+2,DE35)))+COUNTIF(ClosedDays!$N$4:$N$32,IF(WEEKDAY(DE35)=1,DE35+1,IF(WEEKDAY(DE35)=7,DE35+2,DE35)))</f>
        <v>44473</v>
      </c>
      <c r="DG35" s="405">
        <f>DF35+IF(WEEKDAY(DF35)=1,1,IF(WEEKDAY(DF35)=7,2,0))+COUNTIF(ClosedDays!$B$4:$B$32,IF(WEEKDAY(DF35)=1,DF35+1,IF(WEEKDAY(DF35)=7,DF35+2,DF35)))+COUNTIF(ClosedDays!$F$4:$F$32,IF(WEEKDAY(DF35)=1,DF35+1,IF(WEEKDAY(DF35)=7,DF35+2,DF35)))+COUNTIF(ClosedDays!$J$4:$J$32,IF(WEEKDAY(DF35)=1,DF35+1,IF(WEEKDAY(DF35)=7,DF35+2,DF35)))+COUNTIF(ClosedDays!$N$4:$N$32,IF(WEEKDAY(DF35)=1,DF35+1,IF(WEEKDAY(DF35)=7,DF35+2,DF35)))</f>
        <v>44473</v>
      </c>
      <c r="DH35" s="405">
        <f>DG35+IF(WEEKDAY(DG35)=1,1,IF(WEEKDAY(DG35)=7,2,0))+COUNTIF(ClosedDays!$B$4:$B$32,IF(WEEKDAY(DG35)=1,DG35+1,IF(WEEKDAY(DG35)=7,DG35+2,DG35)))+COUNTIF(ClosedDays!$F$4:$F$32,IF(WEEKDAY(DG35)=1,DG35+1,IF(WEEKDAY(DG35)=7,DG35+2,DG35)))+COUNTIF(ClosedDays!$J$4:$J$32,IF(WEEKDAY(DG35)=1,DG35+1,IF(WEEKDAY(DG35)=7,DG35+2,DG35)))+COUNTIF(ClosedDays!$N$4:$N$32,IF(WEEKDAY(DG35)=1,DG35+1,IF(WEEKDAY(DG35)=7,DG35+2,DG35)))</f>
        <v>44473</v>
      </c>
      <c r="DI35" s="405">
        <f>DH35+IF(WEEKDAY(DH35)=1,1,IF(WEEKDAY(DH35)=7,2,0))+COUNTIF(ClosedDays!$B$4:$B$32,IF(WEEKDAY(DH35)=1,DH35+1,IF(WEEKDAY(DH35)=7,DH35+2,DH35)))+COUNTIF(ClosedDays!$F$4:$F$32,IF(WEEKDAY(DH35)=1,DH35+1,IF(WEEKDAY(DH35)=7,DH35+2,DH35)))+COUNTIF(ClosedDays!$J$4:$J$32,IF(WEEKDAY(DH35)=1,DH35+1,IF(WEEKDAY(DH35)=7,DH35+2,DH35)))+COUNTIF(ClosedDays!$N$4:$N$32,IF(WEEKDAY(DH35)=1,DH35+1,IF(WEEKDAY(DH35)=7,DH35+2,DH35)))</f>
        <v>44473</v>
      </c>
      <c r="DJ35" s="405">
        <f>DI35+IF(WEEKDAY(DI35)=1,1,IF(WEEKDAY(DI35)=7,2,0))+COUNTIF(ClosedDays!$B$4:$B$32,IF(WEEKDAY(DI35)=1,DI35+1,IF(WEEKDAY(DI35)=7,DI35+2,DI35)))+COUNTIF(ClosedDays!$F$4:$F$32,IF(WEEKDAY(DI35)=1,DI35+1,IF(WEEKDAY(DI35)=7,DI35+2,DI35)))+COUNTIF(ClosedDays!$J$4:$J$32,IF(WEEKDAY(DI35)=1,DI35+1,IF(WEEKDAY(DI35)=7,DI35+2,DI35)))+COUNTIF(ClosedDays!$N$4:$N$32,IF(WEEKDAY(DI35)=1,DI35+1,IF(WEEKDAY(DI35)=7,DI35+2,DI35)))</f>
        <v>44473</v>
      </c>
      <c r="DK35" s="405">
        <f>DJ35+IF(WEEKDAY(DJ35)=1,1,IF(WEEKDAY(DJ35)=7,2,0))+COUNTIF(ClosedDays!$B$4:$B$32,IF(WEEKDAY(DJ35)=1,DJ35+1,IF(WEEKDAY(DJ35)=7,DJ35+2,DJ35)))+COUNTIF(ClosedDays!$F$4:$F$32,IF(WEEKDAY(DJ35)=1,DJ35+1,IF(WEEKDAY(DJ35)=7,DJ35+2,DJ35)))+COUNTIF(ClosedDays!$J$4:$J$32,IF(WEEKDAY(DJ35)=1,DJ35+1,IF(WEEKDAY(DJ35)=7,DJ35+2,DJ35)))+COUNTIF(ClosedDays!$N$4:$N$32,IF(WEEKDAY(DJ35)=1,DJ35+1,IF(WEEKDAY(DJ35)=7,DJ35+2,DJ35)))</f>
        <v>44473</v>
      </c>
      <c r="DL35" s="405">
        <f>DK35+IF(WEEKDAY(DK35)=1,1,IF(WEEKDAY(DK35)=7,2,0))+COUNTIF(ClosedDays!$B$4:$B$32,IF(WEEKDAY(DK35)=1,DK35+1,IF(WEEKDAY(DK35)=7,DK35+2,DK35)))+COUNTIF(ClosedDays!$F$4:$F$32,IF(WEEKDAY(DK35)=1,DK35+1,IF(WEEKDAY(DK35)=7,DK35+2,DK35)))+COUNTIF(ClosedDays!$J$4:$J$32,IF(WEEKDAY(DK35)=1,DK35+1,IF(WEEKDAY(DK35)=7,DK35+2,DK35)))+COUNTIF(ClosedDays!$N$4:$N$32,IF(WEEKDAY(DK35)=1,DK35+1,IF(WEEKDAY(DK35)=7,DK35+2,DK35)))</f>
        <v>44473</v>
      </c>
      <c r="DM35" s="405">
        <f>DL35+IF(WEEKDAY(DL35)=1,1,IF(WEEKDAY(DL35)=7,2,0))+COUNTIF(ClosedDays!$B$4:$B$32,IF(WEEKDAY(DL35)=1,DL35+1,IF(WEEKDAY(DL35)=7,DL35+2,DL35)))+COUNTIF(ClosedDays!$F$4:$F$32,IF(WEEKDAY(DL35)=1,DL35+1,IF(WEEKDAY(DL35)=7,DL35+2,DL35)))+COUNTIF(ClosedDays!$J$4:$J$32,IF(WEEKDAY(DL35)=1,DL35+1,IF(WEEKDAY(DL35)=7,DL35+2,DL35)))+COUNTIF(ClosedDays!$N$4:$N$32,IF(WEEKDAY(DL35)=1,DL35+1,IF(WEEKDAY(DL35)=7,DL35+2,DL35)))</f>
        <v>44473</v>
      </c>
      <c r="DN35" s="405">
        <f>DM35+IF(WEEKDAY(DM35)=1,1,IF(WEEKDAY(DM35)=7,2,0))+COUNTIF(ClosedDays!$B$4:$B$32,IF(WEEKDAY(DM35)=1,DM35+1,IF(WEEKDAY(DM35)=7,DM35+2,DM35)))+COUNTIF(ClosedDays!$F$4:$F$32,IF(WEEKDAY(DM35)=1,DM35+1,IF(WEEKDAY(DM35)=7,DM35+2,DM35)))+COUNTIF(ClosedDays!$J$4:$J$32,IF(WEEKDAY(DM35)=1,DM35+1,IF(WEEKDAY(DM35)=7,DM35+2,DM35)))+COUNTIF(ClosedDays!$N$4:$N$32,IF(WEEKDAY(DM35)=1,DM35+1,IF(WEEKDAY(DM35)=7,DM35+2,DM35)))</f>
        <v>44473</v>
      </c>
      <c r="DO35" s="405">
        <f>DN35+IF(WEEKDAY(DN35)=1,1,IF(WEEKDAY(DN35)=7,2,0))+COUNTIF(ClosedDays!$B$4:$B$32,IF(WEEKDAY(DN35)=1,DN35+1,IF(WEEKDAY(DN35)=7,DN35+2,DN35)))+COUNTIF(ClosedDays!$F$4:$F$32,IF(WEEKDAY(DN35)=1,DN35+1,IF(WEEKDAY(DN35)=7,DN35+2,DN35)))+COUNTIF(ClosedDays!$J$4:$J$32,IF(WEEKDAY(DN35)=1,DN35+1,IF(WEEKDAY(DN35)=7,DN35+2,DN35)))+COUNTIF(ClosedDays!$N$4:$N$32,IF(WEEKDAY(DN35)=1,DN35+1,IF(WEEKDAY(DN35)=7,DN35+2,DN35)))</f>
        <v>44473</v>
      </c>
      <c r="DP35" s="405">
        <f t="shared" si="23"/>
        <v>44473</v>
      </c>
      <c r="DQ35" s="405">
        <f t="shared" si="20"/>
        <v>44473</v>
      </c>
      <c r="DR35" s="394">
        <f t="shared" si="19"/>
        <v>1</v>
      </c>
      <c r="DS35" s="394">
        <f>IF(AND(DR35=1,COUNTIF(DS$7:DS34,1)&lt;12,VLOOKUP(COUNTIF(DS$7:DS34,1)+1,'Outline Info'!$A$21:$C$32,2)&lt;=I35),1,0)</f>
        <v>0</v>
      </c>
      <c r="DT35" s="405" t="str">
        <f>IF(DS35=1,IF(VLOOKUP(COUNTIF(DS$7:DS35,1),'Outline Info'!$A$21:$C$32,2)=0,"",VLOOKUP(COUNTIF(DS$7:DS35,1),'Outline Info'!$A$21:$C$32,2)),"")</f>
        <v/>
      </c>
      <c r="DU35" s="447">
        <f>IF(DS35=1,VLOOKUP(COUNTIF(DS$7:DS35,1),'Outline Info'!$A$21:$C$32,3),0)</f>
        <v>0</v>
      </c>
      <c r="DV35" s="445">
        <f>IF('Outline Info'!$B$8="Y",IF(B35="*",'Outline Info'!$B$19,IF(OR($A35="",B35="X",B35="x"),0,VLOOKUP($A35,'Course Table'!$A$2:$J$331,4,TRUE))),0)</f>
        <v>0</v>
      </c>
      <c r="DW35" s="447">
        <f t="shared" si="6"/>
        <v>0</v>
      </c>
      <c r="DX35" s="447">
        <f>IF('Outline Info'!$B$8="Y",$DV35,$DW35)</f>
        <v>0</v>
      </c>
      <c r="DY35" s="394"/>
      <c r="DZ35" s="934"/>
      <c r="EA35" s="934"/>
      <c r="EB35" s="394"/>
      <c r="EC35" s="394"/>
      <c r="ED35" s="394"/>
    </row>
    <row r="36" spans="1:134" s="400" customFormat="1" ht="20.100000000000001" customHeight="1">
      <c r="A36" s="874" t="str">
        <f t="shared" si="7"/>
        <v/>
      </c>
      <c r="B36" s="876" t="str">
        <f t="shared" si="8"/>
        <v/>
      </c>
      <c r="C36" s="878" t="str">
        <f t="shared" si="9"/>
        <v/>
      </c>
      <c r="D36" s="463">
        <f>IF(NOT(ISBLANK(DZ36)),DZ36,IF(AND($AC36=9998,'Outline Info'!$H$33&gt;='Outline Info'!$B$6,'Outline Info'!$H$33&lt;='Outline Info'!$C$6),'Outline Info'!$H$33,IF(AND($AC36=9997,'Outline Info'!$H$31&gt;='Outline Info'!$B$6,'Outline Info'!$H$31&lt;='Outline Info'!$C$6),'Outline Info'!$H$31,IF(AE36="*",DQ35,IF(OR(AE36="x",AE36="X"),I35,IF(AND(AC36&gt;6,AC35&lt;6),DQ35,IF(AND($AC36=9998,$AC35=9997),I34,I35)))))))</f>
        <v>44470</v>
      </c>
      <c r="E36" s="1286"/>
      <c r="F36" s="1287"/>
      <c r="G36" s="1282"/>
      <c r="H36" s="1283"/>
      <c r="I36" s="464">
        <f>IF(AND($AC36=9998,'Outline Info'!$I$33&gt;='Outline Info'!$B$6,'Outline Info'!$I$33&lt;='Outline Info'!$C$6),'Outline Info'!$I$33,IF(AND($AC36=9997,'Outline Info'!$I$31&gt;='Outline Info'!$B$6,'Outline Info'!$I$31&lt;='Outline Info'!$C$6),'Outline Info'!$I$31,IF(DP36&gt;$V$4,$V$4,DP36)))</f>
        <v>44470</v>
      </c>
      <c r="J36" s="436"/>
      <c r="K36" s="437"/>
      <c r="L36" s="438"/>
      <c r="M36" s="438"/>
      <c r="N36" s="435"/>
      <c r="O36" s="435"/>
      <c r="P36" s="438"/>
      <c r="Q36" s="438"/>
      <c r="R36" s="439"/>
      <c r="S36" s="872">
        <f>IF($V$5-SUM($DX$7:$DX36)&lt;0,IF($V$5-SUM($DX$7:$DX35)&lt;0,0,$V$5-SUM($DX$7:$DX35)),DX36)</f>
        <v>0</v>
      </c>
      <c r="T36" s="440" t="str">
        <f>IF(S36&gt;0,IF('Outline Info'!$B$8="Y",D36,DT36),"")</f>
        <v/>
      </c>
      <c r="U36" s="441"/>
      <c r="V36" s="442"/>
      <c r="W36" s="870" t="str">
        <f>IF('Outline Info'!$C$33&gt;0,ROUND(IF('Outline Info'!$B$8="Y",SUM(S$7:S36)-SUM(AJ$7:AJ36)-'Outline Info'!$B$14-'Outline Info'!$B$15-'Outline Info'!$B$17,IF(AL36=0,SUM(S$7:S36)-SUM(AK$7:AK36)-SUM(AP36:AS36)-'Outline Info'!$B$14-'Outline Info'!$B$15-'Outline Info'!$B$17,0)),0),IF('Outline Info'!$T$4&lt;&gt;1,"",IF(OR(AD36="",AL36=1),"",SUM(AK$7:AK36)+SUM(AP36:AS36)+'Outline Info'!$B$14+'Outline Info'!$B$15+'Outline Info'!$B$17)))</f>
        <v/>
      </c>
      <c r="X36" s="448"/>
      <c r="Y36" s="443">
        <f>IF(OR(AE36="X",AE36="x",AE36="*",AC36=99999),0,IF(AC36&lt;50,0,IF($S$4-SUM($Y$7:$Y35)&gt;0,1,0)))</f>
        <v>0</v>
      </c>
      <c r="Z36" s="444">
        <f>IF(AC36&lt;99999,IF(AE36="*",AH36,IF(OR(AE36="x",AE36="X",AC36&lt;10),0,IF(AND(AC36&lt;&gt;9998,AC36&lt;&gt;9997),IF(AM36=1,(AH36+$AM$5)*(1+('Outline Info'!$B$16)),IF(AN36=1,(AH36+$AN$5)*(1+('Outline Info'!$B$16)),0)),AH36))),0)</f>
        <v>0</v>
      </c>
      <c r="AA36" s="395">
        <f>Z36/'Outline Info'!$C$11+Y36</f>
        <v>0</v>
      </c>
      <c r="AB36" s="395">
        <f>ROUND(AA36/'Outline Info'!$B$11*7,0)</f>
        <v>0</v>
      </c>
      <c r="AC36" s="450">
        <f>IF($AD36&lt;&gt;"",VLOOKUP($AD36,'Course Table'!$A$2:$J$331,10,TRUE),99999)</f>
        <v>99999</v>
      </c>
      <c r="AD36" s="451"/>
      <c r="AE36" s="394"/>
      <c r="AF36" s="451"/>
      <c r="AG36" s="451"/>
      <c r="AH36" s="451"/>
      <c r="AI36" s="394">
        <v>428</v>
      </c>
      <c r="AJ36" s="394">
        <v>428</v>
      </c>
      <c r="AK36" s="394">
        <f t="shared" si="10"/>
        <v>428</v>
      </c>
      <c r="AL36" s="394">
        <f t="shared" si="11"/>
        <v>0</v>
      </c>
      <c r="AM36" s="394">
        <f t="shared" si="12"/>
        <v>0</v>
      </c>
      <c r="AN36" s="394">
        <f t="shared" si="13"/>
        <v>0</v>
      </c>
      <c r="AO36" s="394">
        <f>IF(AN36=1,SUMPRODUCT($AJ$7:$AJ36,$AN$7:$AN36),0)</f>
        <v>0</v>
      </c>
      <c r="AP36" s="394">
        <f t="shared" si="14"/>
        <v>0</v>
      </c>
      <c r="AQ36" s="394">
        <f t="shared" si="14"/>
        <v>0</v>
      </c>
      <c r="AR36" s="394">
        <f t="shared" si="14"/>
        <v>0</v>
      </c>
      <c r="AS36" s="394">
        <f t="shared" si="14"/>
        <v>0</v>
      </c>
      <c r="AT36" s="394">
        <f t="shared" si="15"/>
        <v>0</v>
      </c>
      <c r="AU36" s="394">
        <f t="shared" si="15"/>
        <v>0</v>
      </c>
      <c r="AV36" s="394">
        <f t="shared" si="15"/>
        <v>0</v>
      </c>
      <c r="AW36" s="394">
        <f t="shared" si="15"/>
        <v>0</v>
      </c>
      <c r="AX36" s="394">
        <f t="shared" si="1"/>
        <v>0</v>
      </c>
      <c r="AY36" s="394">
        <f t="shared" si="2"/>
        <v>0</v>
      </c>
      <c r="AZ36" s="394">
        <f t="shared" si="3"/>
        <v>0</v>
      </c>
      <c r="BA36" s="394">
        <f t="shared" si="4"/>
        <v>0</v>
      </c>
      <c r="BB36" s="405">
        <f t="shared" si="22"/>
        <v>44473</v>
      </c>
      <c r="BC36" s="405">
        <f>BB36+IF(WEEKDAY(BB36)=1,1,IF(WEEKDAY(BB36)=7,2,0))+COUNTIF(ClosedDays!$B$4:$B$32,IF(WEEKDAY(BB36)=1,BB36+1,IF(WEEKDAY(BB36)=7,BB36+2,BB36)))+COUNTIF(ClosedDays!$F$4:$F$32,IF(WEEKDAY(BB36)=1,BB36+1,IF(WEEKDAY(BB36)=7,BB36+2,BB36)))+COUNTIF(ClosedDays!$J$4:$J$32,IF(WEEKDAY(BB36)=1,BB36+1,IF(WEEKDAY(BB36)=7,BB36+2,BB36)))+COUNTIF(ClosedDays!$N$4:$N$32,IF(WEEKDAY(BB36)=1,BB36+1,IF(WEEKDAY(BB36)=7,BB36+2,BB36)))</f>
        <v>44473</v>
      </c>
      <c r="BD36" s="405">
        <f>BC36+IF(WEEKDAY(BC36)=1,1,IF(WEEKDAY(BC36)=7,2,0))+COUNTIF(ClosedDays!$B$4:$B$32,IF(WEEKDAY(BC36)=1,BC36+1,IF(WEEKDAY(BC36)=7,BC36+2,BC36)))+COUNTIF(ClosedDays!$F$4:$F$32,IF(WEEKDAY(BC36)=1,BC36+1,IF(WEEKDAY(BC36)=7,BC36+2,BC36)))+COUNTIF(ClosedDays!$J$4:$J$32,IF(WEEKDAY(BC36)=1,BC36+1,IF(WEEKDAY(BC36)=7,BC36+2,BC36)))+COUNTIF(ClosedDays!$N$4:$N$32,IF(WEEKDAY(BC36)=1,BC36+1,IF(WEEKDAY(BC36)=7,BC36+2,BC36)))</f>
        <v>44473</v>
      </c>
      <c r="BE36" s="405">
        <f>BD36+IF(WEEKDAY(BD36)=1,1,IF(WEEKDAY(BD36)=7,2,0))+COUNTIF(ClosedDays!$B$4:$B$32,IF(WEEKDAY(BD36)=1,BD36+1,IF(WEEKDAY(BD36)=7,BD36+2,BD36)))+COUNTIF(ClosedDays!$F$4:$F$32,IF(WEEKDAY(BD36)=1,BD36+1,IF(WEEKDAY(BD36)=7,BD36+2,BD36)))+COUNTIF(ClosedDays!$J$4:$J$32,IF(WEEKDAY(BD36)=1,BD36+1,IF(WEEKDAY(BD36)=7,BD36+2,BD36)))+COUNTIF(ClosedDays!$N$4:$N$32,IF(WEEKDAY(BD36)=1,BD36+1,IF(WEEKDAY(BD36)=7,BD36+2,BD36)))</f>
        <v>44473</v>
      </c>
      <c r="BF36" s="405">
        <f>BE36+IF(WEEKDAY(BE36)=1,1,IF(WEEKDAY(BE36)=7,2,0))+COUNTIF(ClosedDays!$B$4:$B$32,IF(WEEKDAY(BE36)=1,BE36+1,IF(WEEKDAY(BE36)=7,BE36+2,BE36)))+COUNTIF(ClosedDays!$F$4:$F$32,IF(WEEKDAY(BE36)=1,BE36+1,IF(WEEKDAY(BE36)=7,BE36+2,BE36)))+COUNTIF(ClosedDays!$J$4:$J$32,IF(WEEKDAY(BE36)=1,BE36+1,IF(WEEKDAY(BE36)=7,BE36+2,BE36)))+COUNTIF(ClosedDays!$N$4:$N$32,IF(WEEKDAY(BE36)=1,BE36+1,IF(WEEKDAY(BE36)=7,BE36+2,BE36)))</f>
        <v>44473</v>
      </c>
      <c r="BG36" s="405">
        <f>BF36+IF(WEEKDAY(BF36)=1,1,IF(WEEKDAY(BF36)=7,2,0))+COUNTIF(ClosedDays!$B$4:$B$32,IF(WEEKDAY(BF36)=1,BF36+1,IF(WEEKDAY(BF36)=7,BF36+2,BF36)))+COUNTIF(ClosedDays!$F$4:$F$32,IF(WEEKDAY(BF36)=1,BF36+1,IF(WEEKDAY(BF36)=7,BF36+2,BF36)))+COUNTIF(ClosedDays!$J$4:$J$32,IF(WEEKDAY(BF36)=1,BF36+1,IF(WEEKDAY(BF36)=7,BF36+2,BF36)))+COUNTIF(ClosedDays!$N$4:$N$32,IF(WEEKDAY(BF36)=1,BF36+1,IF(WEEKDAY(BF36)=7,BF36+2,BF36)))</f>
        <v>44473</v>
      </c>
      <c r="BH36" s="405">
        <f>BG36+IF(WEEKDAY(BG36)=1,1,IF(WEEKDAY(BG36)=7,2,0))+COUNTIF(ClosedDays!$B$4:$B$32,IF(WEEKDAY(BG36)=1,BG36+1,IF(WEEKDAY(BG36)=7,BG36+2,BG36)))+COUNTIF(ClosedDays!$F$4:$F$32,IF(WEEKDAY(BG36)=1,BG36+1,IF(WEEKDAY(BG36)=7,BG36+2,BG36)))+COUNTIF(ClosedDays!$J$4:$J$32,IF(WEEKDAY(BG36)=1,BG36+1,IF(WEEKDAY(BG36)=7,BG36+2,BG36)))+COUNTIF(ClosedDays!$N$4:$N$32,IF(WEEKDAY(BG36)=1,BG36+1,IF(WEEKDAY(BG36)=7,BG36+2,BG36)))</f>
        <v>44473</v>
      </c>
      <c r="BI36" s="405">
        <f>BH36+IF(WEEKDAY(BH36)=1,1,IF(WEEKDAY(BH36)=7,2,0))+COUNTIF(ClosedDays!$B$4:$B$32,IF(WEEKDAY(BH36)=1,BH36+1,IF(WEEKDAY(BH36)=7,BH36+2,BH36)))+COUNTIF(ClosedDays!$F$4:$F$32,IF(WEEKDAY(BH36)=1,BH36+1,IF(WEEKDAY(BH36)=7,BH36+2,BH36)))+COUNTIF(ClosedDays!$J$4:$J$32,IF(WEEKDAY(BH36)=1,BH36+1,IF(WEEKDAY(BH36)=7,BH36+2,BH36)))+COUNTIF(ClosedDays!$N$4:$N$32,IF(WEEKDAY(BH36)=1,BH36+1,IF(WEEKDAY(BH36)=7,BH36+2,BH36)))</f>
        <v>44473</v>
      </c>
      <c r="BJ36" s="405">
        <f>BI36+IF(WEEKDAY(BI36)=1,1,IF(WEEKDAY(BI36)=7,2,0))+COUNTIF(ClosedDays!$B$4:$B$32,IF(WEEKDAY(BI36)=1,BI36+1,IF(WEEKDAY(BI36)=7,BI36+2,BI36)))+COUNTIF(ClosedDays!$F$4:$F$32,IF(WEEKDAY(BI36)=1,BI36+1,IF(WEEKDAY(BI36)=7,BI36+2,BI36)))+COUNTIF(ClosedDays!$J$4:$J$32,IF(WEEKDAY(BI36)=1,BI36+1,IF(WEEKDAY(BI36)=7,BI36+2,BI36)))+COUNTIF(ClosedDays!$N$4:$N$32,IF(WEEKDAY(BI36)=1,BI36+1,IF(WEEKDAY(BI36)=7,BI36+2,BI36)))</f>
        <v>44473</v>
      </c>
      <c r="BK36" s="405">
        <f>BJ36+IF(WEEKDAY(BJ36)=1,1,IF(WEEKDAY(BJ36)=7,2,0))+COUNTIF(ClosedDays!$B$4:$B$32,IF(WEEKDAY(BJ36)=1,BJ36+1,IF(WEEKDAY(BJ36)=7,BJ36+2,BJ36)))+COUNTIF(ClosedDays!$F$4:$F$32,IF(WEEKDAY(BJ36)=1,BJ36+1,IF(WEEKDAY(BJ36)=7,BJ36+2,BJ36)))+COUNTIF(ClosedDays!$J$4:$J$32,IF(WEEKDAY(BJ36)=1,BJ36+1,IF(WEEKDAY(BJ36)=7,BJ36+2,BJ36)))+COUNTIF(ClosedDays!$N$4:$N$32,IF(WEEKDAY(BJ36)=1,BJ36+1,IF(WEEKDAY(BJ36)=7,BJ36+2,BJ36)))</f>
        <v>44473</v>
      </c>
      <c r="BL36" s="405">
        <f>BK36+IF(WEEKDAY(BK36)=1,1,IF(WEEKDAY(BK36)=7,2,0))+COUNTIF(ClosedDays!$B$4:$B$32,IF(WEEKDAY(BK36)=1,BK36+1,IF(WEEKDAY(BK36)=7,BK36+2,BK36)))+COUNTIF(ClosedDays!$F$4:$F$32,IF(WEEKDAY(BK36)=1,BK36+1,IF(WEEKDAY(BK36)=7,BK36+2,BK36)))+COUNTIF(ClosedDays!$J$4:$J$32,IF(WEEKDAY(BK36)=1,BK36+1,IF(WEEKDAY(BK36)=7,BK36+2,BK36)))+COUNTIF(ClosedDays!$N$4:$N$32,IF(WEEKDAY(BK36)=1,BK36+1,IF(WEEKDAY(BK36)=7,BK36+2,BK36)))</f>
        <v>44473</v>
      </c>
      <c r="BM36" s="405">
        <f>BL36+IF(WEEKDAY(BL36)=1,1,IF(WEEKDAY(BL36)=7,2,0))+COUNTIF(ClosedDays!$B$4:$B$32,IF(WEEKDAY(BL36)=1,BL36+1,IF(WEEKDAY(BL36)=7,BL36+2,BL36)))+COUNTIF(ClosedDays!$F$4:$F$32,IF(WEEKDAY(BL36)=1,BL36+1,IF(WEEKDAY(BL36)=7,BL36+2,BL36)))+COUNTIF(ClosedDays!$J$4:$J$32,IF(WEEKDAY(BL36)=1,BL36+1,IF(WEEKDAY(BL36)=7,BL36+2,BL36)))+COUNTIF(ClosedDays!$N$4:$N$32,IF(WEEKDAY(BL36)=1,BL36+1,IF(WEEKDAY(BL36)=7,BL36+2,BL36)))</f>
        <v>44473</v>
      </c>
      <c r="BN36" s="405">
        <f>BM36+IF(WEEKDAY(BM36)=1,1,IF(WEEKDAY(BM36)=7,2,0))+COUNTIF(ClosedDays!$B$4:$B$32,IF(WEEKDAY(BM36)=1,BM36+1,IF(WEEKDAY(BM36)=7,BM36+2,BM36)))+COUNTIF(ClosedDays!$F$4:$F$32,IF(WEEKDAY(BM36)=1,BM36+1,IF(WEEKDAY(BM36)=7,BM36+2,BM36)))+COUNTIF(ClosedDays!$J$4:$J$32,IF(WEEKDAY(BM36)=1,BM36+1,IF(WEEKDAY(BM36)=7,BM36+2,BM36)))+COUNTIF(ClosedDays!$N$4:$N$32,IF(WEEKDAY(BM36)=1,BM36+1,IF(WEEKDAY(BM36)=7,BM36+2,BM36)))</f>
        <v>44473</v>
      </c>
      <c r="BO36" s="405">
        <f>BN36+IF(WEEKDAY(BN36)=1,1,IF(WEEKDAY(BN36)=7,2,0))+COUNTIF(ClosedDays!$B$4:$B$32,IF(WEEKDAY(BN36)=1,BN36+1,IF(WEEKDAY(BN36)=7,BN36+2,BN36)))+COUNTIF(ClosedDays!$F$4:$F$32,IF(WEEKDAY(BN36)=1,BN36+1,IF(WEEKDAY(BN36)=7,BN36+2,BN36)))+COUNTIF(ClosedDays!$J$4:$J$32,IF(WEEKDAY(BN36)=1,BN36+1,IF(WEEKDAY(BN36)=7,BN36+2,BN36)))+COUNTIF(ClosedDays!$N$4:$N$32,IF(WEEKDAY(BN36)=1,BN36+1,IF(WEEKDAY(BN36)=7,BN36+2,BN36)))</f>
        <v>44473</v>
      </c>
      <c r="BP36" s="405">
        <f>BO36+IF(WEEKDAY(BO36)=1,1,IF(WEEKDAY(BO36)=7,2,0))+COUNTIF(ClosedDays!$B$4:$B$32,IF(WEEKDAY(BO36)=1,BO36+1,IF(WEEKDAY(BO36)=7,BO36+2,BO36)))+COUNTIF(ClosedDays!$F$4:$F$32,IF(WEEKDAY(BO36)=1,BO36+1,IF(WEEKDAY(BO36)=7,BO36+2,BO36)))+COUNTIF(ClosedDays!$J$4:$J$32,IF(WEEKDAY(BO36)=1,BO36+1,IF(WEEKDAY(BO36)=7,BO36+2,BO36)))+COUNTIF(ClosedDays!$N$4:$N$32,IF(WEEKDAY(BO36)=1,BO36+1,IF(WEEKDAY(BO36)=7,BO36+2,BO36)))</f>
        <v>44473</v>
      </c>
      <c r="BQ36" s="405">
        <f t="shared" si="16"/>
        <v>44473</v>
      </c>
      <c r="BR36" s="446">
        <f>IF(AND($D36&lt;='Outline Info'!$H$31,BQ36&gt;='Outline Info'!$H$31,$BS$4=1,$AC36&gt;10,$AC36&lt;9997),1,0)</f>
        <v>0</v>
      </c>
      <c r="BS36" s="405">
        <f>IF(BR36=1,BQ36+'Outline Info'!$I$31-'Outline Info'!$H$31+1,BQ36)</f>
        <v>44473</v>
      </c>
      <c r="BT36" s="405">
        <f>BS36+IF(WEEKDAY(BS36)=1,1,IF(WEEKDAY(BS36)=7,2,0))+COUNTIF(ClosedDays!$B$4:$B$32,IF(WEEKDAY(BS36)=1,BS36+1,IF(WEEKDAY(BS36)=7,BS36+2,BS36)))+COUNTIF(ClosedDays!$F$4:$F$32,IF(WEEKDAY(BS36)=1,BS36+1,IF(WEEKDAY(BS36)=7,BS36+2,BS36)))+COUNTIF(ClosedDays!$J$4:$J$32,IF(WEEKDAY(BS36)=1,BS36+1,IF(WEEKDAY(BS36)=7,BS36+2,BS36)))+COUNTIF(ClosedDays!$N$4:$N$32,IF(WEEKDAY(BS36)=1,BS36+1,IF(WEEKDAY(BS36)=7,BS36+2,BS36)))</f>
        <v>44473</v>
      </c>
      <c r="BU36" s="405">
        <f>BT36+IF(WEEKDAY(BT36)=1,1,IF(WEEKDAY(BT36)=7,2,0))+COUNTIF(ClosedDays!$B$4:$B$32,IF(WEEKDAY(BT36)=1,BT36+1,IF(WEEKDAY(BT36)=7,BT36+2,BT36)))+COUNTIF(ClosedDays!$F$4:$F$32,IF(WEEKDAY(BT36)=1,BT36+1,IF(WEEKDAY(BT36)=7,BT36+2,BT36)))+COUNTIF(ClosedDays!$J$4:$J$32,IF(WEEKDAY(BT36)=1,BT36+1,IF(WEEKDAY(BT36)=7,BT36+2,BT36)))+COUNTIF(ClosedDays!$N$4:$N$32,IF(WEEKDAY(BT36)=1,BT36+1,IF(WEEKDAY(BT36)=7,BT36+2,BT36)))</f>
        <v>44473</v>
      </c>
      <c r="BV36" s="405">
        <f>BU36+IF(WEEKDAY(BU36)=1,1,IF(WEEKDAY(BU36)=7,2,0))+COUNTIF(ClosedDays!$B$4:$B$32,IF(WEEKDAY(BU36)=1,BU36+1,IF(WEEKDAY(BU36)=7,BU36+2,BU36)))+COUNTIF(ClosedDays!$F$4:$F$32,IF(WEEKDAY(BU36)=1,BU36+1,IF(WEEKDAY(BU36)=7,BU36+2,BU36)))+COUNTIF(ClosedDays!$J$4:$J$32,IF(WEEKDAY(BU36)=1,BU36+1,IF(WEEKDAY(BU36)=7,BU36+2,BU36)))+COUNTIF(ClosedDays!$N$4:$N$32,IF(WEEKDAY(BU36)=1,BU36+1,IF(WEEKDAY(BU36)=7,BU36+2,BU36)))</f>
        <v>44473</v>
      </c>
      <c r="BW36" s="405">
        <f>BV36+IF(WEEKDAY(BV36)=1,1,IF(WEEKDAY(BV36)=7,2,0))+COUNTIF(ClosedDays!$B$4:$B$32,IF(WEEKDAY(BV36)=1,BV36+1,IF(WEEKDAY(BV36)=7,BV36+2,BV36)))+COUNTIF(ClosedDays!$F$4:$F$32,IF(WEEKDAY(BV36)=1,BV36+1,IF(WEEKDAY(BV36)=7,BV36+2,BV36)))+COUNTIF(ClosedDays!$J$4:$J$32,IF(WEEKDAY(BV36)=1,BV36+1,IF(WEEKDAY(BV36)=7,BV36+2,BV36)))+COUNTIF(ClosedDays!$N$4:$N$32,IF(WEEKDAY(BV36)=1,BV36+1,IF(WEEKDAY(BV36)=7,BV36+2,BV36)))</f>
        <v>44473</v>
      </c>
      <c r="BX36" s="405">
        <f>BW36+IF(WEEKDAY(BW36)=1,1,IF(WEEKDAY(BW36)=7,2,0))+COUNTIF(ClosedDays!$B$4:$B$32,IF(WEEKDAY(BW36)=1,BW36+1,IF(WEEKDAY(BW36)=7,BW36+2,BW36)))+COUNTIF(ClosedDays!$F$4:$F$32,IF(WEEKDAY(BW36)=1,BW36+1,IF(WEEKDAY(BW36)=7,BW36+2,BW36)))+COUNTIF(ClosedDays!$J$4:$J$32,IF(WEEKDAY(BW36)=1,BW36+1,IF(WEEKDAY(BW36)=7,BW36+2,BW36)))+COUNTIF(ClosedDays!$N$4:$N$32,IF(WEEKDAY(BW36)=1,BW36+1,IF(WEEKDAY(BW36)=7,BW36+2,BW36)))</f>
        <v>44473</v>
      </c>
      <c r="BY36" s="405">
        <f>BX36+IF(WEEKDAY(BX36)=1,1,IF(WEEKDAY(BX36)=7,2,0))+COUNTIF(ClosedDays!$B$4:$B$32,IF(WEEKDAY(BX36)=1,BX36+1,IF(WEEKDAY(BX36)=7,BX36+2,BX36)))+COUNTIF(ClosedDays!$F$4:$F$32,IF(WEEKDAY(BX36)=1,BX36+1,IF(WEEKDAY(BX36)=7,BX36+2,BX36)))+COUNTIF(ClosedDays!$J$4:$J$32,IF(WEEKDAY(BX36)=1,BX36+1,IF(WEEKDAY(BX36)=7,BX36+2,BX36)))+COUNTIF(ClosedDays!$N$4:$N$32,IF(WEEKDAY(BX36)=1,BX36+1,IF(WEEKDAY(BX36)=7,BX36+2,BX36)))</f>
        <v>44473</v>
      </c>
      <c r="BZ36" s="405">
        <f>BY36+IF(WEEKDAY(BY36)=1,1,IF(WEEKDAY(BY36)=7,2,0))+COUNTIF(ClosedDays!$B$4:$B$32,IF(WEEKDAY(BY36)=1,BY36+1,IF(WEEKDAY(BY36)=7,BY36+2,BY36)))+COUNTIF(ClosedDays!$F$4:$F$32,IF(WEEKDAY(BY36)=1,BY36+1,IF(WEEKDAY(BY36)=7,BY36+2,BY36)))+COUNTIF(ClosedDays!$J$4:$J$32,IF(WEEKDAY(BY36)=1,BY36+1,IF(WEEKDAY(BY36)=7,BY36+2,BY36)))+COUNTIF(ClosedDays!$N$4:$N$32,IF(WEEKDAY(BY36)=1,BY36+1,IF(WEEKDAY(BY36)=7,BY36+2,BY36)))</f>
        <v>44473</v>
      </c>
      <c r="CA36" s="405">
        <f>BZ36+IF(WEEKDAY(BZ36)=1,1,IF(WEEKDAY(BZ36)=7,2,0))+COUNTIF(ClosedDays!$B$4:$B$32,IF(WEEKDAY(BZ36)=1,BZ36+1,IF(WEEKDAY(BZ36)=7,BZ36+2,BZ36)))+COUNTIF(ClosedDays!$F$4:$F$32,IF(WEEKDAY(BZ36)=1,BZ36+1,IF(WEEKDAY(BZ36)=7,BZ36+2,BZ36)))+COUNTIF(ClosedDays!$J$4:$J$32,IF(WEEKDAY(BZ36)=1,BZ36+1,IF(WEEKDAY(BZ36)=7,BZ36+2,BZ36)))+COUNTIF(ClosedDays!$N$4:$N$32,IF(WEEKDAY(BZ36)=1,BZ36+1,IF(WEEKDAY(BZ36)=7,BZ36+2,BZ36)))</f>
        <v>44473</v>
      </c>
      <c r="CB36" s="405">
        <f>CA36+IF(WEEKDAY(CA36)=1,1,IF(WEEKDAY(CA36)=7,2,0))+COUNTIF(ClosedDays!$B$4:$B$32,IF(WEEKDAY(CA36)=1,CA36+1,IF(WEEKDAY(CA36)=7,CA36+2,CA36)))+COUNTIF(ClosedDays!$F$4:$F$32,IF(WEEKDAY(CA36)=1,CA36+1,IF(WEEKDAY(CA36)=7,CA36+2,CA36)))+COUNTIF(ClosedDays!$J$4:$J$32,IF(WEEKDAY(CA36)=1,CA36+1,IF(WEEKDAY(CA36)=7,CA36+2,CA36)))+COUNTIF(ClosedDays!$N$4:$N$32,IF(WEEKDAY(CA36)=1,CA36+1,IF(WEEKDAY(CA36)=7,CA36+2,CA36)))</f>
        <v>44473</v>
      </c>
      <c r="CC36" s="405">
        <f>CB36+IF(WEEKDAY(CB36)=1,1,IF(WEEKDAY(CB36)=7,2,0))+COUNTIF(ClosedDays!$B$4:$B$32,IF(WEEKDAY(CB36)=1,CB36+1,IF(WEEKDAY(CB36)=7,CB36+2,CB36)))+COUNTIF(ClosedDays!$F$4:$F$32,IF(WEEKDAY(CB36)=1,CB36+1,IF(WEEKDAY(CB36)=7,CB36+2,CB36)))+COUNTIF(ClosedDays!$J$4:$J$32,IF(WEEKDAY(CB36)=1,CB36+1,IF(WEEKDAY(CB36)=7,CB36+2,CB36)))+COUNTIF(ClosedDays!$N$4:$N$32,IF(WEEKDAY(CB36)=1,CB36+1,IF(WEEKDAY(CB36)=7,CB36+2,CB36)))</f>
        <v>44473</v>
      </c>
      <c r="CD36" s="405">
        <f>CC36+IF(WEEKDAY(CC36)=1,1,IF(WEEKDAY(CC36)=7,2,0))+COUNTIF(ClosedDays!$B$4:$B$32,IF(WEEKDAY(CC36)=1,CC36+1,IF(WEEKDAY(CC36)=7,CC36+2,CC36)))+COUNTIF(ClosedDays!$F$4:$F$32,IF(WEEKDAY(CC36)=1,CC36+1,IF(WEEKDAY(CC36)=7,CC36+2,CC36)))+COUNTIF(ClosedDays!$J$4:$J$32,IF(WEEKDAY(CC36)=1,CC36+1,IF(WEEKDAY(CC36)=7,CC36+2,CC36)))+COUNTIF(ClosedDays!$N$4:$N$32,IF(WEEKDAY(CC36)=1,CC36+1,IF(WEEKDAY(CC36)=7,CC36+2,CC36)))</f>
        <v>44473</v>
      </c>
      <c r="CE36" s="405">
        <f>CD36+IF(WEEKDAY(CD36)=1,1,IF(WEEKDAY(CD36)=7,2,0))+COUNTIF(ClosedDays!$B$4:$B$32,IF(WEEKDAY(CD36)=1,CD36+1,IF(WEEKDAY(CD36)=7,CD36+2,CD36)))+COUNTIF(ClosedDays!$F$4:$F$32,IF(WEEKDAY(CD36)=1,CD36+1,IF(WEEKDAY(CD36)=7,CD36+2,CD36)))+COUNTIF(ClosedDays!$J$4:$J$32,IF(WEEKDAY(CD36)=1,CD36+1,IF(WEEKDAY(CD36)=7,CD36+2,CD36)))+COUNTIF(ClosedDays!$N$4:$N$32,IF(WEEKDAY(CD36)=1,CD36+1,IF(WEEKDAY(CD36)=7,CD36+2,CD36)))</f>
        <v>44473</v>
      </c>
      <c r="CF36" s="405">
        <f>CE36+IF(WEEKDAY(CE36)=1,1,IF(WEEKDAY(CE36)=7,2,0))+COUNTIF(ClosedDays!$B$4:$B$32,IF(WEEKDAY(CE36)=1,CE36+1,IF(WEEKDAY(CE36)=7,CE36+2,CE36)))+COUNTIF(ClosedDays!$F$4:$F$32,IF(WEEKDAY(CE36)=1,CE36+1,IF(WEEKDAY(CE36)=7,CE36+2,CE36)))+COUNTIF(ClosedDays!$J$4:$J$32,IF(WEEKDAY(CE36)=1,CE36+1,IF(WEEKDAY(CE36)=7,CE36+2,CE36)))+COUNTIF(ClosedDays!$N$4:$N$32,IF(WEEKDAY(CE36)=1,CE36+1,IF(WEEKDAY(CE36)=7,CE36+2,CE36)))</f>
        <v>44473</v>
      </c>
      <c r="CG36" s="405">
        <f>CF36+IF(WEEKDAY(CF36)=1,1,IF(WEEKDAY(CF36)=7,2,0))+COUNTIF(ClosedDays!$B$4:$B$32,IF(WEEKDAY(CF36)=1,CF36+1,IF(WEEKDAY(CF36)=7,CF36+2,CF36)))+COUNTIF(ClosedDays!$F$4:$F$32,IF(WEEKDAY(CF36)=1,CF36+1,IF(WEEKDAY(CF36)=7,CF36+2,CF36)))+COUNTIF(ClosedDays!$J$4:$J$32,IF(WEEKDAY(CF36)=1,CF36+1,IF(WEEKDAY(CF36)=7,CF36+2,CF36)))+COUNTIF(ClosedDays!$N$4:$N$32,IF(WEEKDAY(CF36)=1,CF36+1,IF(WEEKDAY(CF36)=7,CF36+2,CF36)))</f>
        <v>44473</v>
      </c>
      <c r="CH36" s="405">
        <f t="shared" si="17"/>
        <v>44473</v>
      </c>
      <c r="CI36" s="446">
        <f>IF(AND($D36&lt;='Outline Info'!$H$33,CH36&gt;='Outline Info'!$H$33,$CJ$4=1,$AC36&gt;10,$AC36&lt;9997),1,0)</f>
        <v>0</v>
      </c>
      <c r="CJ36" s="405">
        <f>IF(CI36=1,CH36+'Outline Info'!$I$33-'Outline Info'!$H$33+1,CH36)</f>
        <v>44473</v>
      </c>
      <c r="CK36" s="405">
        <f>CJ36+IF(WEEKDAY(CJ36)=1,1,IF(WEEKDAY(CJ36)=7,2,0))+COUNTIF(ClosedDays!$B$4:$B$32,IF(WEEKDAY(CJ36)=1,CJ36+1,IF(WEEKDAY(CJ36)=7,CJ36+2,CJ36)))+COUNTIF(ClosedDays!$F$4:$F$32,IF(WEEKDAY(CJ36)=1,CJ36+1,IF(WEEKDAY(CJ36)=7,CJ36+2,CJ36)))+COUNTIF(ClosedDays!$J$4:$J$32,IF(WEEKDAY(CJ36)=1,CJ36+1,IF(WEEKDAY(CJ36)=7,CJ36+2,CJ36)))+COUNTIF(ClosedDays!$N$4:$N$32,IF(WEEKDAY(CJ36)=1,CJ36+1,IF(WEEKDAY(CJ36)=7,CJ36+2,CJ36)))</f>
        <v>44473</v>
      </c>
      <c r="CL36" s="405">
        <f>CK36+IF(WEEKDAY(CK36)=1,1,IF(WEEKDAY(CK36)=7,2,0))+COUNTIF(ClosedDays!$B$4:$B$32,IF(WEEKDAY(CK36)=1,CK36+1,IF(WEEKDAY(CK36)=7,CK36+2,CK36)))+COUNTIF(ClosedDays!$F$4:$F$32,IF(WEEKDAY(CK36)=1,CK36+1,IF(WEEKDAY(CK36)=7,CK36+2,CK36)))+COUNTIF(ClosedDays!$J$4:$J$32,IF(WEEKDAY(CK36)=1,CK36+1,IF(WEEKDAY(CK36)=7,CK36+2,CK36)))+COUNTIF(ClosedDays!$N$4:$N$32,IF(WEEKDAY(CK36)=1,CK36+1,IF(WEEKDAY(CK36)=7,CK36+2,CK36)))</f>
        <v>44473</v>
      </c>
      <c r="CM36" s="405">
        <f>CL36+IF(WEEKDAY(CL36)=1,1,IF(WEEKDAY(CL36)=7,2,0))+COUNTIF(ClosedDays!$B$4:$B$32,IF(WEEKDAY(CL36)=1,CL36+1,IF(WEEKDAY(CL36)=7,CL36+2,CL36)))+COUNTIF(ClosedDays!$F$4:$F$32,IF(WEEKDAY(CL36)=1,CL36+1,IF(WEEKDAY(CL36)=7,CL36+2,CL36)))+COUNTIF(ClosedDays!$J$4:$J$32,IF(WEEKDAY(CL36)=1,CL36+1,IF(WEEKDAY(CL36)=7,CL36+2,CL36)))+COUNTIF(ClosedDays!$N$4:$N$32,IF(WEEKDAY(CL36)=1,CL36+1,IF(WEEKDAY(CL36)=7,CL36+2,CL36)))</f>
        <v>44473</v>
      </c>
      <c r="CN36" s="405">
        <f>CM36+IF(WEEKDAY(CM36)=1,1,IF(WEEKDAY(CM36)=7,2,0))+COUNTIF(ClosedDays!$B$4:$B$32,IF(WEEKDAY(CM36)=1,CM36+1,IF(WEEKDAY(CM36)=7,CM36+2,CM36)))+COUNTIF(ClosedDays!$F$4:$F$32,IF(WEEKDAY(CM36)=1,CM36+1,IF(WEEKDAY(CM36)=7,CM36+2,CM36)))+COUNTIF(ClosedDays!$J$4:$J$32,IF(WEEKDAY(CM36)=1,CM36+1,IF(WEEKDAY(CM36)=7,CM36+2,CM36)))+COUNTIF(ClosedDays!$N$4:$N$32,IF(WEEKDAY(CM36)=1,CM36+1,IF(WEEKDAY(CM36)=7,CM36+2,CM36)))</f>
        <v>44473</v>
      </c>
      <c r="CO36" s="405">
        <f>CN36+IF(WEEKDAY(CN36)=1,1,IF(WEEKDAY(CN36)=7,2,0))+COUNTIF(ClosedDays!$B$4:$B$32,IF(WEEKDAY(CN36)=1,CN36+1,IF(WEEKDAY(CN36)=7,CN36+2,CN36)))+COUNTIF(ClosedDays!$F$4:$F$32,IF(WEEKDAY(CN36)=1,CN36+1,IF(WEEKDAY(CN36)=7,CN36+2,CN36)))+COUNTIF(ClosedDays!$J$4:$J$32,IF(WEEKDAY(CN36)=1,CN36+1,IF(WEEKDAY(CN36)=7,CN36+2,CN36)))+COUNTIF(ClosedDays!$N$4:$N$32,IF(WEEKDAY(CN36)=1,CN36+1,IF(WEEKDAY(CN36)=7,CN36+2,CN36)))</f>
        <v>44473</v>
      </c>
      <c r="CP36" s="405">
        <f>CO36+IF(WEEKDAY(CO36)=1,1,IF(WEEKDAY(CO36)=7,2,0))+COUNTIF(ClosedDays!$B$4:$B$32,IF(WEEKDAY(CO36)=1,CO36+1,IF(WEEKDAY(CO36)=7,CO36+2,CO36)))+COUNTIF(ClosedDays!$F$4:$F$32,IF(WEEKDAY(CO36)=1,CO36+1,IF(WEEKDAY(CO36)=7,CO36+2,CO36)))+COUNTIF(ClosedDays!$J$4:$J$32,IF(WEEKDAY(CO36)=1,CO36+1,IF(WEEKDAY(CO36)=7,CO36+2,CO36)))+COUNTIF(ClosedDays!$N$4:$N$32,IF(WEEKDAY(CO36)=1,CO36+1,IF(WEEKDAY(CO36)=7,CO36+2,CO36)))</f>
        <v>44473</v>
      </c>
      <c r="CQ36" s="405">
        <f>CP36+IF(WEEKDAY(CP36)=1,1,IF(WEEKDAY(CP36)=7,2,0))+COUNTIF(ClosedDays!$B$4:$B$32,IF(WEEKDAY(CP36)=1,CP36+1,IF(WEEKDAY(CP36)=7,CP36+2,CP36)))+COUNTIF(ClosedDays!$F$4:$F$32,IF(WEEKDAY(CP36)=1,CP36+1,IF(WEEKDAY(CP36)=7,CP36+2,CP36)))+COUNTIF(ClosedDays!$J$4:$J$32,IF(WEEKDAY(CP36)=1,CP36+1,IF(WEEKDAY(CP36)=7,CP36+2,CP36)))+COUNTIF(ClosedDays!$N$4:$N$32,IF(WEEKDAY(CP36)=1,CP36+1,IF(WEEKDAY(CP36)=7,CP36+2,CP36)))</f>
        <v>44473</v>
      </c>
      <c r="CR36" s="405">
        <f>CQ36+IF(WEEKDAY(CQ36)=1,1,IF(WEEKDAY(CQ36)=7,2,0))+COUNTIF(ClosedDays!$B$4:$B$32,IF(WEEKDAY(CQ36)=1,CQ36+1,IF(WEEKDAY(CQ36)=7,CQ36+2,CQ36)))+COUNTIF(ClosedDays!$F$4:$F$32,IF(WEEKDAY(CQ36)=1,CQ36+1,IF(WEEKDAY(CQ36)=7,CQ36+2,CQ36)))+COUNTIF(ClosedDays!$J$4:$J$32,IF(WEEKDAY(CQ36)=1,CQ36+1,IF(WEEKDAY(CQ36)=7,CQ36+2,CQ36)))+COUNTIF(ClosedDays!$N$4:$N$32,IF(WEEKDAY(CQ36)=1,CQ36+1,IF(WEEKDAY(CQ36)=7,CQ36+2,CQ36)))</f>
        <v>44473</v>
      </c>
      <c r="CS36" s="405">
        <f>CR36+IF(WEEKDAY(CR36)=1,1,IF(WEEKDAY(CR36)=7,2,0))+COUNTIF(ClosedDays!$B$4:$B$32,IF(WEEKDAY(CR36)=1,CR36+1,IF(WEEKDAY(CR36)=7,CR36+2,CR36)))+COUNTIF(ClosedDays!$F$4:$F$32,IF(WEEKDAY(CR36)=1,CR36+1,IF(WEEKDAY(CR36)=7,CR36+2,CR36)))+COUNTIF(ClosedDays!$J$4:$J$32,IF(WEEKDAY(CR36)=1,CR36+1,IF(WEEKDAY(CR36)=7,CR36+2,CR36)))+COUNTIF(ClosedDays!$N$4:$N$32,IF(WEEKDAY(CR36)=1,CR36+1,IF(WEEKDAY(CR36)=7,CR36+2,CR36)))</f>
        <v>44473</v>
      </c>
      <c r="CT36" s="405">
        <f>CS36+IF(WEEKDAY(CS36)=1,1,IF(WEEKDAY(CS36)=7,2,0))+COUNTIF(ClosedDays!$B$4:$B$32,IF(WEEKDAY(CS36)=1,CS36+1,IF(WEEKDAY(CS36)=7,CS36+2,CS36)))+COUNTIF(ClosedDays!$F$4:$F$32,IF(WEEKDAY(CS36)=1,CS36+1,IF(WEEKDAY(CS36)=7,CS36+2,CS36)))+COUNTIF(ClosedDays!$J$4:$J$32,IF(WEEKDAY(CS36)=1,CS36+1,IF(WEEKDAY(CS36)=7,CS36+2,CS36)))+COUNTIF(ClosedDays!$N$4:$N$32,IF(WEEKDAY(CS36)=1,CS36+1,IF(WEEKDAY(CS36)=7,CS36+2,CS36)))</f>
        <v>44473</v>
      </c>
      <c r="CU36" s="405">
        <f>CT36+IF(WEEKDAY(CT36)=1,1,IF(WEEKDAY(CT36)=7,2,0))+COUNTIF(ClosedDays!$B$4:$B$32,IF(WEEKDAY(CT36)=1,CT36+1,IF(WEEKDAY(CT36)=7,CT36+2,CT36)))+COUNTIF(ClosedDays!$F$4:$F$32,IF(WEEKDAY(CT36)=1,CT36+1,IF(WEEKDAY(CT36)=7,CT36+2,CT36)))+COUNTIF(ClosedDays!$J$4:$J$32,IF(WEEKDAY(CT36)=1,CT36+1,IF(WEEKDAY(CT36)=7,CT36+2,CT36)))+COUNTIF(ClosedDays!$N$4:$N$32,IF(WEEKDAY(CT36)=1,CT36+1,IF(WEEKDAY(CT36)=7,CT36+2,CT36)))</f>
        <v>44473</v>
      </c>
      <c r="CV36" s="405">
        <f>CU36+IF(WEEKDAY(CU36)=1,1,IF(WEEKDAY(CU36)=7,2,0))+COUNTIF(ClosedDays!$B$4:$B$32,IF(WEEKDAY(CU36)=1,CU36+1,IF(WEEKDAY(CU36)=7,CU36+2,CU36)))+COUNTIF(ClosedDays!$F$4:$F$32,IF(WEEKDAY(CU36)=1,CU36+1,IF(WEEKDAY(CU36)=7,CU36+2,CU36)))+COUNTIF(ClosedDays!$J$4:$J$32,IF(WEEKDAY(CU36)=1,CU36+1,IF(WEEKDAY(CU36)=7,CU36+2,CU36)))+COUNTIF(ClosedDays!$N$4:$N$32,IF(WEEKDAY(CU36)=1,CU36+1,IF(WEEKDAY(CU36)=7,CU36+2,CU36)))</f>
        <v>44473</v>
      </c>
      <c r="CW36" s="405">
        <f>CV36+IF(WEEKDAY(CV36)=1,1,IF(WEEKDAY(CV36)=7,2,0))+COUNTIF(ClosedDays!$B$4:$B$32,IF(WEEKDAY(CV36)=1,CV36+1,IF(WEEKDAY(CV36)=7,CV36+2,CV36)))+COUNTIF(ClosedDays!$F$4:$F$32,IF(WEEKDAY(CV36)=1,CV36+1,IF(WEEKDAY(CV36)=7,CV36+2,CV36)))+COUNTIF(ClosedDays!$J$4:$J$32,IF(WEEKDAY(CV36)=1,CV36+1,IF(WEEKDAY(CV36)=7,CV36+2,CV36)))+COUNTIF(ClosedDays!$N$4:$N$32,IF(WEEKDAY(CV36)=1,CV36+1,IF(WEEKDAY(CV36)=7,CV36+2,CV36)))</f>
        <v>44473</v>
      </c>
      <c r="CX36" s="405">
        <f>CW36+IF(WEEKDAY(CW36)=1,1,IF(WEEKDAY(CW36)=7,2,0))+COUNTIF(ClosedDays!$B$4:$B$32,IF(WEEKDAY(CW36)=1,CW36+1,IF(WEEKDAY(CW36)=7,CW36+2,CW36)))+COUNTIF(ClosedDays!$F$4:$F$32,IF(WEEKDAY(CW36)=1,CW36+1,IF(WEEKDAY(CW36)=7,CW36+2,CW36)))+COUNTIF(ClosedDays!$J$4:$J$32,IF(WEEKDAY(CW36)=1,CW36+1,IF(WEEKDAY(CW36)=7,CW36+2,CW36)))+COUNTIF(ClosedDays!$N$4:$N$32,IF(WEEKDAY(CW36)=1,CW36+1,IF(WEEKDAY(CW36)=7,CW36+2,CW36)))</f>
        <v>44473</v>
      </c>
      <c r="CY36" s="405">
        <f t="shared" si="18"/>
        <v>44473</v>
      </c>
      <c r="CZ36" s="446">
        <f>IF(AND($D36&lt;='Outline Info'!$E$33,CY36&gt;='Outline Info'!$E$33,$AC36&gt;10,$AC36&lt;9997),1,0)</f>
        <v>0</v>
      </c>
      <c r="DA36" s="405">
        <f>IF(AND($D36&lt;='Outline Info'!$E$33,CY36&gt;='Outline Info'!$E$33),CY36+'Outline Info'!$F$33-'Outline Info'!$E$33+1,CY36)</f>
        <v>44473</v>
      </c>
      <c r="DB36" s="405">
        <f>DA36+IF(WEEKDAY(DA36)=1,1,IF(WEEKDAY(DA36)=7,2,0))+COUNTIF(ClosedDays!$B$4:$B$32,IF(WEEKDAY(DA36)=1,DA36+1,IF(WEEKDAY(DA36)=7,DA36+2,DA36)))+COUNTIF(ClosedDays!$F$4:$F$32,IF(WEEKDAY(DA36)=1,DA36+1,IF(WEEKDAY(DA36)=7,DA36+2,DA36)))+COUNTIF(ClosedDays!$J$4:$J$32,IF(WEEKDAY(DA36)=1,DA36+1,IF(WEEKDAY(DA36)=7,DA36+2,DA36)))+COUNTIF(ClosedDays!$N$4:$N$32,IF(WEEKDAY(DA36)=1,DA36+1,IF(WEEKDAY(DA36)=7,DA36+2,DA36)))</f>
        <v>44473</v>
      </c>
      <c r="DC36" s="405">
        <f>DB36+IF(WEEKDAY(DB36)=1,1,IF(WEEKDAY(DB36)=7,2,0))+COUNTIF(ClosedDays!$B$4:$B$32,IF(WEEKDAY(DB36)=1,DB36+1,IF(WEEKDAY(DB36)=7,DB36+2,DB36)))+COUNTIF(ClosedDays!$F$4:$F$32,IF(WEEKDAY(DB36)=1,DB36+1,IF(WEEKDAY(DB36)=7,DB36+2,DB36)))+COUNTIF(ClosedDays!$J$4:$J$32,IF(WEEKDAY(DB36)=1,DB36+1,IF(WEEKDAY(DB36)=7,DB36+2,DB36)))+COUNTIF(ClosedDays!$N$4:$N$32,IF(WEEKDAY(DB36)=1,DB36+1,IF(WEEKDAY(DB36)=7,DB36+2,DB36)))</f>
        <v>44473</v>
      </c>
      <c r="DD36" s="405">
        <f>DC36+IF(WEEKDAY(DC36)=1,1,IF(WEEKDAY(DC36)=7,2,0))+COUNTIF(ClosedDays!$B$4:$B$32,IF(WEEKDAY(DC36)=1,DC36+1,IF(WEEKDAY(DC36)=7,DC36+2,DC36)))+COUNTIF(ClosedDays!$F$4:$F$32,IF(WEEKDAY(DC36)=1,DC36+1,IF(WEEKDAY(DC36)=7,DC36+2,DC36)))+COUNTIF(ClosedDays!$J$4:$J$32,IF(WEEKDAY(DC36)=1,DC36+1,IF(WEEKDAY(DC36)=7,DC36+2,DC36)))+COUNTIF(ClosedDays!$N$4:$N$32,IF(WEEKDAY(DC36)=1,DC36+1,IF(WEEKDAY(DC36)=7,DC36+2,DC36)))</f>
        <v>44473</v>
      </c>
      <c r="DE36" s="405">
        <f>DD36+IF(WEEKDAY(DD36)=1,1,IF(WEEKDAY(DD36)=7,2,0))+COUNTIF(ClosedDays!$B$4:$B$32,IF(WEEKDAY(DD36)=1,DD36+1,IF(WEEKDAY(DD36)=7,DD36+2,DD36)))+COUNTIF(ClosedDays!$F$4:$F$32,IF(WEEKDAY(DD36)=1,DD36+1,IF(WEEKDAY(DD36)=7,DD36+2,DD36)))+COUNTIF(ClosedDays!$J$4:$J$32,IF(WEEKDAY(DD36)=1,DD36+1,IF(WEEKDAY(DD36)=7,DD36+2,DD36)))+COUNTIF(ClosedDays!$N$4:$N$32,IF(WEEKDAY(DD36)=1,DD36+1,IF(WEEKDAY(DD36)=7,DD36+2,DD36)))</f>
        <v>44473</v>
      </c>
      <c r="DF36" s="405">
        <f>DE36+IF(WEEKDAY(DE36)=1,1,IF(WEEKDAY(DE36)=7,2,0))+COUNTIF(ClosedDays!$B$4:$B$32,IF(WEEKDAY(DE36)=1,DE36+1,IF(WEEKDAY(DE36)=7,DE36+2,DE36)))+COUNTIF(ClosedDays!$F$4:$F$32,IF(WEEKDAY(DE36)=1,DE36+1,IF(WEEKDAY(DE36)=7,DE36+2,DE36)))+COUNTIF(ClosedDays!$J$4:$J$32,IF(WEEKDAY(DE36)=1,DE36+1,IF(WEEKDAY(DE36)=7,DE36+2,DE36)))+COUNTIF(ClosedDays!$N$4:$N$32,IF(WEEKDAY(DE36)=1,DE36+1,IF(WEEKDAY(DE36)=7,DE36+2,DE36)))</f>
        <v>44473</v>
      </c>
      <c r="DG36" s="405">
        <f>DF36+IF(WEEKDAY(DF36)=1,1,IF(WEEKDAY(DF36)=7,2,0))+COUNTIF(ClosedDays!$B$4:$B$32,IF(WEEKDAY(DF36)=1,DF36+1,IF(WEEKDAY(DF36)=7,DF36+2,DF36)))+COUNTIF(ClosedDays!$F$4:$F$32,IF(WEEKDAY(DF36)=1,DF36+1,IF(WEEKDAY(DF36)=7,DF36+2,DF36)))+COUNTIF(ClosedDays!$J$4:$J$32,IF(WEEKDAY(DF36)=1,DF36+1,IF(WEEKDAY(DF36)=7,DF36+2,DF36)))+COUNTIF(ClosedDays!$N$4:$N$32,IF(WEEKDAY(DF36)=1,DF36+1,IF(WEEKDAY(DF36)=7,DF36+2,DF36)))</f>
        <v>44473</v>
      </c>
      <c r="DH36" s="405">
        <f>DG36+IF(WEEKDAY(DG36)=1,1,IF(WEEKDAY(DG36)=7,2,0))+COUNTIF(ClosedDays!$B$4:$B$32,IF(WEEKDAY(DG36)=1,DG36+1,IF(WEEKDAY(DG36)=7,DG36+2,DG36)))+COUNTIF(ClosedDays!$F$4:$F$32,IF(WEEKDAY(DG36)=1,DG36+1,IF(WEEKDAY(DG36)=7,DG36+2,DG36)))+COUNTIF(ClosedDays!$J$4:$J$32,IF(WEEKDAY(DG36)=1,DG36+1,IF(WEEKDAY(DG36)=7,DG36+2,DG36)))+COUNTIF(ClosedDays!$N$4:$N$32,IF(WEEKDAY(DG36)=1,DG36+1,IF(WEEKDAY(DG36)=7,DG36+2,DG36)))</f>
        <v>44473</v>
      </c>
      <c r="DI36" s="405">
        <f>DH36+IF(WEEKDAY(DH36)=1,1,IF(WEEKDAY(DH36)=7,2,0))+COUNTIF(ClosedDays!$B$4:$B$32,IF(WEEKDAY(DH36)=1,DH36+1,IF(WEEKDAY(DH36)=7,DH36+2,DH36)))+COUNTIF(ClosedDays!$F$4:$F$32,IF(WEEKDAY(DH36)=1,DH36+1,IF(WEEKDAY(DH36)=7,DH36+2,DH36)))+COUNTIF(ClosedDays!$J$4:$J$32,IF(WEEKDAY(DH36)=1,DH36+1,IF(WEEKDAY(DH36)=7,DH36+2,DH36)))+COUNTIF(ClosedDays!$N$4:$N$32,IF(WEEKDAY(DH36)=1,DH36+1,IF(WEEKDAY(DH36)=7,DH36+2,DH36)))</f>
        <v>44473</v>
      </c>
      <c r="DJ36" s="405">
        <f>DI36+IF(WEEKDAY(DI36)=1,1,IF(WEEKDAY(DI36)=7,2,0))+COUNTIF(ClosedDays!$B$4:$B$32,IF(WEEKDAY(DI36)=1,DI36+1,IF(WEEKDAY(DI36)=7,DI36+2,DI36)))+COUNTIF(ClosedDays!$F$4:$F$32,IF(WEEKDAY(DI36)=1,DI36+1,IF(WEEKDAY(DI36)=7,DI36+2,DI36)))+COUNTIF(ClosedDays!$J$4:$J$32,IF(WEEKDAY(DI36)=1,DI36+1,IF(WEEKDAY(DI36)=7,DI36+2,DI36)))+COUNTIF(ClosedDays!$N$4:$N$32,IF(WEEKDAY(DI36)=1,DI36+1,IF(WEEKDAY(DI36)=7,DI36+2,DI36)))</f>
        <v>44473</v>
      </c>
      <c r="DK36" s="405">
        <f>DJ36+IF(WEEKDAY(DJ36)=1,1,IF(WEEKDAY(DJ36)=7,2,0))+COUNTIF(ClosedDays!$B$4:$B$32,IF(WEEKDAY(DJ36)=1,DJ36+1,IF(WEEKDAY(DJ36)=7,DJ36+2,DJ36)))+COUNTIF(ClosedDays!$F$4:$F$32,IF(WEEKDAY(DJ36)=1,DJ36+1,IF(WEEKDAY(DJ36)=7,DJ36+2,DJ36)))+COUNTIF(ClosedDays!$J$4:$J$32,IF(WEEKDAY(DJ36)=1,DJ36+1,IF(WEEKDAY(DJ36)=7,DJ36+2,DJ36)))+COUNTIF(ClosedDays!$N$4:$N$32,IF(WEEKDAY(DJ36)=1,DJ36+1,IF(WEEKDAY(DJ36)=7,DJ36+2,DJ36)))</f>
        <v>44473</v>
      </c>
      <c r="DL36" s="405">
        <f>DK36+IF(WEEKDAY(DK36)=1,1,IF(WEEKDAY(DK36)=7,2,0))+COUNTIF(ClosedDays!$B$4:$B$32,IF(WEEKDAY(DK36)=1,DK36+1,IF(WEEKDAY(DK36)=7,DK36+2,DK36)))+COUNTIF(ClosedDays!$F$4:$F$32,IF(WEEKDAY(DK36)=1,DK36+1,IF(WEEKDAY(DK36)=7,DK36+2,DK36)))+COUNTIF(ClosedDays!$J$4:$J$32,IF(WEEKDAY(DK36)=1,DK36+1,IF(WEEKDAY(DK36)=7,DK36+2,DK36)))+COUNTIF(ClosedDays!$N$4:$N$32,IF(WEEKDAY(DK36)=1,DK36+1,IF(WEEKDAY(DK36)=7,DK36+2,DK36)))</f>
        <v>44473</v>
      </c>
      <c r="DM36" s="405">
        <f>DL36+IF(WEEKDAY(DL36)=1,1,IF(WEEKDAY(DL36)=7,2,0))+COUNTIF(ClosedDays!$B$4:$B$32,IF(WEEKDAY(DL36)=1,DL36+1,IF(WEEKDAY(DL36)=7,DL36+2,DL36)))+COUNTIF(ClosedDays!$F$4:$F$32,IF(WEEKDAY(DL36)=1,DL36+1,IF(WEEKDAY(DL36)=7,DL36+2,DL36)))+COUNTIF(ClosedDays!$J$4:$J$32,IF(WEEKDAY(DL36)=1,DL36+1,IF(WEEKDAY(DL36)=7,DL36+2,DL36)))+COUNTIF(ClosedDays!$N$4:$N$32,IF(WEEKDAY(DL36)=1,DL36+1,IF(WEEKDAY(DL36)=7,DL36+2,DL36)))</f>
        <v>44473</v>
      </c>
      <c r="DN36" s="405">
        <f>DM36+IF(WEEKDAY(DM36)=1,1,IF(WEEKDAY(DM36)=7,2,0))+COUNTIF(ClosedDays!$B$4:$B$32,IF(WEEKDAY(DM36)=1,DM36+1,IF(WEEKDAY(DM36)=7,DM36+2,DM36)))+COUNTIF(ClosedDays!$F$4:$F$32,IF(WEEKDAY(DM36)=1,DM36+1,IF(WEEKDAY(DM36)=7,DM36+2,DM36)))+COUNTIF(ClosedDays!$J$4:$J$32,IF(WEEKDAY(DM36)=1,DM36+1,IF(WEEKDAY(DM36)=7,DM36+2,DM36)))+COUNTIF(ClosedDays!$N$4:$N$32,IF(WEEKDAY(DM36)=1,DM36+1,IF(WEEKDAY(DM36)=7,DM36+2,DM36)))</f>
        <v>44473</v>
      </c>
      <c r="DO36" s="405">
        <f>DN36+IF(WEEKDAY(DN36)=1,1,IF(WEEKDAY(DN36)=7,2,0))+COUNTIF(ClosedDays!$B$4:$B$32,IF(WEEKDAY(DN36)=1,DN36+1,IF(WEEKDAY(DN36)=7,DN36+2,DN36)))+COUNTIF(ClosedDays!$F$4:$F$32,IF(WEEKDAY(DN36)=1,DN36+1,IF(WEEKDAY(DN36)=7,DN36+2,DN36)))+COUNTIF(ClosedDays!$J$4:$J$32,IF(WEEKDAY(DN36)=1,DN36+1,IF(WEEKDAY(DN36)=7,DN36+2,DN36)))+COUNTIF(ClosedDays!$N$4:$N$32,IF(WEEKDAY(DN36)=1,DN36+1,IF(WEEKDAY(DN36)=7,DN36+2,DN36)))</f>
        <v>44473</v>
      </c>
      <c r="DP36" s="405">
        <f t="shared" si="23"/>
        <v>44473</v>
      </c>
      <c r="DQ36" s="405">
        <f t="shared" si="20"/>
        <v>44473</v>
      </c>
      <c r="DR36" s="394">
        <f t="shared" si="19"/>
        <v>1</v>
      </c>
      <c r="DS36" s="394">
        <f>IF(AND(DR36=1,COUNTIF(DS$7:DS35,1)&lt;12,VLOOKUP(COUNTIF(DS$7:DS35,1)+1,'Outline Info'!$A$21:$C$32,2)&lt;=I36),1,0)</f>
        <v>0</v>
      </c>
      <c r="DT36" s="405" t="str">
        <f>IF(DS36=1,IF(VLOOKUP(COUNTIF(DS$7:DS36,1),'Outline Info'!$A$21:$C$32,2)=0,"",VLOOKUP(COUNTIF(DS$7:DS36,1),'Outline Info'!$A$21:$C$32,2)),"")</f>
        <v/>
      </c>
      <c r="DU36" s="447">
        <f>IF(DS36=1,VLOOKUP(COUNTIF(DS$7:DS36,1),'Outline Info'!$A$21:$C$32,3),0)</f>
        <v>0</v>
      </c>
      <c r="DV36" s="445">
        <f>IF('Outline Info'!$B$8="Y",IF(B36="*",'Outline Info'!$B$19,IF(OR($A36="",B36="X",B36="x"),0,VLOOKUP($A36,'Course Table'!$A$2:$J$331,4,TRUE))),0)</f>
        <v>0</v>
      </c>
      <c r="DW36" s="447">
        <f t="shared" si="6"/>
        <v>0</v>
      </c>
      <c r="DX36" s="447">
        <f>IF('Outline Info'!$B$8="Y",$DV36,$DW36)</f>
        <v>0</v>
      </c>
      <c r="DY36" s="394"/>
      <c r="DZ36" s="934"/>
      <c r="EA36" s="934"/>
      <c r="EB36" s="394"/>
      <c r="EC36" s="394"/>
      <c r="ED36" s="394"/>
    </row>
    <row r="37" spans="1:134" s="400" customFormat="1" ht="20.100000000000001" customHeight="1">
      <c r="A37" s="874" t="str">
        <f t="shared" si="7"/>
        <v/>
      </c>
      <c r="B37" s="876" t="str">
        <f t="shared" si="8"/>
        <v/>
      </c>
      <c r="C37" s="878" t="str">
        <f t="shared" si="9"/>
        <v/>
      </c>
      <c r="D37" s="463">
        <f>IF(NOT(ISBLANK(DZ37)),DZ37,IF(AND($AC37=9998,'Outline Info'!$H$33&gt;='Outline Info'!$B$6,'Outline Info'!$H$33&lt;='Outline Info'!$C$6),'Outline Info'!$H$33,IF(AND($AC37=9997,'Outline Info'!$H$31&gt;='Outline Info'!$B$6,'Outline Info'!$H$31&lt;='Outline Info'!$C$6),'Outline Info'!$H$31,IF(AE37="*",DQ36,IF(OR(AE37="x",AE37="X"),I36,IF(AND(AC37&gt;6,AC36&lt;6),DQ36,IF(AND($AC37=9998,$AC36=9997),I35,I36)))))))</f>
        <v>44470</v>
      </c>
      <c r="E37" s="1286"/>
      <c r="F37" s="1287"/>
      <c r="G37" s="1282"/>
      <c r="H37" s="1283"/>
      <c r="I37" s="464">
        <f>IF(AND($AC37=9998,'Outline Info'!$I$33&gt;='Outline Info'!$B$6,'Outline Info'!$I$33&lt;='Outline Info'!$C$6),'Outline Info'!$I$33,IF(AND($AC37=9997,'Outline Info'!$I$31&gt;='Outline Info'!$B$6,'Outline Info'!$I$31&lt;='Outline Info'!$C$6),'Outline Info'!$I$31,IF(DP37&gt;$V$4,$V$4,DP37)))</f>
        <v>44470</v>
      </c>
      <c r="J37" s="436"/>
      <c r="K37" s="437"/>
      <c r="L37" s="438"/>
      <c r="M37" s="438"/>
      <c r="N37" s="435"/>
      <c r="O37" s="435"/>
      <c r="P37" s="438"/>
      <c r="Q37" s="438"/>
      <c r="R37" s="439"/>
      <c r="S37" s="872">
        <f>IF($V$5-SUM($DX$7:$DX37)&lt;0,IF($V$5-SUM($DX$7:$DX36)&lt;0,0,$V$5-SUM($DX$7:$DX36)),DX37)</f>
        <v>0</v>
      </c>
      <c r="T37" s="440" t="str">
        <f>IF(S37&gt;0,IF('Outline Info'!$B$8="Y",D37,DT37),"")</f>
        <v/>
      </c>
      <c r="U37" s="441"/>
      <c r="V37" s="442"/>
      <c r="W37" s="870" t="str">
        <f>IF('Outline Info'!$C$33&gt;0,ROUND(IF('Outline Info'!$B$8="Y",SUM(S$7:S37)-SUM(AJ$7:AJ37)-'Outline Info'!$B$14-'Outline Info'!$B$15-'Outline Info'!$B$17,IF(AL37=0,SUM(S$7:S37)-SUM(AK$7:AK37)-SUM(AP37:AS37)-'Outline Info'!$B$14-'Outline Info'!$B$15-'Outline Info'!$B$17,0)),0),IF('Outline Info'!$T$4&lt;&gt;1,"",IF(OR(AD37="",AL37=1),"",SUM(AK$7:AK37)+SUM(AP37:AS37)+'Outline Info'!$B$14+'Outline Info'!$B$15+'Outline Info'!$B$17)))</f>
        <v/>
      </c>
      <c r="X37" s="448"/>
      <c r="Y37" s="443">
        <f>IF(OR(AE37="X",AE37="x",AE37="*",AC37=99999),0,IF(AC37&lt;50,0,IF($S$4-SUM($Y$7:$Y36)&gt;0,1,0)))</f>
        <v>0</v>
      </c>
      <c r="Z37" s="444">
        <f>IF(AC37&lt;99999,IF(AE37="*",AH37,IF(OR(AE37="x",AE37="X",AC37&lt;10),0,IF(AND(AC37&lt;&gt;9998,AC37&lt;&gt;9997),IF(AM37=1,(AH37+$AM$5)*(1+('Outline Info'!$B$16)),IF(AN37=1,(AH37+$AN$5)*(1+('Outline Info'!$B$16)),0)),AH37))),0)</f>
        <v>0</v>
      </c>
      <c r="AA37" s="395">
        <f>Z37/'Outline Info'!$C$11+Y37</f>
        <v>0</v>
      </c>
      <c r="AB37" s="395">
        <f>ROUND(AA37/'Outline Info'!$B$11*7,0)</f>
        <v>0</v>
      </c>
      <c r="AC37" s="445">
        <f>IF($AD37&lt;&gt;"",VLOOKUP($AD37,'Course Table'!$A$2:$J$331,10,TRUE),99999)</f>
        <v>99999</v>
      </c>
      <c r="AD37" s="394"/>
      <c r="AE37" s="394"/>
      <c r="AF37" s="394"/>
      <c r="AG37" s="394"/>
      <c r="AH37" s="394"/>
      <c r="AI37" s="394">
        <v>389</v>
      </c>
      <c r="AJ37" s="394">
        <v>389</v>
      </c>
      <c r="AK37" s="394">
        <f t="shared" si="10"/>
        <v>389</v>
      </c>
      <c r="AL37" s="394">
        <f t="shared" si="11"/>
        <v>0</v>
      </c>
      <c r="AM37" s="394">
        <f t="shared" si="12"/>
        <v>0</v>
      </c>
      <c r="AN37" s="394">
        <f t="shared" si="13"/>
        <v>0</v>
      </c>
      <c r="AO37" s="394">
        <f>IF(AN37=1,SUMPRODUCT($AJ$7:$AJ37,$AN$7:$AN37),0)</f>
        <v>0</v>
      </c>
      <c r="AP37" s="394">
        <f t="shared" si="14"/>
        <v>0</v>
      </c>
      <c r="AQ37" s="394">
        <f t="shared" si="14"/>
        <v>0</v>
      </c>
      <c r="AR37" s="394">
        <f t="shared" si="14"/>
        <v>0</v>
      </c>
      <c r="AS37" s="394">
        <f t="shared" si="14"/>
        <v>0</v>
      </c>
      <c r="AT37" s="394">
        <f t="shared" si="15"/>
        <v>0</v>
      </c>
      <c r="AU37" s="394">
        <f t="shared" si="15"/>
        <v>0</v>
      </c>
      <c r="AV37" s="394">
        <f t="shared" si="15"/>
        <v>0</v>
      </c>
      <c r="AW37" s="394">
        <f t="shared" si="15"/>
        <v>0</v>
      </c>
      <c r="AX37" s="394">
        <f t="shared" si="1"/>
        <v>0</v>
      </c>
      <c r="AY37" s="394">
        <f t="shared" si="2"/>
        <v>0</v>
      </c>
      <c r="AZ37" s="394">
        <f t="shared" si="3"/>
        <v>0</v>
      </c>
      <c r="BA37" s="394">
        <f t="shared" si="4"/>
        <v>0</v>
      </c>
      <c r="BB37" s="405">
        <f t="shared" si="22"/>
        <v>44473</v>
      </c>
      <c r="BC37" s="405">
        <f>BB37+IF(WEEKDAY(BB37)=1,1,IF(WEEKDAY(BB37)=7,2,0))+COUNTIF(ClosedDays!$B$4:$B$32,IF(WEEKDAY(BB37)=1,BB37+1,IF(WEEKDAY(BB37)=7,BB37+2,BB37)))+COUNTIF(ClosedDays!$F$4:$F$32,IF(WEEKDAY(BB37)=1,BB37+1,IF(WEEKDAY(BB37)=7,BB37+2,BB37)))+COUNTIF(ClosedDays!$J$4:$J$32,IF(WEEKDAY(BB37)=1,BB37+1,IF(WEEKDAY(BB37)=7,BB37+2,BB37)))+COUNTIF(ClosedDays!$N$4:$N$32,IF(WEEKDAY(BB37)=1,BB37+1,IF(WEEKDAY(BB37)=7,BB37+2,BB37)))</f>
        <v>44473</v>
      </c>
      <c r="BD37" s="405">
        <f>BC37+IF(WEEKDAY(BC37)=1,1,IF(WEEKDAY(BC37)=7,2,0))+COUNTIF(ClosedDays!$B$4:$B$32,IF(WEEKDAY(BC37)=1,BC37+1,IF(WEEKDAY(BC37)=7,BC37+2,BC37)))+COUNTIF(ClosedDays!$F$4:$F$32,IF(WEEKDAY(BC37)=1,BC37+1,IF(WEEKDAY(BC37)=7,BC37+2,BC37)))+COUNTIF(ClosedDays!$J$4:$J$32,IF(WEEKDAY(BC37)=1,BC37+1,IF(WEEKDAY(BC37)=7,BC37+2,BC37)))+COUNTIF(ClosedDays!$N$4:$N$32,IF(WEEKDAY(BC37)=1,BC37+1,IF(WEEKDAY(BC37)=7,BC37+2,BC37)))</f>
        <v>44473</v>
      </c>
      <c r="BE37" s="405">
        <f>BD37+IF(WEEKDAY(BD37)=1,1,IF(WEEKDAY(BD37)=7,2,0))+COUNTIF(ClosedDays!$B$4:$B$32,IF(WEEKDAY(BD37)=1,BD37+1,IF(WEEKDAY(BD37)=7,BD37+2,BD37)))+COUNTIF(ClosedDays!$F$4:$F$32,IF(WEEKDAY(BD37)=1,BD37+1,IF(WEEKDAY(BD37)=7,BD37+2,BD37)))+COUNTIF(ClosedDays!$J$4:$J$32,IF(WEEKDAY(BD37)=1,BD37+1,IF(WEEKDAY(BD37)=7,BD37+2,BD37)))+COUNTIF(ClosedDays!$N$4:$N$32,IF(WEEKDAY(BD37)=1,BD37+1,IF(WEEKDAY(BD37)=7,BD37+2,BD37)))</f>
        <v>44473</v>
      </c>
      <c r="BF37" s="405">
        <f>BE37+IF(WEEKDAY(BE37)=1,1,IF(WEEKDAY(BE37)=7,2,0))+COUNTIF(ClosedDays!$B$4:$B$32,IF(WEEKDAY(BE37)=1,BE37+1,IF(WEEKDAY(BE37)=7,BE37+2,BE37)))+COUNTIF(ClosedDays!$F$4:$F$32,IF(WEEKDAY(BE37)=1,BE37+1,IF(WEEKDAY(BE37)=7,BE37+2,BE37)))+COUNTIF(ClosedDays!$J$4:$J$32,IF(WEEKDAY(BE37)=1,BE37+1,IF(WEEKDAY(BE37)=7,BE37+2,BE37)))+COUNTIF(ClosedDays!$N$4:$N$32,IF(WEEKDAY(BE37)=1,BE37+1,IF(WEEKDAY(BE37)=7,BE37+2,BE37)))</f>
        <v>44473</v>
      </c>
      <c r="BG37" s="405">
        <f>BF37+IF(WEEKDAY(BF37)=1,1,IF(WEEKDAY(BF37)=7,2,0))+COUNTIF(ClosedDays!$B$4:$B$32,IF(WEEKDAY(BF37)=1,BF37+1,IF(WEEKDAY(BF37)=7,BF37+2,BF37)))+COUNTIF(ClosedDays!$F$4:$F$32,IF(WEEKDAY(BF37)=1,BF37+1,IF(WEEKDAY(BF37)=7,BF37+2,BF37)))+COUNTIF(ClosedDays!$J$4:$J$32,IF(WEEKDAY(BF37)=1,BF37+1,IF(WEEKDAY(BF37)=7,BF37+2,BF37)))+COUNTIF(ClosedDays!$N$4:$N$32,IF(WEEKDAY(BF37)=1,BF37+1,IF(WEEKDAY(BF37)=7,BF37+2,BF37)))</f>
        <v>44473</v>
      </c>
      <c r="BH37" s="405">
        <f>BG37+IF(WEEKDAY(BG37)=1,1,IF(WEEKDAY(BG37)=7,2,0))+COUNTIF(ClosedDays!$B$4:$B$32,IF(WEEKDAY(BG37)=1,BG37+1,IF(WEEKDAY(BG37)=7,BG37+2,BG37)))+COUNTIF(ClosedDays!$F$4:$F$32,IF(WEEKDAY(BG37)=1,BG37+1,IF(WEEKDAY(BG37)=7,BG37+2,BG37)))+COUNTIF(ClosedDays!$J$4:$J$32,IF(WEEKDAY(BG37)=1,BG37+1,IF(WEEKDAY(BG37)=7,BG37+2,BG37)))+COUNTIF(ClosedDays!$N$4:$N$32,IF(WEEKDAY(BG37)=1,BG37+1,IF(WEEKDAY(BG37)=7,BG37+2,BG37)))</f>
        <v>44473</v>
      </c>
      <c r="BI37" s="405">
        <f>BH37+IF(WEEKDAY(BH37)=1,1,IF(WEEKDAY(BH37)=7,2,0))+COUNTIF(ClosedDays!$B$4:$B$32,IF(WEEKDAY(BH37)=1,BH37+1,IF(WEEKDAY(BH37)=7,BH37+2,BH37)))+COUNTIF(ClosedDays!$F$4:$F$32,IF(WEEKDAY(BH37)=1,BH37+1,IF(WEEKDAY(BH37)=7,BH37+2,BH37)))+COUNTIF(ClosedDays!$J$4:$J$32,IF(WEEKDAY(BH37)=1,BH37+1,IF(WEEKDAY(BH37)=7,BH37+2,BH37)))+COUNTIF(ClosedDays!$N$4:$N$32,IF(WEEKDAY(BH37)=1,BH37+1,IF(WEEKDAY(BH37)=7,BH37+2,BH37)))</f>
        <v>44473</v>
      </c>
      <c r="BJ37" s="405">
        <f>BI37+IF(WEEKDAY(BI37)=1,1,IF(WEEKDAY(BI37)=7,2,0))+COUNTIF(ClosedDays!$B$4:$B$32,IF(WEEKDAY(BI37)=1,BI37+1,IF(WEEKDAY(BI37)=7,BI37+2,BI37)))+COUNTIF(ClosedDays!$F$4:$F$32,IF(WEEKDAY(BI37)=1,BI37+1,IF(WEEKDAY(BI37)=7,BI37+2,BI37)))+COUNTIF(ClosedDays!$J$4:$J$32,IF(WEEKDAY(BI37)=1,BI37+1,IF(WEEKDAY(BI37)=7,BI37+2,BI37)))+COUNTIF(ClosedDays!$N$4:$N$32,IF(WEEKDAY(BI37)=1,BI37+1,IF(WEEKDAY(BI37)=7,BI37+2,BI37)))</f>
        <v>44473</v>
      </c>
      <c r="BK37" s="405">
        <f>BJ37+IF(WEEKDAY(BJ37)=1,1,IF(WEEKDAY(BJ37)=7,2,0))+COUNTIF(ClosedDays!$B$4:$B$32,IF(WEEKDAY(BJ37)=1,BJ37+1,IF(WEEKDAY(BJ37)=7,BJ37+2,BJ37)))+COUNTIF(ClosedDays!$F$4:$F$32,IF(WEEKDAY(BJ37)=1,BJ37+1,IF(WEEKDAY(BJ37)=7,BJ37+2,BJ37)))+COUNTIF(ClosedDays!$J$4:$J$32,IF(WEEKDAY(BJ37)=1,BJ37+1,IF(WEEKDAY(BJ37)=7,BJ37+2,BJ37)))+COUNTIF(ClosedDays!$N$4:$N$32,IF(WEEKDAY(BJ37)=1,BJ37+1,IF(WEEKDAY(BJ37)=7,BJ37+2,BJ37)))</f>
        <v>44473</v>
      </c>
      <c r="BL37" s="405">
        <f>BK37+IF(WEEKDAY(BK37)=1,1,IF(WEEKDAY(BK37)=7,2,0))+COUNTIF(ClosedDays!$B$4:$B$32,IF(WEEKDAY(BK37)=1,BK37+1,IF(WEEKDAY(BK37)=7,BK37+2,BK37)))+COUNTIF(ClosedDays!$F$4:$F$32,IF(WEEKDAY(BK37)=1,BK37+1,IF(WEEKDAY(BK37)=7,BK37+2,BK37)))+COUNTIF(ClosedDays!$J$4:$J$32,IF(WEEKDAY(BK37)=1,BK37+1,IF(WEEKDAY(BK37)=7,BK37+2,BK37)))+COUNTIF(ClosedDays!$N$4:$N$32,IF(WEEKDAY(BK37)=1,BK37+1,IF(WEEKDAY(BK37)=7,BK37+2,BK37)))</f>
        <v>44473</v>
      </c>
      <c r="BM37" s="405">
        <f>BL37+IF(WEEKDAY(BL37)=1,1,IF(WEEKDAY(BL37)=7,2,0))+COUNTIF(ClosedDays!$B$4:$B$32,IF(WEEKDAY(BL37)=1,BL37+1,IF(WEEKDAY(BL37)=7,BL37+2,BL37)))+COUNTIF(ClosedDays!$F$4:$F$32,IF(WEEKDAY(BL37)=1,BL37+1,IF(WEEKDAY(BL37)=7,BL37+2,BL37)))+COUNTIF(ClosedDays!$J$4:$J$32,IF(WEEKDAY(BL37)=1,BL37+1,IF(WEEKDAY(BL37)=7,BL37+2,BL37)))+COUNTIF(ClosedDays!$N$4:$N$32,IF(WEEKDAY(BL37)=1,BL37+1,IF(WEEKDAY(BL37)=7,BL37+2,BL37)))</f>
        <v>44473</v>
      </c>
      <c r="BN37" s="405">
        <f>BM37+IF(WEEKDAY(BM37)=1,1,IF(WEEKDAY(BM37)=7,2,0))+COUNTIF(ClosedDays!$B$4:$B$32,IF(WEEKDAY(BM37)=1,BM37+1,IF(WEEKDAY(BM37)=7,BM37+2,BM37)))+COUNTIF(ClosedDays!$F$4:$F$32,IF(WEEKDAY(BM37)=1,BM37+1,IF(WEEKDAY(BM37)=7,BM37+2,BM37)))+COUNTIF(ClosedDays!$J$4:$J$32,IF(WEEKDAY(BM37)=1,BM37+1,IF(WEEKDAY(BM37)=7,BM37+2,BM37)))+COUNTIF(ClosedDays!$N$4:$N$32,IF(WEEKDAY(BM37)=1,BM37+1,IF(WEEKDAY(BM37)=7,BM37+2,BM37)))</f>
        <v>44473</v>
      </c>
      <c r="BO37" s="405">
        <f>BN37+IF(WEEKDAY(BN37)=1,1,IF(WEEKDAY(BN37)=7,2,0))+COUNTIF(ClosedDays!$B$4:$B$32,IF(WEEKDAY(BN37)=1,BN37+1,IF(WEEKDAY(BN37)=7,BN37+2,BN37)))+COUNTIF(ClosedDays!$F$4:$F$32,IF(WEEKDAY(BN37)=1,BN37+1,IF(WEEKDAY(BN37)=7,BN37+2,BN37)))+COUNTIF(ClosedDays!$J$4:$J$32,IF(WEEKDAY(BN37)=1,BN37+1,IF(WEEKDAY(BN37)=7,BN37+2,BN37)))+COUNTIF(ClosedDays!$N$4:$N$32,IF(WEEKDAY(BN37)=1,BN37+1,IF(WEEKDAY(BN37)=7,BN37+2,BN37)))</f>
        <v>44473</v>
      </c>
      <c r="BP37" s="405">
        <f>BO37+IF(WEEKDAY(BO37)=1,1,IF(WEEKDAY(BO37)=7,2,0))+COUNTIF(ClosedDays!$B$4:$B$32,IF(WEEKDAY(BO37)=1,BO37+1,IF(WEEKDAY(BO37)=7,BO37+2,BO37)))+COUNTIF(ClosedDays!$F$4:$F$32,IF(WEEKDAY(BO37)=1,BO37+1,IF(WEEKDAY(BO37)=7,BO37+2,BO37)))+COUNTIF(ClosedDays!$J$4:$J$32,IF(WEEKDAY(BO37)=1,BO37+1,IF(WEEKDAY(BO37)=7,BO37+2,BO37)))+COUNTIF(ClosedDays!$N$4:$N$32,IF(WEEKDAY(BO37)=1,BO37+1,IF(WEEKDAY(BO37)=7,BO37+2,BO37)))</f>
        <v>44473</v>
      </c>
      <c r="BQ37" s="405">
        <f t="shared" si="16"/>
        <v>44473</v>
      </c>
      <c r="BR37" s="446">
        <f>IF(AND($D37&lt;='Outline Info'!$H$31,BQ37&gt;='Outline Info'!$H$31,$BS$4=1,$AC37&gt;10,$AC37&lt;9997),1,0)</f>
        <v>0</v>
      </c>
      <c r="BS37" s="405">
        <f>IF(BR37=1,BQ37+'Outline Info'!$I$31-'Outline Info'!$H$31+1,BQ37)</f>
        <v>44473</v>
      </c>
      <c r="BT37" s="405">
        <f>BS37+IF(WEEKDAY(BS37)=1,1,IF(WEEKDAY(BS37)=7,2,0))+COUNTIF(ClosedDays!$B$4:$B$32,IF(WEEKDAY(BS37)=1,BS37+1,IF(WEEKDAY(BS37)=7,BS37+2,BS37)))+COUNTIF(ClosedDays!$F$4:$F$32,IF(WEEKDAY(BS37)=1,BS37+1,IF(WEEKDAY(BS37)=7,BS37+2,BS37)))+COUNTIF(ClosedDays!$J$4:$J$32,IF(WEEKDAY(BS37)=1,BS37+1,IF(WEEKDAY(BS37)=7,BS37+2,BS37)))+COUNTIF(ClosedDays!$N$4:$N$32,IF(WEEKDAY(BS37)=1,BS37+1,IF(WEEKDAY(BS37)=7,BS37+2,BS37)))</f>
        <v>44473</v>
      </c>
      <c r="BU37" s="405">
        <f>BT37+IF(WEEKDAY(BT37)=1,1,IF(WEEKDAY(BT37)=7,2,0))+COUNTIF(ClosedDays!$B$4:$B$32,IF(WEEKDAY(BT37)=1,BT37+1,IF(WEEKDAY(BT37)=7,BT37+2,BT37)))+COUNTIF(ClosedDays!$F$4:$F$32,IF(WEEKDAY(BT37)=1,BT37+1,IF(WEEKDAY(BT37)=7,BT37+2,BT37)))+COUNTIF(ClosedDays!$J$4:$J$32,IF(WEEKDAY(BT37)=1,BT37+1,IF(WEEKDAY(BT37)=7,BT37+2,BT37)))+COUNTIF(ClosedDays!$N$4:$N$32,IF(WEEKDAY(BT37)=1,BT37+1,IF(WEEKDAY(BT37)=7,BT37+2,BT37)))</f>
        <v>44473</v>
      </c>
      <c r="BV37" s="405">
        <f>BU37+IF(WEEKDAY(BU37)=1,1,IF(WEEKDAY(BU37)=7,2,0))+COUNTIF(ClosedDays!$B$4:$B$32,IF(WEEKDAY(BU37)=1,BU37+1,IF(WEEKDAY(BU37)=7,BU37+2,BU37)))+COUNTIF(ClosedDays!$F$4:$F$32,IF(WEEKDAY(BU37)=1,BU37+1,IF(WEEKDAY(BU37)=7,BU37+2,BU37)))+COUNTIF(ClosedDays!$J$4:$J$32,IF(WEEKDAY(BU37)=1,BU37+1,IF(WEEKDAY(BU37)=7,BU37+2,BU37)))+COUNTIF(ClosedDays!$N$4:$N$32,IF(WEEKDAY(BU37)=1,BU37+1,IF(WEEKDAY(BU37)=7,BU37+2,BU37)))</f>
        <v>44473</v>
      </c>
      <c r="BW37" s="405">
        <f>BV37+IF(WEEKDAY(BV37)=1,1,IF(WEEKDAY(BV37)=7,2,0))+COUNTIF(ClosedDays!$B$4:$B$32,IF(WEEKDAY(BV37)=1,BV37+1,IF(WEEKDAY(BV37)=7,BV37+2,BV37)))+COUNTIF(ClosedDays!$F$4:$F$32,IF(WEEKDAY(BV37)=1,BV37+1,IF(WEEKDAY(BV37)=7,BV37+2,BV37)))+COUNTIF(ClosedDays!$J$4:$J$32,IF(WEEKDAY(BV37)=1,BV37+1,IF(WEEKDAY(BV37)=7,BV37+2,BV37)))+COUNTIF(ClosedDays!$N$4:$N$32,IF(WEEKDAY(BV37)=1,BV37+1,IF(WEEKDAY(BV37)=7,BV37+2,BV37)))</f>
        <v>44473</v>
      </c>
      <c r="BX37" s="405">
        <f>BW37+IF(WEEKDAY(BW37)=1,1,IF(WEEKDAY(BW37)=7,2,0))+COUNTIF(ClosedDays!$B$4:$B$32,IF(WEEKDAY(BW37)=1,BW37+1,IF(WEEKDAY(BW37)=7,BW37+2,BW37)))+COUNTIF(ClosedDays!$F$4:$F$32,IF(WEEKDAY(BW37)=1,BW37+1,IF(WEEKDAY(BW37)=7,BW37+2,BW37)))+COUNTIF(ClosedDays!$J$4:$J$32,IF(WEEKDAY(BW37)=1,BW37+1,IF(WEEKDAY(BW37)=7,BW37+2,BW37)))+COUNTIF(ClosedDays!$N$4:$N$32,IF(WEEKDAY(BW37)=1,BW37+1,IF(WEEKDAY(BW37)=7,BW37+2,BW37)))</f>
        <v>44473</v>
      </c>
      <c r="BY37" s="405">
        <f>BX37+IF(WEEKDAY(BX37)=1,1,IF(WEEKDAY(BX37)=7,2,0))+COUNTIF(ClosedDays!$B$4:$B$32,IF(WEEKDAY(BX37)=1,BX37+1,IF(WEEKDAY(BX37)=7,BX37+2,BX37)))+COUNTIF(ClosedDays!$F$4:$F$32,IF(WEEKDAY(BX37)=1,BX37+1,IF(WEEKDAY(BX37)=7,BX37+2,BX37)))+COUNTIF(ClosedDays!$J$4:$J$32,IF(WEEKDAY(BX37)=1,BX37+1,IF(WEEKDAY(BX37)=7,BX37+2,BX37)))+COUNTIF(ClosedDays!$N$4:$N$32,IF(WEEKDAY(BX37)=1,BX37+1,IF(WEEKDAY(BX37)=7,BX37+2,BX37)))</f>
        <v>44473</v>
      </c>
      <c r="BZ37" s="405">
        <f>BY37+IF(WEEKDAY(BY37)=1,1,IF(WEEKDAY(BY37)=7,2,0))+COUNTIF(ClosedDays!$B$4:$B$32,IF(WEEKDAY(BY37)=1,BY37+1,IF(WEEKDAY(BY37)=7,BY37+2,BY37)))+COUNTIF(ClosedDays!$F$4:$F$32,IF(WEEKDAY(BY37)=1,BY37+1,IF(WEEKDAY(BY37)=7,BY37+2,BY37)))+COUNTIF(ClosedDays!$J$4:$J$32,IF(WEEKDAY(BY37)=1,BY37+1,IF(WEEKDAY(BY37)=7,BY37+2,BY37)))+COUNTIF(ClosedDays!$N$4:$N$32,IF(WEEKDAY(BY37)=1,BY37+1,IF(WEEKDAY(BY37)=7,BY37+2,BY37)))</f>
        <v>44473</v>
      </c>
      <c r="CA37" s="405">
        <f>BZ37+IF(WEEKDAY(BZ37)=1,1,IF(WEEKDAY(BZ37)=7,2,0))+COUNTIF(ClosedDays!$B$4:$B$32,IF(WEEKDAY(BZ37)=1,BZ37+1,IF(WEEKDAY(BZ37)=7,BZ37+2,BZ37)))+COUNTIF(ClosedDays!$F$4:$F$32,IF(WEEKDAY(BZ37)=1,BZ37+1,IF(WEEKDAY(BZ37)=7,BZ37+2,BZ37)))+COUNTIF(ClosedDays!$J$4:$J$32,IF(WEEKDAY(BZ37)=1,BZ37+1,IF(WEEKDAY(BZ37)=7,BZ37+2,BZ37)))+COUNTIF(ClosedDays!$N$4:$N$32,IF(WEEKDAY(BZ37)=1,BZ37+1,IF(WEEKDAY(BZ37)=7,BZ37+2,BZ37)))</f>
        <v>44473</v>
      </c>
      <c r="CB37" s="405">
        <f>CA37+IF(WEEKDAY(CA37)=1,1,IF(WEEKDAY(CA37)=7,2,0))+COUNTIF(ClosedDays!$B$4:$B$32,IF(WEEKDAY(CA37)=1,CA37+1,IF(WEEKDAY(CA37)=7,CA37+2,CA37)))+COUNTIF(ClosedDays!$F$4:$F$32,IF(WEEKDAY(CA37)=1,CA37+1,IF(WEEKDAY(CA37)=7,CA37+2,CA37)))+COUNTIF(ClosedDays!$J$4:$J$32,IF(WEEKDAY(CA37)=1,CA37+1,IF(WEEKDAY(CA37)=7,CA37+2,CA37)))+COUNTIF(ClosedDays!$N$4:$N$32,IF(WEEKDAY(CA37)=1,CA37+1,IF(WEEKDAY(CA37)=7,CA37+2,CA37)))</f>
        <v>44473</v>
      </c>
      <c r="CC37" s="405">
        <f>CB37+IF(WEEKDAY(CB37)=1,1,IF(WEEKDAY(CB37)=7,2,0))+COUNTIF(ClosedDays!$B$4:$B$32,IF(WEEKDAY(CB37)=1,CB37+1,IF(WEEKDAY(CB37)=7,CB37+2,CB37)))+COUNTIF(ClosedDays!$F$4:$F$32,IF(WEEKDAY(CB37)=1,CB37+1,IF(WEEKDAY(CB37)=7,CB37+2,CB37)))+COUNTIF(ClosedDays!$J$4:$J$32,IF(WEEKDAY(CB37)=1,CB37+1,IF(WEEKDAY(CB37)=7,CB37+2,CB37)))+COUNTIF(ClosedDays!$N$4:$N$32,IF(WEEKDAY(CB37)=1,CB37+1,IF(WEEKDAY(CB37)=7,CB37+2,CB37)))</f>
        <v>44473</v>
      </c>
      <c r="CD37" s="405">
        <f>CC37+IF(WEEKDAY(CC37)=1,1,IF(WEEKDAY(CC37)=7,2,0))+COUNTIF(ClosedDays!$B$4:$B$32,IF(WEEKDAY(CC37)=1,CC37+1,IF(WEEKDAY(CC37)=7,CC37+2,CC37)))+COUNTIF(ClosedDays!$F$4:$F$32,IF(WEEKDAY(CC37)=1,CC37+1,IF(WEEKDAY(CC37)=7,CC37+2,CC37)))+COUNTIF(ClosedDays!$J$4:$J$32,IF(WEEKDAY(CC37)=1,CC37+1,IF(WEEKDAY(CC37)=7,CC37+2,CC37)))+COUNTIF(ClosedDays!$N$4:$N$32,IF(WEEKDAY(CC37)=1,CC37+1,IF(WEEKDAY(CC37)=7,CC37+2,CC37)))</f>
        <v>44473</v>
      </c>
      <c r="CE37" s="405">
        <f>CD37+IF(WEEKDAY(CD37)=1,1,IF(WEEKDAY(CD37)=7,2,0))+COUNTIF(ClosedDays!$B$4:$B$32,IF(WEEKDAY(CD37)=1,CD37+1,IF(WEEKDAY(CD37)=7,CD37+2,CD37)))+COUNTIF(ClosedDays!$F$4:$F$32,IF(WEEKDAY(CD37)=1,CD37+1,IF(WEEKDAY(CD37)=7,CD37+2,CD37)))+COUNTIF(ClosedDays!$J$4:$J$32,IF(WEEKDAY(CD37)=1,CD37+1,IF(WEEKDAY(CD37)=7,CD37+2,CD37)))+COUNTIF(ClosedDays!$N$4:$N$32,IF(WEEKDAY(CD37)=1,CD37+1,IF(WEEKDAY(CD37)=7,CD37+2,CD37)))</f>
        <v>44473</v>
      </c>
      <c r="CF37" s="405">
        <f>CE37+IF(WEEKDAY(CE37)=1,1,IF(WEEKDAY(CE37)=7,2,0))+COUNTIF(ClosedDays!$B$4:$B$32,IF(WEEKDAY(CE37)=1,CE37+1,IF(WEEKDAY(CE37)=7,CE37+2,CE37)))+COUNTIF(ClosedDays!$F$4:$F$32,IF(WEEKDAY(CE37)=1,CE37+1,IF(WEEKDAY(CE37)=7,CE37+2,CE37)))+COUNTIF(ClosedDays!$J$4:$J$32,IF(WEEKDAY(CE37)=1,CE37+1,IF(WEEKDAY(CE37)=7,CE37+2,CE37)))+COUNTIF(ClosedDays!$N$4:$N$32,IF(WEEKDAY(CE37)=1,CE37+1,IF(WEEKDAY(CE37)=7,CE37+2,CE37)))</f>
        <v>44473</v>
      </c>
      <c r="CG37" s="405">
        <f>CF37+IF(WEEKDAY(CF37)=1,1,IF(WEEKDAY(CF37)=7,2,0))+COUNTIF(ClosedDays!$B$4:$B$32,IF(WEEKDAY(CF37)=1,CF37+1,IF(WEEKDAY(CF37)=7,CF37+2,CF37)))+COUNTIF(ClosedDays!$F$4:$F$32,IF(WEEKDAY(CF37)=1,CF37+1,IF(WEEKDAY(CF37)=7,CF37+2,CF37)))+COUNTIF(ClosedDays!$J$4:$J$32,IF(WEEKDAY(CF37)=1,CF37+1,IF(WEEKDAY(CF37)=7,CF37+2,CF37)))+COUNTIF(ClosedDays!$N$4:$N$32,IF(WEEKDAY(CF37)=1,CF37+1,IF(WEEKDAY(CF37)=7,CF37+2,CF37)))</f>
        <v>44473</v>
      </c>
      <c r="CH37" s="405">
        <f t="shared" si="17"/>
        <v>44473</v>
      </c>
      <c r="CI37" s="446">
        <f>IF(AND($D37&lt;='Outline Info'!$H$33,CH37&gt;='Outline Info'!$H$33,$CJ$4=1,$AC37&gt;10,$AC37&lt;9997),1,0)</f>
        <v>0</v>
      </c>
      <c r="CJ37" s="405">
        <f>IF(CI37=1,CH37+'Outline Info'!$I$33-'Outline Info'!$H$33+1,CH37)</f>
        <v>44473</v>
      </c>
      <c r="CK37" s="405">
        <f>CJ37+IF(WEEKDAY(CJ37)=1,1,IF(WEEKDAY(CJ37)=7,2,0))+COUNTIF(ClosedDays!$B$4:$B$32,IF(WEEKDAY(CJ37)=1,CJ37+1,IF(WEEKDAY(CJ37)=7,CJ37+2,CJ37)))+COUNTIF(ClosedDays!$F$4:$F$32,IF(WEEKDAY(CJ37)=1,CJ37+1,IF(WEEKDAY(CJ37)=7,CJ37+2,CJ37)))+COUNTIF(ClosedDays!$J$4:$J$32,IF(WEEKDAY(CJ37)=1,CJ37+1,IF(WEEKDAY(CJ37)=7,CJ37+2,CJ37)))+COUNTIF(ClosedDays!$N$4:$N$32,IF(WEEKDAY(CJ37)=1,CJ37+1,IF(WEEKDAY(CJ37)=7,CJ37+2,CJ37)))</f>
        <v>44473</v>
      </c>
      <c r="CL37" s="405">
        <f>CK37+IF(WEEKDAY(CK37)=1,1,IF(WEEKDAY(CK37)=7,2,0))+COUNTIF(ClosedDays!$B$4:$B$32,IF(WEEKDAY(CK37)=1,CK37+1,IF(WEEKDAY(CK37)=7,CK37+2,CK37)))+COUNTIF(ClosedDays!$F$4:$F$32,IF(WEEKDAY(CK37)=1,CK37+1,IF(WEEKDAY(CK37)=7,CK37+2,CK37)))+COUNTIF(ClosedDays!$J$4:$J$32,IF(WEEKDAY(CK37)=1,CK37+1,IF(WEEKDAY(CK37)=7,CK37+2,CK37)))+COUNTIF(ClosedDays!$N$4:$N$32,IF(WEEKDAY(CK37)=1,CK37+1,IF(WEEKDAY(CK37)=7,CK37+2,CK37)))</f>
        <v>44473</v>
      </c>
      <c r="CM37" s="405">
        <f>CL37+IF(WEEKDAY(CL37)=1,1,IF(WEEKDAY(CL37)=7,2,0))+COUNTIF(ClosedDays!$B$4:$B$32,IF(WEEKDAY(CL37)=1,CL37+1,IF(WEEKDAY(CL37)=7,CL37+2,CL37)))+COUNTIF(ClosedDays!$F$4:$F$32,IF(WEEKDAY(CL37)=1,CL37+1,IF(WEEKDAY(CL37)=7,CL37+2,CL37)))+COUNTIF(ClosedDays!$J$4:$J$32,IF(WEEKDAY(CL37)=1,CL37+1,IF(WEEKDAY(CL37)=7,CL37+2,CL37)))+COUNTIF(ClosedDays!$N$4:$N$32,IF(WEEKDAY(CL37)=1,CL37+1,IF(WEEKDAY(CL37)=7,CL37+2,CL37)))</f>
        <v>44473</v>
      </c>
      <c r="CN37" s="405">
        <f>CM37+IF(WEEKDAY(CM37)=1,1,IF(WEEKDAY(CM37)=7,2,0))+COUNTIF(ClosedDays!$B$4:$B$32,IF(WEEKDAY(CM37)=1,CM37+1,IF(WEEKDAY(CM37)=7,CM37+2,CM37)))+COUNTIF(ClosedDays!$F$4:$F$32,IF(WEEKDAY(CM37)=1,CM37+1,IF(WEEKDAY(CM37)=7,CM37+2,CM37)))+COUNTIF(ClosedDays!$J$4:$J$32,IF(WEEKDAY(CM37)=1,CM37+1,IF(WEEKDAY(CM37)=7,CM37+2,CM37)))+COUNTIF(ClosedDays!$N$4:$N$32,IF(WEEKDAY(CM37)=1,CM37+1,IF(WEEKDAY(CM37)=7,CM37+2,CM37)))</f>
        <v>44473</v>
      </c>
      <c r="CO37" s="405">
        <f>CN37+IF(WEEKDAY(CN37)=1,1,IF(WEEKDAY(CN37)=7,2,0))+COUNTIF(ClosedDays!$B$4:$B$32,IF(WEEKDAY(CN37)=1,CN37+1,IF(WEEKDAY(CN37)=7,CN37+2,CN37)))+COUNTIF(ClosedDays!$F$4:$F$32,IF(WEEKDAY(CN37)=1,CN37+1,IF(WEEKDAY(CN37)=7,CN37+2,CN37)))+COUNTIF(ClosedDays!$J$4:$J$32,IF(WEEKDAY(CN37)=1,CN37+1,IF(WEEKDAY(CN37)=7,CN37+2,CN37)))+COUNTIF(ClosedDays!$N$4:$N$32,IF(WEEKDAY(CN37)=1,CN37+1,IF(WEEKDAY(CN37)=7,CN37+2,CN37)))</f>
        <v>44473</v>
      </c>
      <c r="CP37" s="405">
        <f>CO37+IF(WEEKDAY(CO37)=1,1,IF(WEEKDAY(CO37)=7,2,0))+COUNTIF(ClosedDays!$B$4:$B$32,IF(WEEKDAY(CO37)=1,CO37+1,IF(WEEKDAY(CO37)=7,CO37+2,CO37)))+COUNTIF(ClosedDays!$F$4:$F$32,IF(WEEKDAY(CO37)=1,CO37+1,IF(WEEKDAY(CO37)=7,CO37+2,CO37)))+COUNTIF(ClosedDays!$J$4:$J$32,IF(WEEKDAY(CO37)=1,CO37+1,IF(WEEKDAY(CO37)=7,CO37+2,CO37)))+COUNTIF(ClosedDays!$N$4:$N$32,IF(WEEKDAY(CO37)=1,CO37+1,IF(WEEKDAY(CO37)=7,CO37+2,CO37)))</f>
        <v>44473</v>
      </c>
      <c r="CQ37" s="405">
        <f>CP37+IF(WEEKDAY(CP37)=1,1,IF(WEEKDAY(CP37)=7,2,0))+COUNTIF(ClosedDays!$B$4:$B$32,IF(WEEKDAY(CP37)=1,CP37+1,IF(WEEKDAY(CP37)=7,CP37+2,CP37)))+COUNTIF(ClosedDays!$F$4:$F$32,IF(WEEKDAY(CP37)=1,CP37+1,IF(WEEKDAY(CP37)=7,CP37+2,CP37)))+COUNTIF(ClosedDays!$J$4:$J$32,IF(WEEKDAY(CP37)=1,CP37+1,IF(WEEKDAY(CP37)=7,CP37+2,CP37)))+COUNTIF(ClosedDays!$N$4:$N$32,IF(WEEKDAY(CP37)=1,CP37+1,IF(WEEKDAY(CP37)=7,CP37+2,CP37)))</f>
        <v>44473</v>
      </c>
      <c r="CR37" s="405">
        <f>CQ37+IF(WEEKDAY(CQ37)=1,1,IF(WEEKDAY(CQ37)=7,2,0))+COUNTIF(ClosedDays!$B$4:$B$32,IF(WEEKDAY(CQ37)=1,CQ37+1,IF(WEEKDAY(CQ37)=7,CQ37+2,CQ37)))+COUNTIF(ClosedDays!$F$4:$F$32,IF(WEEKDAY(CQ37)=1,CQ37+1,IF(WEEKDAY(CQ37)=7,CQ37+2,CQ37)))+COUNTIF(ClosedDays!$J$4:$J$32,IF(WEEKDAY(CQ37)=1,CQ37+1,IF(WEEKDAY(CQ37)=7,CQ37+2,CQ37)))+COUNTIF(ClosedDays!$N$4:$N$32,IF(WEEKDAY(CQ37)=1,CQ37+1,IF(WEEKDAY(CQ37)=7,CQ37+2,CQ37)))</f>
        <v>44473</v>
      </c>
      <c r="CS37" s="405">
        <f>CR37+IF(WEEKDAY(CR37)=1,1,IF(WEEKDAY(CR37)=7,2,0))+COUNTIF(ClosedDays!$B$4:$B$32,IF(WEEKDAY(CR37)=1,CR37+1,IF(WEEKDAY(CR37)=7,CR37+2,CR37)))+COUNTIF(ClosedDays!$F$4:$F$32,IF(WEEKDAY(CR37)=1,CR37+1,IF(WEEKDAY(CR37)=7,CR37+2,CR37)))+COUNTIF(ClosedDays!$J$4:$J$32,IF(WEEKDAY(CR37)=1,CR37+1,IF(WEEKDAY(CR37)=7,CR37+2,CR37)))+COUNTIF(ClosedDays!$N$4:$N$32,IF(WEEKDAY(CR37)=1,CR37+1,IF(WEEKDAY(CR37)=7,CR37+2,CR37)))</f>
        <v>44473</v>
      </c>
      <c r="CT37" s="405">
        <f>CS37+IF(WEEKDAY(CS37)=1,1,IF(WEEKDAY(CS37)=7,2,0))+COUNTIF(ClosedDays!$B$4:$B$32,IF(WEEKDAY(CS37)=1,CS37+1,IF(WEEKDAY(CS37)=7,CS37+2,CS37)))+COUNTIF(ClosedDays!$F$4:$F$32,IF(WEEKDAY(CS37)=1,CS37+1,IF(WEEKDAY(CS37)=7,CS37+2,CS37)))+COUNTIF(ClosedDays!$J$4:$J$32,IF(WEEKDAY(CS37)=1,CS37+1,IF(WEEKDAY(CS37)=7,CS37+2,CS37)))+COUNTIF(ClosedDays!$N$4:$N$32,IF(WEEKDAY(CS37)=1,CS37+1,IF(WEEKDAY(CS37)=7,CS37+2,CS37)))</f>
        <v>44473</v>
      </c>
      <c r="CU37" s="405">
        <f>CT37+IF(WEEKDAY(CT37)=1,1,IF(WEEKDAY(CT37)=7,2,0))+COUNTIF(ClosedDays!$B$4:$B$32,IF(WEEKDAY(CT37)=1,CT37+1,IF(WEEKDAY(CT37)=7,CT37+2,CT37)))+COUNTIF(ClosedDays!$F$4:$F$32,IF(WEEKDAY(CT37)=1,CT37+1,IF(WEEKDAY(CT37)=7,CT37+2,CT37)))+COUNTIF(ClosedDays!$J$4:$J$32,IF(WEEKDAY(CT37)=1,CT37+1,IF(WEEKDAY(CT37)=7,CT37+2,CT37)))+COUNTIF(ClosedDays!$N$4:$N$32,IF(WEEKDAY(CT37)=1,CT37+1,IF(WEEKDAY(CT37)=7,CT37+2,CT37)))</f>
        <v>44473</v>
      </c>
      <c r="CV37" s="405">
        <f>CU37+IF(WEEKDAY(CU37)=1,1,IF(WEEKDAY(CU37)=7,2,0))+COUNTIF(ClosedDays!$B$4:$B$32,IF(WEEKDAY(CU37)=1,CU37+1,IF(WEEKDAY(CU37)=7,CU37+2,CU37)))+COUNTIF(ClosedDays!$F$4:$F$32,IF(WEEKDAY(CU37)=1,CU37+1,IF(WEEKDAY(CU37)=7,CU37+2,CU37)))+COUNTIF(ClosedDays!$J$4:$J$32,IF(WEEKDAY(CU37)=1,CU37+1,IF(WEEKDAY(CU37)=7,CU37+2,CU37)))+COUNTIF(ClosedDays!$N$4:$N$32,IF(WEEKDAY(CU37)=1,CU37+1,IF(WEEKDAY(CU37)=7,CU37+2,CU37)))</f>
        <v>44473</v>
      </c>
      <c r="CW37" s="405">
        <f>CV37+IF(WEEKDAY(CV37)=1,1,IF(WEEKDAY(CV37)=7,2,0))+COUNTIF(ClosedDays!$B$4:$B$32,IF(WEEKDAY(CV37)=1,CV37+1,IF(WEEKDAY(CV37)=7,CV37+2,CV37)))+COUNTIF(ClosedDays!$F$4:$F$32,IF(WEEKDAY(CV37)=1,CV37+1,IF(WEEKDAY(CV37)=7,CV37+2,CV37)))+COUNTIF(ClosedDays!$J$4:$J$32,IF(WEEKDAY(CV37)=1,CV37+1,IF(WEEKDAY(CV37)=7,CV37+2,CV37)))+COUNTIF(ClosedDays!$N$4:$N$32,IF(WEEKDAY(CV37)=1,CV37+1,IF(WEEKDAY(CV37)=7,CV37+2,CV37)))</f>
        <v>44473</v>
      </c>
      <c r="CX37" s="405">
        <f>CW37+IF(WEEKDAY(CW37)=1,1,IF(WEEKDAY(CW37)=7,2,0))+COUNTIF(ClosedDays!$B$4:$B$32,IF(WEEKDAY(CW37)=1,CW37+1,IF(WEEKDAY(CW37)=7,CW37+2,CW37)))+COUNTIF(ClosedDays!$F$4:$F$32,IF(WEEKDAY(CW37)=1,CW37+1,IF(WEEKDAY(CW37)=7,CW37+2,CW37)))+COUNTIF(ClosedDays!$J$4:$J$32,IF(WEEKDAY(CW37)=1,CW37+1,IF(WEEKDAY(CW37)=7,CW37+2,CW37)))+COUNTIF(ClosedDays!$N$4:$N$32,IF(WEEKDAY(CW37)=1,CW37+1,IF(WEEKDAY(CW37)=7,CW37+2,CW37)))</f>
        <v>44473</v>
      </c>
      <c r="CY37" s="405">
        <f t="shared" si="18"/>
        <v>44473</v>
      </c>
      <c r="CZ37" s="446">
        <f>IF(AND($D37&lt;='Outline Info'!$E$33,CY37&gt;='Outline Info'!$E$33,$AC37&gt;10,$AC37&lt;9997),1,0)</f>
        <v>0</v>
      </c>
      <c r="DA37" s="405">
        <f>IF(AND($D37&lt;='Outline Info'!$E$33,CY37&gt;='Outline Info'!$E$33),CY37+'Outline Info'!$F$33-'Outline Info'!$E$33+1,CY37)</f>
        <v>44473</v>
      </c>
      <c r="DB37" s="405">
        <f>DA37+IF(WEEKDAY(DA37)=1,1,IF(WEEKDAY(DA37)=7,2,0))+COUNTIF(ClosedDays!$B$4:$B$32,IF(WEEKDAY(DA37)=1,DA37+1,IF(WEEKDAY(DA37)=7,DA37+2,DA37)))+COUNTIF(ClosedDays!$F$4:$F$32,IF(WEEKDAY(DA37)=1,DA37+1,IF(WEEKDAY(DA37)=7,DA37+2,DA37)))+COUNTIF(ClosedDays!$J$4:$J$32,IF(WEEKDAY(DA37)=1,DA37+1,IF(WEEKDAY(DA37)=7,DA37+2,DA37)))+COUNTIF(ClosedDays!$N$4:$N$32,IF(WEEKDAY(DA37)=1,DA37+1,IF(WEEKDAY(DA37)=7,DA37+2,DA37)))</f>
        <v>44473</v>
      </c>
      <c r="DC37" s="405">
        <f>DB37+IF(WEEKDAY(DB37)=1,1,IF(WEEKDAY(DB37)=7,2,0))+COUNTIF(ClosedDays!$B$4:$B$32,IF(WEEKDAY(DB37)=1,DB37+1,IF(WEEKDAY(DB37)=7,DB37+2,DB37)))+COUNTIF(ClosedDays!$F$4:$F$32,IF(WEEKDAY(DB37)=1,DB37+1,IF(WEEKDAY(DB37)=7,DB37+2,DB37)))+COUNTIF(ClosedDays!$J$4:$J$32,IF(WEEKDAY(DB37)=1,DB37+1,IF(WEEKDAY(DB37)=7,DB37+2,DB37)))+COUNTIF(ClosedDays!$N$4:$N$32,IF(WEEKDAY(DB37)=1,DB37+1,IF(WEEKDAY(DB37)=7,DB37+2,DB37)))</f>
        <v>44473</v>
      </c>
      <c r="DD37" s="405">
        <f>DC37+IF(WEEKDAY(DC37)=1,1,IF(WEEKDAY(DC37)=7,2,0))+COUNTIF(ClosedDays!$B$4:$B$32,IF(WEEKDAY(DC37)=1,DC37+1,IF(WEEKDAY(DC37)=7,DC37+2,DC37)))+COUNTIF(ClosedDays!$F$4:$F$32,IF(WEEKDAY(DC37)=1,DC37+1,IF(WEEKDAY(DC37)=7,DC37+2,DC37)))+COUNTIF(ClosedDays!$J$4:$J$32,IF(WEEKDAY(DC37)=1,DC37+1,IF(WEEKDAY(DC37)=7,DC37+2,DC37)))+COUNTIF(ClosedDays!$N$4:$N$32,IF(WEEKDAY(DC37)=1,DC37+1,IF(WEEKDAY(DC37)=7,DC37+2,DC37)))</f>
        <v>44473</v>
      </c>
      <c r="DE37" s="405">
        <f>DD37+IF(WEEKDAY(DD37)=1,1,IF(WEEKDAY(DD37)=7,2,0))+COUNTIF(ClosedDays!$B$4:$B$32,IF(WEEKDAY(DD37)=1,DD37+1,IF(WEEKDAY(DD37)=7,DD37+2,DD37)))+COUNTIF(ClosedDays!$F$4:$F$32,IF(WEEKDAY(DD37)=1,DD37+1,IF(WEEKDAY(DD37)=7,DD37+2,DD37)))+COUNTIF(ClosedDays!$J$4:$J$32,IF(WEEKDAY(DD37)=1,DD37+1,IF(WEEKDAY(DD37)=7,DD37+2,DD37)))+COUNTIF(ClosedDays!$N$4:$N$32,IF(WEEKDAY(DD37)=1,DD37+1,IF(WEEKDAY(DD37)=7,DD37+2,DD37)))</f>
        <v>44473</v>
      </c>
      <c r="DF37" s="405">
        <f>DE37+IF(WEEKDAY(DE37)=1,1,IF(WEEKDAY(DE37)=7,2,0))+COUNTIF(ClosedDays!$B$4:$B$32,IF(WEEKDAY(DE37)=1,DE37+1,IF(WEEKDAY(DE37)=7,DE37+2,DE37)))+COUNTIF(ClosedDays!$F$4:$F$32,IF(WEEKDAY(DE37)=1,DE37+1,IF(WEEKDAY(DE37)=7,DE37+2,DE37)))+COUNTIF(ClosedDays!$J$4:$J$32,IF(WEEKDAY(DE37)=1,DE37+1,IF(WEEKDAY(DE37)=7,DE37+2,DE37)))+COUNTIF(ClosedDays!$N$4:$N$32,IF(WEEKDAY(DE37)=1,DE37+1,IF(WEEKDAY(DE37)=7,DE37+2,DE37)))</f>
        <v>44473</v>
      </c>
      <c r="DG37" s="405">
        <f>DF37+IF(WEEKDAY(DF37)=1,1,IF(WEEKDAY(DF37)=7,2,0))+COUNTIF(ClosedDays!$B$4:$B$32,IF(WEEKDAY(DF37)=1,DF37+1,IF(WEEKDAY(DF37)=7,DF37+2,DF37)))+COUNTIF(ClosedDays!$F$4:$F$32,IF(WEEKDAY(DF37)=1,DF37+1,IF(WEEKDAY(DF37)=7,DF37+2,DF37)))+COUNTIF(ClosedDays!$J$4:$J$32,IF(WEEKDAY(DF37)=1,DF37+1,IF(WEEKDAY(DF37)=7,DF37+2,DF37)))+COUNTIF(ClosedDays!$N$4:$N$32,IF(WEEKDAY(DF37)=1,DF37+1,IF(WEEKDAY(DF37)=7,DF37+2,DF37)))</f>
        <v>44473</v>
      </c>
      <c r="DH37" s="405">
        <f>DG37+IF(WEEKDAY(DG37)=1,1,IF(WEEKDAY(DG37)=7,2,0))+COUNTIF(ClosedDays!$B$4:$B$32,IF(WEEKDAY(DG37)=1,DG37+1,IF(WEEKDAY(DG37)=7,DG37+2,DG37)))+COUNTIF(ClosedDays!$F$4:$F$32,IF(WEEKDAY(DG37)=1,DG37+1,IF(WEEKDAY(DG37)=7,DG37+2,DG37)))+COUNTIF(ClosedDays!$J$4:$J$32,IF(WEEKDAY(DG37)=1,DG37+1,IF(WEEKDAY(DG37)=7,DG37+2,DG37)))+COUNTIF(ClosedDays!$N$4:$N$32,IF(WEEKDAY(DG37)=1,DG37+1,IF(WEEKDAY(DG37)=7,DG37+2,DG37)))</f>
        <v>44473</v>
      </c>
      <c r="DI37" s="405">
        <f>DH37+IF(WEEKDAY(DH37)=1,1,IF(WEEKDAY(DH37)=7,2,0))+COUNTIF(ClosedDays!$B$4:$B$32,IF(WEEKDAY(DH37)=1,DH37+1,IF(WEEKDAY(DH37)=7,DH37+2,DH37)))+COUNTIF(ClosedDays!$F$4:$F$32,IF(WEEKDAY(DH37)=1,DH37+1,IF(WEEKDAY(DH37)=7,DH37+2,DH37)))+COUNTIF(ClosedDays!$J$4:$J$32,IF(WEEKDAY(DH37)=1,DH37+1,IF(WEEKDAY(DH37)=7,DH37+2,DH37)))+COUNTIF(ClosedDays!$N$4:$N$32,IF(WEEKDAY(DH37)=1,DH37+1,IF(WEEKDAY(DH37)=7,DH37+2,DH37)))</f>
        <v>44473</v>
      </c>
      <c r="DJ37" s="405">
        <f>DI37+IF(WEEKDAY(DI37)=1,1,IF(WEEKDAY(DI37)=7,2,0))+COUNTIF(ClosedDays!$B$4:$B$32,IF(WEEKDAY(DI37)=1,DI37+1,IF(WEEKDAY(DI37)=7,DI37+2,DI37)))+COUNTIF(ClosedDays!$F$4:$F$32,IF(WEEKDAY(DI37)=1,DI37+1,IF(WEEKDAY(DI37)=7,DI37+2,DI37)))+COUNTIF(ClosedDays!$J$4:$J$32,IF(WEEKDAY(DI37)=1,DI37+1,IF(WEEKDAY(DI37)=7,DI37+2,DI37)))+COUNTIF(ClosedDays!$N$4:$N$32,IF(WEEKDAY(DI37)=1,DI37+1,IF(WEEKDAY(DI37)=7,DI37+2,DI37)))</f>
        <v>44473</v>
      </c>
      <c r="DK37" s="405">
        <f>DJ37+IF(WEEKDAY(DJ37)=1,1,IF(WEEKDAY(DJ37)=7,2,0))+COUNTIF(ClosedDays!$B$4:$B$32,IF(WEEKDAY(DJ37)=1,DJ37+1,IF(WEEKDAY(DJ37)=7,DJ37+2,DJ37)))+COUNTIF(ClosedDays!$F$4:$F$32,IF(WEEKDAY(DJ37)=1,DJ37+1,IF(WEEKDAY(DJ37)=7,DJ37+2,DJ37)))+COUNTIF(ClosedDays!$J$4:$J$32,IF(WEEKDAY(DJ37)=1,DJ37+1,IF(WEEKDAY(DJ37)=7,DJ37+2,DJ37)))+COUNTIF(ClosedDays!$N$4:$N$32,IF(WEEKDAY(DJ37)=1,DJ37+1,IF(WEEKDAY(DJ37)=7,DJ37+2,DJ37)))</f>
        <v>44473</v>
      </c>
      <c r="DL37" s="405">
        <f>DK37+IF(WEEKDAY(DK37)=1,1,IF(WEEKDAY(DK37)=7,2,0))+COUNTIF(ClosedDays!$B$4:$B$32,IF(WEEKDAY(DK37)=1,DK37+1,IF(WEEKDAY(DK37)=7,DK37+2,DK37)))+COUNTIF(ClosedDays!$F$4:$F$32,IF(WEEKDAY(DK37)=1,DK37+1,IF(WEEKDAY(DK37)=7,DK37+2,DK37)))+COUNTIF(ClosedDays!$J$4:$J$32,IF(WEEKDAY(DK37)=1,DK37+1,IF(WEEKDAY(DK37)=7,DK37+2,DK37)))+COUNTIF(ClosedDays!$N$4:$N$32,IF(WEEKDAY(DK37)=1,DK37+1,IF(WEEKDAY(DK37)=7,DK37+2,DK37)))</f>
        <v>44473</v>
      </c>
      <c r="DM37" s="405">
        <f>DL37+IF(WEEKDAY(DL37)=1,1,IF(WEEKDAY(DL37)=7,2,0))+COUNTIF(ClosedDays!$B$4:$B$32,IF(WEEKDAY(DL37)=1,DL37+1,IF(WEEKDAY(DL37)=7,DL37+2,DL37)))+COUNTIF(ClosedDays!$F$4:$F$32,IF(WEEKDAY(DL37)=1,DL37+1,IF(WEEKDAY(DL37)=7,DL37+2,DL37)))+COUNTIF(ClosedDays!$J$4:$J$32,IF(WEEKDAY(DL37)=1,DL37+1,IF(WEEKDAY(DL37)=7,DL37+2,DL37)))+COUNTIF(ClosedDays!$N$4:$N$32,IF(WEEKDAY(DL37)=1,DL37+1,IF(WEEKDAY(DL37)=7,DL37+2,DL37)))</f>
        <v>44473</v>
      </c>
      <c r="DN37" s="405">
        <f>DM37+IF(WEEKDAY(DM37)=1,1,IF(WEEKDAY(DM37)=7,2,0))+COUNTIF(ClosedDays!$B$4:$B$32,IF(WEEKDAY(DM37)=1,DM37+1,IF(WEEKDAY(DM37)=7,DM37+2,DM37)))+COUNTIF(ClosedDays!$F$4:$F$32,IF(WEEKDAY(DM37)=1,DM37+1,IF(WEEKDAY(DM37)=7,DM37+2,DM37)))+COUNTIF(ClosedDays!$J$4:$J$32,IF(WEEKDAY(DM37)=1,DM37+1,IF(WEEKDAY(DM37)=7,DM37+2,DM37)))+COUNTIF(ClosedDays!$N$4:$N$32,IF(WEEKDAY(DM37)=1,DM37+1,IF(WEEKDAY(DM37)=7,DM37+2,DM37)))</f>
        <v>44473</v>
      </c>
      <c r="DO37" s="405">
        <f>DN37+IF(WEEKDAY(DN37)=1,1,IF(WEEKDAY(DN37)=7,2,0))+COUNTIF(ClosedDays!$B$4:$B$32,IF(WEEKDAY(DN37)=1,DN37+1,IF(WEEKDAY(DN37)=7,DN37+2,DN37)))+COUNTIF(ClosedDays!$F$4:$F$32,IF(WEEKDAY(DN37)=1,DN37+1,IF(WEEKDAY(DN37)=7,DN37+2,DN37)))+COUNTIF(ClosedDays!$J$4:$J$32,IF(WEEKDAY(DN37)=1,DN37+1,IF(WEEKDAY(DN37)=7,DN37+2,DN37)))+COUNTIF(ClosedDays!$N$4:$N$32,IF(WEEKDAY(DN37)=1,DN37+1,IF(WEEKDAY(DN37)=7,DN37+2,DN37)))</f>
        <v>44473</v>
      </c>
      <c r="DP37" s="405">
        <f t="shared" si="23"/>
        <v>44473</v>
      </c>
      <c r="DQ37" s="405">
        <f t="shared" si="20"/>
        <v>44473</v>
      </c>
      <c r="DR37" s="394">
        <f t="shared" si="19"/>
        <v>1</v>
      </c>
      <c r="DS37" s="394">
        <f>IF(AND(DR37=1,COUNTIF(DS$7:DS36,1)&lt;12,VLOOKUP(COUNTIF(DS$7:DS36,1)+1,'Outline Info'!$A$21:$C$32,2)&lt;=I37),1,0)</f>
        <v>0</v>
      </c>
      <c r="DT37" s="405" t="str">
        <f>IF(DS37=1,IF(VLOOKUP(COUNTIF(DS$7:DS37,1),'Outline Info'!$A$21:$C$32,2)=0,"",VLOOKUP(COUNTIF(DS$7:DS37,1),'Outline Info'!$A$21:$C$32,2)),"")</f>
        <v/>
      </c>
      <c r="DU37" s="447">
        <f>IF(DS37=1,VLOOKUP(COUNTIF(DS$7:DS37,1),'Outline Info'!$A$21:$C$32,3),0)</f>
        <v>0</v>
      </c>
      <c r="DV37" s="445">
        <f>IF('Outline Info'!$B$8="Y",IF(B37="*",'Outline Info'!$B$19,IF(OR($A37="",B37="X",B37="x"),0,VLOOKUP($A37,'Course Table'!$A$2:$J$331,4,TRUE))),0)</f>
        <v>0</v>
      </c>
      <c r="DW37" s="447">
        <f t="shared" si="6"/>
        <v>0</v>
      </c>
      <c r="DX37" s="447">
        <f>IF('Outline Info'!$B$8="Y",$DV37,$DW37)</f>
        <v>0</v>
      </c>
      <c r="DY37" s="394"/>
      <c r="DZ37" s="934"/>
      <c r="EA37" s="934"/>
      <c r="EB37" s="394"/>
      <c r="EC37" s="394"/>
      <c r="ED37" s="394"/>
    </row>
    <row r="38" spans="1:134" s="400" customFormat="1" ht="20.100000000000001" customHeight="1">
      <c r="A38" s="874" t="str">
        <f t="shared" si="7"/>
        <v/>
      </c>
      <c r="B38" s="876" t="str">
        <f t="shared" si="8"/>
        <v/>
      </c>
      <c r="C38" s="878" t="str">
        <f t="shared" si="9"/>
        <v/>
      </c>
      <c r="D38" s="463">
        <f>IF(NOT(ISBLANK(DZ38)),DZ38,IF(AND($AC38=9998,'Outline Info'!$H$33&gt;='Outline Info'!$B$6,'Outline Info'!$H$33&lt;='Outline Info'!$C$6),'Outline Info'!$H$33,IF(AND($AC38=9997,'Outline Info'!$H$31&gt;='Outline Info'!$B$6,'Outline Info'!$H$31&lt;='Outline Info'!$C$6),'Outline Info'!$H$31,IF(AE38="*",DQ37,IF(OR(AE38="x",AE38="X"),I37,IF(AND(AC38&gt;6,AC37&lt;6),DQ37,IF(AND($AC38=9998,$AC37=9997),I36,I37)))))))</f>
        <v>44470</v>
      </c>
      <c r="E38" s="1286"/>
      <c r="F38" s="1287"/>
      <c r="G38" s="1282"/>
      <c r="H38" s="1283"/>
      <c r="I38" s="464">
        <f>IF(AND($AC38=9998,'Outline Info'!$I$33&gt;='Outline Info'!$B$6,'Outline Info'!$I$33&lt;='Outline Info'!$C$6),'Outline Info'!$I$33,IF(AND($AC38=9997,'Outline Info'!$I$31&gt;='Outline Info'!$B$6,'Outline Info'!$I$31&lt;='Outline Info'!$C$6),'Outline Info'!$I$31,IF(DP38&gt;$V$4,$V$4,DP38)))</f>
        <v>44470</v>
      </c>
      <c r="J38" s="436"/>
      <c r="K38" s="437"/>
      <c r="L38" s="438"/>
      <c r="M38" s="438"/>
      <c r="N38" s="435"/>
      <c r="O38" s="435"/>
      <c r="P38" s="438"/>
      <c r="Q38" s="438"/>
      <c r="R38" s="439"/>
      <c r="S38" s="872">
        <f>IF($V$5-SUM($DX$7:$DX38)&lt;0,IF($V$5-SUM($DX$7:$DX37)&lt;0,0,$V$5-SUM($DX$7:$DX37)),DX38)</f>
        <v>0</v>
      </c>
      <c r="T38" s="440" t="str">
        <f>IF(S38&gt;0,IF('Outline Info'!$B$8="Y",D38,DT38),"")</f>
        <v/>
      </c>
      <c r="U38" s="441"/>
      <c r="V38" s="442"/>
      <c r="W38" s="870" t="str">
        <f>IF('Outline Info'!$C$33&gt;0,ROUND(IF('Outline Info'!$B$8="Y",SUM(S$7:S38)-SUM(AJ$7:AJ38)-'Outline Info'!$B$14-'Outline Info'!$B$15-'Outline Info'!$B$17,IF(AL38=0,SUM(S$7:S38)-SUM(AK$7:AK38)-SUM(AP38:AS38)-'Outline Info'!$B$14-'Outline Info'!$B$15-'Outline Info'!$B$17,0)),0),IF('Outline Info'!$T$4&lt;&gt;1,"",IF(OR(AD38="",AL38=1),"",SUM(AK$7:AK38)+SUM(AP38:AS38)+'Outline Info'!$B$14+'Outline Info'!$B$15+'Outline Info'!$B$17)))</f>
        <v/>
      </c>
      <c r="X38" s="448"/>
      <c r="Y38" s="443">
        <f>IF(OR(AE38="X",AE38="x",AE38="*",AC38=99999),0,IF(AC38&lt;50,0,IF($S$4-SUM($Y$7:$Y37)&gt;0,1,0)))</f>
        <v>0</v>
      </c>
      <c r="Z38" s="444">
        <f>IF(AC38&lt;99999,IF(AE38="*",AH38,IF(OR(AE38="x",AE38="X",AC38&lt;10),0,IF(AND(AC38&lt;&gt;9998,AC38&lt;&gt;9997),IF(AM38=1,(AH38+$AM$5)*(1+('Outline Info'!$B$16)),IF(AN38=1,(AH38+$AN$5)*(1+('Outline Info'!$B$16)),0)),AH38))),0)</f>
        <v>0</v>
      </c>
      <c r="AA38" s="395">
        <f>Z38/'Outline Info'!$C$11+Y38</f>
        <v>0</v>
      </c>
      <c r="AB38" s="395">
        <f>ROUND(AA38/'Outline Info'!$B$11*7,0)</f>
        <v>0</v>
      </c>
      <c r="AC38" s="445">
        <f>IF($AD38&lt;&gt;"",VLOOKUP($AD38,'Course Table'!$A$2:$J$331,10,TRUE),99999)</f>
        <v>99999</v>
      </c>
      <c r="AD38" s="394"/>
      <c r="AE38" s="394"/>
      <c r="AF38" s="394"/>
      <c r="AG38" s="394"/>
      <c r="AH38" s="394"/>
      <c r="AI38" s="394">
        <v>965</v>
      </c>
      <c r="AJ38" s="394">
        <v>965</v>
      </c>
      <c r="AK38" s="394">
        <f t="shared" si="10"/>
        <v>965</v>
      </c>
      <c r="AL38" s="394">
        <f t="shared" si="11"/>
        <v>0</v>
      </c>
      <c r="AM38" s="394">
        <f t="shared" si="12"/>
        <v>0</v>
      </c>
      <c r="AN38" s="394">
        <f t="shared" si="13"/>
        <v>0</v>
      </c>
      <c r="AO38" s="394">
        <f>IF(AN38=1,SUMPRODUCT($AJ$7:$AJ38,$AN$7:$AN38),0)</f>
        <v>0</v>
      </c>
      <c r="AP38" s="394">
        <f t="shared" si="14"/>
        <v>0</v>
      </c>
      <c r="AQ38" s="394">
        <f t="shared" si="14"/>
        <v>0</v>
      </c>
      <c r="AR38" s="394">
        <f t="shared" si="14"/>
        <v>0</v>
      </c>
      <c r="AS38" s="394">
        <f t="shared" si="14"/>
        <v>0</v>
      </c>
      <c r="AT38" s="394">
        <f t="shared" si="15"/>
        <v>0</v>
      </c>
      <c r="AU38" s="394">
        <f t="shared" si="15"/>
        <v>0</v>
      </c>
      <c r="AV38" s="394">
        <f t="shared" si="15"/>
        <v>0</v>
      </c>
      <c r="AW38" s="394">
        <f t="shared" si="15"/>
        <v>0</v>
      </c>
      <c r="AX38" s="394">
        <f t="shared" si="1"/>
        <v>0</v>
      </c>
      <c r="AY38" s="394">
        <f t="shared" si="2"/>
        <v>0</v>
      </c>
      <c r="AZ38" s="394">
        <f t="shared" si="3"/>
        <v>0</v>
      </c>
      <c r="BA38" s="394">
        <f t="shared" si="4"/>
        <v>0</v>
      </c>
      <c r="BB38" s="405">
        <f t="shared" si="22"/>
        <v>44473</v>
      </c>
      <c r="BC38" s="405">
        <f>BB38+IF(WEEKDAY(BB38)=1,1,IF(WEEKDAY(BB38)=7,2,0))+COUNTIF(ClosedDays!$B$4:$B$32,IF(WEEKDAY(BB38)=1,BB38+1,IF(WEEKDAY(BB38)=7,BB38+2,BB38)))+COUNTIF(ClosedDays!$F$4:$F$32,IF(WEEKDAY(BB38)=1,BB38+1,IF(WEEKDAY(BB38)=7,BB38+2,BB38)))+COUNTIF(ClosedDays!$J$4:$J$32,IF(WEEKDAY(BB38)=1,BB38+1,IF(WEEKDAY(BB38)=7,BB38+2,BB38)))+COUNTIF(ClosedDays!$N$4:$N$32,IF(WEEKDAY(BB38)=1,BB38+1,IF(WEEKDAY(BB38)=7,BB38+2,BB38)))</f>
        <v>44473</v>
      </c>
      <c r="BD38" s="405">
        <f>BC38+IF(WEEKDAY(BC38)=1,1,IF(WEEKDAY(BC38)=7,2,0))+COUNTIF(ClosedDays!$B$4:$B$32,IF(WEEKDAY(BC38)=1,BC38+1,IF(WEEKDAY(BC38)=7,BC38+2,BC38)))+COUNTIF(ClosedDays!$F$4:$F$32,IF(WEEKDAY(BC38)=1,BC38+1,IF(WEEKDAY(BC38)=7,BC38+2,BC38)))+COUNTIF(ClosedDays!$J$4:$J$32,IF(WEEKDAY(BC38)=1,BC38+1,IF(WEEKDAY(BC38)=7,BC38+2,BC38)))+COUNTIF(ClosedDays!$N$4:$N$32,IF(WEEKDAY(BC38)=1,BC38+1,IF(WEEKDAY(BC38)=7,BC38+2,BC38)))</f>
        <v>44473</v>
      </c>
      <c r="BE38" s="405">
        <f>BD38+IF(WEEKDAY(BD38)=1,1,IF(WEEKDAY(BD38)=7,2,0))+COUNTIF(ClosedDays!$B$4:$B$32,IF(WEEKDAY(BD38)=1,BD38+1,IF(WEEKDAY(BD38)=7,BD38+2,BD38)))+COUNTIF(ClosedDays!$F$4:$F$32,IF(WEEKDAY(BD38)=1,BD38+1,IF(WEEKDAY(BD38)=7,BD38+2,BD38)))+COUNTIF(ClosedDays!$J$4:$J$32,IF(WEEKDAY(BD38)=1,BD38+1,IF(WEEKDAY(BD38)=7,BD38+2,BD38)))+COUNTIF(ClosedDays!$N$4:$N$32,IF(WEEKDAY(BD38)=1,BD38+1,IF(WEEKDAY(BD38)=7,BD38+2,BD38)))</f>
        <v>44473</v>
      </c>
      <c r="BF38" s="405">
        <f>BE38+IF(WEEKDAY(BE38)=1,1,IF(WEEKDAY(BE38)=7,2,0))+COUNTIF(ClosedDays!$B$4:$B$32,IF(WEEKDAY(BE38)=1,BE38+1,IF(WEEKDAY(BE38)=7,BE38+2,BE38)))+COUNTIF(ClosedDays!$F$4:$F$32,IF(WEEKDAY(BE38)=1,BE38+1,IF(WEEKDAY(BE38)=7,BE38+2,BE38)))+COUNTIF(ClosedDays!$J$4:$J$32,IF(WEEKDAY(BE38)=1,BE38+1,IF(WEEKDAY(BE38)=7,BE38+2,BE38)))+COUNTIF(ClosedDays!$N$4:$N$32,IF(WEEKDAY(BE38)=1,BE38+1,IF(WEEKDAY(BE38)=7,BE38+2,BE38)))</f>
        <v>44473</v>
      </c>
      <c r="BG38" s="405">
        <f>BF38+IF(WEEKDAY(BF38)=1,1,IF(WEEKDAY(BF38)=7,2,0))+COUNTIF(ClosedDays!$B$4:$B$32,IF(WEEKDAY(BF38)=1,BF38+1,IF(WEEKDAY(BF38)=7,BF38+2,BF38)))+COUNTIF(ClosedDays!$F$4:$F$32,IF(WEEKDAY(BF38)=1,BF38+1,IF(WEEKDAY(BF38)=7,BF38+2,BF38)))+COUNTIF(ClosedDays!$J$4:$J$32,IF(WEEKDAY(BF38)=1,BF38+1,IF(WEEKDAY(BF38)=7,BF38+2,BF38)))+COUNTIF(ClosedDays!$N$4:$N$32,IF(WEEKDAY(BF38)=1,BF38+1,IF(WEEKDAY(BF38)=7,BF38+2,BF38)))</f>
        <v>44473</v>
      </c>
      <c r="BH38" s="405">
        <f>BG38+IF(WEEKDAY(BG38)=1,1,IF(WEEKDAY(BG38)=7,2,0))+COUNTIF(ClosedDays!$B$4:$B$32,IF(WEEKDAY(BG38)=1,BG38+1,IF(WEEKDAY(BG38)=7,BG38+2,BG38)))+COUNTIF(ClosedDays!$F$4:$F$32,IF(WEEKDAY(BG38)=1,BG38+1,IF(WEEKDAY(BG38)=7,BG38+2,BG38)))+COUNTIF(ClosedDays!$J$4:$J$32,IF(WEEKDAY(BG38)=1,BG38+1,IF(WEEKDAY(BG38)=7,BG38+2,BG38)))+COUNTIF(ClosedDays!$N$4:$N$32,IF(WEEKDAY(BG38)=1,BG38+1,IF(WEEKDAY(BG38)=7,BG38+2,BG38)))</f>
        <v>44473</v>
      </c>
      <c r="BI38" s="405">
        <f>BH38+IF(WEEKDAY(BH38)=1,1,IF(WEEKDAY(BH38)=7,2,0))+COUNTIF(ClosedDays!$B$4:$B$32,IF(WEEKDAY(BH38)=1,BH38+1,IF(WEEKDAY(BH38)=7,BH38+2,BH38)))+COUNTIF(ClosedDays!$F$4:$F$32,IF(WEEKDAY(BH38)=1,BH38+1,IF(WEEKDAY(BH38)=7,BH38+2,BH38)))+COUNTIF(ClosedDays!$J$4:$J$32,IF(WEEKDAY(BH38)=1,BH38+1,IF(WEEKDAY(BH38)=7,BH38+2,BH38)))+COUNTIF(ClosedDays!$N$4:$N$32,IF(WEEKDAY(BH38)=1,BH38+1,IF(WEEKDAY(BH38)=7,BH38+2,BH38)))</f>
        <v>44473</v>
      </c>
      <c r="BJ38" s="405">
        <f>BI38+IF(WEEKDAY(BI38)=1,1,IF(WEEKDAY(BI38)=7,2,0))+COUNTIF(ClosedDays!$B$4:$B$32,IF(WEEKDAY(BI38)=1,BI38+1,IF(WEEKDAY(BI38)=7,BI38+2,BI38)))+COUNTIF(ClosedDays!$F$4:$F$32,IF(WEEKDAY(BI38)=1,BI38+1,IF(WEEKDAY(BI38)=7,BI38+2,BI38)))+COUNTIF(ClosedDays!$J$4:$J$32,IF(WEEKDAY(BI38)=1,BI38+1,IF(WEEKDAY(BI38)=7,BI38+2,BI38)))+COUNTIF(ClosedDays!$N$4:$N$32,IF(WEEKDAY(BI38)=1,BI38+1,IF(WEEKDAY(BI38)=7,BI38+2,BI38)))</f>
        <v>44473</v>
      </c>
      <c r="BK38" s="405">
        <f>BJ38+IF(WEEKDAY(BJ38)=1,1,IF(WEEKDAY(BJ38)=7,2,0))+COUNTIF(ClosedDays!$B$4:$B$32,IF(WEEKDAY(BJ38)=1,BJ38+1,IF(WEEKDAY(BJ38)=7,BJ38+2,BJ38)))+COUNTIF(ClosedDays!$F$4:$F$32,IF(WEEKDAY(BJ38)=1,BJ38+1,IF(WEEKDAY(BJ38)=7,BJ38+2,BJ38)))+COUNTIF(ClosedDays!$J$4:$J$32,IF(WEEKDAY(BJ38)=1,BJ38+1,IF(WEEKDAY(BJ38)=7,BJ38+2,BJ38)))+COUNTIF(ClosedDays!$N$4:$N$32,IF(WEEKDAY(BJ38)=1,BJ38+1,IF(WEEKDAY(BJ38)=7,BJ38+2,BJ38)))</f>
        <v>44473</v>
      </c>
      <c r="BL38" s="405">
        <f>BK38+IF(WEEKDAY(BK38)=1,1,IF(WEEKDAY(BK38)=7,2,0))+COUNTIF(ClosedDays!$B$4:$B$32,IF(WEEKDAY(BK38)=1,BK38+1,IF(WEEKDAY(BK38)=7,BK38+2,BK38)))+COUNTIF(ClosedDays!$F$4:$F$32,IF(WEEKDAY(BK38)=1,BK38+1,IF(WEEKDAY(BK38)=7,BK38+2,BK38)))+COUNTIF(ClosedDays!$J$4:$J$32,IF(WEEKDAY(BK38)=1,BK38+1,IF(WEEKDAY(BK38)=7,BK38+2,BK38)))+COUNTIF(ClosedDays!$N$4:$N$32,IF(WEEKDAY(BK38)=1,BK38+1,IF(WEEKDAY(BK38)=7,BK38+2,BK38)))</f>
        <v>44473</v>
      </c>
      <c r="BM38" s="405">
        <f>BL38+IF(WEEKDAY(BL38)=1,1,IF(WEEKDAY(BL38)=7,2,0))+COUNTIF(ClosedDays!$B$4:$B$32,IF(WEEKDAY(BL38)=1,BL38+1,IF(WEEKDAY(BL38)=7,BL38+2,BL38)))+COUNTIF(ClosedDays!$F$4:$F$32,IF(WEEKDAY(BL38)=1,BL38+1,IF(WEEKDAY(BL38)=7,BL38+2,BL38)))+COUNTIF(ClosedDays!$J$4:$J$32,IF(WEEKDAY(BL38)=1,BL38+1,IF(WEEKDAY(BL38)=7,BL38+2,BL38)))+COUNTIF(ClosedDays!$N$4:$N$32,IF(WEEKDAY(BL38)=1,BL38+1,IF(WEEKDAY(BL38)=7,BL38+2,BL38)))</f>
        <v>44473</v>
      </c>
      <c r="BN38" s="405">
        <f>BM38+IF(WEEKDAY(BM38)=1,1,IF(WEEKDAY(BM38)=7,2,0))+COUNTIF(ClosedDays!$B$4:$B$32,IF(WEEKDAY(BM38)=1,BM38+1,IF(WEEKDAY(BM38)=7,BM38+2,BM38)))+COUNTIF(ClosedDays!$F$4:$F$32,IF(WEEKDAY(BM38)=1,BM38+1,IF(WEEKDAY(BM38)=7,BM38+2,BM38)))+COUNTIF(ClosedDays!$J$4:$J$32,IF(WEEKDAY(BM38)=1,BM38+1,IF(WEEKDAY(BM38)=7,BM38+2,BM38)))+COUNTIF(ClosedDays!$N$4:$N$32,IF(WEEKDAY(BM38)=1,BM38+1,IF(WEEKDAY(BM38)=7,BM38+2,BM38)))</f>
        <v>44473</v>
      </c>
      <c r="BO38" s="405">
        <f>BN38+IF(WEEKDAY(BN38)=1,1,IF(WEEKDAY(BN38)=7,2,0))+COUNTIF(ClosedDays!$B$4:$B$32,IF(WEEKDAY(BN38)=1,BN38+1,IF(WEEKDAY(BN38)=7,BN38+2,BN38)))+COUNTIF(ClosedDays!$F$4:$F$32,IF(WEEKDAY(BN38)=1,BN38+1,IF(WEEKDAY(BN38)=7,BN38+2,BN38)))+COUNTIF(ClosedDays!$J$4:$J$32,IF(WEEKDAY(BN38)=1,BN38+1,IF(WEEKDAY(BN38)=7,BN38+2,BN38)))+COUNTIF(ClosedDays!$N$4:$N$32,IF(WEEKDAY(BN38)=1,BN38+1,IF(WEEKDAY(BN38)=7,BN38+2,BN38)))</f>
        <v>44473</v>
      </c>
      <c r="BP38" s="405">
        <f>BO38+IF(WEEKDAY(BO38)=1,1,IF(WEEKDAY(BO38)=7,2,0))+COUNTIF(ClosedDays!$B$4:$B$32,IF(WEEKDAY(BO38)=1,BO38+1,IF(WEEKDAY(BO38)=7,BO38+2,BO38)))+COUNTIF(ClosedDays!$F$4:$F$32,IF(WEEKDAY(BO38)=1,BO38+1,IF(WEEKDAY(BO38)=7,BO38+2,BO38)))+COUNTIF(ClosedDays!$J$4:$J$32,IF(WEEKDAY(BO38)=1,BO38+1,IF(WEEKDAY(BO38)=7,BO38+2,BO38)))+COUNTIF(ClosedDays!$N$4:$N$32,IF(WEEKDAY(BO38)=1,BO38+1,IF(WEEKDAY(BO38)=7,BO38+2,BO38)))</f>
        <v>44473</v>
      </c>
      <c r="BQ38" s="405">
        <f t="shared" si="16"/>
        <v>44473</v>
      </c>
      <c r="BR38" s="446">
        <f>IF(AND($D38&lt;='Outline Info'!$H$31,BQ38&gt;='Outline Info'!$H$31,$BS$4=1,$AC38&gt;10,$AC38&lt;9997),1,0)</f>
        <v>0</v>
      </c>
      <c r="BS38" s="405">
        <f>IF(BR38=1,BQ38+'Outline Info'!$I$31-'Outline Info'!$H$31+1,BQ38)</f>
        <v>44473</v>
      </c>
      <c r="BT38" s="405">
        <f>BS38+IF(WEEKDAY(BS38)=1,1,IF(WEEKDAY(BS38)=7,2,0))+COUNTIF(ClosedDays!$B$4:$B$32,IF(WEEKDAY(BS38)=1,BS38+1,IF(WEEKDAY(BS38)=7,BS38+2,BS38)))+COUNTIF(ClosedDays!$F$4:$F$32,IF(WEEKDAY(BS38)=1,BS38+1,IF(WEEKDAY(BS38)=7,BS38+2,BS38)))+COUNTIF(ClosedDays!$J$4:$J$32,IF(WEEKDAY(BS38)=1,BS38+1,IF(WEEKDAY(BS38)=7,BS38+2,BS38)))+COUNTIF(ClosedDays!$N$4:$N$32,IF(WEEKDAY(BS38)=1,BS38+1,IF(WEEKDAY(BS38)=7,BS38+2,BS38)))</f>
        <v>44473</v>
      </c>
      <c r="BU38" s="405">
        <f>BT38+IF(WEEKDAY(BT38)=1,1,IF(WEEKDAY(BT38)=7,2,0))+COUNTIF(ClosedDays!$B$4:$B$32,IF(WEEKDAY(BT38)=1,BT38+1,IF(WEEKDAY(BT38)=7,BT38+2,BT38)))+COUNTIF(ClosedDays!$F$4:$F$32,IF(WEEKDAY(BT38)=1,BT38+1,IF(WEEKDAY(BT38)=7,BT38+2,BT38)))+COUNTIF(ClosedDays!$J$4:$J$32,IF(WEEKDAY(BT38)=1,BT38+1,IF(WEEKDAY(BT38)=7,BT38+2,BT38)))+COUNTIF(ClosedDays!$N$4:$N$32,IF(WEEKDAY(BT38)=1,BT38+1,IF(WEEKDAY(BT38)=7,BT38+2,BT38)))</f>
        <v>44473</v>
      </c>
      <c r="BV38" s="405">
        <f>BU38+IF(WEEKDAY(BU38)=1,1,IF(WEEKDAY(BU38)=7,2,0))+COUNTIF(ClosedDays!$B$4:$B$32,IF(WEEKDAY(BU38)=1,BU38+1,IF(WEEKDAY(BU38)=7,BU38+2,BU38)))+COUNTIF(ClosedDays!$F$4:$F$32,IF(WEEKDAY(BU38)=1,BU38+1,IF(WEEKDAY(BU38)=7,BU38+2,BU38)))+COUNTIF(ClosedDays!$J$4:$J$32,IF(WEEKDAY(BU38)=1,BU38+1,IF(WEEKDAY(BU38)=7,BU38+2,BU38)))+COUNTIF(ClosedDays!$N$4:$N$32,IF(WEEKDAY(BU38)=1,BU38+1,IF(WEEKDAY(BU38)=7,BU38+2,BU38)))</f>
        <v>44473</v>
      </c>
      <c r="BW38" s="405">
        <f>BV38+IF(WEEKDAY(BV38)=1,1,IF(WEEKDAY(BV38)=7,2,0))+COUNTIF(ClosedDays!$B$4:$B$32,IF(WEEKDAY(BV38)=1,BV38+1,IF(WEEKDAY(BV38)=7,BV38+2,BV38)))+COUNTIF(ClosedDays!$F$4:$F$32,IF(WEEKDAY(BV38)=1,BV38+1,IF(WEEKDAY(BV38)=7,BV38+2,BV38)))+COUNTIF(ClosedDays!$J$4:$J$32,IF(WEEKDAY(BV38)=1,BV38+1,IF(WEEKDAY(BV38)=7,BV38+2,BV38)))+COUNTIF(ClosedDays!$N$4:$N$32,IF(WEEKDAY(BV38)=1,BV38+1,IF(WEEKDAY(BV38)=7,BV38+2,BV38)))</f>
        <v>44473</v>
      </c>
      <c r="BX38" s="405">
        <f>BW38+IF(WEEKDAY(BW38)=1,1,IF(WEEKDAY(BW38)=7,2,0))+COUNTIF(ClosedDays!$B$4:$B$32,IF(WEEKDAY(BW38)=1,BW38+1,IF(WEEKDAY(BW38)=7,BW38+2,BW38)))+COUNTIF(ClosedDays!$F$4:$F$32,IF(WEEKDAY(BW38)=1,BW38+1,IF(WEEKDAY(BW38)=7,BW38+2,BW38)))+COUNTIF(ClosedDays!$J$4:$J$32,IF(WEEKDAY(BW38)=1,BW38+1,IF(WEEKDAY(BW38)=7,BW38+2,BW38)))+COUNTIF(ClosedDays!$N$4:$N$32,IF(WEEKDAY(BW38)=1,BW38+1,IF(WEEKDAY(BW38)=7,BW38+2,BW38)))</f>
        <v>44473</v>
      </c>
      <c r="BY38" s="405">
        <f>BX38+IF(WEEKDAY(BX38)=1,1,IF(WEEKDAY(BX38)=7,2,0))+COUNTIF(ClosedDays!$B$4:$B$32,IF(WEEKDAY(BX38)=1,BX38+1,IF(WEEKDAY(BX38)=7,BX38+2,BX38)))+COUNTIF(ClosedDays!$F$4:$F$32,IF(WEEKDAY(BX38)=1,BX38+1,IF(WEEKDAY(BX38)=7,BX38+2,BX38)))+COUNTIF(ClosedDays!$J$4:$J$32,IF(WEEKDAY(BX38)=1,BX38+1,IF(WEEKDAY(BX38)=7,BX38+2,BX38)))+COUNTIF(ClosedDays!$N$4:$N$32,IF(WEEKDAY(BX38)=1,BX38+1,IF(WEEKDAY(BX38)=7,BX38+2,BX38)))</f>
        <v>44473</v>
      </c>
      <c r="BZ38" s="405">
        <f>BY38+IF(WEEKDAY(BY38)=1,1,IF(WEEKDAY(BY38)=7,2,0))+COUNTIF(ClosedDays!$B$4:$B$32,IF(WEEKDAY(BY38)=1,BY38+1,IF(WEEKDAY(BY38)=7,BY38+2,BY38)))+COUNTIF(ClosedDays!$F$4:$F$32,IF(WEEKDAY(BY38)=1,BY38+1,IF(WEEKDAY(BY38)=7,BY38+2,BY38)))+COUNTIF(ClosedDays!$J$4:$J$32,IF(WEEKDAY(BY38)=1,BY38+1,IF(WEEKDAY(BY38)=7,BY38+2,BY38)))+COUNTIF(ClosedDays!$N$4:$N$32,IF(WEEKDAY(BY38)=1,BY38+1,IF(WEEKDAY(BY38)=7,BY38+2,BY38)))</f>
        <v>44473</v>
      </c>
      <c r="CA38" s="405">
        <f>BZ38+IF(WEEKDAY(BZ38)=1,1,IF(WEEKDAY(BZ38)=7,2,0))+COUNTIF(ClosedDays!$B$4:$B$32,IF(WEEKDAY(BZ38)=1,BZ38+1,IF(WEEKDAY(BZ38)=7,BZ38+2,BZ38)))+COUNTIF(ClosedDays!$F$4:$F$32,IF(WEEKDAY(BZ38)=1,BZ38+1,IF(WEEKDAY(BZ38)=7,BZ38+2,BZ38)))+COUNTIF(ClosedDays!$J$4:$J$32,IF(WEEKDAY(BZ38)=1,BZ38+1,IF(WEEKDAY(BZ38)=7,BZ38+2,BZ38)))+COUNTIF(ClosedDays!$N$4:$N$32,IF(WEEKDAY(BZ38)=1,BZ38+1,IF(WEEKDAY(BZ38)=7,BZ38+2,BZ38)))</f>
        <v>44473</v>
      </c>
      <c r="CB38" s="405">
        <f>CA38+IF(WEEKDAY(CA38)=1,1,IF(WEEKDAY(CA38)=7,2,0))+COUNTIF(ClosedDays!$B$4:$B$32,IF(WEEKDAY(CA38)=1,CA38+1,IF(WEEKDAY(CA38)=7,CA38+2,CA38)))+COUNTIF(ClosedDays!$F$4:$F$32,IF(WEEKDAY(CA38)=1,CA38+1,IF(WEEKDAY(CA38)=7,CA38+2,CA38)))+COUNTIF(ClosedDays!$J$4:$J$32,IF(WEEKDAY(CA38)=1,CA38+1,IF(WEEKDAY(CA38)=7,CA38+2,CA38)))+COUNTIF(ClosedDays!$N$4:$N$32,IF(WEEKDAY(CA38)=1,CA38+1,IF(WEEKDAY(CA38)=7,CA38+2,CA38)))</f>
        <v>44473</v>
      </c>
      <c r="CC38" s="405">
        <f>CB38+IF(WEEKDAY(CB38)=1,1,IF(WEEKDAY(CB38)=7,2,0))+COUNTIF(ClosedDays!$B$4:$B$32,IF(WEEKDAY(CB38)=1,CB38+1,IF(WEEKDAY(CB38)=7,CB38+2,CB38)))+COUNTIF(ClosedDays!$F$4:$F$32,IF(WEEKDAY(CB38)=1,CB38+1,IF(WEEKDAY(CB38)=7,CB38+2,CB38)))+COUNTIF(ClosedDays!$J$4:$J$32,IF(WEEKDAY(CB38)=1,CB38+1,IF(WEEKDAY(CB38)=7,CB38+2,CB38)))+COUNTIF(ClosedDays!$N$4:$N$32,IF(WEEKDAY(CB38)=1,CB38+1,IF(WEEKDAY(CB38)=7,CB38+2,CB38)))</f>
        <v>44473</v>
      </c>
      <c r="CD38" s="405">
        <f>CC38+IF(WEEKDAY(CC38)=1,1,IF(WEEKDAY(CC38)=7,2,0))+COUNTIF(ClosedDays!$B$4:$B$32,IF(WEEKDAY(CC38)=1,CC38+1,IF(WEEKDAY(CC38)=7,CC38+2,CC38)))+COUNTIF(ClosedDays!$F$4:$F$32,IF(WEEKDAY(CC38)=1,CC38+1,IF(WEEKDAY(CC38)=7,CC38+2,CC38)))+COUNTIF(ClosedDays!$J$4:$J$32,IF(WEEKDAY(CC38)=1,CC38+1,IF(WEEKDAY(CC38)=7,CC38+2,CC38)))+COUNTIF(ClosedDays!$N$4:$N$32,IF(WEEKDAY(CC38)=1,CC38+1,IF(WEEKDAY(CC38)=7,CC38+2,CC38)))</f>
        <v>44473</v>
      </c>
      <c r="CE38" s="405">
        <f>CD38+IF(WEEKDAY(CD38)=1,1,IF(WEEKDAY(CD38)=7,2,0))+COUNTIF(ClosedDays!$B$4:$B$32,IF(WEEKDAY(CD38)=1,CD38+1,IF(WEEKDAY(CD38)=7,CD38+2,CD38)))+COUNTIF(ClosedDays!$F$4:$F$32,IF(WEEKDAY(CD38)=1,CD38+1,IF(WEEKDAY(CD38)=7,CD38+2,CD38)))+COUNTIF(ClosedDays!$J$4:$J$32,IF(WEEKDAY(CD38)=1,CD38+1,IF(WEEKDAY(CD38)=7,CD38+2,CD38)))+COUNTIF(ClosedDays!$N$4:$N$32,IF(WEEKDAY(CD38)=1,CD38+1,IF(WEEKDAY(CD38)=7,CD38+2,CD38)))</f>
        <v>44473</v>
      </c>
      <c r="CF38" s="405">
        <f>CE38+IF(WEEKDAY(CE38)=1,1,IF(WEEKDAY(CE38)=7,2,0))+COUNTIF(ClosedDays!$B$4:$B$32,IF(WEEKDAY(CE38)=1,CE38+1,IF(WEEKDAY(CE38)=7,CE38+2,CE38)))+COUNTIF(ClosedDays!$F$4:$F$32,IF(WEEKDAY(CE38)=1,CE38+1,IF(WEEKDAY(CE38)=7,CE38+2,CE38)))+COUNTIF(ClosedDays!$J$4:$J$32,IF(WEEKDAY(CE38)=1,CE38+1,IF(WEEKDAY(CE38)=7,CE38+2,CE38)))+COUNTIF(ClosedDays!$N$4:$N$32,IF(WEEKDAY(CE38)=1,CE38+1,IF(WEEKDAY(CE38)=7,CE38+2,CE38)))</f>
        <v>44473</v>
      </c>
      <c r="CG38" s="405">
        <f>CF38+IF(WEEKDAY(CF38)=1,1,IF(WEEKDAY(CF38)=7,2,0))+COUNTIF(ClosedDays!$B$4:$B$32,IF(WEEKDAY(CF38)=1,CF38+1,IF(WEEKDAY(CF38)=7,CF38+2,CF38)))+COUNTIF(ClosedDays!$F$4:$F$32,IF(WEEKDAY(CF38)=1,CF38+1,IF(WEEKDAY(CF38)=7,CF38+2,CF38)))+COUNTIF(ClosedDays!$J$4:$J$32,IF(WEEKDAY(CF38)=1,CF38+1,IF(WEEKDAY(CF38)=7,CF38+2,CF38)))+COUNTIF(ClosedDays!$N$4:$N$32,IF(WEEKDAY(CF38)=1,CF38+1,IF(WEEKDAY(CF38)=7,CF38+2,CF38)))</f>
        <v>44473</v>
      </c>
      <c r="CH38" s="405">
        <f t="shared" si="17"/>
        <v>44473</v>
      </c>
      <c r="CI38" s="446">
        <f>IF(AND($D38&lt;='Outline Info'!$H$33,CH38&gt;='Outline Info'!$H$33,$CJ$4=1,$AC38&gt;10,$AC38&lt;9997),1,0)</f>
        <v>0</v>
      </c>
      <c r="CJ38" s="405">
        <f>IF(CI38=1,CH38+'Outline Info'!$I$33-'Outline Info'!$H$33+1,CH38)</f>
        <v>44473</v>
      </c>
      <c r="CK38" s="405">
        <f>CJ38+IF(WEEKDAY(CJ38)=1,1,IF(WEEKDAY(CJ38)=7,2,0))+COUNTIF(ClosedDays!$B$4:$B$32,IF(WEEKDAY(CJ38)=1,CJ38+1,IF(WEEKDAY(CJ38)=7,CJ38+2,CJ38)))+COUNTIF(ClosedDays!$F$4:$F$32,IF(WEEKDAY(CJ38)=1,CJ38+1,IF(WEEKDAY(CJ38)=7,CJ38+2,CJ38)))+COUNTIF(ClosedDays!$J$4:$J$32,IF(WEEKDAY(CJ38)=1,CJ38+1,IF(WEEKDAY(CJ38)=7,CJ38+2,CJ38)))+COUNTIF(ClosedDays!$N$4:$N$32,IF(WEEKDAY(CJ38)=1,CJ38+1,IF(WEEKDAY(CJ38)=7,CJ38+2,CJ38)))</f>
        <v>44473</v>
      </c>
      <c r="CL38" s="405">
        <f>CK38+IF(WEEKDAY(CK38)=1,1,IF(WEEKDAY(CK38)=7,2,0))+COUNTIF(ClosedDays!$B$4:$B$32,IF(WEEKDAY(CK38)=1,CK38+1,IF(WEEKDAY(CK38)=7,CK38+2,CK38)))+COUNTIF(ClosedDays!$F$4:$F$32,IF(WEEKDAY(CK38)=1,CK38+1,IF(WEEKDAY(CK38)=7,CK38+2,CK38)))+COUNTIF(ClosedDays!$J$4:$J$32,IF(WEEKDAY(CK38)=1,CK38+1,IF(WEEKDAY(CK38)=7,CK38+2,CK38)))+COUNTIF(ClosedDays!$N$4:$N$32,IF(WEEKDAY(CK38)=1,CK38+1,IF(WEEKDAY(CK38)=7,CK38+2,CK38)))</f>
        <v>44473</v>
      </c>
      <c r="CM38" s="405">
        <f>CL38+IF(WEEKDAY(CL38)=1,1,IF(WEEKDAY(CL38)=7,2,0))+COUNTIF(ClosedDays!$B$4:$B$32,IF(WEEKDAY(CL38)=1,CL38+1,IF(WEEKDAY(CL38)=7,CL38+2,CL38)))+COUNTIF(ClosedDays!$F$4:$F$32,IF(WEEKDAY(CL38)=1,CL38+1,IF(WEEKDAY(CL38)=7,CL38+2,CL38)))+COUNTIF(ClosedDays!$J$4:$J$32,IF(WEEKDAY(CL38)=1,CL38+1,IF(WEEKDAY(CL38)=7,CL38+2,CL38)))+COUNTIF(ClosedDays!$N$4:$N$32,IF(WEEKDAY(CL38)=1,CL38+1,IF(WEEKDAY(CL38)=7,CL38+2,CL38)))</f>
        <v>44473</v>
      </c>
      <c r="CN38" s="405">
        <f>CM38+IF(WEEKDAY(CM38)=1,1,IF(WEEKDAY(CM38)=7,2,0))+COUNTIF(ClosedDays!$B$4:$B$32,IF(WEEKDAY(CM38)=1,CM38+1,IF(WEEKDAY(CM38)=7,CM38+2,CM38)))+COUNTIF(ClosedDays!$F$4:$F$32,IF(WEEKDAY(CM38)=1,CM38+1,IF(WEEKDAY(CM38)=7,CM38+2,CM38)))+COUNTIF(ClosedDays!$J$4:$J$32,IF(WEEKDAY(CM38)=1,CM38+1,IF(WEEKDAY(CM38)=7,CM38+2,CM38)))+COUNTIF(ClosedDays!$N$4:$N$32,IF(WEEKDAY(CM38)=1,CM38+1,IF(WEEKDAY(CM38)=7,CM38+2,CM38)))</f>
        <v>44473</v>
      </c>
      <c r="CO38" s="405">
        <f>CN38+IF(WEEKDAY(CN38)=1,1,IF(WEEKDAY(CN38)=7,2,0))+COUNTIF(ClosedDays!$B$4:$B$32,IF(WEEKDAY(CN38)=1,CN38+1,IF(WEEKDAY(CN38)=7,CN38+2,CN38)))+COUNTIF(ClosedDays!$F$4:$F$32,IF(WEEKDAY(CN38)=1,CN38+1,IF(WEEKDAY(CN38)=7,CN38+2,CN38)))+COUNTIF(ClosedDays!$J$4:$J$32,IF(WEEKDAY(CN38)=1,CN38+1,IF(WEEKDAY(CN38)=7,CN38+2,CN38)))+COUNTIF(ClosedDays!$N$4:$N$32,IF(WEEKDAY(CN38)=1,CN38+1,IF(WEEKDAY(CN38)=7,CN38+2,CN38)))</f>
        <v>44473</v>
      </c>
      <c r="CP38" s="405">
        <f>CO38+IF(WEEKDAY(CO38)=1,1,IF(WEEKDAY(CO38)=7,2,0))+COUNTIF(ClosedDays!$B$4:$B$32,IF(WEEKDAY(CO38)=1,CO38+1,IF(WEEKDAY(CO38)=7,CO38+2,CO38)))+COUNTIF(ClosedDays!$F$4:$F$32,IF(WEEKDAY(CO38)=1,CO38+1,IF(WEEKDAY(CO38)=7,CO38+2,CO38)))+COUNTIF(ClosedDays!$J$4:$J$32,IF(WEEKDAY(CO38)=1,CO38+1,IF(WEEKDAY(CO38)=7,CO38+2,CO38)))+COUNTIF(ClosedDays!$N$4:$N$32,IF(WEEKDAY(CO38)=1,CO38+1,IF(WEEKDAY(CO38)=7,CO38+2,CO38)))</f>
        <v>44473</v>
      </c>
      <c r="CQ38" s="405">
        <f>CP38+IF(WEEKDAY(CP38)=1,1,IF(WEEKDAY(CP38)=7,2,0))+COUNTIF(ClosedDays!$B$4:$B$32,IF(WEEKDAY(CP38)=1,CP38+1,IF(WEEKDAY(CP38)=7,CP38+2,CP38)))+COUNTIF(ClosedDays!$F$4:$F$32,IF(WEEKDAY(CP38)=1,CP38+1,IF(WEEKDAY(CP38)=7,CP38+2,CP38)))+COUNTIF(ClosedDays!$J$4:$J$32,IF(WEEKDAY(CP38)=1,CP38+1,IF(WEEKDAY(CP38)=7,CP38+2,CP38)))+COUNTIF(ClosedDays!$N$4:$N$32,IF(WEEKDAY(CP38)=1,CP38+1,IF(WEEKDAY(CP38)=7,CP38+2,CP38)))</f>
        <v>44473</v>
      </c>
      <c r="CR38" s="405">
        <f>CQ38+IF(WEEKDAY(CQ38)=1,1,IF(WEEKDAY(CQ38)=7,2,0))+COUNTIF(ClosedDays!$B$4:$B$32,IF(WEEKDAY(CQ38)=1,CQ38+1,IF(WEEKDAY(CQ38)=7,CQ38+2,CQ38)))+COUNTIF(ClosedDays!$F$4:$F$32,IF(WEEKDAY(CQ38)=1,CQ38+1,IF(WEEKDAY(CQ38)=7,CQ38+2,CQ38)))+COUNTIF(ClosedDays!$J$4:$J$32,IF(WEEKDAY(CQ38)=1,CQ38+1,IF(WEEKDAY(CQ38)=7,CQ38+2,CQ38)))+COUNTIF(ClosedDays!$N$4:$N$32,IF(WEEKDAY(CQ38)=1,CQ38+1,IF(WEEKDAY(CQ38)=7,CQ38+2,CQ38)))</f>
        <v>44473</v>
      </c>
      <c r="CS38" s="405">
        <f>CR38+IF(WEEKDAY(CR38)=1,1,IF(WEEKDAY(CR38)=7,2,0))+COUNTIF(ClosedDays!$B$4:$B$32,IF(WEEKDAY(CR38)=1,CR38+1,IF(WEEKDAY(CR38)=7,CR38+2,CR38)))+COUNTIF(ClosedDays!$F$4:$F$32,IF(WEEKDAY(CR38)=1,CR38+1,IF(WEEKDAY(CR38)=7,CR38+2,CR38)))+COUNTIF(ClosedDays!$J$4:$J$32,IF(WEEKDAY(CR38)=1,CR38+1,IF(WEEKDAY(CR38)=7,CR38+2,CR38)))+COUNTIF(ClosedDays!$N$4:$N$32,IF(WEEKDAY(CR38)=1,CR38+1,IF(WEEKDAY(CR38)=7,CR38+2,CR38)))</f>
        <v>44473</v>
      </c>
      <c r="CT38" s="405">
        <f>CS38+IF(WEEKDAY(CS38)=1,1,IF(WEEKDAY(CS38)=7,2,0))+COUNTIF(ClosedDays!$B$4:$B$32,IF(WEEKDAY(CS38)=1,CS38+1,IF(WEEKDAY(CS38)=7,CS38+2,CS38)))+COUNTIF(ClosedDays!$F$4:$F$32,IF(WEEKDAY(CS38)=1,CS38+1,IF(WEEKDAY(CS38)=7,CS38+2,CS38)))+COUNTIF(ClosedDays!$J$4:$J$32,IF(WEEKDAY(CS38)=1,CS38+1,IF(WEEKDAY(CS38)=7,CS38+2,CS38)))+COUNTIF(ClosedDays!$N$4:$N$32,IF(WEEKDAY(CS38)=1,CS38+1,IF(WEEKDAY(CS38)=7,CS38+2,CS38)))</f>
        <v>44473</v>
      </c>
      <c r="CU38" s="405">
        <f>CT38+IF(WEEKDAY(CT38)=1,1,IF(WEEKDAY(CT38)=7,2,0))+COUNTIF(ClosedDays!$B$4:$B$32,IF(WEEKDAY(CT38)=1,CT38+1,IF(WEEKDAY(CT38)=7,CT38+2,CT38)))+COUNTIF(ClosedDays!$F$4:$F$32,IF(WEEKDAY(CT38)=1,CT38+1,IF(WEEKDAY(CT38)=7,CT38+2,CT38)))+COUNTIF(ClosedDays!$J$4:$J$32,IF(WEEKDAY(CT38)=1,CT38+1,IF(WEEKDAY(CT38)=7,CT38+2,CT38)))+COUNTIF(ClosedDays!$N$4:$N$32,IF(WEEKDAY(CT38)=1,CT38+1,IF(WEEKDAY(CT38)=7,CT38+2,CT38)))</f>
        <v>44473</v>
      </c>
      <c r="CV38" s="405">
        <f>CU38+IF(WEEKDAY(CU38)=1,1,IF(WEEKDAY(CU38)=7,2,0))+COUNTIF(ClosedDays!$B$4:$B$32,IF(WEEKDAY(CU38)=1,CU38+1,IF(WEEKDAY(CU38)=7,CU38+2,CU38)))+COUNTIF(ClosedDays!$F$4:$F$32,IF(WEEKDAY(CU38)=1,CU38+1,IF(WEEKDAY(CU38)=7,CU38+2,CU38)))+COUNTIF(ClosedDays!$J$4:$J$32,IF(WEEKDAY(CU38)=1,CU38+1,IF(WEEKDAY(CU38)=7,CU38+2,CU38)))+COUNTIF(ClosedDays!$N$4:$N$32,IF(WEEKDAY(CU38)=1,CU38+1,IF(WEEKDAY(CU38)=7,CU38+2,CU38)))</f>
        <v>44473</v>
      </c>
      <c r="CW38" s="405">
        <f>CV38+IF(WEEKDAY(CV38)=1,1,IF(WEEKDAY(CV38)=7,2,0))+COUNTIF(ClosedDays!$B$4:$B$32,IF(WEEKDAY(CV38)=1,CV38+1,IF(WEEKDAY(CV38)=7,CV38+2,CV38)))+COUNTIF(ClosedDays!$F$4:$F$32,IF(WEEKDAY(CV38)=1,CV38+1,IF(WEEKDAY(CV38)=7,CV38+2,CV38)))+COUNTIF(ClosedDays!$J$4:$J$32,IF(WEEKDAY(CV38)=1,CV38+1,IF(WEEKDAY(CV38)=7,CV38+2,CV38)))+COUNTIF(ClosedDays!$N$4:$N$32,IF(WEEKDAY(CV38)=1,CV38+1,IF(WEEKDAY(CV38)=7,CV38+2,CV38)))</f>
        <v>44473</v>
      </c>
      <c r="CX38" s="405">
        <f>CW38+IF(WEEKDAY(CW38)=1,1,IF(WEEKDAY(CW38)=7,2,0))+COUNTIF(ClosedDays!$B$4:$B$32,IF(WEEKDAY(CW38)=1,CW38+1,IF(WEEKDAY(CW38)=7,CW38+2,CW38)))+COUNTIF(ClosedDays!$F$4:$F$32,IF(WEEKDAY(CW38)=1,CW38+1,IF(WEEKDAY(CW38)=7,CW38+2,CW38)))+COUNTIF(ClosedDays!$J$4:$J$32,IF(WEEKDAY(CW38)=1,CW38+1,IF(WEEKDAY(CW38)=7,CW38+2,CW38)))+COUNTIF(ClosedDays!$N$4:$N$32,IF(WEEKDAY(CW38)=1,CW38+1,IF(WEEKDAY(CW38)=7,CW38+2,CW38)))</f>
        <v>44473</v>
      </c>
      <c r="CY38" s="405">
        <f t="shared" si="18"/>
        <v>44473</v>
      </c>
      <c r="CZ38" s="446">
        <f>IF(AND($D38&lt;='Outline Info'!$E$33,CY38&gt;='Outline Info'!$E$33,$AC38&gt;10,$AC38&lt;9997),1,0)</f>
        <v>0</v>
      </c>
      <c r="DA38" s="405">
        <f>IF(AND($D38&lt;='Outline Info'!$E$33,CY38&gt;='Outline Info'!$E$33),CY38+'Outline Info'!$F$33-'Outline Info'!$E$33+1,CY38)</f>
        <v>44473</v>
      </c>
      <c r="DB38" s="405">
        <f>DA38+IF(WEEKDAY(DA38)=1,1,IF(WEEKDAY(DA38)=7,2,0))+COUNTIF(ClosedDays!$B$4:$B$32,IF(WEEKDAY(DA38)=1,DA38+1,IF(WEEKDAY(DA38)=7,DA38+2,DA38)))+COUNTIF(ClosedDays!$F$4:$F$32,IF(WEEKDAY(DA38)=1,DA38+1,IF(WEEKDAY(DA38)=7,DA38+2,DA38)))+COUNTIF(ClosedDays!$J$4:$J$32,IF(WEEKDAY(DA38)=1,DA38+1,IF(WEEKDAY(DA38)=7,DA38+2,DA38)))+COUNTIF(ClosedDays!$N$4:$N$32,IF(WEEKDAY(DA38)=1,DA38+1,IF(WEEKDAY(DA38)=7,DA38+2,DA38)))</f>
        <v>44473</v>
      </c>
      <c r="DC38" s="405">
        <f>DB38+IF(WEEKDAY(DB38)=1,1,IF(WEEKDAY(DB38)=7,2,0))+COUNTIF(ClosedDays!$B$4:$B$32,IF(WEEKDAY(DB38)=1,DB38+1,IF(WEEKDAY(DB38)=7,DB38+2,DB38)))+COUNTIF(ClosedDays!$F$4:$F$32,IF(WEEKDAY(DB38)=1,DB38+1,IF(WEEKDAY(DB38)=7,DB38+2,DB38)))+COUNTIF(ClosedDays!$J$4:$J$32,IF(WEEKDAY(DB38)=1,DB38+1,IF(WEEKDAY(DB38)=7,DB38+2,DB38)))+COUNTIF(ClosedDays!$N$4:$N$32,IF(WEEKDAY(DB38)=1,DB38+1,IF(WEEKDAY(DB38)=7,DB38+2,DB38)))</f>
        <v>44473</v>
      </c>
      <c r="DD38" s="405">
        <f>DC38+IF(WEEKDAY(DC38)=1,1,IF(WEEKDAY(DC38)=7,2,0))+COUNTIF(ClosedDays!$B$4:$B$32,IF(WEEKDAY(DC38)=1,DC38+1,IF(WEEKDAY(DC38)=7,DC38+2,DC38)))+COUNTIF(ClosedDays!$F$4:$F$32,IF(WEEKDAY(DC38)=1,DC38+1,IF(WEEKDAY(DC38)=7,DC38+2,DC38)))+COUNTIF(ClosedDays!$J$4:$J$32,IF(WEEKDAY(DC38)=1,DC38+1,IF(WEEKDAY(DC38)=7,DC38+2,DC38)))+COUNTIF(ClosedDays!$N$4:$N$32,IF(WEEKDAY(DC38)=1,DC38+1,IF(WEEKDAY(DC38)=7,DC38+2,DC38)))</f>
        <v>44473</v>
      </c>
      <c r="DE38" s="405">
        <f>DD38+IF(WEEKDAY(DD38)=1,1,IF(WEEKDAY(DD38)=7,2,0))+COUNTIF(ClosedDays!$B$4:$B$32,IF(WEEKDAY(DD38)=1,DD38+1,IF(WEEKDAY(DD38)=7,DD38+2,DD38)))+COUNTIF(ClosedDays!$F$4:$F$32,IF(WEEKDAY(DD38)=1,DD38+1,IF(WEEKDAY(DD38)=7,DD38+2,DD38)))+COUNTIF(ClosedDays!$J$4:$J$32,IF(WEEKDAY(DD38)=1,DD38+1,IF(WEEKDAY(DD38)=7,DD38+2,DD38)))+COUNTIF(ClosedDays!$N$4:$N$32,IF(WEEKDAY(DD38)=1,DD38+1,IF(WEEKDAY(DD38)=7,DD38+2,DD38)))</f>
        <v>44473</v>
      </c>
      <c r="DF38" s="405">
        <f>DE38+IF(WEEKDAY(DE38)=1,1,IF(WEEKDAY(DE38)=7,2,0))+COUNTIF(ClosedDays!$B$4:$B$32,IF(WEEKDAY(DE38)=1,DE38+1,IF(WEEKDAY(DE38)=7,DE38+2,DE38)))+COUNTIF(ClosedDays!$F$4:$F$32,IF(WEEKDAY(DE38)=1,DE38+1,IF(WEEKDAY(DE38)=7,DE38+2,DE38)))+COUNTIF(ClosedDays!$J$4:$J$32,IF(WEEKDAY(DE38)=1,DE38+1,IF(WEEKDAY(DE38)=7,DE38+2,DE38)))+COUNTIF(ClosedDays!$N$4:$N$32,IF(WEEKDAY(DE38)=1,DE38+1,IF(WEEKDAY(DE38)=7,DE38+2,DE38)))</f>
        <v>44473</v>
      </c>
      <c r="DG38" s="405">
        <f>DF38+IF(WEEKDAY(DF38)=1,1,IF(WEEKDAY(DF38)=7,2,0))+COUNTIF(ClosedDays!$B$4:$B$32,IF(WEEKDAY(DF38)=1,DF38+1,IF(WEEKDAY(DF38)=7,DF38+2,DF38)))+COUNTIF(ClosedDays!$F$4:$F$32,IF(WEEKDAY(DF38)=1,DF38+1,IF(WEEKDAY(DF38)=7,DF38+2,DF38)))+COUNTIF(ClosedDays!$J$4:$J$32,IF(WEEKDAY(DF38)=1,DF38+1,IF(WEEKDAY(DF38)=7,DF38+2,DF38)))+COUNTIF(ClosedDays!$N$4:$N$32,IF(WEEKDAY(DF38)=1,DF38+1,IF(WEEKDAY(DF38)=7,DF38+2,DF38)))</f>
        <v>44473</v>
      </c>
      <c r="DH38" s="405">
        <f>DG38+IF(WEEKDAY(DG38)=1,1,IF(WEEKDAY(DG38)=7,2,0))+COUNTIF(ClosedDays!$B$4:$B$32,IF(WEEKDAY(DG38)=1,DG38+1,IF(WEEKDAY(DG38)=7,DG38+2,DG38)))+COUNTIF(ClosedDays!$F$4:$F$32,IF(WEEKDAY(DG38)=1,DG38+1,IF(WEEKDAY(DG38)=7,DG38+2,DG38)))+COUNTIF(ClosedDays!$J$4:$J$32,IF(WEEKDAY(DG38)=1,DG38+1,IF(WEEKDAY(DG38)=7,DG38+2,DG38)))+COUNTIF(ClosedDays!$N$4:$N$32,IF(WEEKDAY(DG38)=1,DG38+1,IF(WEEKDAY(DG38)=7,DG38+2,DG38)))</f>
        <v>44473</v>
      </c>
      <c r="DI38" s="405">
        <f>DH38+IF(WEEKDAY(DH38)=1,1,IF(WEEKDAY(DH38)=7,2,0))+COUNTIF(ClosedDays!$B$4:$B$32,IF(WEEKDAY(DH38)=1,DH38+1,IF(WEEKDAY(DH38)=7,DH38+2,DH38)))+COUNTIF(ClosedDays!$F$4:$F$32,IF(WEEKDAY(DH38)=1,DH38+1,IF(WEEKDAY(DH38)=7,DH38+2,DH38)))+COUNTIF(ClosedDays!$J$4:$J$32,IF(WEEKDAY(DH38)=1,DH38+1,IF(WEEKDAY(DH38)=7,DH38+2,DH38)))+COUNTIF(ClosedDays!$N$4:$N$32,IF(WEEKDAY(DH38)=1,DH38+1,IF(WEEKDAY(DH38)=7,DH38+2,DH38)))</f>
        <v>44473</v>
      </c>
      <c r="DJ38" s="405">
        <f>DI38+IF(WEEKDAY(DI38)=1,1,IF(WEEKDAY(DI38)=7,2,0))+COUNTIF(ClosedDays!$B$4:$B$32,IF(WEEKDAY(DI38)=1,DI38+1,IF(WEEKDAY(DI38)=7,DI38+2,DI38)))+COUNTIF(ClosedDays!$F$4:$F$32,IF(WEEKDAY(DI38)=1,DI38+1,IF(WEEKDAY(DI38)=7,DI38+2,DI38)))+COUNTIF(ClosedDays!$J$4:$J$32,IF(WEEKDAY(DI38)=1,DI38+1,IF(WEEKDAY(DI38)=7,DI38+2,DI38)))+COUNTIF(ClosedDays!$N$4:$N$32,IF(WEEKDAY(DI38)=1,DI38+1,IF(WEEKDAY(DI38)=7,DI38+2,DI38)))</f>
        <v>44473</v>
      </c>
      <c r="DK38" s="405">
        <f>DJ38+IF(WEEKDAY(DJ38)=1,1,IF(WEEKDAY(DJ38)=7,2,0))+COUNTIF(ClosedDays!$B$4:$B$32,IF(WEEKDAY(DJ38)=1,DJ38+1,IF(WEEKDAY(DJ38)=7,DJ38+2,DJ38)))+COUNTIF(ClosedDays!$F$4:$F$32,IF(WEEKDAY(DJ38)=1,DJ38+1,IF(WEEKDAY(DJ38)=7,DJ38+2,DJ38)))+COUNTIF(ClosedDays!$J$4:$J$32,IF(WEEKDAY(DJ38)=1,DJ38+1,IF(WEEKDAY(DJ38)=7,DJ38+2,DJ38)))+COUNTIF(ClosedDays!$N$4:$N$32,IF(WEEKDAY(DJ38)=1,DJ38+1,IF(WEEKDAY(DJ38)=7,DJ38+2,DJ38)))</f>
        <v>44473</v>
      </c>
      <c r="DL38" s="405">
        <f>DK38+IF(WEEKDAY(DK38)=1,1,IF(WEEKDAY(DK38)=7,2,0))+COUNTIF(ClosedDays!$B$4:$B$32,IF(WEEKDAY(DK38)=1,DK38+1,IF(WEEKDAY(DK38)=7,DK38+2,DK38)))+COUNTIF(ClosedDays!$F$4:$F$32,IF(WEEKDAY(DK38)=1,DK38+1,IF(WEEKDAY(DK38)=7,DK38+2,DK38)))+COUNTIF(ClosedDays!$J$4:$J$32,IF(WEEKDAY(DK38)=1,DK38+1,IF(WEEKDAY(DK38)=7,DK38+2,DK38)))+COUNTIF(ClosedDays!$N$4:$N$32,IF(WEEKDAY(DK38)=1,DK38+1,IF(WEEKDAY(DK38)=7,DK38+2,DK38)))</f>
        <v>44473</v>
      </c>
      <c r="DM38" s="405">
        <f>DL38+IF(WEEKDAY(DL38)=1,1,IF(WEEKDAY(DL38)=7,2,0))+COUNTIF(ClosedDays!$B$4:$B$32,IF(WEEKDAY(DL38)=1,DL38+1,IF(WEEKDAY(DL38)=7,DL38+2,DL38)))+COUNTIF(ClosedDays!$F$4:$F$32,IF(WEEKDAY(DL38)=1,DL38+1,IF(WEEKDAY(DL38)=7,DL38+2,DL38)))+COUNTIF(ClosedDays!$J$4:$J$32,IF(WEEKDAY(DL38)=1,DL38+1,IF(WEEKDAY(DL38)=7,DL38+2,DL38)))+COUNTIF(ClosedDays!$N$4:$N$32,IF(WEEKDAY(DL38)=1,DL38+1,IF(WEEKDAY(DL38)=7,DL38+2,DL38)))</f>
        <v>44473</v>
      </c>
      <c r="DN38" s="405">
        <f>DM38+IF(WEEKDAY(DM38)=1,1,IF(WEEKDAY(DM38)=7,2,0))+COUNTIF(ClosedDays!$B$4:$B$32,IF(WEEKDAY(DM38)=1,DM38+1,IF(WEEKDAY(DM38)=7,DM38+2,DM38)))+COUNTIF(ClosedDays!$F$4:$F$32,IF(WEEKDAY(DM38)=1,DM38+1,IF(WEEKDAY(DM38)=7,DM38+2,DM38)))+COUNTIF(ClosedDays!$J$4:$J$32,IF(WEEKDAY(DM38)=1,DM38+1,IF(WEEKDAY(DM38)=7,DM38+2,DM38)))+COUNTIF(ClosedDays!$N$4:$N$32,IF(WEEKDAY(DM38)=1,DM38+1,IF(WEEKDAY(DM38)=7,DM38+2,DM38)))</f>
        <v>44473</v>
      </c>
      <c r="DO38" s="405">
        <f>DN38+IF(WEEKDAY(DN38)=1,1,IF(WEEKDAY(DN38)=7,2,0))+COUNTIF(ClosedDays!$B$4:$B$32,IF(WEEKDAY(DN38)=1,DN38+1,IF(WEEKDAY(DN38)=7,DN38+2,DN38)))+COUNTIF(ClosedDays!$F$4:$F$32,IF(WEEKDAY(DN38)=1,DN38+1,IF(WEEKDAY(DN38)=7,DN38+2,DN38)))+COUNTIF(ClosedDays!$J$4:$J$32,IF(WEEKDAY(DN38)=1,DN38+1,IF(WEEKDAY(DN38)=7,DN38+2,DN38)))+COUNTIF(ClosedDays!$N$4:$N$32,IF(WEEKDAY(DN38)=1,DN38+1,IF(WEEKDAY(DN38)=7,DN38+2,DN38)))</f>
        <v>44473</v>
      </c>
      <c r="DP38" s="405">
        <f t="shared" si="23"/>
        <v>44473</v>
      </c>
      <c r="DQ38" s="405">
        <f t="shared" si="20"/>
        <v>44473</v>
      </c>
      <c r="DR38" s="394">
        <f t="shared" si="19"/>
        <v>1</v>
      </c>
      <c r="DS38" s="394">
        <f>IF(AND(DR38=1,COUNTIF(DS$7:DS37,1)&lt;12,VLOOKUP(COUNTIF(DS$7:DS37,1)+1,'Outline Info'!$A$21:$C$32,2)&lt;=I38),1,0)</f>
        <v>0</v>
      </c>
      <c r="DT38" s="405" t="str">
        <f>IF(DS38=1,IF(VLOOKUP(COUNTIF(DS$7:DS38,1),'Outline Info'!$A$21:$C$32,2)=0,"",VLOOKUP(COUNTIF(DS$7:DS38,1),'Outline Info'!$A$21:$C$32,2)),"")</f>
        <v/>
      </c>
      <c r="DU38" s="447">
        <f>IF(DS38=1,VLOOKUP(COUNTIF(DS$7:DS38,1),'Outline Info'!$A$21:$C$32,3),0)</f>
        <v>0</v>
      </c>
      <c r="DV38" s="445">
        <f>IF('Outline Info'!$B$8="Y",IF(B38="*",'Outline Info'!$B$19,IF(OR($A38="",B38="X",B38="x"),0,VLOOKUP($A38,'Course Table'!$A$2:$J$331,4,TRUE))),0)</f>
        <v>0</v>
      </c>
      <c r="DW38" s="447">
        <f t="shared" si="6"/>
        <v>0</v>
      </c>
      <c r="DX38" s="447">
        <f>IF('Outline Info'!$B$8="Y",$DV38,$DW38)</f>
        <v>0</v>
      </c>
      <c r="DY38" s="394"/>
      <c r="DZ38" s="934"/>
      <c r="EA38" s="934"/>
      <c r="EB38" s="394"/>
      <c r="EC38" s="394"/>
      <c r="ED38" s="394"/>
    </row>
    <row r="39" spans="1:134" s="400" customFormat="1" ht="20.100000000000001" customHeight="1">
      <c r="A39" s="874" t="str">
        <f t="shared" si="7"/>
        <v/>
      </c>
      <c r="B39" s="876" t="str">
        <f t="shared" si="8"/>
        <v/>
      </c>
      <c r="C39" s="878" t="str">
        <f t="shared" si="9"/>
        <v/>
      </c>
      <c r="D39" s="463">
        <f>IF(NOT(ISBLANK(DZ39)),DZ39,IF(AND($AC39=9998,'Outline Info'!$H$33&gt;='Outline Info'!$B$6,'Outline Info'!$H$33&lt;='Outline Info'!$C$6),'Outline Info'!$H$33,IF(AND($AC39=9997,'Outline Info'!$H$31&gt;='Outline Info'!$B$6,'Outline Info'!$H$31&lt;='Outline Info'!$C$6),'Outline Info'!$H$31,IF(AE39="*",DQ38,IF(OR(AE39="x",AE39="X"),I38,IF(AND(AC39&gt;6,AC38&lt;6),DQ38,IF(AND($AC39=9998,$AC38=9997),I37,I38)))))))</f>
        <v>44470</v>
      </c>
      <c r="E39" s="1286"/>
      <c r="F39" s="1287"/>
      <c r="G39" s="1282"/>
      <c r="H39" s="1283"/>
      <c r="I39" s="464">
        <f>IF(AND($AC39=9998,'Outline Info'!$I$33&gt;='Outline Info'!$B$6,'Outline Info'!$I$33&lt;='Outline Info'!$C$6),'Outline Info'!$I$33,IF(AND($AC39=9997,'Outline Info'!$I$31&gt;='Outline Info'!$B$6,'Outline Info'!$I$31&lt;='Outline Info'!$C$6),'Outline Info'!$I$31,IF(DP39&gt;$V$4,$V$4,DP39)))</f>
        <v>44470</v>
      </c>
      <c r="J39" s="436"/>
      <c r="K39" s="437"/>
      <c r="L39" s="438"/>
      <c r="M39" s="438"/>
      <c r="N39" s="435"/>
      <c r="O39" s="435"/>
      <c r="P39" s="438"/>
      <c r="Q39" s="438"/>
      <c r="R39" s="439"/>
      <c r="S39" s="872">
        <f>IF($V$5-SUM($DX$7:$DX39)&lt;0,IF($V$5-SUM($DX$7:$DX38)&lt;0,0,$V$5-SUM($DX$7:$DX38)),DX39)</f>
        <v>0</v>
      </c>
      <c r="T39" s="440" t="str">
        <f>IF(S39&gt;0,IF('Outline Info'!$B$8="Y",D39,DT39),"")</f>
        <v/>
      </c>
      <c r="U39" s="441"/>
      <c r="V39" s="442"/>
      <c r="W39" s="870" t="str">
        <f>IF('Outline Info'!$C$33&gt;0,ROUND(IF('Outline Info'!$B$8="Y",SUM(S$7:S39)-SUM(AJ$7:AJ39)-'Outline Info'!$B$14-'Outline Info'!$B$15-'Outline Info'!$B$17,IF(AL39=0,SUM(S$7:S39)-SUM(AK$7:AK39)-SUM(AP39:AS39)-'Outline Info'!$B$14-'Outline Info'!$B$15-'Outline Info'!$B$17,0)),0),IF('Outline Info'!$T$4&lt;&gt;1,"",IF(OR(AD39="",AL39=1),"",SUM(AK$7:AK39)+SUM(AP39:AS39)+'Outline Info'!$B$14+'Outline Info'!$B$15+'Outline Info'!$B$17)))</f>
        <v/>
      </c>
      <c r="X39" s="448"/>
      <c r="Y39" s="443">
        <f>IF(OR(AE39="X",AE39="x",AE39="*",AC39=99999),0,IF(AC39&lt;50,0,IF($S$4-SUM($Y$7:$Y38)&gt;0,1,0)))</f>
        <v>0</v>
      </c>
      <c r="Z39" s="444">
        <f>IF(AC39&lt;99999,IF(AE39="*",AH39,IF(OR(AE39="x",AE39="X",AC39&lt;10),0,IF(AND(AC39&lt;&gt;9998,AC39&lt;&gt;9997),IF(AM39=1,(AH39+$AM$5)*(1+('Outline Info'!$B$16)),IF(AN39=1,(AH39+$AN$5)*(1+('Outline Info'!$B$16)),0)),AH39))),0)</f>
        <v>0</v>
      </c>
      <c r="AA39" s="395">
        <f>Z39/'Outline Info'!$C$11+Y39</f>
        <v>0</v>
      </c>
      <c r="AB39" s="395">
        <f>ROUND(AA39/'Outline Info'!$B$11*7,0)</f>
        <v>0</v>
      </c>
      <c r="AC39" s="450">
        <f>IF($AD39&lt;&gt;"",VLOOKUP($AD39,'Course Table'!$A$2:$J$331,10,TRUE),99999)</f>
        <v>99999</v>
      </c>
      <c r="AD39" s="451"/>
      <c r="AE39" s="394"/>
      <c r="AF39" s="451"/>
      <c r="AG39" s="451"/>
      <c r="AH39" s="451"/>
      <c r="AI39" s="394">
        <v>0</v>
      </c>
      <c r="AJ39" s="394">
        <v>0</v>
      </c>
      <c r="AK39" s="394">
        <f t="shared" si="10"/>
        <v>0</v>
      </c>
      <c r="AL39" s="394">
        <f t="shared" si="11"/>
        <v>0</v>
      </c>
      <c r="AM39" s="394">
        <f t="shared" si="12"/>
        <v>0</v>
      </c>
      <c r="AN39" s="394">
        <f t="shared" si="13"/>
        <v>0</v>
      </c>
      <c r="AO39" s="394">
        <f>IF(AN39=1,SUMPRODUCT($AJ$7:$AJ39,$AN$7:$AN39),0)</f>
        <v>0</v>
      </c>
      <c r="AP39" s="394">
        <f t="shared" si="14"/>
        <v>0</v>
      </c>
      <c r="AQ39" s="394">
        <f t="shared" si="14"/>
        <v>0</v>
      </c>
      <c r="AR39" s="394">
        <f t="shared" si="14"/>
        <v>0</v>
      </c>
      <c r="AS39" s="394">
        <f t="shared" si="14"/>
        <v>0</v>
      </c>
      <c r="AT39" s="394">
        <f t="shared" si="15"/>
        <v>0</v>
      </c>
      <c r="AU39" s="394">
        <f t="shared" si="15"/>
        <v>0</v>
      </c>
      <c r="AV39" s="394">
        <f t="shared" si="15"/>
        <v>0</v>
      </c>
      <c r="AW39" s="394">
        <f t="shared" si="15"/>
        <v>0</v>
      </c>
      <c r="AX39" s="394">
        <f t="shared" si="1"/>
        <v>0</v>
      </c>
      <c r="AY39" s="394">
        <f t="shared" si="2"/>
        <v>0</v>
      </c>
      <c r="AZ39" s="394">
        <f t="shared" si="3"/>
        <v>0</v>
      </c>
      <c r="BA39" s="394">
        <f t="shared" si="4"/>
        <v>0</v>
      </c>
      <c r="BB39" s="405">
        <f t="shared" si="22"/>
        <v>44473</v>
      </c>
      <c r="BC39" s="405">
        <f>BB39+IF(WEEKDAY(BB39)=1,1,IF(WEEKDAY(BB39)=7,2,0))+COUNTIF(ClosedDays!$B$4:$B$32,IF(WEEKDAY(BB39)=1,BB39+1,IF(WEEKDAY(BB39)=7,BB39+2,BB39)))+COUNTIF(ClosedDays!$F$4:$F$32,IF(WEEKDAY(BB39)=1,BB39+1,IF(WEEKDAY(BB39)=7,BB39+2,BB39)))+COUNTIF(ClosedDays!$J$4:$J$32,IF(WEEKDAY(BB39)=1,BB39+1,IF(WEEKDAY(BB39)=7,BB39+2,BB39)))+COUNTIF(ClosedDays!$N$4:$N$32,IF(WEEKDAY(BB39)=1,BB39+1,IF(WEEKDAY(BB39)=7,BB39+2,BB39)))</f>
        <v>44473</v>
      </c>
      <c r="BD39" s="405">
        <f>BC39+IF(WEEKDAY(BC39)=1,1,IF(WEEKDAY(BC39)=7,2,0))+COUNTIF(ClosedDays!$B$4:$B$32,IF(WEEKDAY(BC39)=1,BC39+1,IF(WEEKDAY(BC39)=7,BC39+2,BC39)))+COUNTIF(ClosedDays!$F$4:$F$32,IF(WEEKDAY(BC39)=1,BC39+1,IF(WEEKDAY(BC39)=7,BC39+2,BC39)))+COUNTIF(ClosedDays!$J$4:$J$32,IF(WEEKDAY(BC39)=1,BC39+1,IF(WEEKDAY(BC39)=7,BC39+2,BC39)))+COUNTIF(ClosedDays!$N$4:$N$32,IF(WEEKDAY(BC39)=1,BC39+1,IF(WEEKDAY(BC39)=7,BC39+2,BC39)))</f>
        <v>44473</v>
      </c>
      <c r="BE39" s="405">
        <f>BD39+IF(WEEKDAY(BD39)=1,1,IF(WEEKDAY(BD39)=7,2,0))+COUNTIF(ClosedDays!$B$4:$B$32,IF(WEEKDAY(BD39)=1,BD39+1,IF(WEEKDAY(BD39)=7,BD39+2,BD39)))+COUNTIF(ClosedDays!$F$4:$F$32,IF(WEEKDAY(BD39)=1,BD39+1,IF(WEEKDAY(BD39)=7,BD39+2,BD39)))+COUNTIF(ClosedDays!$J$4:$J$32,IF(WEEKDAY(BD39)=1,BD39+1,IF(WEEKDAY(BD39)=7,BD39+2,BD39)))+COUNTIF(ClosedDays!$N$4:$N$32,IF(WEEKDAY(BD39)=1,BD39+1,IF(WEEKDAY(BD39)=7,BD39+2,BD39)))</f>
        <v>44473</v>
      </c>
      <c r="BF39" s="405">
        <f>BE39+IF(WEEKDAY(BE39)=1,1,IF(WEEKDAY(BE39)=7,2,0))+COUNTIF(ClosedDays!$B$4:$B$32,IF(WEEKDAY(BE39)=1,BE39+1,IF(WEEKDAY(BE39)=7,BE39+2,BE39)))+COUNTIF(ClosedDays!$F$4:$F$32,IF(WEEKDAY(BE39)=1,BE39+1,IF(WEEKDAY(BE39)=7,BE39+2,BE39)))+COUNTIF(ClosedDays!$J$4:$J$32,IF(WEEKDAY(BE39)=1,BE39+1,IF(WEEKDAY(BE39)=7,BE39+2,BE39)))+COUNTIF(ClosedDays!$N$4:$N$32,IF(WEEKDAY(BE39)=1,BE39+1,IF(WEEKDAY(BE39)=7,BE39+2,BE39)))</f>
        <v>44473</v>
      </c>
      <c r="BG39" s="405">
        <f>BF39+IF(WEEKDAY(BF39)=1,1,IF(WEEKDAY(BF39)=7,2,0))+COUNTIF(ClosedDays!$B$4:$B$32,IF(WEEKDAY(BF39)=1,BF39+1,IF(WEEKDAY(BF39)=7,BF39+2,BF39)))+COUNTIF(ClosedDays!$F$4:$F$32,IF(WEEKDAY(BF39)=1,BF39+1,IF(WEEKDAY(BF39)=7,BF39+2,BF39)))+COUNTIF(ClosedDays!$J$4:$J$32,IF(WEEKDAY(BF39)=1,BF39+1,IF(WEEKDAY(BF39)=7,BF39+2,BF39)))+COUNTIF(ClosedDays!$N$4:$N$32,IF(WEEKDAY(BF39)=1,BF39+1,IF(WEEKDAY(BF39)=7,BF39+2,BF39)))</f>
        <v>44473</v>
      </c>
      <c r="BH39" s="405">
        <f>BG39+IF(WEEKDAY(BG39)=1,1,IF(WEEKDAY(BG39)=7,2,0))+COUNTIF(ClosedDays!$B$4:$B$32,IF(WEEKDAY(BG39)=1,BG39+1,IF(WEEKDAY(BG39)=7,BG39+2,BG39)))+COUNTIF(ClosedDays!$F$4:$F$32,IF(WEEKDAY(BG39)=1,BG39+1,IF(WEEKDAY(BG39)=7,BG39+2,BG39)))+COUNTIF(ClosedDays!$J$4:$J$32,IF(WEEKDAY(BG39)=1,BG39+1,IF(WEEKDAY(BG39)=7,BG39+2,BG39)))+COUNTIF(ClosedDays!$N$4:$N$32,IF(WEEKDAY(BG39)=1,BG39+1,IF(WEEKDAY(BG39)=7,BG39+2,BG39)))</f>
        <v>44473</v>
      </c>
      <c r="BI39" s="405">
        <f>BH39+IF(WEEKDAY(BH39)=1,1,IF(WEEKDAY(BH39)=7,2,0))+COUNTIF(ClosedDays!$B$4:$B$32,IF(WEEKDAY(BH39)=1,BH39+1,IF(WEEKDAY(BH39)=7,BH39+2,BH39)))+COUNTIF(ClosedDays!$F$4:$F$32,IF(WEEKDAY(BH39)=1,BH39+1,IF(WEEKDAY(BH39)=7,BH39+2,BH39)))+COUNTIF(ClosedDays!$J$4:$J$32,IF(WEEKDAY(BH39)=1,BH39+1,IF(WEEKDAY(BH39)=7,BH39+2,BH39)))+COUNTIF(ClosedDays!$N$4:$N$32,IF(WEEKDAY(BH39)=1,BH39+1,IF(WEEKDAY(BH39)=7,BH39+2,BH39)))</f>
        <v>44473</v>
      </c>
      <c r="BJ39" s="405">
        <f>BI39+IF(WEEKDAY(BI39)=1,1,IF(WEEKDAY(BI39)=7,2,0))+COUNTIF(ClosedDays!$B$4:$B$32,IF(WEEKDAY(BI39)=1,BI39+1,IF(WEEKDAY(BI39)=7,BI39+2,BI39)))+COUNTIF(ClosedDays!$F$4:$F$32,IF(WEEKDAY(BI39)=1,BI39+1,IF(WEEKDAY(BI39)=7,BI39+2,BI39)))+COUNTIF(ClosedDays!$J$4:$J$32,IF(WEEKDAY(BI39)=1,BI39+1,IF(WEEKDAY(BI39)=7,BI39+2,BI39)))+COUNTIF(ClosedDays!$N$4:$N$32,IF(WEEKDAY(BI39)=1,BI39+1,IF(WEEKDAY(BI39)=7,BI39+2,BI39)))</f>
        <v>44473</v>
      </c>
      <c r="BK39" s="405">
        <f>BJ39+IF(WEEKDAY(BJ39)=1,1,IF(WEEKDAY(BJ39)=7,2,0))+COUNTIF(ClosedDays!$B$4:$B$32,IF(WEEKDAY(BJ39)=1,BJ39+1,IF(WEEKDAY(BJ39)=7,BJ39+2,BJ39)))+COUNTIF(ClosedDays!$F$4:$F$32,IF(WEEKDAY(BJ39)=1,BJ39+1,IF(WEEKDAY(BJ39)=7,BJ39+2,BJ39)))+COUNTIF(ClosedDays!$J$4:$J$32,IF(WEEKDAY(BJ39)=1,BJ39+1,IF(WEEKDAY(BJ39)=7,BJ39+2,BJ39)))+COUNTIF(ClosedDays!$N$4:$N$32,IF(WEEKDAY(BJ39)=1,BJ39+1,IF(WEEKDAY(BJ39)=7,BJ39+2,BJ39)))</f>
        <v>44473</v>
      </c>
      <c r="BL39" s="405">
        <f>BK39+IF(WEEKDAY(BK39)=1,1,IF(WEEKDAY(BK39)=7,2,0))+COUNTIF(ClosedDays!$B$4:$B$32,IF(WEEKDAY(BK39)=1,BK39+1,IF(WEEKDAY(BK39)=7,BK39+2,BK39)))+COUNTIF(ClosedDays!$F$4:$F$32,IF(WEEKDAY(BK39)=1,BK39+1,IF(WEEKDAY(BK39)=7,BK39+2,BK39)))+COUNTIF(ClosedDays!$J$4:$J$32,IF(WEEKDAY(BK39)=1,BK39+1,IF(WEEKDAY(BK39)=7,BK39+2,BK39)))+COUNTIF(ClosedDays!$N$4:$N$32,IF(WEEKDAY(BK39)=1,BK39+1,IF(WEEKDAY(BK39)=7,BK39+2,BK39)))</f>
        <v>44473</v>
      </c>
      <c r="BM39" s="405">
        <f>BL39+IF(WEEKDAY(BL39)=1,1,IF(WEEKDAY(BL39)=7,2,0))+COUNTIF(ClosedDays!$B$4:$B$32,IF(WEEKDAY(BL39)=1,BL39+1,IF(WEEKDAY(BL39)=7,BL39+2,BL39)))+COUNTIF(ClosedDays!$F$4:$F$32,IF(WEEKDAY(BL39)=1,BL39+1,IF(WEEKDAY(BL39)=7,BL39+2,BL39)))+COUNTIF(ClosedDays!$J$4:$J$32,IF(WEEKDAY(BL39)=1,BL39+1,IF(WEEKDAY(BL39)=7,BL39+2,BL39)))+COUNTIF(ClosedDays!$N$4:$N$32,IF(WEEKDAY(BL39)=1,BL39+1,IF(WEEKDAY(BL39)=7,BL39+2,BL39)))</f>
        <v>44473</v>
      </c>
      <c r="BN39" s="405">
        <f>BM39+IF(WEEKDAY(BM39)=1,1,IF(WEEKDAY(BM39)=7,2,0))+COUNTIF(ClosedDays!$B$4:$B$32,IF(WEEKDAY(BM39)=1,BM39+1,IF(WEEKDAY(BM39)=7,BM39+2,BM39)))+COUNTIF(ClosedDays!$F$4:$F$32,IF(WEEKDAY(BM39)=1,BM39+1,IF(WEEKDAY(BM39)=7,BM39+2,BM39)))+COUNTIF(ClosedDays!$J$4:$J$32,IF(WEEKDAY(BM39)=1,BM39+1,IF(WEEKDAY(BM39)=7,BM39+2,BM39)))+COUNTIF(ClosedDays!$N$4:$N$32,IF(WEEKDAY(BM39)=1,BM39+1,IF(WEEKDAY(BM39)=7,BM39+2,BM39)))</f>
        <v>44473</v>
      </c>
      <c r="BO39" s="405">
        <f>BN39+IF(WEEKDAY(BN39)=1,1,IF(WEEKDAY(BN39)=7,2,0))+COUNTIF(ClosedDays!$B$4:$B$32,IF(WEEKDAY(BN39)=1,BN39+1,IF(WEEKDAY(BN39)=7,BN39+2,BN39)))+COUNTIF(ClosedDays!$F$4:$F$32,IF(WEEKDAY(BN39)=1,BN39+1,IF(WEEKDAY(BN39)=7,BN39+2,BN39)))+COUNTIF(ClosedDays!$J$4:$J$32,IF(WEEKDAY(BN39)=1,BN39+1,IF(WEEKDAY(BN39)=7,BN39+2,BN39)))+COUNTIF(ClosedDays!$N$4:$N$32,IF(WEEKDAY(BN39)=1,BN39+1,IF(WEEKDAY(BN39)=7,BN39+2,BN39)))</f>
        <v>44473</v>
      </c>
      <c r="BP39" s="405">
        <f>BO39+IF(WEEKDAY(BO39)=1,1,IF(WEEKDAY(BO39)=7,2,0))+COUNTIF(ClosedDays!$B$4:$B$32,IF(WEEKDAY(BO39)=1,BO39+1,IF(WEEKDAY(BO39)=7,BO39+2,BO39)))+COUNTIF(ClosedDays!$F$4:$F$32,IF(WEEKDAY(BO39)=1,BO39+1,IF(WEEKDAY(BO39)=7,BO39+2,BO39)))+COUNTIF(ClosedDays!$J$4:$J$32,IF(WEEKDAY(BO39)=1,BO39+1,IF(WEEKDAY(BO39)=7,BO39+2,BO39)))+COUNTIF(ClosedDays!$N$4:$N$32,IF(WEEKDAY(BO39)=1,BO39+1,IF(WEEKDAY(BO39)=7,BO39+2,BO39)))</f>
        <v>44473</v>
      </c>
      <c r="BQ39" s="405">
        <f t="shared" si="16"/>
        <v>44473</v>
      </c>
      <c r="BR39" s="446">
        <f>IF(AND($D39&lt;='Outline Info'!$H$31,BQ39&gt;='Outline Info'!$H$31,$BS$4=1,$AC39&gt;10,$AC39&lt;9997),1,0)</f>
        <v>0</v>
      </c>
      <c r="BS39" s="405">
        <f>IF(BR39=1,BQ39+'Outline Info'!$I$31-'Outline Info'!$H$31+1,BQ39)</f>
        <v>44473</v>
      </c>
      <c r="BT39" s="405">
        <f>BS39+IF(WEEKDAY(BS39)=1,1,IF(WEEKDAY(BS39)=7,2,0))+COUNTIF(ClosedDays!$B$4:$B$32,IF(WEEKDAY(BS39)=1,BS39+1,IF(WEEKDAY(BS39)=7,BS39+2,BS39)))+COUNTIF(ClosedDays!$F$4:$F$32,IF(WEEKDAY(BS39)=1,BS39+1,IF(WEEKDAY(BS39)=7,BS39+2,BS39)))+COUNTIF(ClosedDays!$J$4:$J$32,IF(WEEKDAY(BS39)=1,BS39+1,IF(WEEKDAY(BS39)=7,BS39+2,BS39)))+COUNTIF(ClosedDays!$N$4:$N$32,IF(WEEKDAY(BS39)=1,BS39+1,IF(WEEKDAY(BS39)=7,BS39+2,BS39)))</f>
        <v>44473</v>
      </c>
      <c r="BU39" s="405">
        <f>BT39+IF(WEEKDAY(BT39)=1,1,IF(WEEKDAY(BT39)=7,2,0))+COUNTIF(ClosedDays!$B$4:$B$32,IF(WEEKDAY(BT39)=1,BT39+1,IF(WEEKDAY(BT39)=7,BT39+2,BT39)))+COUNTIF(ClosedDays!$F$4:$F$32,IF(WEEKDAY(BT39)=1,BT39+1,IF(WEEKDAY(BT39)=7,BT39+2,BT39)))+COUNTIF(ClosedDays!$J$4:$J$32,IF(WEEKDAY(BT39)=1,BT39+1,IF(WEEKDAY(BT39)=7,BT39+2,BT39)))+COUNTIF(ClosedDays!$N$4:$N$32,IF(WEEKDAY(BT39)=1,BT39+1,IF(WEEKDAY(BT39)=7,BT39+2,BT39)))</f>
        <v>44473</v>
      </c>
      <c r="BV39" s="405">
        <f>BU39+IF(WEEKDAY(BU39)=1,1,IF(WEEKDAY(BU39)=7,2,0))+COUNTIF(ClosedDays!$B$4:$B$32,IF(WEEKDAY(BU39)=1,BU39+1,IF(WEEKDAY(BU39)=7,BU39+2,BU39)))+COUNTIF(ClosedDays!$F$4:$F$32,IF(WEEKDAY(BU39)=1,BU39+1,IF(WEEKDAY(BU39)=7,BU39+2,BU39)))+COUNTIF(ClosedDays!$J$4:$J$32,IF(WEEKDAY(BU39)=1,BU39+1,IF(WEEKDAY(BU39)=7,BU39+2,BU39)))+COUNTIF(ClosedDays!$N$4:$N$32,IF(WEEKDAY(BU39)=1,BU39+1,IF(WEEKDAY(BU39)=7,BU39+2,BU39)))</f>
        <v>44473</v>
      </c>
      <c r="BW39" s="405">
        <f>BV39+IF(WEEKDAY(BV39)=1,1,IF(WEEKDAY(BV39)=7,2,0))+COUNTIF(ClosedDays!$B$4:$B$32,IF(WEEKDAY(BV39)=1,BV39+1,IF(WEEKDAY(BV39)=7,BV39+2,BV39)))+COUNTIF(ClosedDays!$F$4:$F$32,IF(WEEKDAY(BV39)=1,BV39+1,IF(WEEKDAY(BV39)=7,BV39+2,BV39)))+COUNTIF(ClosedDays!$J$4:$J$32,IF(WEEKDAY(BV39)=1,BV39+1,IF(WEEKDAY(BV39)=7,BV39+2,BV39)))+COUNTIF(ClosedDays!$N$4:$N$32,IF(WEEKDAY(BV39)=1,BV39+1,IF(WEEKDAY(BV39)=7,BV39+2,BV39)))</f>
        <v>44473</v>
      </c>
      <c r="BX39" s="405">
        <f>BW39+IF(WEEKDAY(BW39)=1,1,IF(WEEKDAY(BW39)=7,2,0))+COUNTIF(ClosedDays!$B$4:$B$32,IF(WEEKDAY(BW39)=1,BW39+1,IF(WEEKDAY(BW39)=7,BW39+2,BW39)))+COUNTIF(ClosedDays!$F$4:$F$32,IF(WEEKDAY(BW39)=1,BW39+1,IF(WEEKDAY(BW39)=7,BW39+2,BW39)))+COUNTIF(ClosedDays!$J$4:$J$32,IF(WEEKDAY(BW39)=1,BW39+1,IF(WEEKDAY(BW39)=7,BW39+2,BW39)))+COUNTIF(ClosedDays!$N$4:$N$32,IF(WEEKDAY(BW39)=1,BW39+1,IF(WEEKDAY(BW39)=7,BW39+2,BW39)))</f>
        <v>44473</v>
      </c>
      <c r="BY39" s="405">
        <f>BX39+IF(WEEKDAY(BX39)=1,1,IF(WEEKDAY(BX39)=7,2,0))+COUNTIF(ClosedDays!$B$4:$B$32,IF(WEEKDAY(BX39)=1,BX39+1,IF(WEEKDAY(BX39)=7,BX39+2,BX39)))+COUNTIF(ClosedDays!$F$4:$F$32,IF(WEEKDAY(BX39)=1,BX39+1,IF(WEEKDAY(BX39)=7,BX39+2,BX39)))+COUNTIF(ClosedDays!$J$4:$J$32,IF(WEEKDAY(BX39)=1,BX39+1,IF(WEEKDAY(BX39)=7,BX39+2,BX39)))+COUNTIF(ClosedDays!$N$4:$N$32,IF(WEEKDAY(BX39)=1,BX39+1,IF(WEEKDAY(BX39)=7,BX39+2,BX39)))</f>
        <v>44473</v>
      </c>
      <c r="BZ39" s="405">
        <f>BY39+IF(WEEKDAY(BY39)=1,1,IF(WEEKDAY(BY39)=7,2,0))+COUNTIF(ClosedDays!$B$4:$B$32,IF(WEEKDAY(BY39)=1,BY39+1,IF(WEEKDAY(BY39)=7,BY39+2,BY39)))+COUNTIF(ClosedDays!$F$4:$F$32,IF(WEEKDAY(BY39)=1,BY39+1,IF(WEEKDAY(BY39)=7,BY39+2,BY39)))+COUNTIF(ClosedDays!$J$4:$J$32,IF(WEEKDAY(BY39)=1,BY39+1,IF(WEEKDAY(BY39)=7,BY39+2,BY39)))+COUNTIF(ClosedDays!$N$4:$N$32,IF(WEEKDAY(BY39)=1,BY39+1,IF(WEEKDAY(BY39)=7,BY39+2,BY39)))</f>
        <v>44473</v>
      </c>
      <c r="CA39" s="405">
        <f>BZ39+IF(WEEKDAY(BZ39)=1,1,IF(WEEKDAY(BZ39)=7,2,0))+COUNTIF(ClosedDays!$B$4:$B$32,IF(WEEKDAY(BZ39)=1,BZ39+1,IF(WEEKDAY(BZ39)=7,BZ39+2,BZ39)))+COUNTIF(ClosedDays!$F$4:$F$32,IF(WEEKDAY(BZ39)=1,BZ39+1,IF(WEEKDAY(BZ39)=7,BZ39+2,BZ39)))+COUNTIF(ClosedDays!$J$4:$J$32,IF(WEEKDAY(BZ39)=1,BZ39+1,IF(WEEKDAY(BZ39)=7,BZ39+2,BZ39)))+COUNTIF(ClosedDays!$N$4:$N$32,IF(WEEKDAY(BZ39)=1,BZ39+1,IF(WEEKDAY(BZ39)=7,BZ39+2,BZ39)))</f>
        <v>44473</v>
      </c>
      <c r="CB39" s="405">
        <f>CA39+IF(WEEKDAY(CA39)=1,1,IF(WEEKDAY(CA39)=7,2,0))+COUNTIF(ClosedDays!$B$4:$B$32,IF(WEEKDAY(CA39)=1,CA39+1,IF(WEEKDAY(CA39)=7,CA39+2,CA39)))+COUNTIF(ClosedDays!$F$4:$F$32,IF(WEEKDAY(CA39)=1,CA39+1,IF(WEEKDAY(CA39)=7,CA39+2,CA39)))+COUNTIF(ClosedDays!$J$4:$J$32,IF(WEEKDAY(CA39)=1,CA39+1,IF(WEEKDAY(CA39)=7,CA39+2,CA39)))+COUNTIF(ClosedDays!$N$4:$N$32,IF(WEEKDAY(CA39)=1,CA39+1,IF(WEEKDAY(CA39)=7,CA39+2,CA39)))</f>
        <v>44473</v>
      </c>
      <c r="CC39" s="405">
        <f>CB39+IF(WEEKDAY(CB39)=1,1,IF(WEEKDAY(CB39)=7,2,0))+COUNTIF(ClosedDays!$B$4:$B$32,IF(WEEKDAY(CB39)=1,CB39+1,IF(WEEKDAY(CB39)=7,CB39+2,CB39)))+COUNTIF(ClosedDays!$F$4:$F$32,IF(WEEKDAY(CB39)=1,CB39+1,IF(WEEKDAY(CB39)=7,CB39+2,CB39)))+COUNTIF(ClosedDays!$J$4:$J$32,IF(WEEKDAY(CB39)=1,CB39+1,IF(WEEKDAY(CB39)=7,CB39+2,CB39)))+COUNTIF(ClosedDays!$N$4:$N$32,IF(WEEKDAY(CB39)=1,CB39+1,IF(WEEKDAY(CB39)=7,CB39+2,CB39)))</f>
        <v>44473</v>
      </c>
      <c r="CD39" s="405">
        <f>CC39+IF(WEEKDAY(CC39)=1,1,IF(WEEKDAY(CC39)=7,2,0))+COUNTIF(ClosedDays!$B$4:$B$32,IF(WEEKDAY(CC39)=1,CC39+1,IF(WEEKDAY(CC39)=7,CC39+2,CC39)))+COUNTIF(ClosedDays!$F$4:$F$32,IF(WEEKDAY(CC39)=1,CC39+1,IF(WEEKDAY(CC39)=7,CC39+2,CC39)))+COUNTIF(ClosedDays!$J$4:$J$32,IF(WEEKDAY(CC39)=1,CC39+1,IF(WEEKDAY(CC39)=7,CC39+2,CC39)))+COUNTIF(ClosedDays!$N$4:$N$32,IF(WEEKDAY(CC39)=1,CC39+1,IF(WEEKDAY(CC39)=7,CC39+2,CC39)))</f>
        <v>44473</v>
      </c>
      <c r="CE39" s="405">
        <f>CD39+IF(WEEKDAY(CD39)=1,1,IF(WEEKDAY(CD39)=7,2,0))+COUNTIF(ClosedDays!$B$4:$B$32,IF(WEEKDAY(CD39)=1,CD39+1,IF(WEEKDAY(CD39)=7,CD39+2,CD39)))+COUNTIF(ClosedDays!$F$4:$F$32,IF(WEEKDAY(CD39)=1,CD39+1,IF(WEEKDAY(CD39)=7,CD39+2,CD39)))+COUNTIF(ClosedDays!$J$4:$J$32,IF(WEEKDAY(CD39)=1,CD39+1,IF(WEEKDAY(CD39)=7,CD39+2,CD39)))+COUNTIF(ClosedDays!$N$4:$N$32,IF(WEEKDAY(CD39)=1,CD39+1,IF(WEEKDAY(CD39)=7,CD39+2,CD39)))</f>
        <v>44473</v>
      </c>
      <c r="CF39" s="405">
        <f>CE39+IF(WEEKDAY(CE39)=1,1,IF(WEEKDAY(CE39)=7,2,0))+COUNTIF(ClosedDays!$B$4:$B$32,IF(WEEKDAY(CE39)=1,CE39+1,IF(WEEKDAY(CE39)=7,CE39+2,CE39)))+COUNTIF(ClosedDays!$F$4:$F$32,IF(WEEKDAY(CE39)=1,CE39+1,IF(WEEKDAY(CE39)=7,CE39+2,CE39)))+COUNTIF(ClosedDays!$J$4:$J$32,IF(WEEKDAY(CE39)=1,CE39+1,IF(WEEKDAY(CE39)=7,CE39+2,CE39)))+COUNTIF(ClosedDays!$N$4:$N$32,IF(WEEKDAY(CE39)=1,CE39+1,IF(WEEKDAY(CE39)=7,CE39+2,CE39)))</f>
        <v>44473</v>
      </c>
      <c r="CG39" s="405">
        <f>CF39+IF(WEEKDAY(CF39)=1,1,IF(WEEKDAY(CF39)=7,2,0))+COUNTIF(ClosedDays!$B$4:$B$32,IF(WEEKDAY(CF39)=1,CF39+1,IF(WEEKDAY(CF39)=7,CF39+2,CF39)))+COUNTIF(ClosedDays!$F$4:$F$32,IF(WEEKDAY(CF39)=1,CF39+1,IF(WEEKDAY(CF39)=7,CF39+2,CF39)))+COUNTIF(ClosedDays!$J$4:$J$32,IF(WEEKDAY(CF39)=1,CF39+1,IF(WEEKDAY(CF39)=7,CF39+2,CF39)))+COUNTIF(ClosedDays!$N$4:$N$32,IF(WEEKDAY(CF39)=1,CF39+1,IF(WEEKDAY(CF39)=7,CF39+2,CF39)))</f>
        <v>44473</v>
      </c>
      <c r="CH39" s="405">
        <f t="shared" si="17"/>
        <v>44473</v>
      </c>
      <c r="CI39" s="446">
        <f>IF(AND($D39&lt;='Outline Info'!$H$33,CH39&gt;='Outline Info'!$H$33,$CJ$4=1,$AC39&gt;10,$AC39&lt;9997),1,0)</f>
        <v>0</v>
      </c>
      <c r="CJ39" s="405">
        <f>IF(CI39=1,CH39+'Outline Info'!$I$33-'Outline Info'!$H$33+1,CH39)</f>
        <v>44473</v>
      </c>
      <c r="CK39" s="405">
        <f>CJ39+IF(WEEKDAY(CJ39)=1,1,IF(WEEKDAY(CJ39)=7,2,0))+COUNTIF(ClosedDays!$B$4:$B$32,IF(WEEKDAY(CJ39)=1,CJ39+1,IF(WEEKDAY(CJ39)=7,CJ39+2,CJ39)))+COUNTIF(ClosedDays!$F$4:$F$32,IF(WEEKDAY(CJ39)=1,CJ39+1,IF(WEEKDAY(CJ39)=7,CJ39+2,CJ39)))+COUNTIF(ClosedDays!$J$4:$J$32,IF(WEEKDAY(CJ39)=1,CJ39+1,IF(WEEKDAY(CJ39)=7,CJ39+2,CJ39)))+COUNTIF(ClosedDays!$N$4:$N$32,IF(WEEKDAY(CJ39)=1,CJ39+1,IF(WEEKDAY(CJ39)=7,CJ39+2,CJ39)))</f>
        <v>44473</v>
      </c>
      <c r="CL39" s="405">
        <f>CK39+IF(WEEKDAY(CK39)=1,1,IF(WEEKDAY(CK39)=7,2,0))+COUNTIF(ClosedDays!$B$4:$B$32,IF(WEEKDAY(CK39)=1,CK39+1,IF(WEEKDAY(CK39)=7,CK39+2,CK39)))+COUNTIF(ClosedDays!$F$4:$F$32,IF(WEEKDAY(CK39)=1,CK39+1,IF(WEEKDAY(CK39)=7,CK39+2,CK39)))+COUNTIF(ClosedDays!$J$4:$J$32,IF(WEEKDAY(CK39)=1,CK39+1,IF(WEEKDAY(CK39)=7,CK39+2,CK39)))+COUNTIF(ClosedDays!$N$4:$N$32,IF(WEEKDAY(CK39)=1,CK39+1,IF(WEEKDAY(CK39)=7,CK39+2,CK39)))</f>
        <v>44473</v>
      </c>
      <c r="CM39" s="405">
        <f>CL39+IF(WEEKDAY(CL39)=1,1,IF(WEEKDAY(CL39)=7,2,0))+COUNTIF(ClosedDays!$B$4:$B$32,IF(WEEKDAY(CL39)=1,CL39+1,IF(WEEKDAY(CL39)=7,CL39+2,CL39)))+COUNTIF(ClosedDays!$F$4:$F$32,IF(WEEKDAY(CL39)=1,CL39+1,IF(WEEKDAY(CL39)=7,CL39+2,CL39)))+COUNTIF(ClosedDays!$J$4:$J$32,IF(WEEKDAY(CL39)=1,CL39+1,IF(WEEKDAY(CL39)=7,CL39+2,CL39)))+COUNTIF(ClosedDays!$N$4:$N$32,IF(WEEKDAY(CL39)=1,CL39+1,IF(WEEKDAY(CL39)=7,CL39+2,CL39)))</f>
        <v>44473</v>
      </c>
      <c r="CN39" s="405">
        <f>CM39+IF(WEEKDAY(CM39)=1,1,IF(WEEKDAY(CM39)=7,2,0))+COUNTIF(ClosedDays!$B$4:$B$32,IF(WEEKDAY(CM39)=1,CM39+1,IF(WEEKDAY(CM39)=7,CM39+2,CM39)))+COUNTIF(ClosedDays!$F$4:$F$32,IF(WEEKDAY(CM39)=1,CM39+1,IF(WEEKDAY(CM39)=7,CM39+2,CM39)))+COUNTIF(ClosedDays!$J$4:$J$32,IF(WEEKDAY(CM39)=1,CM39+1,IF(WEEKDAY(CM39)=7,CM39+2,CM39)))+COUNTIF(ClosedDays!$N$4:$N$32,IF(WEEKDAY(CM39)=1,CM39+1,IF(WEEKDAY(CM39)=7,CM39+2,CM39)))</f>
        <v>44473</v>
      </c>
      <c r="CO39" s="405">
        <f>CN39+IF(WEEKDAY(CN39)=1,1,IF(WEEKDAY(CN39)=7,2,0))+COUNTIF(ClosedDays!$B$4:$B$32,IF(WEEKDAY(CN39)=1,CN39+1,IF(WEEKDAY(CN39)=7,CN39+2,CN39)))+COUNTIF(ClosedDays!$F$4:$F$32,IF(WEEKDAY(CN39)=1,CN39+1,IF(WEEKDAY(CN39)=7,CN39+2,CN39)))+COUNTIF(ClosedDays!$J$4:$J$32,IF(WEEKDAY(CN39)=1,CN39+1,IF(WEEKDAY(CN39)=7,CN39+2,CN39)))+COUNTIF(ClosedDays!$N$4:$N$32,IF(WEEKDAY(CN39)=1,CN39+1,IF(WEEKDAY(CN39)=7,CN39+2,CN39)))</f>
        <v>44473</v>
      </c>
      <c r="CP39" s="405">
        <f>CO39+IF(WEEKDAY(CO39)=1,1,IF(WEEKDAY(CO39)=7,2,0))+COUNTIF(ClosedDays!$B$4:$B$32,IF(WEEKDAY(CO39)=1,CO39+1,IF(WEEKDAY(CO39)=7,CO39+2,CO39)))+COUNTIF(ClosedDays!$F$4:$F$32,IF(WEEKDAY(CO39)=1,CO39+1,IF(WEEKDAY(CO39)=7,CO39+2,CO39)))+COUNTIF(ClosedDays!$J$4:$J$32,IF(WEEKDAY(CO39)=1,CO39+1,IF(WEEKDAY(CO39)=7,CO39+2,CO39)))+COUNTIF(ClosedDays!$N$4:$N$32,IF(WEEKDAY(CO39)=1,CO39+1,IF(WEEKDAY(CO39)=7,CO39+2,CO39)))</f>
        <v>44473</v>
      </c>
      <c r="CQ39" s="405">
        <f>CP39+IF(WEEKDAY(CP39)=1,1,IF(WEEKDAY(CP39)=7,2,0))+COUNTIF(ClosedDays!$B$4:$B$32,IF(WEEKDAY(CP39)=1,CP39+1,IF(WEEKDAY(CP39)=7,CP39+2,CP39)))+COUNTIF(ClosedDays!$F$4:$F$32,IF(WEEKDAY(CP39)=1,CP39+1,IF(WEEKDAY(CP39)=7,CP39+2,CP39)))+COUNTIF(ClosedDays!$J$4:$J$32,IF(WEEKDAY(CP39)=1,CP39+1,IF(WEEKDAY(CP39)=7,CP39+2,CP39)))+COUNTIF(ClosedDays!$N$4:$N$32,IF(WEEKDAY(CP39)=1,CP39+1,IF(WEEKDAY(CP39)=7,CP39+2,CP39)))</f>
        <v>44473</v>
      </c>
      <c r="CR39" s="405">
        <f>CQ39+IF(WEEKDAY(CQ39)=1,1,IF(WEEKDAY(CQ39)=7,2,0))+COUNTIF(ClosedDays!$B$4:$B$32,IF(WEEKDAY(CQ39)=1,CQ39+1,IF(WEEKDAY(CQ39)=7,CQ39+2,CQ39)))+COUNTIF(ClosedDays!$F$4:$F$32,IF(WEEKDAY(CQ39)=1,CQ39+1,IF(WEEKDAY(CQ39)=7,CQ39+2,CQ39)))+COUNTIF(ClosedDays!$J$4:$J$32,IF(WEEKDAY(CQ39)=1,CQ39+1,IF(WEEKDAY(CQ39)=7,CQ39+2,CQ39)))+COUNTIF(ClosedDays!$N$4:$N$32,IF(WEEKDAY(CQ39)=1,CQ39+1,IF(WEEKDAY(CQ39)=7,CQ39+2,CQ39)))</f>
        <v>44473</v>
      </c>
      <c r="CS39" s="405">
        <f>CR39+IF(WEEKDAY(CR39)=1,1,IF(WEEKDAY(CR39)=7,2,0))+COUNTIF(ClosedDays!$B$4:$B$32,IF(WEEKDAY(CR39)=1,CR39+1,IF(WEEKDAY(CR39)=7,CR39+2,CR39)))+COUNTIF(ClosedDays!$F$4:$F$32,IF(WEEKDAY(CR39)=1,CR39+1,IF(WEEKDAY(CR39)=7,CR39+2,CR39)))+COUNTIF(ClosedDays!$J$4:$J$32,IF(WEEKDAY(CR39)=1,CR39+1,IF(WEEKDAY(CR39)=7,CR39+2,CR39)))+COUNTIF(ClosedDays!$N$4:$N$32,IF(WEEKDAY(CR39)=1,CR39+1,IF(WEEKDAY(CR39)=7,CR39+2,CR39)))</f>
        <v>44473</v>
      </c>
      <c r="CT39" s="405">
        <f>CS39+IF(WEEKDAY(CS39)=1,1,IF(WEEKDAY(CS39)=7,2,0))+COUNTIF(ClosedDays!$B$4:$B$32,IF(WEEKDAY(CS39)=1,CS39+1,IF(WEEKDAY(CS39)=7,CS39+2,CS39)))+COUNTIF(ClosedDays!$F$4:$F$32,IF(WEEKDAY(CS39)=1,CS39+1,IF(WEEKDAY(CS39)=7,CS39+2,CS39)))+COUNTIF(ClosedDays!$J$4:$J$32,IF(WEEKDAY(CS39)=1,CS39+1,IF(WEEKDAY(CS39)=7,CS39+2,CS39)))+COUNTIF(ClosedDays!$N$4:$N$32,IF(WEEKDAY(CS39)=1,CS39+1,IF(WEEKDAY(CS39)=7,CS39+2,CS39)))</f>
        <v>44473</v>
      </c>
      <c r="CU39" s="405">
        <f>CT39+IF(WEEKDAY(CT39)=1,1,IF(WEEKDAY(CT39)=7,2,0))+COUNTIF(ClosedDays!$B$4:$B$32,IF(WEEKDAY(CT39)=1,CT39+1,IF(WEEKDAY(CT39)=7,CT39+2,CT39)))+COUNTIF(ClosedDays!$F$4:$F$32,IF(WEEKDAY(CT39)=1,CT39+1,IF(WEEKDAY(CT39)=7,CT39+2,CT39)))+COUNTIF(ClosedDays!$J$4:$J$32,IF(WEEKDAY(CT39)=1,CT39+1,IF(WEEKDAY(CT39)=7,CT39+2,CT39)))+COUNTIF(ClosedDays!$N$4:$N$32,IF(WEEKDAY(CT39)=1,CT39+1,IF(WEEKDAY(CT39)=7,CT39+2,CT39)))</f>
        <v>44473</v>
      </c>
      <c r="CV39" s="405">
        <f>CU39+IF(WEEKDAY(CU39)=1,1,IF(WEEKDAY(CU39)=7,2,0))+COUNTIF(ClosedDays!$B$4:$B$32,IF(WEEKDAY(CU39)=1,CU39+1,IF(WEEKDAY(CU39)=7,CU39+2,CU39)))+COUNTIF(ClosedDays!$F$4:$F$32,IF(WEEKDAY(CU39)=1,CU39+1,IF(WEEKDAY(CU39)=7,CU39+2,CU39)))+COUNTIF(ClosedDays!$J$4:$J$32,IF(WEEKDAY(CU39)=1,CU39+1,IF(WEEKDAY(CU39)=7,CU39+2,CU39)))+COUNTIF(ClosedDays!$N$4:$N$32,IF(WEEKDAY(CU39)=1,CU39+1,IF(WEEKDAY(CU39)=7,CU39+2,CU39)))</f>
        <v>44473</v>
      </c>
      <c r="CW39" s="405">
        <f>CV39+IF(WEEKDAY(CV39)=1,1,IF(WEEKDAY(CV39)=7,2,0))+COUNTIF(ClosedDays!$B$4:$B$32,IF(WEEKDAY(CV39)=1,CV39+1,IF(WEEKDAY(CV39)=7,CV39+2,CV39)))+COUNTIF(ClosedDays!$F$4:$F$32,IF(WEEKDAY(CV39)=1,CV39+1,IF(WEEKDAY(CV39)=7,CV39+2,CV39)))+COUNTIF(ClosedDays!$J$4:$J$32,IF(WEEKDAY(CV39)=1,CV39+1,IF(WEEKDAY(CV39)=7,CV39+2,CV39)))+COUNTIF(ClosedDays!$N$4:$N$32,IF(WEEKDAY(CV39)=1,CV39+1,IF(WEEKDAY(CV39)=7,CV39+2,CV39)))</f>
        <v>44473</v>
      </c>
      <c r="CX39" s="405">
        <f>CW39+IF(WEEKDAY(CW39)=1,1,IF(WEEKDAY(CW39)=7,2,0))+COUNTIF(ClosedDays!$B$4:$B$32,IF(WEEKDAY(CW39)=1,CW39+1,IF(WEEKDAY(CW39)=7,CW39+2,CW39)))+COUNTIF(ClosedDays!$F$4:$F$32,IF(WEEKDAY(CW39)=1,CW39+1,IF(WEEKDAY(CW39)=7,CW39+2,CW39)))+COUNTIF(ClosedDays!$J$4:$J$32,IF(WEEKDAY(CW39)=1,CW39+1,IF(WEEKDAY(CW39)=7,CW39+2,CW39)))+COUNTIF(ClosedDays!$N$4:$N$32,IF(WEEKDAY(CW39)=1,CW39+1,IF(WEEKDAY(CW39)=7,CW39+2,CW39)))</f>
        <v>44473</v>
      </c>
      <c r="CY39" s="405">
        <f t="shared" si="18"/>
        <v>44473</v>
      </c>
      <c r="CZ39" s="446">
        <f>IF(AND($D39&lt;='Outline Info'!$E$33,CY39&gt;='Outline Info'!$E$33,$AC39&gt;10,$AC39&lt;9997),1,0)</f>
        <v>0</v>
      </c>
      <c r="DA39" s="405">
        <f>IF(AND($D39&lt;='Outline Info'!$E$33,CY39&gt;='Outline Info'!$E$33),CY39+'Outline Info'!$F$33-'Outline Info'!$E$33+1,CY39)</f>
        <v>44473</v>
      </c>
      <c r="DB39" s="405">
        <f>DA39+IF(WEEKDAY(DA39)=1,1,IF(WEEKDAY(DA39)=7,2,0))+COUNTIF(ClosedDays!$B$4:$B$32,IF(WEEKDAY(DA39)=1,DA39+1,IF(WEEKDAY(DA39)=7,DA39+2,DA39)))+COUNTIF(ClosedDays!$F$4:$F$32,IF(WEEKDAY(DA39)=1,DA39+1,IF(WEEKDAY(DA39)=7,DA39+2,DA39)))+COUNTIF(ClosedDays!$J$4:$J$32,IF(WEEKDAY(DA39)=1,DA39+1,IF(WEEKDAY(DA39)=7,DA39+2,DA39)))+COUNTIF(ClosedDays!$N$4:$N$32,IF(WEEKDAY(DA39)=1,DA39+1,IF(WEEKDAY(DA39)=7,DA39+2,DA39)))</f>
        <v>44473</v>
      </c>
      <c r="DC39" s="405">
        <f>DB39+IF(WEEKDAY(DB39)=1,1,IF(WEEKDAY(DB39)=7,2,0))+COUNTIF(ClosedDays!$B$4:$B$32,IF(WEEKDAY(DB39)=1,DB39+1,IF(WEEKDAY(DB39)=7,DB39+2,DB39)))+COUNTIF(ClosedDays!$F$4:$F$32,IF(WEEKDAY(DB39)=1,DB39+1,IF(WEEKDAY(DB39)=7,DB39+2,DB39)))+COUNTIF(ClosedDays!$J$4:$J$32,IF(WEEKDAY(DB39)=1,DB39+1,IF(WEEKDAY(DB39)=7,DB39+2,DB39)))+COUNTIF(ClosedDays!$N$4:$N$32,IF(WEEKDAY(DB39)=1,DB39+1,IF(WEEKDAY(DB39)=7,DB39+2,DB39)))</f>
        <v>44473</v>
      </c>
      <c r="DD39" s="405">
        <f>DC39+IF(WEEKDAY(DC39)=1,1,IF(WEEKDAY(DC39)=7,2,0))+COUNTIF(ClosedDays!$B$4:$B$32,IF(WEEKDAY(DC39)=1,DC39+1,IF(WEEKDAY(DC39)=7,DC39+2,DC39)))+COUNTIF(ClosedDays!$F$4:$F$32,IF(WEEKDAY(DC39)=1,DC39+1,IF(WEEKDAY(DC39)=7,DC39+2,DC39)))+COUNTIF(ClosedDays!$J$4:$J$32,IF(WEEKDAY(DC39)=1,DC39+1,IF(WEEKDAY(DC39)=7,DC39+2,DC39)))+COUNTIF(ClosedDays!$N$4:$N$32,IF(WEEKDAY(DC39)=1,DC39+1,IF(WEEKDAY(DC39)=7,DC39+2,DC39)))</f>
        <v>44473</v>
      </c>
      <c r="DE39" s="405">
        <f>DD39+IF(WEEKDAY(DD39)=1,1,IF(WEEKDAY(DD39)=7,2,0))+COUNTIF(ClosedDays!$B$4:$B$32,IF(WEEKDAY(DD39)=1,DD39+1,IF(WEEKDAY(DD39)=7,DD39+2,DD39)))+COUNTIF(ClosedDays!$F$4:$F$32,IF(WEEKDAY(DD39)=1,DD39+1,IF(WEEKDAY(DD39)=7,DD39+2,DD39)))+COUNTIF(ClosedDays!$J$4:$J$32,IF(WEEKDAY(DD39)=1,DD39+1,IF(WEEKDAY(DD39)=7,DD39+2,DD39)))+COUNTIF(ClosedDays!$N$4:$N$32,IF(WEEKDAY(DD39)=1,DD39+1,IF(WEEKDAY(DD39)=7,DD39+2,DD39)))</f>
        <v>44473</v>
      </c>
      <c r="DF39" s="405">
        <f>DE39+IF(WEEKDAY(DE39)=1,1,IF(WEEKDAY(DE39)=7,2,0))+COUNTIF(ClosedDays!$B$4:$B$32,IF(WEEKDAY(DE39)=1,DE39+1,IF(WEEKDAY(DE39)=7,DE39+2,DE39)))+COUNTIF(ClosedDays!$F$4:$F$32,IF(WEEKDAY(DE39)=1,DE39+1,IF(WEEKDAY(DE39)=7,DE39+2,DE39)))+COUNTIF(ClosedDays!$J$4:$J$32,IF(WEEKDAY(DE39)=1,DE39+1,IF(WEEKDAY(DE39)=7,DE39+2,DE39)))+COUNTIF(ClosedDays!$N$4:$N$32,IF(WEEKDAY(DE39)=1,DE39+1,IF(WEEKDAY(DE39)=7,DE39+2,DE39)))</f>
        <v>44473</v>
      </c>
      <c r="DG39" s="405">
        <f>DF39+IF(WEEKDAY(DF39)=1,1,IF(WEEKDAY(DF39)=7,2,0))+COUNTIF(ClosedDays!$B$4:$B$32,IF(WEEKDAY(DF39)=1,DF39+1,IF(WEEKDAY(DF39)=7,DF39+2,DF39)))+COUNTIF(ClosedDays!$F$4:$F$32,IF(WEEKDAY(DF39)=1,DF39+1,IF(WEEKDAY(DF39)=7,DF39+2,DF39)))+COUNTIF(ClosedDays!$J$4:$J$32,IF(WEEKDAY(DF39)=1,DF39+1,IF(WEEKDAY(DF39)=7,DF39+2,DF39)))+COUNTIF(ClosedDays!$N$4:$N$32,IF(WEEKDAY(DF39)=1,DF39+1,IF(WEEKDAY(DF39)=7,DF39+2,DF39)))</f>
        <v>44473</v>
      </c>
      <c r="DH39" s="405">
        <f>DG39+IF(WEEKDAY(DG39)=1,1,IF(WEEKDAY(DG39)=7,2,0))+COUNTIF(ClosedDays!$B$4:$B$32,IF(WEEKDAY(DG39)=1,DG39+1,IF(WEEKDAY(DG39)=7,DG39+2,DG39)))+COUNTIF(ClosedDays!$F$4:$F$32,IF(WEEKDAY(DG39)=1,DG39+1,IF(WEEKDAY(DG39)=7,DG39+2,DG39)))+COUNTIF(ClosedDays!$J$4:$J$32,IF(WEEKDAY(DG39)=1,DG39+1,IF(WEEKDAY(DG39)=7,DG39+2,DG39)))+COUNTIF(ClosedDays!$N$4:$N$32,IF(WEEKDAY(DG39)=1,DG39+1,IF(WEEKDAY(DG39)=7,DG39+2,DG39)))</f>
        <v>44473</v>
      </c>
      <c r="DI39" s="405">
        <f>DH39+IF(WEEKDAY(DH39)=1,1,IF(WEEKDAY(DH39)=7,2,0))+COUNTIF(ClosedDays!$B$4:$B$32,IF(WEEKDAY(DH39)=1,DH39+1,IF(WEEKDAY(DH39)=7,DH39+2,DH39)))+COUNTIF(ClosedDays!$F$4:$F$32,IF(WEEKDAY(DH39)=1,DH39+1,IF(WEEKDAY(DH39)=7,DH39+2,DH39)))+COUNTIF(ClosedDays!$J$4:$J$32,IF(WEEKDAY(DH39)=1,DH39+1,IF(WEEKDAY(DH39)=7,DH39+2,DH39)))+COUNTIF(ClosedDays!$N$4:$N$32,IF(WEEKDAY(DH39)=1,DH39+1,IF(WEEKDAY(DH39)=7,DH39+2,DH39)))</f>
        <v>44473</v>
      </c>
      <c r="DJ39" s="405">
        <f>DI39+IF(WEEKDAY(DI39)=1,1,IF(WEEKDAY(DI39)=7,2,0))+COUNTIF(ClosedDays!$B$4:$B$32,IF(WEEKDAY(DI39)=1,DI39+1,IF(WEEKDAY(DI39)=7,DI39+2,DI39)))+COUNTIF(ClosedDays!$F$4:$F$32,IF(WEEKDAY(DI39)=1,DI39+1,IF(WEEKDAY(DI39)=7,DI39+2,DI39)))+COUNTIF(ClosedDays!$J$4:$J$32,IF(WEEKDAY(DI39)=1,DI39+1,IF(WEEKDAY(DI39)=7,DI39+2,DI39)))+COUNTIF(ClosedDays!$N$4:$N$32,IF(WEEKDAY(DI39)=1,DI39+1,IF(WEEKDAY(DI39)=7,DI39+2,DI39)))</f>
        <v>44473</v>
      </c>
      <c r="DK39" s="405">
        <f>DJ39+IF(WEEKDAY(DJ39)=1,1,IF(WEEKDAY(DJ39)=7,2,0))+COUNTIF(ClosedDays!$B$4:$B$32,IF(WEEKDAY(DJ39)=1,DJ39+1,IF(WEEKDAY(DJ39)=7,DJ39+2,DJ39)))+COUNTIF(ClosedDays!$F$4:$F$32,IF(WEEKDAY(DJ39)=1,DJ39+1,IF(WEEKDAY(DJ39)=7,DJ39+2,DJ39)))+COUNTIF(ClosedDays!$J$4:$J$32,IF(WEEKDAY(DJ39)=1,DJ39+1,IF(WEEKDAY(DJ39)=7,DJ39+2,DJ39)))+COUNTIF(ClosedDays!$N$4:$N$32,IF(WEEKDAY(DJ39)=1,DJ39+1,IF(WEEKDAY(DJ39)=7,DJ39+2,DJ39)))</f>
        <v>44473</v>
      </c>
      <c r="DL39" s="405">
        <f>DK39+IF(WEEKDAY(DK39)=1,1,IF(WEEKDAY(DK39)=7,2,0))+COUNTIF(ClosedDays!$B$4:$B$32,IF(WEEKDAY(DK39)=1,DK39+1,IF(WEEKDAY(DK39)=7,DK39+2,DK39)))+COUNTIF(ClosedDays!$F$4:$F$32,IF(WEEKDAY(DK39)=1,DK39+1,IF(WEEKDAY(DK39)=7,DK39+2,DK39)))+COUNTIF(ClosedDays!$J$4:$J$32,IF(WEEKDAY(DK39)=1,DK39+1,IF(WEEKDAY(DK39)=7,DK39+2,DK39)))+COUNTIF(ClosedDays!$N$4:$N$32,IF(WEEKDAY(DK39)=1,DK39+1,IF(WEEKDAY(DK39)=7,DK39+2,DK39)))</f>
        <v>44473</v>
      </c>
      <c r="DM39" s="405">
        <f>DL39+IF(WEEKDAY(DL39)=1,1,IF(WEEKDAY(DL39)=7,2,0))+COUNTIF(ClosedDays!$B$4:$B$32,IF(WEEKDAY(DL39)=1,DL39+1,IF(WEEKDAY(DL39)=7,DL39+2,DL39)))+COUNTIF(ClosedDays!$F$4:$F$32,IF(WEEKDAY(DL39)=1,DL39+1,IF(WEEKDAY(DL39)=7,DL39+2,DL39)))+COUNTIF(ClosedDays!$J$4:$J$32,IF(WEEKDAY(DL39)=1,DL39+1,IF(WEEKDAY(DL39)=7,DL39+2,DL39)))+COUNTIF(ClosedDays!$N$4:$N$32,IF(WEEKDAY(DL39)=1,DL39+1,IF(WEEKDAY(DL39)=7,DL39+2,DL39)))</f>
        <v>44473</v>
      </c>
      <c r="DN39" s="405">
        <f>DM39+IF(WEEKDAY(DM39)=1,1,IF(WEEKDAY(DM39)=7,2,0))+COUNTIF(ClosedDays!$B$4:$B$32,IF(WEEKDAY(DM39)=1,DM39+1,IF(WEEKDAY(DM39)=7,DM39+2,DM39)))+COUNTIF(ClosedDays!$F$4:$F$32,IF(WEEKDAY(DM39)=1,DM39+1,IF(WEEKDAY(DM39)=7,DM39+2,DM39)))+COUNTIF(ClosedDays!$J$4:$J$32,IF(WEEKDAY(DM39)=1,DM39+1,IF(WEEKDAY(DM39)=7,DM39+2,DM39)))+COUNTIF(ClosedDays!$N$4:$N$32,IF(WEEKDAY(DM39)=1,DM39+1,IF(WEEKDAY(DM39)=7,DM39+2,DM39)))</f>
        <v>44473</v>
      </c>
      <c r="DO39" s="405">
        <f>DN39+IF(WEEKDAY(DN39)=1,1,IF(WEEKDAY(DN39)=7,2,0))+COUNTIF(ClosedDays!$B$4:$B$32,IF(WEEKDAY(DN39)=1,DN39+1,IF(WEEKDAY(DN39)=7,DN39+2,DN39)))+COUNTIF(ClosedDays!$F$4:$F$32,IF(WEEKDAY(DN39)=1,DN39+1,IF(WEEKDAY(DN39)=7,DN39+2,DN39)))+COUNTIF(ClosedDays!$J$4:$J$32,IF(WEEKDAY(DN39)=1,DN39+1,IF(WEEKDAY(DN39)=7,DN39+2,DN39)))+COUNTIF(ClosedDays!$N$4:$N$32,IF(WEEKDAY(DN39)=1,DN39+1,IF(WEEKDAY(DN39)=7,DN39+2,DN39)))</f>
        <v>44473</v>
      </c>
      <c r="DP39" s="405">
        <f t="shared" si="23"/>
        <v>44473</v>
      </c>
      <c r="DQ39" s="405">
        <f t="shared" si="20"/>
        <v>44473</v>
      </c>
      <c r="DR39" s="394">
        <f t="shared" si="19"/>
        <v>1</v>
      </c>
      <c r="DS39" s="394">
        <f>IF(AND(DR39=1,COUNTIF(DS$7:DS38,1)&lt;12,VLOOKUP(COUNTIF(DS$7:DS38,1)+1,'Outline Info'!$A$21:$C$32,2)&lt;=I39),1,0)</f>
        <v>0</v>
      </c>
      <c r="DT39" s="405" t="str">
        <f>IF(DS39=1,IF(VLOOKUP(COUNTIF(DS$7:DS39,1),'Outline Info'!$A$21:$C$32,2)=0,"",VLOOKUP(COUNTIF(DS$7:DS39,1),'Outline Info'!$A$21:$C$32,2)),"")</f>
        <v/>
      </c>
      <c r="DU39" s="447">
        <f>IF(DS39=1,VLOOKUP(COUNTIF(DS$7:DS39,1),'Outline Info'!$A$21:$C$32,3),0)</f>
        <v>0</v>
      </c>
      <c r="DV39" s="445">
        <f>IF('Outline Info'!$B$8="Y",IF(B39="*",'Outline Info'!$B$19,IF(OR($A39="",B39="X",B39="x"),0,VLOOKUP($A39,'Course Table'!$A$2:$J$331,4,TRUE))),0)</f>
        <v>0</v>
      </c>
      <c r="DW39" s="447">
        <f t="shared" si="6"/>
        <v>0</v>
      </c>
      <c r="DX39" s="447">
        <f>IF('Outline Info'!$B$8="Y",$DV39,$DW39)</f>
        <v>0</v>
      </c>
      <c r="DY39" s="394"/>
      <c r="DZ39" s="934"/>
      <c r="EA39" s="934"/>
      <c r="EB39" s="394"/>
      <c r="EC39" s="394"/>
      <c r="ED39" s="394"/>
    </row>
    <row r="40" spans="1:134" s="400" customFormat="1" ht="20.100000000000001" customHeight="1">
      <c r="A40" s="874" t="str">
        <f t="shared" si="7"/>
        <v/>
      </c>
      <c r="B40" s="876" t="str">
        <f t="shared" si="8"/>
        <v/>
      </c>
      <c r="C40" s="878" t="str">
        <f t="shared" si="9"/>
        <v/>
      </c>
      <c r="D40" s="463">
        <f>IF(NOT(ISBLANK(DZ40)),DZ40,IF(AND($AC40=9998,'Outline Info'!$H$33&gt;='Outline Info'!$B$6,'Outline Info'!$H$33&lt;='Outline Info'!$C$6),'Outline Info'!$H$33,IF(AND($AC40=9997,'Outline Info'!$H$31&gt;='Outline Info'!$B$6,'Outline Info'!$H$31&lt;='Outline Info'!$C$6),'Outline Info'!$H$31,IF(AE40="*",DQ39,IF(OR(AE40="x",AE40="X"),I39,IF(AND(AC40&gt;6,AC39&lt;6),DQ39,IF(AND($AC40=9998,$AC39=9997),I38,I39)))))))</f>
        <v>44470</v>
      </c>
      <c r="E40" s="1286"/>
      <c r="F40" s="1287"/>
      <c r="G40" s="1282"/>
      <c r="H40" s="1283"/>
      <c r="I40" s="464">
        <f>IF(AND($AC40=9998,'Outline Info'!$I$33&gt;='Outline Info'!$B$6,'Outline Info'!$I$33&lt;='Outline Info'!$C$6),'Outline Info'!$I$33,IF(AND($AC40=9997,'Outline Info'!$I$31&gt;='Outline Info'!$B$6,'Outline Info'!$I$31&lt;='Outline Info'!$C$6),'Outline Info'!$I$31,IF(DP40&gt;$V$4,$V$4,DP40)))</f>
        <v>44470</v>
      </c>
      <c r="J40" s="436"/>
      <c r="K40" s="437"/>
      <c r="L40" s="438"/>
      <c r="M40" s="438"/>
      <c r="N40" s="435"/>
      <c r="O40" s="435"/>
      <c r="P40" s="438"/>
      <c r="Q40" s="438"/>
      <c r="R40" s="439"/>
      <c r="S40" s="872">
        <f>IF($V$5-SUM($DX$7:$DX40)&lt;0,IF($V$5-SUM($DX$7:$DX39)&lt;0,0,$V$5-SUM($DX$7:$DX39)),DX40)</f>
        <v>0</v>
      </c>
      <c r="T40" s="440" t="str">
        <f>IF(S40&gt;0,IF('Outline Info'!$B$8="Y",D40,DT40),"")</f>
        <v/>
      </c>
      <c r="U40" s="441"/>
      <c r="V40" s="442"/>
      <c r="W40" s="870" t="str">
        <f>IF('Outline Info'!$C$33&gt;0,ROUND(IF('Outline Info'!$B$8="Y",SUM(S$7:S40)-SUM(AJ$7:AJ40)-'Outline Info'!$B$14-'Outline Info'!$B$15-'Outline Info'!$B$17,IF(AL40=0,SUM(S$7:S40)-SUM(AK$7:AK40)-SUM(AP40:AS40)-'Outline Info'!$B$14-'Outline Info'!$B$15-'Outline Info'!$B$17,0)),0),IF('Outline Info'!$T$4&lt;&gt;1,"",IF(OR(AD40="",AL40=1),"",SUM(AK$7:AK40)+SUM(AP40:AS40)+'Outline Info'!$B$14+'Outline Info'!$B$15+'Outline Info'!$B$17)))</f>
        <v/>
      </c>
      <c r="X40" s="448"/>
      <c r="Y40" s="443">
        <f>IF(OR(AE40="X",AE40="x",AE40="*",AC40=99999),0,IF(AC40&lt;50,0,IF($S$4-SUM($Y$7:$Y39)&gt;0,1,0)))</f>
        <v>0</v>
      </c>
      <c r="Z40" s="444">
        <f>IF(AC40&lt;99999,IF(AE40="*",AH40,IF(OR(AE40="x",AE40="X",AC40&lt;10),0,IF(AND(AC40&lt;&gt;9998,AC40&lt;&gt;9997),IF(AM40=1,(AH40+$AM$5)*(1+('Outline Info'!$B$16)),IF(AN40=1,(AH40+$AN$5)*(1+('Outline Info'!$B$16)),0)),AH40))),0)</f>
        <v>0</v>
      </c>
      <c r="AA40" s="395">
        <f>Z40/'Outline Info'!$C$11+Y40</f>
        <v>0</v>
      </c>
      <c r="AB40" s="395">
        <f>ROUND(AA40/'Outline Info'!$B$11*7,0)</f>
        <v>0</v>
      </c>
      <c r="AC40" s="450">
        <f>IF($AD40&lt;&gt;"",VLOOKUP($AD40,'Course Table'!$A$2:$J$331,10,TRUE),99999)</f>
        <v>99999</v>
      </c>
      <c r="AD40" s="451"/>
      <c r="AE40" s="394"/>
      <c r="AF40" s="451"/>
      <c r="AG40" s="451"/>
      <c r="AH40" s="451"/>
      <c r="AI40" s="394">
        <v>0</v>
      </c>
      <c r="AJ40" s="394">
        <v>0</v>
      </c>
      <c r="AK40" s="394">
        <f t="shared" si="10"/>
        <v>0</v>
      </c>
      <c r="AL40" s="394">
        <f t="shared" si="11"/>
        <v>0</v>
      </c>
      <c r="AM40" s="394">
        <f t="shared" si="12"/>
        <v>0</v>
      </c>
      <c r="AN40" s="394">
        <f t="shared" si="13"/>
        <v>0</v>
      </c>
      <c r="AO40" s="394">
        <f>IF(AN40=1,SUMPRODUCT($AJ$7:$AJ40,$AN$7:$AN40),0)</f>
        <v>0</v>
      </c>
      <c r="AP40" s="394">
        <f t="shared" si="14"/>
        <v>0</v>
      </c>
      <c r="AQ40" s="394">
        <f t="shared" si="14"/>
        <v>0</v>
      </c>
      <c r="AR40" s="394">
        <f t="shared" si="14"/>
        <v>0</v>
      </c>
      <c r="AS40" s="394">
        <f t="shared" si="14"/>
        <v>0</v>
      </c>
      <c r="AT40" s="394">
        <f t="shared" si="15"/>
        <v>0</v>
      </c>
      <c r="AU40" s="394">
        <f t="shared" si="15"/>
        <v>0</v>
      </c>
      <c r="AV40" s="394">
        <f t="shared" si="15"/>
        <v>0</v>
      </c>
      <c r="AW40" s="394">
        <f t="shared" si="15"/>
        <v>0</v>
      </c>
      <c r="AX40" s="394">
        <f t="shared" si="1"/>
        <v>0</v>
      </c>
      <c r="AY40" s="394">
        <f t="shared" si="2"/>
        <v>0</v>
      </c>
      <c r="AZ40" s="394">
        <f t="shared" si="3"/>
        <v>0</v>
      </c>
      <c r="BA40" s="394">
        <f t="shared" si="4"/>
        <v>0</v>
      </c>
      <c r="BB40" s="405">
        <f t="shared" si="22"/>
        <v>44473</v>
      </c>
      <c r="BC40" s="405">
        <f>BB40+IF(WEEKDAY(BB40)=1,1,IF(WEEKDAY(BB40)=7,2,0))+COUNTIF(ClosedDays!$B$4:$B$32,IF(WEEKDAY(BB40)=1,BB40+1,IF(WEEKDAY(BB40)=7,BB40+2,BB40)))+COUNTIF(ClosedDays!$F$4:$F$32,IF(WEEKDAY(BB40)=1,BB40+1,IF(WEEKDAY(BB40)=7,BB40+2,BB40)))+COUNTIF(ClosedDays!$J$4:$J$32,IF(WEEKDAY(BB40)=1,BB40+1,IF(WEEKDAY(BB40)=7,BB40+2,BB40)))+COUNTIF(ClosedDays!$N$4:$N$32,IF(WEEKDAY(BB40)=1,BB40+1,IF(WEEKDAY(BB40)=7,BB40+2,BB40)))</f>
        <v>44473</v>
      </c>
      <c r="BD40" s="405">
        <f>BC40+IF(WEEKDAY(BC40)=1,1,IF(WEEKDAY(BC40)=7,2,0))+COUNTIF(ClosedDays!$B$4:$B$32,IF(WEEKDAY(BC40)=1,BC40+1,IF(WEEKDAY(BC40)=7,BC40+2,BC40)))+COUNTIF(ClosedDays!$F$4:$F$32,IF(WEEKDAY(BC40)=1,BC40+1,IF(WEEKDAY(BC40)=7,BC40+2,BC40)))+COUNTIF(ClosedDays!$J$4:$J$32,IF(WEEKDAY(BC40)=1,BC40+1,IF(WEEKDAY(BC40)=7,BC40+2,BC40)))+COUNTIF(ClosedDays!$N$4:$N$32,IF(WEEKDAY(BC40)=1,BC40+1,IF(WEEKDAY(BC40)=7,BC40+2,BC40)))</f>
        <v>44473</v>
      </c>
      <c r="BE40" s="405">
        <f>BD40+IF(WEEKDAY(BD40)=1,1,IF(WEEKDAY(BD40)=7,2,0))+COUNTIF(ClosedDays!$B$4:$B$32,IF(WEEKDAY(BD40)=1,BD40+1,IF(WEEKDAY(BD40)=7,BD40+2,BD40)))+COUNTIF(ClosedDays!$F$4:$F$32,IF(WEEKDAY(BD40)=1,BD40+1,IF(WEEKDAY(BD40)=7,BD40+2,BD40)))+COUNTIF(ClosedDays!$J$4:$J$32,IF(WEEKDAY(BD40)=1,BD40+1,IF(WEEKDAY(BD40)=7,BD40+2,BD40)))+COUNTIF(ClosedDays!$N$4:$N$32,IF(WEEKDAY(BD40)=1,BD40+1,IF(WEEKDAY(BD40)=7,BD40+2,BD40)))</f>
        <v>44473</v>
      </c>
      <c r="BF40" s="405">
        <f>BE40+IF(WEEKDAY(BE40)=1,1,IF(WEEKDAY(BE40)=7,2,0))+COUNTIF(ClosedDays!$B$4:$B$32,IF(WEEKDAY(BE40)=1,BE40+1,IF(WEEKDAY(BE40)=7,BE40+2,BE40)))+COUNTIF(ClosedDays!$F$4:$F$32,IF(WEEKDAY(BE40)=1,BE40+1,IF(WEEKDAY(BE40)=7,BE40+2,BE40)))+COUNTIF(ClosedDays!$J$4:$J$32,IF(WEEKDAY(BE40)=1,BE40+1,IF(WEEKDAY(BE40)=7,BE40+2,BE40)))+COUNTIF(ClosedDays!$N$4:$N$32,IF(WEEKDAY(BE40)=1,BE40+1,IF(WEEKDAY(BE40)=7,BE40+2,BE40)))</f>
        <v>44473</v>
      </c>
      <c r="BG40" s="405">
        <f>BF40+IF(WEEKDAY(BF40)=1,1,IF(WEEKDAY(BF40)=7,2,0))+COUNTIF(ClosedDays!$B$4:$B$32,IF(WEEKDAY(BF40)=1,BF40+1,IF(WEEKDAY(BF40)=7,BF40+2,BF40)))+COUNTIF(ClosedDays!$F$4:$F$32,IF(WEEKDAY(BF40)=1,BF40+1,IF(WEEKDAY(BF40)=7,BF40+2,BF40)))+COUNTIF(ClosedDays!$J$4:$J$32,IF(WEEKDAY(BF40)=1,BF40+1,IF(WEEKDAY(BF40)=7,BF40+2,BF40)))+COUNTIF(ClosedDays!$N$4:$N$32,IF(WEEKDAY(BF40)=1,BF40+1,IF(WEEKDAY(BF40)=7,BF40+2,BF40)))</f>
        <v>44473</v>
      </c>
      <c r="BH40" s="405">
        <f>BG40+IF(WEEKDAY(BG40)=1,1,IF(WEEKDAY(BG40)=7,2,0))+COUNTIF(ClosedDays!$B$4:$B$32,IF(WEEKDAY(BG40)=1,BG40+1,IF(WEEKDAY(BG40)=7,BG40+2,BG40)))+COUNTIF(ClosedDays!$F$4:$F$32,IF(WEEKDAY(BG40)=1,BG40+1,IF(WEEKDAY(BG40)=7,BG40+2,BG40)))+COUNTIF(ClosedDays!$J$4:$J$32,IF(WEEKDAY(BG40)=1,BG40+1,IF(WEEKDAY(BG40)=7,BG40+2,BG40)))+COUNTIF(ClosedDays!$N$4:$N$32,IF(WEEKDAY(BG40)=1,BG40+1,IF(WEEKDAY(BG40)=7,BG40+2,BG40)))</f>
        <v>44473</v>
      </c>
      <c r="BI40" s="405">
        <f>BH40+IF(WEEKDAY(BH40)=1,1,IF(WEEKDAY(BH40)=7,2,0))+COUNTIF(ClosedDays!$B$4:$B$32,IF(WEEKDAY(BH40)=1,BH40+1,IF(WEEKDAY(BH40)=7,BH40+2,BH40)))+COUNTIF(ClosedDays!$F$4:$F$32,IF(WEEKDAY(BH40)=1,BH40+1,IF(WEEKDAY(BH40)=7,BH40+2,BH40)))+COUNTIF(ClosedDays!$J$4:$J$32,IF(WEEKDAY(BH40)=1,BH40+1,IF(WEEKDAY(BH40)=7,BH40+2,BH40)))+COUNTIF(ClosedDays!$N$4:$N$32,IF(WEEKDAY(BH40)=1,BH40+1,IF(WEEKDAY(BH40)=7,BH40+2,BH40)))</f>
        <v>44473</v>
      </c>
      <c r="BJ40" s="405">
        <f>BI40+IF(WEEKDAY(BI40)=1,1,IF(WEEKDAY(BI40)=7,2,0))+COUNTIF(ClosedDays!$B$4:$B$32,IF(WEEKDAY(BI40)=1,BI40+1,IF(WEEKDAY(BI40)=7,BI40+2,BI40)))+COUNTIF(ClosedDays!$F$4:$F$32,IF(WEEKDAY(BI40)=1,BI40+1,IF(WEEKDAY(BI40)=7,BI40+2,BI40)))+COUNTIF(ClosedDays!$J$4:$J$32,IF(WEEKDAY(BI40)=1,BI40+1,IF(WEEKDAY(BI40)=7,BI40+2,BI40)))+COUNTIF(ClosedDays!$N$4:$N$32,IF(WEEKDAY(BI40)=1,BI40+1,IF(WEEKDAY(BI40)=7,BI40+2,BI40)))</f>
        <v>44473</v>
      </c>
      <c r="BK40" s="405">
        <f>BJ40+IF(WEEKDAY(BJ40)=1,1,IF(WEEKDAY(BJ40)=7,2,0))+COUNTIF(ClosedDays!$B$4:$B$32,IF(WEEKDAY(BJ40)=1,BJ40+1,IF(WEEKDAY(BJ40)=7,BJ40+2,BJ40)))+COUNTIF(ClosedDays!$F$4:$F$32,IF(WEEKDAY(BJ40)=1,BJ40+1,IF(WEEKDAY(BJ40)=7,BJ40+2,BJ40)))+COUNTIF(ClosedDays!$J$4:$J$32,IF(WEEKDAY(BJ40)=1,BJ40+1,IF(WEEKDAY(BJ40)=7,BJ40+2,BJ40)))+COUNTIF(ClosedDays!$N$4:$N$32,IF(WEEKDAY(BJ40)=1,BJ40+1,IF(WEEKDAY(BJ40)=7,BJ40+2,BJ40)))</f>
        <v>44473</v>
      </c>
      <c r="BL40" s="405">
        <f>BK40+IF(WEEKDAY(BK40)=1,1,IF(WEEKDAY(BK40)=7,2,0))+COUNTIF(ClosedDays!$B$4:$B$32,IF(WEEKDAY(BK40)=1,BK40+1,IF(WEEKDAY(BK40)=7,BK40+2,BK40)))+COUNTIF(ClosedDays!$F$4:$F$32,IF(WEEKDAY(BK40)=1,BK40+1,IF(WEEKDAY(BK40)=7,BK40+2,BK40)))+COUNTIF(ClosedDays!$J$4:$J$32,IF(WEEKDAY(BK40)=1,BK40+1,IF(WEEKDAY(BK40)=7,BK40+2,BK40)))+COUNTIF(ClosedDays!$N$4:$N$32,IF(WEEKDAY(BK40)=1,BK40+1,IF(WEEKDAY(BK40)=7,BK40+2,BK40)))</f>
        <v>44473</v>
      </c>
      <c r="BM40" s="405">
        <f>BL40+IF(WEEKDAY(BL40)=1,1,IF(WEEKDAY(BL40)=7,2,0))+COUNTIF(ClosedDays!$B$4:$B$32,IF(WEEKDAY(BL40)=1,BL40+1,IF(WEEKDAY(BL40)=7,BL40+2,BL40)))+COUNTIF(ClosedDays!$F$4:$F$32,IF(WEEKDAY(BL40)=1,BL40+1,IF(WEEKDAY(BL40)=7,BL40+2,BL40)))+COUNTIF(ClosedDays!$J$4:$J$32,IF(WEEKDAY(BL40)=1,BL40+1,IF(WEEKDAY(BL40)=7,BL40+2,BL40)))+COUNTIF(ClosedDays!$N$4:$N$32,IF(WEEKDAY(BL40)=1,BL40+1,IF(WEEKDAY(BL40)=7,BL40+2,BL40)))</f>
        <v>44473</v>
      </c>
      <c r="BN40" s="405">
        <f>BM40+IF(WEEKDAY(BM40)=1,1,IF(WEEKDAY(BM40)=7,2,0))+COUNTIF(ClosedDays!$B$4:$B$32,IF(WEEKDAY(BM40)=1,BM40+1,IF(WEEKDAY(BM40)=7,BM40+2,BM40)))+COUNTIF(ClosedDays!$F$4:$F$32,IF(WEEKDAY(BM40)=1,BM40+1,IF(WEEKDAY(BM40)=7,BM40+2,BM40)))+COUNTIF(ClosedDays!$J$4:$J$32,IF(WEEKDAY(BM40)=1,BM40+1,IF(WEEKDAY(BM40)=7,BM40+2,BM40)))+COUNTIF(ClosedDays!$N$4:$N$32,IF(WEEKDAY(BM40)=1,BM40+1,IF(WEEKDAY(BM40)=7,BM40+2,BM40)))</f>
        <v>44473</v>
      </c>
      <c r="BO40" s="405">
        <f>BN40+IF(WEEKDAY(BN40)=1,1,IF(WEEKDAY(BN40)=7,2,0))+COUNTIF(ClosedDays!$B$4:$B$32,IF(WEEKDAY(BN40)=1,BN40+1,IF(WEEKDAY(BN40)=7,BN40+2,BN40)))+COUNTIF(ClosedDays!$F$4:$F$32,IF(WEEKDAY(BN40)=1,BN40+1,IF(WEEKDAY(BN40)=7,BN40+2,BN40)))+COUNTIF(ClosedDays!$J$4:$J$32,IF(WEEKDAY(BN40)=1,BN40+1,IF(WEEKDAY(BN40)=7,BN40+2,BN40)))+COUNTIF(ClosedDays!$N$4:$N$32,IF(WEEKDAY(BN40)=1,BN40+1,IF(WEEKDAY(BN40)=7,BN40+2,BN40)))</f>
        <v>44473</v>
      </c>
      <c r="BP40" s="405">
        <f>BO40+IF(WEEKDAY(BO40)=1,1,IF(WEEKDAY(BO40)=7,2,0))+COUNTIF(ClosedDays!$B$4:$B$32,IF(WEEKDAY(BO40)=1,BO40+1,IF(WEEKDAY(BO40)=7,BO40+2,BO40)))+COUNTIF(ClosedDays!$F$4:$F$32,IF(WEEKDAY(BO40)=1,BO40+1,IF(WEEKDAY(BO40)=7,BO40+2,BO40)))+COUNTIF(ClosedDays!$J$4:$J$32,IF(WEEKDAY(BO40)=1,BO40+1,IF(WEEKDAY(BO40)=7,BO40+2,BO40)))+COUNTIF(ClosedDays!$N$4:$N$32,IF(WEEKDAY(BO40)=1,BO40+1,IF(WEEKDAY(BO40)=7,BO40+2,BO40)))</f>
        <v>44473</v>
      </c>
      <c r="BQ40" s="405">
        <f t="shared" si="16"/>
        <v>44473</v>
      </c>
      <c r="BR40" s="446">
        <f>IF(AND($D40&lt;='Outline Info'!$H$31,BQ40&gt;='Outline Info'!$H$31,$BS$4=1,$AC40&gt;10,$AC40&lt;9997),1,0)</f>
        <v>0</v>
      </c>
      <c r="BS40" s="405">
        <f>IF(BR40=1,BQ40+'Outline Info'!$I$31-'Outline Info'!$H$31+1,BQ40)</f>
        <v>44473</v>
      </c>
      <c r="BT40" s="405">
        <f>BS40+IF(WEEKDAY(BS40)=1,1,IF(WEEKDAY(BS40)=7,2,0))+COUNTIF(ClosedDays!$B$4:$B$32,IF(WEEKDAY(BS40)=1,BS40+1,IF(WEEKDAY(BS40)=7,BS40+2,BS40)))+COUNTIF(ClosedDays!$F$4:$F$32,IF(WEEKDAY(BS40)=1,BS40+1,IF(WEEKDAY(BS40)=7,BS40+2,BS40)))+COUNTIF(ClosedDays!$J$4:$J$32,IF(WEEKDAY(BS40)=1,BS40+1,IF(WEEKDAY(BS40)=7,BS40+2,BS40)))+COUNTIF(ClosedDays!$N$4:$N$32,IF(WEEKDAY(BS40)=1,BS40+1,IF(WEEKDAY(BS40)=7,BS40+2,BS40)))</f>
        <v>44473</v>
      </c>
      <c r="BU40" s="405">
        <f>BT40+IF(WEEKDAY(BT40)=1,1,IF(WEEKDAY(BT40)=7,2,0))+COUNTIF(ClosedDays!$B$4:$B$32,IF(WEEKDAY(BT40)=1,BT40+1,IF(WEEKDAY(BT40)=7,BT40+2,BT40)))+COUNTIF(ClosedDays!$F$4:$F$32,IF(WEEKDAY(BT40)=1,BT40+1,IF(WEEKDAY(BT40)=7,BT40+2,BT40)))+COUNTIF(ClosedDays!$J$4:$J$32,IF(WEEKDAY(BT40)=1,BT40+1,IF(WEEKDAY(BT40)=7,BT40+2,BT40)))+COUNTIF(ClosedDays!$N$4:$N$32,IF(WEEKDAY(BT40)=1,BT40+1,IF(WEEKDAY(BT40)=7,BT40+2,BT40)))</f>
        <v>44473</v>
      </c>
      <c r="BV40" s="405">
        <f>BU40+IF(WEEKDAY(BU40)=1,1,IF(WEEKDAY(BU40)=7,2,0))+COUNTIF(ClosedDays!$B$4:$B$32,IF(WEEKDAY(BU40)=1,BU40+1,IF(WEEKDAY(BU40)=7,BU40+2,BU40)))+COUNTIF(ClosedDays!$F$4:$F$32,IF(WEEKDAY(BU40)=1,BU40+1,IF(WEEKDAY(BU40)=7,BU40+2,BU40)))+COUNTIF(ClosedDays!$J$4:$J$32,IF(WEEKDAY(BU40)=1,BU40+1,IF(WEEKDAY(BU40)=7,BU40+2,BU40)))+COUNTIF(ClosedDays!$N$4:$N$32,IF(WEEKDAY(BU40)=1,BU40+1,IF(WEEKDAY(BU40)=7,BU40+2,BU40)))</f>
        <v>44473</v>
      </c>
      <c r="BW40" s="405">
        <f>BV40+IF(WEEKDAY(BV40)=1,1,IF(WEEKDAY(BV40)=7,2,0))+COUNTIF(ClosedDays!$B$4:$B$32,IF(WEEKDAY(BV40)=1,BV40+1,IF(WEEKDAY(BV40)=7,BV40+2,BV40)))+COUNTIF(ClosedDays!$F$4:$F$32,IF(WEEKDAY(BV40)=1,BV40+1,IF(WEEKDAY(BV40)=7,BV40+2,BV40)))+COUNTIF(ClosedDays!$J$4:$J$32,IF(WEEKDAY(BV40)=1,BV40+1,IF(WEEKDAY(BV40)=7,BV40+2,BV40)))+COUNTIF(ClosedDays!$N$4:$N$32,IF(WEEKDAY(BV40)=1,BV40+1,IF(WEEKDAY(BV40)=7,BV40+2,BV40)))</f>
        <v>44473</v>
      </c>
      <c r="BX40" s="405">
        <f>BW40+IF(WEEKDAY(BW40)=1,1,IF(WEEKDAY(BW40)=7,2,0))+COUNTIF(ClosedDays!$B$4:$B$32,IF(WEEKDAY(BW40)=1,BW40+1,IF(WEEKDAY(BW40)=7,BW40+2,BW40)))+COUNTIF(ClosedDays!$F$4:$F$32,IF(WEEKDAY(BW40)=1,BW40+1,IF(WEEKDAY(BW40)=7,BW40+2,BW40)))+COUNTIF(ClosedDays!$J$4:$J$32,IF(WEEKDAY(BW40)=1,BW40+1,IF(WEEKDAY(BW40)=7,BW40+2,BW40)))+COUNTIF(ClosedDays!$N$4:$N$32,IF(WEEKDAY(BW40)=1,BW40+1,IF(WEEKDAY(BW40)=7,BW40+2,BW40)))</f>
        <v>44473</v>
      </c>
      <c r="BY40" s="405">
        <f>BX40+IF(WEEKDAY(BX40)=1,1,IF(WEEKDAY(BX40)=7,2,0))+COUNTIF(ClosedDays!$B$4:$B$32,IF(WEEKDAY(BX40)=1,BX40+1,IF(WEEKDAY(BX40)=7,BX40+2,BX40)))+COUNTIF(ClosedDays!$F$4:$F$32,IF(WEEKDAY(BX40)=1,BX40+1,IF(WEEKDAY(BX40)=7,BX40+2,BX40)))+COUNTIF(ClosedDays!$J$4:$J$32,IF(WEEKDAY(BX40)=1,BX40+1,IF(WEEKDAY(BX40)=7,BX40+2,BX40)))+COUNTIF(ClosedDays!$N$4:$N$32,IF(WEEKDAY(BX40)=1,BX40+1,IF(WEEKDAY(BX40)=7,BX40+2,BX40)))</f>
        <v>44473</v>
      </c>
      <c r="BZ40" s="405">
        <f>BY40+IF(WEEKDAY(BY40)=1,1,IF(WEEKDAY(BY40)=7,2,0))+COUNTIF(ClosedDays!$B$4:$B$32,IF(WEEKDAY(BY40)=1,BY40+1,IF(WEEKDAY(BY40)=7,BY40+2,BY40)))+COUNTIF(ClosedDays!$F$4:$F$32,IF(WEEKDAY(BY40)=1,BY40+1,IF(WEEKDAY(BY40)=7,BY40+2,BY40)))+COUNTIF(ClosedDays!$J$4:$J$32,IF(WEEKDAY(BY40)=1,BY40+1,IF(WEEKDAY(BY40)=7,BY40+2,BY40)))+COUNTIF(ClosedDays!$N$4:$N$32,IF(WEEKDAY(BY40)=1,BY40+1,IF(WEEKDAY(BY40)=7,BY40+2,BY40)))</f>
        <v>44473</v>
      </c>
      <c r="CA40" s="405">
        <f>BZ40+IF(WEEKDAY(BZ40)=1,1,IF(WEEKDAY(BZ40)=7,2,0))+COUNTIF(ClosedDays!$B$4:$B$32,IF(WEEKDAY(BZ40)=1,BZ40+1,IF(WEEKDAY(BZ40)=7,BZ40+2,BZ40)))+COUNTIF(ClosedDays!$F$4:$F$32,IF(WEEKDAY(BZ40)=1,BZ40+1,IF(WEEKDAY(BZ40)=7,BZ40+2,BZ40)))+COUNTIF(ClosedDays!$J$4:$J$32,IF(WEEKDAY(BZ40)=1,BZ40+1,IF(WEEKDAY(BZ40)=7,BZ40+2,BZ40)))+COUNTIF(ClosedDays!$N$4:$N$32,IF(WEEKDAY(BZ40)=1,BZ40+1,IF(WEEKDAY(BZ40)=7,BZ40+2,BZ40)))</f>
        <v>44473</v>
      </c>
      <c r="CB40" s="405">
        <f>CA40+IF(WEEKDAY(CA40)=1,1,IF(WEEKDAY(CA40)=7,2,0))+COUNTIF(ClosedDays!$B$4:$B$32,IF(WEEKDAY(CA40)=1,CA40+1,IF(WEEKDAY(CA40)=7,CA40+2,CA40)))+COUNTIF(ClosedDays!$F$4:$F$32,IF(WEEKDAY(CA40)=1,CA40+1,IF(WEEKDAY(CA40)=7,CA40+2,CA40)))+COUNTIF(ClosedDays!$J$4:$J$32,IF(WEEKDAY(CA40)=1,CA40+1,IF(WEEKDAY(CA40)=7,CA40+2,CA40)))+COUNTIF(ClosedDays!$N$4:$N$32,IF(WEEKDAY(CA40)=1,CA40+1,IF(WEEKDAY(CA40)=7,CA40+2,CA40)))</f>
        <v>44473</v>
      </c>
      <c r="CC40" s="405">
        <f>CB40+IF(WEEKDAY(CB40)=1,1,IF(WEEKDAY(CB40)=7,2,0))+COUNTIF(ClosedDays!$B$4:$B$32,IF(WEEKDAY(CB40)=1,CB40+1,IF(WEEKDAY(CB40)=7,CB40+2,CB40)))+COUNTIF(ClosedDays!$F$4:$F$32,IF(WEEKDAY(CB40)=1,CB40+1,IF(WEEKDAY(CB40)=7,CB40+2,CB40)))+COUNTIF(ClosedDays!$J$4:$J$32,IF(WEEKDAY(CB40)=1,CB40+1,IF(WEEKDAY(CB40)=7,CB40+2,CB40)))+COUNTIF(ClosedDays!$N$4:$N$32,IF(WEEKDAY(CB40)=1,CB40+1,IF(WEEKDAY(CB40)=7,CB40+2,CB40)))</f>
        <v>44473</v>
      </c>
      <c r="CD40" s="405">
        <f>CC40+IF(WEEKDAY(CC40)=1,1,IF(WEEKDAY(CC40)=7,2,0))+COUNTIF(ClosedDays!$B$4:$B$32,IF(WEEKDAY(CC40)=1,CC40+1,IF(WEEKDAY(CC40)=7,CC40+2,CC40)))+COUNTIF(ClosedDays!$F$4:$F$32,IF(WEEKDAY(CC40)=1,CC40+1,IF(WEEKDAY(CC40)=7,CC40+2,CC40)))+COUNTIF(ClosedDays!$J$4:$J$32,IF(WEEKDAY(CC40)=1,CC40+1,IF(WEEKDAY(CC40)=7,CC40+2,CC40)))+COUNTIF(ClosedDays!$N$4:$N$32,IF(WEEKDAY(CC40)=1,CC40+1,IF(WEEKDAY(CC40)=7,CC40+2,CC40)))</f>
        <v>44473</v>
      </c>
      <c r="CE40" s="405">
        <f>CD40+IF(WEEKDAY(CD40)=1,1,IF(WEEKDAY(CD40)=7,2,0))+COUNTIF(ClosedDays!$B$4:$B$32,IF(WEEKDAY(CD40)=1,CD40+1,IF(WEEKDAY(CD40)=7,CD40+2,CD40)))+COUNTIF(ClosedDays!$F$4:$F$32,IF(WEEKDAY(CD40)=1,CD40+1,IF(WEEKDAY(CD40)=7,CD40+2,CD40)))+COUNTIF(ClosedDays!$J$4:$J$32,IF(WEEKDAY(CD40)=1,CD40+1,IF(WEEKDAY(CD40)=7,CD40+2,CD40)))+COUNTIF(ClosedDays!$N$4:$N$32,IF(WEEKDAY(CD40)=1,CD40+1,IF(WEEKDAY(CD40)=7,CD40+2,CD40)))</f>
        <v>44473</v>
      </c>
      <c r="CF40" s="405">
        <f>CE40+IF(WEEKDAY(CE40)=1,1,IF(WEEKDAY(CE40)=7,2,0))+COUNTIF(ClosedDays!$B$4:$B$32,IF(WEEKDAY(CE40)=1,CE40+1,IF(WEEKDAY(CE40)=7,CE40+2,CE40)))+COUNTIF(ClosedDays!$F$4:$F$32,IF(WEEKDAY(CE40)=1,CE40+1,IF(WEEKDAY(CE40)=7,CE40+2,CE40)))+COUNTIF(ClosedDays!$J$4:$J$32,IF(WEEKDAY(CE40)=1,CE40+1,IF(WEEKDAY(CE40)=7,CE40+2,CE40)))+COUNTIF(ClosedDays!$N$4:$N$32,IF(WEEKDAY(CE40)=1,CE40+1,IF(WEEKDAY(CE40)=7,CE40+2,CE40)))</f>
        <v>44473</v>
      </c>
      <c r="CG40" s="405">
        <f>CF40+IF(WEEKDAY(CF40)=1,1,IF(WEEKDAY(CF40)=7,2,0))+COUNTIF(ClosedDays!$B$4:$B$32,IF(WEEKDAY(CF40)=1,CF40+1,IF(WEEKDAY(CF40)=7,CF40+2,CF40)))+COUNTIF(ClosedDays!$F$4:$F$32,IF(WEEKDAY(CF40)=1,CF40+1,IF(WEEKDAY(CF40)=7,CF40+2,CF40)))+COUNTIF(ClosedDays!$J$4:$J$32,IF(WEEKDAY(CF40)=1,CF40+1,IF(WEEKDAY(CF40)=7,CF40+2,CF40)))+COUNTIF(ClosedDays!$N$4:$N$32,IF(WEEKDAY(CF40)=1,CF40+1,IF(WEEKDAY(CF40)=7,CF40+2,CF40)))</f>
        <v>44473</v>
      </c>
      <c r="CH40" s="405">
        <f t="shared" si="17"/>
        <v>44473</v>
      </c>
      <c r="CI40" s="446">
        <f>IF(AND($D40&lt;='Outline Info'!$H$33,CH40&gt;='Outline Info'!$H$33,$CJ$4=1,$AC40&gt;10,$AC40&lt;9997),1,0)</f>
        <v>0</v>
      </c>
      <c r="CJ40" s="405">
        <f>IF(CI40=1,CH40+'Outline Info'!$I$33-'Outline Info'!$H$33+1,CH40)</f>
        <v>44473</v>
      </c>
      <c r="CK40" s="405">
        <f>CJ40+IF(WEEKDAY(CJ40)=1,1,IF(WEEKDAY(CJ40)=7,2,0))+COUNTIF(ClosedDays!$B$4:$B$32,IF(WEEKDAY(CJ40)=1,CJ40+1,IF(WEEKDAY(CJ40)=7,CJ40+2,CJ40)))+COUNTIF(ClosedDays!$F$4:$F$32,IF(WEEKDAY(CJ40)=1,CJ40+1,IF(WEEKDAY(CJ40)=7,CJ40+2,CJ40)))+COUNTIF(ClosedDays!$J$4:$J$32,IF(WEEKDAY(CJ40)=1,CJ40+1,IF(WEEKDAY(CJ40)=7,CJ40+2,CJ40)))+COUNTIF(ClosedDays!$N$4:$N$32,IF(WEEKDAY(CJ40)=1,CJ40+1,IF(WEEKDAY(CJ40)=7,CJ40+2,CJ40)))</f>
        <v>44473</v>
      </c>
      <c r="CL40" s="405">
        <f>CK40+IF(WEEKDAY(CK40)=1,1,IF(WEEKDAY(CK40)=7,2,0))+COUNTIF(ClosedDays!$B$4:$B$32,IF(WEEKDAY(CK40)=1,CK40+1,IF(WEEKDAY(CK40)=7,CK40+2,CK40)))+COUNTIF(ClosedDays!$F$4:$F$32,IF(WEEKDAY(CK40)=1,CK40+1,IF(WEEKDAY(CK40)=7,CK40+2,CK40)))+COUNTIF(ClosedDays!$J$4:$J$32,IF(WEEKDAY(CK40)=1,CK40+1,IF(WEEKDAY(CK40)=7,CK40+2,CK40)))+COUNTIF(ClosedDays!$N$4:$N$32,IF(WEEKDAY(CK40)=1,CK40+1,IF(WEEKDAY(CK40)=7,CK40+2,CK40)))</f>
        <v>44473</v>
      </c>
      <c r="CM40" s="405">
        <f>CL40+IF(WEEKDAY(CL40)=1,1,IF(WEEKDAY(CL40)=7,2,0))+COUNTIF(ClosedDays!$B$4:$B$32,IF(WEEKDAY(CL40)=1,CL40+1,IF(WEEKDAY(CL40)=7,CL40+2,CL40)))+COUNTIF(ClosedDays!$F$4:$F$32,IF(WEEKDAY(CL40)=1,CL40+1,IF(WEEKDAY(CL40)=7,CL40+2,CL40)))+COUNTIF(ClosedDays!$J$4:$J$32,IF(WEEKDAY(CL40)=1,CL40+1,IF(WEEKDAY(CL40)=7,CL40+2,CL40)))+COUNTIF(ClosedDays!$N$4:$N$32,IF(WEEKDAY(CL40)=1,CL40+1,IF(WEEKDAY(CL40)=7,CL40+2,CL40)))</f>
        <v>44473</v>
      </c>
      <c r="CN40" s="405">
        <f>CM40+IF(WEEKDAY(CM40)=1,1,IF(WEEKDAY(CM40)=7,2,0))+COUNTIF(ClosedDays!$B$4:$B$32,IF(WEEKDAY(CM40)=1,CM40+1,IF(WEEKDAY(CM40)=7,CM40+2,CM40)))+COUNTIF(ClosedDays!$F$4:$F$32,IF(WEEKDAY(CM40)=1,CM40+1,IF(WEEKDAY(CM40)=7,CM40+2,CM40)))+COUNTIF(ClosedDays!$J$4:$J$32,IF(WEEKDAY(CM40)=1,CM40+1,IF(WEEKDAY(CM40)=7,CM40+2,CM40)))+COUNTIF(ClosedDays!$N$4:$N$32,IF(WEEKDAY(CM40)=1,CM40+1,IF(WEEKDAY(CM40)=7,CM40+2,CM40)))</f>
        <v>44473</v>
      </c>
      <c r="CO40" s="405">
        <f>CN40+IF(WEEKDAY(CN40)=1,1,IF(WEEKDAY(CN40)=7,2,0))+COUNTIF(ClosedDays!$B$4:$B$32,IF(WEEKDAY(CN40)=1,CN40+1,IF(WEEKDAY(CN40)=7,CN40+2,CN40)))+COUNTIF(ClosedDays!$F$4:$F$32,IF(WEEKDAY(CN40)=1,CN40+1,IF(WEEKDAY(CN40)=7,CN40+2,CN40)))+COUNTIF(ClosedDays!$J$4:$J$32,IF(WEEKDAY(CN40)=1,CN40+1,IF(WEEKDAY(CN40)=7,CN40+2,CN40)))+COUNTIF(ClosedDays!$N$4:$N$32,IF(WEEKDAY(CN40)=1,CN40+1,IF(WEEKDAY(CN40)=7,CN40+2,CN40)))</f>
        <v>44473</v>
      </c>
      <c r="CP40" s="405">
        <f>CO40+IF(WEEKDAY(CO40)=1,1,IF(WEEKDAY(CO40)=7,2,0))+COUNTIF(ClosedDays!$B$4:$B$32,IF(WEEKDAY(CO40)=1,CO40+1,IF(WEEKDAY(CO40)=7,CO40+2,CO40)))+COUNTIF(ClosedDays!$F$4:$F$32,IF(WEEKDAY(CO40)=1,CO40+1,IF(WEEKDAY(CO40)=7,CO40+2,CO40)))+COUNTIF(ClosedDays!$J$4:$J$32,IF(WEEKDAY(CO40)=1,CO40+1,IF(WEEKDAY(CO40)=7,CO40+2,CO40)))+COUNTIF(ClosedDays!$N$4:$N$32,IF(WEEKDAY(CO40)=1,CO40+1,IF(WEEKDAY(CO40)=7,CO40+2,CO40)))</f>
        <v>44473</v>
      </c>
      <c r="CQ40" s="405">
        <f>CP40+IF(WEEKDAY(CP40)=1,1,IF(WEEKDAY(CP40)=7,2,0))+COUNTIF(ClosedDays!$B$4:$B$32,IF(WEEKDAY(CP40)=1,CP40+1,IF(WEEKDAY(CP40)=7,CP40+2,CP40)))+COUNTIF(ClosedDays!$F$4:$F$32,IF(WEEKDAY(CP40)=1,CP40+1,IF(WEEKDAY(CP40)=7,CP40+2,CP40)))+COUNTIF(ClosedDays!$J$4:$J$32,IF(WEEKDAY(CP40)=1,CP40+1,IF(WEEKDAY(CP40)=7,CP40+2,CP40)))+COUNTIF(ClosedDays!$N$4:$N$32,IF(WEEKDAY(CP40)=1,CP40+1,IF(WEEKDAY(CP40)=7,CP40+2,CP40)))</f>
        <v>44473</v>
      </c>
      <c r="CR40" s="405">
        <f>CQ40+IF(WEEKDAY(CQ40)=1,1,IF(WEEKDAY(CQ40)=7,2,0))+COUNTIF(ClosedDays!$B$4:$B$32,IF(WEEKDAY(CQ40)=1,CQ40+1,IF(WEEKDAY(CQ40)=7,CQ40+2,CQ40)))+COUNTIF(ClosedDays!$F$4:$F$32,IF(WEEKDAY(CQ40)=1,CQ40+1,IF(WEEKDAY(CQ40)=7,CQ40+2,CQ40)))+COUNTIF(ClosedDays!$J$4:$J$32,IF(WEEKDAY(CQ40)=1,CQ40+1,IF(WEEKDAY(CQ40)=7,CQ40+2,CQ40)))+COUNTIF(ClosedDays!$N$4:$N$32,IF(WEEKDAY(CQ40)=1,CQ40+1,IF(WEEKDAY(CQ40)=7,CQ40+2,CQ40)))</f>
        <v>44473</v>
      </c>
      <c r="CS40" s="405">
        <f>CR40+IF(WEEKDAY(CR40)=1,1,IF(WEEKDAY(CR40)=7,2,0))+COUNTIF(ClosedDays!$B$4:$B$32,IF(WEEKDAY(CR40)=1,CR40+1,IF(WEEKDAY(CR40)=7,CR40+2,CR40)))+COUNTIF(ClosedDays!$F$4:$F$32,IF(WEEKDAY(CR40)=1,CR40+1,IF(WEEKDAY(CR40)=7,CR40+2,CR40)))+COUNTIF(ClosedDays!$J$4:$J$32,IF(WEEKDAY(CR40)=1,CR40+1,IF(WEEKDAY(CR40)=7,CR40+2,CR40)))+COUNTIF(ClosedDays!$N$4:$N$32,IF(WEEKDAY(CR40)=1,CR40+1,IF(WEEKDAY(CR40)=7,CR40+2,CR40)))</f>
        <v>44473</v>
      </c>
      <c r="CT40" s="405">
        <f>CS40+IF(WEEKDAY(CS40)=1,1,IF(WEEKDAY(CS40)=7,2,0))+COUNTIF(ClosedDays!$B$4:$B$32,IF(WEEKDAY(CS40)=1,CS40+1,IF(WEEKDAY(CS40)=7,CS40+2,CS40)))+COUNTIF(ClosedDays!$F$4:$F$32,IF(WEEKDAY(CS40)=1,CS40+1,IF(WEEKDAY(CS40)=7,CS40+2,CS40)))+COUNTIF(ClosedDays!$J$4:$J$32,IF(WEEKDAY(CS40)=1,CS40+1,IF(WEEKDAY(CS40)=7,CS40+2,CS40)))+COUNTIF(ClosedDays!$N$4:$N$32,IF(WEEKDAY(CS40)=1,CS40+1,IF(WEEKDAY(CS40)=7,CS40+2,CS40)))</f>
        <v>44473</v>
      </c>
      <c r="CU40" s="405">
        <f>CT40+IF(WEEKDAY(CT40)=1,1,IF(WEEKDAY(CT40)=7,2,0))+COUNTIF(ClosedDays!$B$4:$B$32,IF(WEEKDAY(CT40)=1,CT40+1,IF(WEEKDAY(CT40)=7,CT40+2,CT40)))+COUNTIF(ClosedDays!$F$4:$F$32,IF(WEEKDAY(CT40)=1,CT40+1,IF(WEEKDAY(CT40)=7,CT40+2,CT40)))+COUNTIF(ClosedDays!$J$4:$J$32,IF(WEEKDAY(CT40)=1,CT40+1,IF(WEEKDAY(CT40)=7,CT40+2,CT40)))+COUNTIF(ClosedDays!$N$4:$N$32,IF(WEEKDAY(CT40)=1,CT40+1,IF(WEEKDAY(CT40)=7,CT40+2,CT40)))</f>
        <v>44473</v>
      </c>
      <c r="CV40" s="405">
        <f>CU40+IF(WEEKDAY(CU40)=1,1,IF(WEEKDAY(CU40)=7,2,0))+COUNTIF(ClosedDays!$B$4:$B$32,IF(WEEKDAY(CU40)=1,CU40+1,IF(WEEKDAY(CU40)=7,CU40+2,CU40)))+COUNTIF(ClosedDays!$F$4:$F$32,IF(WEEKDAY(CU40)=1,CU40+1,IF(WEEKDAY(CU40)=7,CU40+2,CU40)))+COUNTIF(ClosedDays!$J$4:$J$32,IF(WEEKDAY(CU40)=1,CU40+1,IF(WEEKDAY(CU40)=7,CU40+2,CU40)))+COUNTIF(ClosedDays!$N$4:$N$32,IF(WEEKDAY(CU40)=1,CU40+1,IF(WEEKDAY(CU40)=7,CU40+2,CU40)))</f>
        <v>44473</v>
      </c>
      <c r="CW40" s="405">
        <f>CV40+IF(WEEKDAY(CV40)=1,1,IF(WEEKDAY(CV40)=7,2,0))+COUNTIF(ClosedDays!$B$4:$B$32,IF(WEEKDAY(CV40)=1,CV40+1,IF(WEEKDAY(CV40)=7,CV40+2,CV40)))+COUNTIF(ClosedDays!$F$4:$F$32,IF(WEEKDAY(CV40)=1,CV40+1,IF(WEEKDAY(CV40)=7,CV40+2,CV40)))+COUNTIF(ClosedDays!$J$4:$J$32,IF(WEEKDAY(CV40)=1,CV40+1,IF(WEEKDAY(CV40)=7,CV40+2,CV40)))+COUNTIF(ClosedDays!$N$4:$N$32,IF(WEEKDAY(CV40)=1,CV40+1,IF(WEEKDAY(CV40)=7,CV40+2,CV40)))</f>
        <v>44473</v>
      </c>
      <c r="CX40" s="405">
        <f>CW40+IF(WEEKDAY(CW40)=1,1,IF(WEEKDAY(CW40)=7,2,0))+COUNTIF(ClosedDays!$B$4:$B$32,IF(WEEKDAY(CW40)=1,CW40+1,IF(WEEKDAY(CW40)=7,CW40+2,CW40)))+COUNTIF(ClosedDays!$F$4:$F$32,IF(WEEKDAY(CW40)=1,CW40+1,IF(WEEKDAY(CW40)=7,CW40+2,CW40)))+COUNTIF(ClosedDays!$J$4:$J$32,IF(WEEKDAY(CW40)=1,CW40+1,IF(WEEKDAY(CW40)=7,CW40+2,CW40)))+COUNTIF(ClosedDays!$N$4:$N$32,IF(WEEKDAY(CW40)=1,CW40+1,IF(WEEKDAY(CW40)=7,CW40+2,CW40)))</f>
        <v>44473</v>
      </c>
      <c r="CY40" s="405">
        <f t="shared" si="18"/>
        <v>44473</v>
      </c>
      <c r="CZ40" s="446">
        <f>IF(AND($D40&lt;='Outline Info'!$E$33,CY40&gt;='Outline Info'!$E$33,$AC40&gt;10,$AC40&lt;9997),1,0)</f>
        <v>0</v>
      </c>
      <c r="DA40" s="405">
        <f>IF(AND($D40&lt;='Outline Info'!$E$33,CY40&gt;='Outline Info'!$E$33),CY40+'Outline Info'!$F$33-'Outline Info'!$E$33+1,CY40)</f>
        <v>44473</v>
      </c>
      <c r="DB40" s="405">
        <f>DA40+IF(WEEKDAY(DA40)=1,1,IF(WEEKDAY(DA40)=7,2,0))+COUNTIF(ClosedDays!$B$4:$B$32,IF(WEEKDAY(DA40)=1,DA40+1,IF(WEEKDAY(DA40)=7,DA40+2,DA40)))+COUNTIF(ClosedDays!$F$4:$F$32,IF(WEEKDAY(DA40)=1,DA40+1,IF(WEEKDAY(DA40)=7,DA40+2,DA40)))+COUNTIF(ClosedDays!$J$4:$J$32,IF(WEEKDAY(DA40)=1,DA40+1,IF(WEEKDAY(DA40)=7,DA40+2,DA40)))+COUNTIF(ClosedDays!$N$4:$N$32,IF(WEEKDAY(DA40)=1,DA40+1,IF(WEEKDAY(DA40)=7,DA40+2,DA40)))</f>
        <v>44473</v>
      </c>
      <c r="DC40" s="405">
        <f>DB40+IF(WEEKDAY(DB40)=1,1,IF(WEEKDAY(DB40)=7,2,0))+COUNTIF(ClosedDays!$B$4:$B$32,IF(WEEKDAY(DB40)=1,DB40+1,IF(WEEKDAY(DB40)=7,DB40+2,DB40)))+COUNTIF(ClosedDays!$F$4:$F$32,IF(WEEKDAY(DB40)=1,DB40+1,IF(WEEKDAY(DB40)=7,DB40+2,DB40)))+COUNTIF(ClosedDays!$J$4:$J$32,IF(WEEKDAY(DB40)=1,DB40+1,IF(WEEKDAY(DB40)=7,DB40+2,DB40)))+COUNTIF(ClosedDays!$N$4:$N$32,IF(WEEKDAY(DB40)=1,DB40+1,IF(WEEKDAY(DB40)=7,DB40+2,DB40)))</f>
        <v>44473</v>
      </c>
      <c r="DD40" s="405">
        <f>DC40+IF(WEEKDAY(DC40)=1,1,IF(WEEKDAY(DC40)=7,2,0))+COUNTIF(ClosedDays!$B$4:$B$32,IF(WEEKDAY(DC40)=1,DC40+1,IF(WEEKDAY(DC40)=7,DC40+2,DC40)))+COUNTIF(ClosedDays!$F$4:$F$32,IF(WEEKDAY(DC40)=1,DC40+1,IF(WEEKDAY(DC40)=7,DC40+2,DC40)))+COUNTIF(ClosedDays!$J$4:$J$32,IF(WEEKDAY(DC40)=1,DC40+1,IF(WEEKDAY(DC40)=7,DC40+2,DC40)))+COUNTIF(ClosedDays!$N$4:$N$32,IF(WEEKDAY(DC40)=1,DC40+1,IF(WEEKDAY(DC40)=7,DC40+2,DC40)))</f>
        <v>44473</v>
      </c>
      <c r="DE40" s="405">
        <f>DD40+IF(WEEKDAY(DD40)=1,1,IF(WEEKDAY(DD40)=7,2,0))+COUNTIF(ClosedDays!$B$4:$B$32,IF(WEEKDAY(DD40)=1,DD40+1,IF(WEEKDAY(DD40)=7,DD40+2,DD40)))+COUNTIF(ClosedDays!$F$4:$F$32,IF(WEEKDAY(DD40)=1,DD40+1,IF(WEEKDAY(DD40)=7,DD40+2,DD40)))+COUNTIF(ClosedDays!$J$4:$J$32,IF(WEEKDAY(DD40)=1,DD40+1,IF(WEEKDAY(DD40)=7,DD40+2,DD40)))+COUNTIF(ClosedDays!$N$4:$N$32,IF(WEEKDAY(DD40)=1,DD40+1,IF(WEEKDAY(DD40)=7,DD40+2,DD40)))</f>
        <v>44473</v>
      </c>
      <c r="DF40" s="405">
        <f>DE40+IF(WEEKDAY(DE40)=1,1,IF(WEEKDAY(DE40)=7,2,0))+COUNTIF(ClosedDays!$B$4:$B$32,IF(WEEKDAY(DE40)=1,DE40+1,IF(WEEKDAY(DE40)=7,DE40+2,DE40)))+COUNTIF(ClosedDays!$F$4:$F$32,IF(WEEKDAY(DE40)=1,DE40+1,IF(WEEKDAY(DE40)=7,DE40+2,DE40)))+COUNTIF(ClosedDays!$J$4:$J$32,IF(WEEKDAY(DE40)=1,DE40+1,IF(WEEKDAY(DE40)=7,DE40+2,DE40)))+COUNTIF(ClosedDays!$N$4:$N$32,IF(WEEKDAY(DE40)=1,DE40+1,IF(WEEKDAY(DE40)=7,DE40+2,DE40)))</f>
        <v>44473</v>
      </c>
      <c r="DG40" s="405">
        <f>DF40+IF(WEEKDAY(DF40)=1,1,IF(WEEKDAY(DF40)=7,2,0))+COUNTIF(ClosedDays!$B$4:$B$32,IF(WEEKDAY(DF40)=1,DF40+1,IF(WEEKDAY(DF40)=7,DF40+2,DF40)))+COUNTIF(ClosedDays!$F$4:$F$32,IF(WEEKDAY(DF40)=1,DF40+1,IF(WEEKDAY(DF40)=7,DF40+2,DF40)))+COUNTIF(ClosedDays!$J$4:$J$32,IF(WEEKDAY(DF40)=1,DF40+1,IF(WEEKDAY(DF40)=7,DF40+2,DF40)))+COUNTIF(ClosedDays!$N$4:$N$32,IF(WEEKDAY(DF40)=1,DF40+1,IF(WEEKDAY(DF40)=7,DF40+2,DF40)))</f>
        <v>44473</v>
      </c>
      <c r="DH40" s="405">
        <f>DG40+IF(WEEKDAY(DG40)=1,1,IF(WEEKDAY(DG40)=7,2,0))+COUNTIF(ClosedDays!$B$4:$B$32,IF(WEEKDAY(DG40)=1,DG40+1,IF(WEEKDAY(DG40)=7,DG40+2,DG40)))+COUNTIF(ClosedDays!$F$4:$F$32,IF(WEEKDAY(DG40)=1,DG40+1,IF(WEEKDAY(DG40)=7,DG40+2,DG40)))+COUNTIF(ClosedDays!$J$4:$J$32,IF(WEEKDAY(DG40)=1,DG40+1,IF(WEEKDAY(DG40)=7,DG40+2,DG40)))+COUNTIF(ClosedDays!$N$4:$N$32,IF(WEEKDAY(DG40)=1,DG40+1,IF(WEEKDAY(DG40)=7,DG40+2,DG40)))</f>
        <v>44473</v>
      </c>
      <c r="DI40" s="405">
        <f>DH40+IF(WEEKDAY(DH40)=1,1,IF(WEEKDAY(DH40)=7,2,0))+COUNTIF(ClosedDays!$B$4:$B$32,IF(WEEKDAY(DH40)=1,DH40+1,IF(WEEKDAY(DH40)=7,DH40+2,DH40)))+COUNTIF(ClosedDays!$F$4:$F$32,IF(WEEKDAY(DH40)=1,DH40+1,IF(WEEKDAY(DH40)=7,DH40+2,DH40)))+COUNTIF(ClosedDays!$J$4:$J$32,IF(WEEKDAY(DH40)=1,DH40+1,IF(WEEKDAY(DH40)=7,DH40+2,DH40)))+COUNTIF(ClosedDays!$N$4:$N$32,IF(WEEKDAY(DH40)=1,DH40+1,IF(WEEKDAY(DH40)=7,DH40+2,DH40)))</f>
        <v>44473</v>
      </c>
      <c r="DJ40" s="405">
        <f>DI40+IF(WEEKDAY(DI40)=1,1,IF(WEEKDAY(DI40)=7,2,0))+COUNTIF(ClosedDays!$B$4:$B$32,IF(WEEKDAY(DI40)=1,DI40+1,IF(WEEKDAY(DI40)=7,DI40+2,DI40)))+COUNTIF(ClosedDays!$F$4:$F$32,IF(WEEKDAY(DI40)=1,DI40+1,IF(WEEKDAY(DI40)=7,DI40+2,DI40)))+COUNTIF(ClosedDays!$J$4:$J$32,IF(WEEKDAY(DI40)=1,DI40+1,IF(WEEKDAY(DI40)=7,DI40+2,DI40)))+COUNTIF(ClosedDays!$N$4:$N$32,IF(WEEKDAY(DI40)=1,DI40+1,IF(WEEKDAY(DI40)=7,DI40+2,DI40)))</f>
        <v>44473</v>
      </c>
      <c r="DK40" s="405">
        <f>DJ40+IF(WEEKDAY(DJ40)=1,1,IF(WEEKDAY(DJ40)=7,2,0))+COUNTIF(ClosedDays!$B$4:$B$32,IF(WEEKDAY(DJ40)=1,DJ40+1,IF(WEEKDAY(DJ40)=7,DJ40+2,DJ40)))+COUNTIF(ClosedDays!$F$4:$F$32,IF(WEEKDAY(DJ40)=1,DJ40+1,IF(WEEKDAY(DJ40)=7,DJ40+2,DJ40)))+COUNTIF(ClosedDays!$J$4:$J$32,IF(WEEKDAY(DJ40)=1,DJ40+1,IF(WEEKDAY(DJ40)=7,DJ40+2,DJ40)))+COUNTIF(ClosedDays!$N$4:$N$32,IF(WEEKDAY(DJ40)=1,DJ40+1,IF(WEEKDAY(DJ40)=7,DJ40+2,DJ40)))</f>
        <v>44473</v>
      </c>
      <c r="DL40" s="405">
        <f>DK40+IF(WEEKDAY(DK40)=1,1,IF(WEEKDAY(DK40)=7,2,0))+COUNTIF(ClosedDays!$B$4:$B$32,IF(WEEKDAY(DK40)=1,DK40+1,IF(WEEKDAY(DK40)=7,DK40+2,DK40)))+COUNTIF(ClosedDays!$F$4:$F$32,IF(WEEKDAY(DK40)=1,DK40+1,IF(WEEKDAY(DK40)=7,DK40+2,DK40)))+COUNTIF(ClosedDays!$J$4:$J$32,IF(WEEKDAY(DK40)=1,DK40+1,IF(WEEKDAY(DK40)=7,DK40+2,DK40)))+COUNTIF(ClosedDays!$N$4:$N$32,IF(WEEKDAY(DK40)=1,DK40+1,IF(WEEKDAY(DK40)=7,DK40+2,DK40)))</f>
        <v>44473</v>
      </c>
      <c r="DM40" s="405">
        <f>DL40+IF(WEEKDAY(DL40)=1,1,IF(WEEKDAY(DL40)=7,2,0))+COUNTIF(ClosedDays!$B$4:$B$32,IF(WEEKDAY(DL40)=1,DL40+1,IF(WEEKDAY(DL40)=7,DL40+2,DL40)))+COUNTIF(ClosedDays!$F$4:$F$32,IF(WEEKDAY(DL40)=1,DL40+1,IF(WEEKDAY(DL40)=7,DL40+2,DL40)))+COUNTIF(ClosedDays!$J$4:$J$32,IF(WEEKDAY(DL40)=1,DL40+1,IF(WEEKDAY(DL40)=7,DL40+2,DL40)))+COUNTIF(ClosedDays!$N$4:$N$32,IF(WEEKDAY(DL40)=1,DL40+1,IF(WEEKDAY(DL40)=7,DL40+2,DL40)))</f>
        <v>44473</v>
      </c>
      <c r="DN40" s="405">
        <f>DM40+IF(WEEKDAY(DM40)=1,1,IF(WEEKDAY(DM40)=7,2,0))+COUNTIF(ClosedDays!$B$4:$B$32,IF(WEEKDAY(DM40)=1,DM40+1,IF(WEEKDAY(DM40)=7,DM40+2,DM40)))+COUNTIF(ClosedDays!$F$4:$F$32,IF(WEEKDAY(DM40)=1,DM40+1,IF(WEEKDAY(DM40)=7,DM40+2,DM40)))+COUNTIF(ClosedDays!$J$4:$J$32,IF(WEEKDAY(DM40)=1,DM40+1,IF(WEEKDAY(DM40)=7,DM40+2,DM40)))+COUNTIF(ClosedDays!$N$4:$N$32,IF(WEEKDAY(DM40)=1,DM40+1,IF(WEEKDAY(DM40)=7,DM40+2,DM40)))</f>
        <v>44473</v>
      </c>
      <c r="DO40" s="405">
        <f>DN40+IF(WEEKDAY(DN40)=1,1,IF(WEEKDAY(DN40)=7,2,0))+COUNTIF(ClosedDays!$B$4:$B$32,IF(WEEKDAY(DN40)=1,DN40+1,IF(WEEKDAY(DN40)=7,DN40+2,DN40)))+COUNTIF(ClosedDays!$F$4:$F$32,IF(WEEKDAY(DN40)=1,DN40+1,IF(WEEKDAY(DN40)=7,DN40+2,DN40)))+COUNTIF(ClosedDays!$J$4:$J$32,IF(WEEKDAY(DN40)=1,DN40+1,IF(WEEKDAY(DN40)=7,DN40+2,DN40)))+COUNTIF(ClosedDays!$N$4:$N$32,IF(WEEKDAY(DN40)=1,DN40+1,IF(WEEKDAY(DN40)=7,DN40+2,DN40)))</f>
        <v>44473</v>
      </c>
      <c r="DP40" s="405">
        <f t="shared" si="23"/>
        <v>44473</v>
      </c>
      <c r="DQ40" s="405">
        <f t="shared" si="20"/>
        <v>44473</v>
      </c>
      <c r="DR40" s="394">
        <f t="shared" si="19"/>
        <v>1</v>
      </c>
      <c r="DS40" s="394">
        <f>IF(AND(DR40=1,COUNTIF(DS$7:DS39,1)&lt;12,VLOOKUP(COUNTIF(DS$7:DS39,1)+1,'Outline Info'!$A$21:$C$32,2)&lt;=I40),1,0)</f>
        <v>0</v>
      </c>
      <c r="DT40" s="405" t="str">
        <f>IF(DS40=1,IF(VLOOKUP(COUNTIF(DS$7:DS40,1),'Outline Info'!$A$21:$C$32,2)=0,"",VLOOKUP(COUNTIF(DS$7:DS40,1),'Outline Info'!$A$21:$C$32,2)),"")</f>
        <v/>
      </c>
      <c r="DU40" s="447">
        <f>IF(DS40=1,VLOOKUP(COUNTIF(DS$7:DS40,1),'Outline Info'!$A$21:$C$32,3),0)</f>
        <v>0</v>
      </c>
      <c r="DV40" s="445">
        <f>IF('Outline Info'!$B$8="Y",IF(B40="*",'Outline Info'!$B$19,IF(OR($A40="",B40="X",B40="x"),0,VLOOKUP($A40,'Course Table'!$A$2:$J$331,4,TRUE))),0)</f>
        <v>0</v>
      </c>
      <c r="DW40" s="447">
        <f t="shared" si="6"/>
        <v>0</v>
      </c>
      <c r="DX40" s="447">
        <f>IF('Outline Info'!$B$8="Y",$DV40,$DW40)</f>
        <v>0</v>
      </c>
      <c r="DY40" s="394"/>
      <c r="DZ40" s="934"/>
      <c r="EA40" s="934"/>
      <c r="EB40" s="394"/>
      <c r="EC40" s="394"/>
      <c r="ED40" s="394"/>
    </row>
    <row r="41" spans="1:134" s="400" customFormat="1" ht="20.100000000000001" customHeight="1">
      <c r="A41" s="875" t="str">
        <f t="shared" si="7"/>
        <v/>
      </c>
      <c r="B41" s="877" t="str">
        <f t="shared" si="8"/>
        <v/>
      </c>
      <c r="C41" s="879" t="str">
        <f t="shared" si="9"/>
        <v/>
      </c>
      <c r="D41" s="463">
        <f>IF(NOT(ISBLANK(DZ41)),DZ41,IF(AND($AC41=9998,'Outline Info'!$H$33&gt;='Outline Info'!$B$6,'Outline Info'!$H$33&lt;='Outline Info'!$C$6),'Outline Info'!$H$33,IF(AND($AC41=9997,'Outline Info'!$H$31&gt;='Outline Info'!$B$6,'Outline Info'!$H$31&lt;='Outline Info'!$C$6),'Outline Info'!$H$31,IF(AE41="*",DQ40,IF(OR(AE41="x",AE41="X"),I40,IF(AND(AC41&gt;6,AC40&lt;6),DQ40,IF(AND($AC41=9998,$AC40=9997),I39,I40)))))))</f>
        <v>44470</v>
      </c>
      <c r="E41" s="1309"/>
      <c r="F41" s="1310"/>
      <c r="G41" s="1284"/>
      <c r="H41" s="1285"/>
      <c r="I41" s="465">
        <f>IF(AND($AC41=9998,'Outline Info'!$I$33&gt;='Outline Info'!$B$6,'Outline Info'!$I$33&lt;='Outline Info'!$C$6),'Outline Info'!$I$33,IF(AND($AC41=9997,'Outline Info'!$I$31&gt;='Outline Info'!$B$6,'Outline Info'!$I$31&lt;='Outline Info'!$C$6),'Outline Info'!$I$31,IF(DP41&gt;$V$4,$V$4,DP41)))</f>
        <v>44470</v>
      </c>
      <c r="J41" s="456"/>
      <c r="K41" s="457"/>
      <c r="L41" s="458"/>
      <c r="M41" s="458"/>
      <c r="N41" s="455"/>
      <c r="O41" s="455"/>
      <c r="P41" s="458"/>
      <c r="Q41" s="458"/>
      <c r="R41" s="459"/>
      <c r="S41" s="873">
        <f>IF($V$5-SUM($DX$7:$DX41)&lt;0,IF($V$5-SUM($DX$7:$DX40)&lt;0,0,$V$5-SUM($DX$7:$DX40)),DX41)</f>
        <v>0</v>
      </c>
      <c r="T41" s="460" t="str">
        <f>IF(S41&gt;0,IF('Outline Info'!$B$8="Y",D41,DT41),"")</f>
        <v/>
      </c>
      <c r="U41" s="461"/>
      <c r="V41" s="462"/>
      <c r="W41" s="871" t="str">
        <f>IF('Outline Info'!$C$33&gt;0,ROUND(IF('Outline Info'!$B$8="Y",SUM(S$7:S41)-SUM(AJ$7:AJ41)-'Outline Info'!$B$14-'Outline Info'!$B$15-'Outline Info'!$B$17,IF(AL41=0,SUM(S$7:S41)-SUM(AK$7:AK41)-SUM(AP41:AS41)-'Outline Info'!$B$14-'Outline Info'!$B$15-'Outline Info'!$B$17,0)),0),IF('Outline Info'!$T$4&lt;&gt;1,"",IF(OR(AD41="",AL41=1),"",SUM(AK$7:AK41)+SUM(AP41:AS41)+'Outline Info'!$B$14+'Outline Info'!$B$15+'Outline Info'!$B$17)))</f>
        <v/>
      </c>
      <c r="X41" s="448"/>
      <c r="Y41" s="443">
        <f>IF(OR(AE41="X",AE41="x",AE41="*",AC41=99999),0,IF(AC41&lt;50,0,IF($S$4-SUM($Y$7:$Y40)&gt;0,1,0)))</f>
        <v>0</v>
      </c>
      <c r="Z41" s="444">
        <f>IF(AC41&lt;99999,IF(AE41="*",AH41,IF(OR(AE41="x",AE41="X",AC41&lt;10),0,IF(AND(AC41&lt;&gt;9998,AC41&lt;&gt;9997),IF(AM41=1,(AH41+$AM$5)*(1+('Outline Info'!$B$16)),IF(AN41=1,(AH41+$AN$5)*(1+('Outline Info'!$B$16)),0)),AH41))),0)</f>
        <v>0</v>
      </c>
      <c r="AA41" s="395">
        <f>Z41/'Outline Info'!$C$11+Y41</f>
        <v>0</v>
      </c>
      <c r="AB41" s="395">
        <f>ROUND(AA41/'Outline Info'!$B$11*7,0)</f>
        <v>0</v>
      </c>
      <c r="AC41" s="450">
        <f>IF($AD41&lt;&gt;"",VLOOKUP($AD41,'Course Table'!$A$2:$J$331,10,TRUE),99999)</f>
        <v>99999</v>
      </c>
      <c r="AD41" s="451"/>
      <c r="AE41" s="394"/>
      <c r="AF41" s="451"/>
      <c r="AG41" s="451"/>
      <c r="AH41" s="451"/>
      <c r="AI41" s="394">
        <v>0</v>
      </c>
      <c r="AJ41" s="394">
        <v>0</v>
      </c>
      <c r="AK41" s="394">
        <f t="shared" si="10"/>
        <v>0</v>
      </c>
      <c r="AL41" s="394">
        <f t="shared" si="11"/>
        <v>0</v>
      </c>
      <c r="AM41" s="394">
        <f t="shared" si="12"/>
        <v>0</v>
      </c>
      <c r="AN41" s="394">
        <f t="shared" si="13"/>
        <v>0</v>
      </c>
      <c r="AO41" s="394">
        <f>IF(AN41=1,SUMPRODUCT($AJ$7:$AJ41,$AN$7:$AN41),0)</f>
        <v>0</v>
      </c>
      <c r="AP41" s="394">
        <f t="shared" si="14"/>
        <v>0</v>
      </c>
      <c r="AQ41" s="394">
        <f t="shared" si="14"/>
        <v>0</v>
      </c>
      <c r="AR41" s="394">
        <f t="shared" si="14"/>
        <v>0</v>
      </c>
      <c r="AS41" s="394">
        <f t="shared" si="14"/>
        <v>0</v>
      </c>
      <c r="AT41" s="394">
        <f t="shared" si="15"/>
        <v>0</v>
      </c>
      <c r="AU41" s="394">
        <f t="shared" si="15"/>
        <v>0</v>
      </c>
      <c r="AV41" s="394">
        <f t="shared" si="15"/>
        <v>0</v>
      </c>
      <c r="AW41" s="394">
        <f t="shared" si="15"/>
        <v>0</v>
      </c>
      <c r="AX41" s="394">
        <f t="shared" si="1"/>
        <v>0</v>
      </c>
      <c r="AY41" s="394">
        <f t="shared" si="2"/>
        <v>0</v>
      </c>
      <c r="AZ41" s="394">
        <f t="shared" si="3"/>
        <v>0</v>
      </c>
      <c r="BA41" s="394">
        <f t="shared" si="4"/>
        <v>0</v>
      </c>
      <c r="BB41" s="405">
        <f t="shared" si="22"/>
        <v>44473</v>
      </c>
      <c r="BC41" s="405">
        <f>BB41+IF(WEEKDAY(BB41)=1,1,IF(WEEKDAY(BB41)=7,2,0))+COUNTIF(ClosedDays!$B$4:$B$32,IF(WEEKDAY(BB41)=1,BB41+1,IF(WEEKDAY(BB41)=7,BB41+2,BB41)))+COUNTIF(ClosedDays!$F$4:$F$32,IF(WEEKDAY(BB41)=1,BB41+1,IF(WEEKDAY(BB41)=7,BB41+2,BB41)))+COUNTIF(ClosedDays!$J$4:$J$32,IF(WEEKDAY(BB41)=1,BB41+1,IF(WEEKDAY(BB41)=7,BB41+2,BB41)))+COUNTIF(ClosedDays!$N$4:$N$32,IF(WEEKDAY(BB41)=1,BB41+1,IF(WEEKDAY(BB41)=7,BB41+2,BB41)))</f>
        <v>44473</v>
      </c>
      <c r="BD41" s="405">
        <f>BC41+IF(WEEKDAY(BC41)=1,1,IF(WEEKDAY(BC41)=7,2,0))+COUNTIF(ClosedDays!$B$4:$B$32,IF(WEEKDAY(BC41)=1,BC41+1,IF(WEEKDAY(BC41)=7,BC41+2,BC41)))+COUNTIF(ClosedDays!$F$4:$F$32,IF(WEEKDAY(BC41)=1,BC41+1,IF(WEEKDAY(BC41)=7,BC41+2,BC41)))+COUNTIF(ClosedDays!$J$4:$J$32,IF(WEEKDAY(BC41)=1,BC41+1,IF(WEEKDAY(BC41)=7,BC41+2,BC41)))+COUNTIF(ClosedDays!$N$4:$N$32,IF(WEEKDAY(BC41)=1,BC41+1,IF(WEEKDAY(BC41)=7,BC41+2,BC41)))</f>
        <v>44473</v>
      </c>
      <c r="BE41" s="405">
        <f>BD41+IF(WEEKDAY(BD41)=1,1,IF(WEEKDAY(BD41)=7,2,0))+COUNTIF(ClosedDays!$B$4:$B$32,IF(WEEKDAY(BD41)=1,BD41+1,IF(WEEKDAY(BD41)=7,BD41+2,BD41)))+COUNTIF(ClosedDays!$F$4:$F$32,IF(WEEKDAY(BD41)=1,BD41+1,IF(WEEKDAY(BD41)=7,BD41+2,BD41)))+COUNTIF(ClosedDays!$J$4:$J$32,IF(WEEKDAY(BD41)=1,BD41+1,IF(WEEKDAY(BD41)=7,BD41+2,BD41)))+COUNTIF(ClosedDays!$N$4:$N$32,IF(WEEKDAY(BD41)=1,BD41+1,IF(WEEKDAY(BD41)=7,BD41+2,BD41)))</f>
        <v>44473</v>
      </c>
      <c r="BF41" s="405">
        <f>BE41+IF(WEEKDAY(BE41)=1,1,IF(WEEKDAY(BE41)=7,2,0))+COUNTIF(ClosedDays!$B$4:$B$32,IF(WEEKDAY(BE41)=1,BE41+1,IF(WEEKDAY(BE41)=7,BE41+2,BE41)))+COUNTIF(ClosedDays!$F$4:$F$32,IF(WEEKDAY(BE41)=1,BE41+1,IF(WEEKDAY(BE41)=7,BE41+2,BE41)))+COUNTIF(ClosedDays!$J$4:$J$32,IF(WEEKDAY(BE41)=1,BE41+1,IF(WEEKDAY(BE41)=7,BE41+2,BE41)))+COUNTIF(ClosedDays!$N$4:$N$32,IF(WEEKDAY(BE41)=1,BE41+1,IF(WEEKDAY(BE41)=7,BE41+2,BE41)))</f>
        <v>44473</v>
      </c>
      <c r="BG41" s="405">
        <f>BF41+IF(WEEKDAY(BF41)=1,1,IF(WEEKDAY(BF41)=7,2,0))+COUNTIF(ClosedDays!$B$4:$B$32,IF(WEEKDAY(BF41)=1,BF41+1,IF(WEEKDAY(BF41)=7,BF41+2,BF41)))+COUNTIF(ClosedDays!$F$4:$F$32,IF(WEEKDAY(BF41)=1,BF41+1,IF(WEEKDAY(BF41)=7,BF41+2,BF41)))+COUNTIF(ClosedDays!$J$4:$J$32,IF(WEEKDAY(BF41)=1,BF41+1,IF(WEEKDAY(BF41)=7,BF41+2,BF41)))+COUNTIF(ClosedDays!$N$4:$N$32,IF(WEEKDAY(BF41)=1,BF41+1,IF(WEEKDAY(BF41)=7,BF41+2,BF41)))</f>
        <v>44473</v>
      </c>
      <c r="BH41" s="405">
        <f>BG41+IF(WEEKDAY(BG41)=1,1,IF(WEEKDAY(BG41)=7,2,0))+COUNTIF(ClosedDays!$B$4:$B$32,IF(WEEKDAY(BG41)=1,BG41+1,IF(WEEKDAY(BG41)=7,BG41+2,BG41)))+COUNTIF(ClosedDays!$F$4:$F$32,IF(WEEKDAY(BG41)=1,BG41+1,IF(WEEKDAY(BG41)=7,BG41+2,BG41)))+COUNTIF(ClosedDays!$J$4:$J$32,IF(WEEKDAY(BG41)=1,BG41+1,IF(WEEKDAY(BG41)=7,BG41+2,BG41)))+COUNTIF(ClosedDays!$N$4:$N$32,IF(WEEKDAY(BG41)=1,BG41+1,IF(WEEKDAY(BG41)=7,BG41+2,BG41)))</f>
        <v>44473</v>
      </c>
      <c r="BI41" s="405">
        <f>BH41+IF(WEEKDAY(BH41)=1,1,IF(WEEKDAY(BH41)=7,2,0))+COUNTIF(ClosedDays!$B$4:$B$32,IF(WEEKDAY(BH41)=1,BH41+1,IF(WEEKDAY(BH41)=7,BH41+2,BH41)))+COUNTIF(ClosedDays!$F$4:$F$32,IF(WEEKDAY(BH41)=1,BH41+1,IF(WEEKDAY(BH41)=7,BH41+2,BH41)))+COUNTIF(ClosedDays!$J$4:$J$32,IF(WEEKDAY(BH41)=1,BH41+1,IF(WEEKDAY(BH41)=7,BH41+2,BH41)))+COUNTIF(ClosedDays!$N$4:$N$32,IF(WEEKDAY(BH41)=1,BH41+1,IF(WEEKDAY(BH41)=7,BH41+2,BH41)))</f>
        <v>44473</v>
      </c>
      <c r="BJ41" s="405">
        <f>BI41+IF(WEEKDAY(BI41)=1,1,IF(WEEKDAY(BI41)=7,2,0))+COUNTIF(ClosedDays!$B$4:$B$32,IF(WEEKDAY(BI41)=1,BI41+1,IF(WEEKDAY(BI41)=7,BI41+2,BI41)))+COUNTIF(ClosedDays!$F$4:$F$32,IF(WEEKDAY(BI41)=1,BI41+1,IF(WEEKDAY(BI41)=7,BI41+2,BI41)))+COUNTIF(ClosedDays!$J$4:$J$32,IF(WEEKDAY(BI41)=1,BI41+1,IF(WEEKDAY(BI41)=7,BI41+2,BI41)))+COUNTIF(ClosedDays!$N$4:$N$32,IF(WEEKDAY(BI41)=1,BI41+1,IF(WEEKDAY(BI41)=7,BI41+2,BI41)))</f>
        <v>44473</v>
      </c>
      <c r="BK41" s="405">
        <f>BJ41+IF(WEEKDAY(BJ41)=1,1,IF(WEEKDAY(BJ41)=7,2,0))+COUNTIF(ClosedDays!$B$4:$B$32,IF(WEEKDAY(BJ41)=1,BJ41+1,IF(WEEKDAY(BJ41)=7,BJ41+2,BJ41)))+COUNTIF(ClosedDays!$F$4:$F$32,IF(WEEKDAY(BJ41)=1,BJ41+1,IF(WEEKDAY(BJ41)=7,BJ41+2,BJ41)))+COUNTIF(ClosedDays!$J$4:$J$32,IF(WEEKDAY(BJ41)=1,BJ41+1,IF(WEEKDAY(BJ41)=7,BJ41+2,BJ41)))+COUNTIF(ClosedDays!$N$4:$N$32,IF(WEEKDAY(BJ41)=1,BJ41+1,IF(WEEKDAY(BJ41)=7,BJ41+2,BJ41)))</f>
        <v>44473</v>
      </c>
      <c r="BL41" s="405">
        <f>BK41+IF(WEEKDAY(BK41)=1,1,IF(WEEKDAY(BK41)=7,2,0))+COUNTIF(ClosedDays!$B$4:$B$32,IF(WEEKDAY(BK41)=1,BK41+1,IF(WEEKDAY(BK41)=7,BK41+2,BK41)))+COUNTIF(ClosedDays!$F$4:$F$32,IF(WEEKDAY(BK41)=1,BK41+1,IF(WEEKDAY(BK41)=7,BK41+2,BK41)))+COUNTIF(ClosedDays!$J$4:$J$32,IF(WEEKDAY(BK41)=1,BK41+1,IF(WEEKDAY(BK41)=7,BK41+2,BK41)))+COUNTIF(ClosedDays!$N$4:$N$32,IF(WEEKDAY(BK41)=1,BK41+1,IF(WEEKDAY(BK41)=7,BK41+2,BK41)))</f>
        <v>44473</v>
      </c>
      <c r="BM41" s="405">
        <f>BL41+IF(WEEKDAY(BL41)=1,1,IF(WEEKDAY(BL41)=7,2,0))+COUNTIF(ClosedDays!$B$4:$B$32,IF(WEEKDAY(BL41)=1,BL41+1,IF(WEEKDAY(BL41)=7,BL41+2,BL41)))+COUNTIF(ClosedDays!$F$4:$F$32,IF(WEEKDAY(BL41)=1,BL41+1,IF(WEEKDAY(BL41)=7,BL41+2,BL41)))+COUNTIF(ClosedDays!$J$4:$J$32,IF(WEEKDAY(BL41)=1,BL41+1,IF(WEEKDAY(BL41)=7,BL41+2,BL41)))+COUNTIF(ClosedDays!$N$4:$N$32,IF(WEEKDAY(BL41)=1,BL41+1,IF(WEEKDAY(BL41)=7,BL41+2,BL41)))</f>
        <v>44473</v>
      </c>
      <c r="BN41" s="405">
        <f>BM41+IF(WEEKDAY(BM41)=1,1,IF(WEEKDAY(BM41)=7,2,0))+COUNTIF(ClosedDays!$B$4:$B$32,IF(WEEKDAY(BM41)=1,BM41+1,IF(WEEKDAY(BM41)=7,BM41+2,BM41)))+COUNTIF(ClosedDays!$F$4:$F$32,IF(WEEKDAY(BM41)=1,BM41+1,IF(WEEKDAY(BM41)=7,BM41+2,BM41)))+COUNTIF(ClosedDays!$J$4:$J$32,IF(WEEKDAY(BM41)=1,BM41+1,IF(WEEKDAY(BM41)=7,BM41+2,BM41)))+COUNTIF(ClosedDays!$N$4:$N$32,IF(WEEKDAY(BM41)=1,BM41+1,IF(WEEKDAY(BM41)=7,BM41+2,BM41)))</f>
        <v>44473</v>
      </c>
      <c r="BO41" s="405">
        <f>BN41+IF(WEEKDAY(BN41)=1,1,IF(WEEKDAY(BN41)=7,2,0))+COUNTIF(ClosedDays!$B$4:$B$32,IF(WEEKDAY(BN41)=1,BN41+1,IF(WEEKDAY(BN41)=7,BN41+2,BN41)))+COUNTIF(ClosedDays!$F$4:$F$32,IF(WEEKDAY(BN41)=1,BN41+1,IF(WEEKDAY(BN41)=7,BN41+2,BN41)))+COUNTIF(ClosedDays!$J$4:$J$32,IF(WEEKDAY(BN41)=1,BN41+1,IF(WEEKDAY(BN41)=7,BN41+2,BN41)))+COUNTIF(ClosedDays!$N$4:$N$32,IF(WEEKDAY(BN41)=1,BN41+1,IF(WEEKDAY(BN41)=7,BN41+2,BN41)))</f>
        <v>44473</v>
      </c>
      <c r="BP41" s="405">
        <f>BO41+IF(WEEKDAY(BO41)=1,1,IF(WEEKDAY(BO41)=7,2,0))+COUNTIF(ClosedDays!$B$4:$B$32,IF(WEEKDAY(BO41)=1,BO41+1,IF(WEEKDAY(BO41)=7,BO41+2,BO41)))+COUNTIF(ClosedDays!$F$4:$F$32,IF(WEEKDAY(BO41)=1,BO41+1,IF(WEEKDAY(BO41)=7,BO41+2,BO41)))+COUNTIF(ClosedDays!$J$4:$J$32,IF(WEEKDAY(BO41)=1,BO41+1,IF(WEEKDAY(BO41)=7,BO41+2,BO41)))+COUNTIF(ClosedDays!$N$4:$N$32,IF(WEEKDAY(BO41)=1,BO41+1,IF(WEEKDAY(BO41)=7,BO41+2,BO41)))</f>
        <v>44473</v>
      </c>
      <c r="BQ41" s="405">
        <f t="shared" si="16"/>
        <v>44473</v>
      </c>
      <c r="BR41" s="446">
        <f>IF(AND($D41&lt;='Outline Info'!$H$31,BQ41&gt;='Outline Info'!$H$31,$BS$4=1,$AC41&gt;10,$AC41&lt;9997),1,0)</f>
        <v>0</v>
      </c>
      <c r="BS41" s="405">
        <f>IF(BR41=1,BQ41+'Outline Info'!$I$31-'Outline Info'!$H$31+1,BQ41)</f>
        <v>44473</v>
      </c>
      <c r="BT41" s="405">
        <f>BS41+IF(WEEKDAY(BS41)=1,1,IF(WEEKDAY(BS41)=7,2,0))+COUNTIF(ClosedDays!$B$4:$B$32,IF(WEEKDAY(BS41)=1,BS41+1,IF(WEEKDAY(BS41)=7,BS41+2,BS41)))+COUNTIF(ClosedDays!$F$4:$F$32,IF(WEEKDAY(BS41)=1,BS41+1,IF(WEEKDAY(BS41)=7,BS41+2,BS41)))+COUNTIF(ClosedDays!$J$4:$J$32,IF(WEEKDAY(BS41)=1,BS41+1,IF(WEEKDAY(BS41)=7,BS41+2,BS41)))+COUNTIF(ClosedDays!$N$4:$N$32,IF(WEEKDAY(BS41)=1,BS41+1,IF(WEEKDAY(BS41)=7,BS41+2,BS41)))</f>
        <v>44473</v>
      </c>
      <c r="BU41" s="405">
        <f>BT41+IF(WEEKDAY(BT41)=1,1,IF(WEEKDAY(BT41)=7,2,0))+COUNTIF(ClosedDays!$B$4:$B$32,IF(WEEKDAY(BT41)=1,BT41+1,IF(WEEKDAY(BT41)=7,BT41+2,BT41)))+COUNTIF(ClosedDays!$F$4:$F$32,IF(WEEKDAY(BT41)=1,BT41+1,IF(WEEKDAY(BT41)=7,BT41+2,BT41)))+COUNTIF(ClosedDays!$J$4:$J$32,IF(WEEKDAY(BT41)=1,BT41+1,IF(WEEKDAY(BT41)=7,BT41+2,BT41)))+COUNTIF(ClosedDays!$N$4:$N$32,IF(WEEKDAY(BT41)=1,BT41+1,IF(WEEKDAY(BT41)=7,BT41+2,BT41)))</f>
        <v>44473</v>
      </c>
      <c r="BV41" s="405">
        <f>BU41+IF(WEEKDAY(BU41)=1,1,IF(WEEKDAY(BU41)=7,2,0))+COUNTIF(ClosedDays!$B$4:$B$32,IF(WEEKDAY(BU41)=1,BU41+1,IF(WEEKDAY(BU41)=7,BU41+2,BU41)))+COUNTIF(ClosedDays!$F$4:$F$32,IF(WEEKDAY(BU41)=1,BU41+1,IF(WEEKDAY(BU41)=7,BU41+2,BU41)))+COUNTIF(ClosedDays!$J$4:$J$32,IF(WEEKDAY(BU41)=1,BU41+1,IF(WEEKDAY(BU41)=7,BU41+2,BU41)))+COUNTIF(ClosedDays!$N$4:$N$32,IF(WEEKDAY(BU41)=1,BU41+1,IF(WEEKDAY(BU41)=7,BU41+2,BU41)))</f>
        <v>44473</v>
      </c>
      <c r="BW41" s="405">
        <f>BV41+IF(WEEKDAY(BV41)=1,1,IF(WEEKDAY(BV41)=7,2,0))+COUNTIF(ClosedDays!$B$4:$B$32,IF(WEEKDAY(BV41)=1,BV41+1,IF(WEEKDAY(BV41)=7,BV41+2,BV41)))+COUNTIF(ClosedDays!$F$4:$F$32,IF(WEEKDAY(BV41)=1,BV41+1,IF(WEEKDAY(BV41)=7,BV41+2,BV41)))+COUNTIF(ClosedDays!$J$4:$J$32,IF(WEEKDAY(BV41)=1,BV41+1,IF(WEEKDAY(BV41)=7,BV41+2,BV41)))+COUNTIF(ClosedDays!$N$4:$N$32,IF(WEEKDAY(BV41)=1,BV41+1,IF(WEEKDAY(BV41)=7,BV41+2,BV41)))</f>
        <v>44473</v>
      </c>
      <c r="BX41" s="405">
        <f>BW41+IF(WEEKDAY(BW41)=1,1,IF(WEEKDAY(BW41)=7,2,0))+COUNTIF(ClosedDays!$B$4:$B$32,IF(WEEKDAY(BW41)=1,BW41+1,IF(WEEKDAY(BW41)=7,BW41+2,BW41)))+COUNTIF(ClosedDays!$F$4:$F$32,IF(WEEKDAY(BW41)=1,BW41+1,IF(WEEKDAY(BW41)=7,BW41+2,BW41)))+COUNTIF(ClosedDays!$J$4:$J$32,IF(WEEKDAY(BW41)=1,BW41+1,IF(WEEKDAY(BW41)=7,BW41+2,BW41)))+COUNTIF(ClosedDays!$N$4:$N$32,IF(WEEKDAY(BW41)=1,BW41+1,IF(WEEKDAY(BW41)=7,BW41+2,BW41)))</f>
        <v>44473</v>
      </c>
      <c r="BY41" s="405">
        <f>BX41+IF(WEEKDAY(BX41)=1,1,IF(WEEKDAY(BX41)=7,2,0))+COUNTIF(ClosedDays!$B$4:$B$32,IF(WEEKDAY(BX41)=1,BX41+1,IF(WEEKDAY(BX41)=7,BX41+2,BX41)))+COUNTIF(ClosedDays!$F$4:$F$32,IF(WEEKDAY(BX41)=1,BX41+1,IF(WEEKDAY(BX41)=7,BX41+2,BX41)))+COUNTIF(ClosedDays!$J$4:$J$32,IF(WEEKDAY(BX41)=1,BX41+1,IF(WEEKDAY(BX41)=7,BX41+2,BX41)))+COUNTIF(ClosedDays!$N$4:$N$32,IF(WEEKDAY(BX41)=1,BX41+1,IF(WEEKDAY(BX41)=7,BX41+2,BX41)))</f>
        <v>44473</v>
      </c>
      <c r="BZ41" s="405">
        <f>BY41+IF(WEEKDAY(BY41)=1,1,IF(WEEKDAY(BY41)=7,2,0))+COUNTIF(ClosedDays!$B$4:$B$32,IF(WEEKDAY(BY41)=1,BY41+1,IF(WEEKDAY(BY41)=7,BY41+2,BY41)))+COUNTIF(ClosedDays!$F$4:$F$32,IF(WEEKDAY(BY41)=1,BY41+1,IF(WEEKDAY(BY41)=7,BY41+2,BY41)))+COUNTIF(ClosedDays!$J$4:$J$32,IF(WEEKDAY(BY41)=1,BY41+1,IF(WEEKDAY(BY41)=7,BY41+2,BY41)))+COUNTIF(ClosedDays!$N$4:$N$32,IF(WEEKDAY(BY41)=1,BY41+1,IF(WEEKDAY(BY41)=7,BY41+2,BY41)))</f>
        <v>44473</v>
      </c>
      <c r="CA41" s="405">
        <f>BZ41+IF(WEEKDAY(BZ41)=1,1,IF(WEEKDAY(BZ41)=7,2,0))+COUNTIF(ClosedDays!$B$4:$B$32,IF(WEEKDAY(BZ41)=1,BZ41+1,IF(WEEKDAY(BZ41)=7,BZ41+2,BZ41)))+COUNTIF(ClosedDays!$F$4:$F$32,IF(WEEKDAY(BZ41)=1,BZ41+1,IF(WEEKDAY(BZ41)=7,BZ41+2,BZ41)))+COUNTIF(ClosedDays!$J$4:$J$32,IF(WEEKDAY(BZ41)=1,BZ41+1,IF(WEEKDAY(BZ41)=7,BZ41+2,BZ41)))+COUNTIF(ClosedDays!$N$4:$N$32,IF(WEEKDAY(BZ41)=1,BZ41+1,IF(WEEKDAY(BZ41)=7,BZ41+2,BZ41)))</f>
        <v>44473</v>
      </c>
      <c r="CB41" s="405">
        <f>CA41+IF(WEEKDAY(CA41)=1,1,IF(WEEKDAY(CA41)=7,2,0))+COUNTIF(ClosedDays!$B$4:$B$32,IF(WEEKDAY(CA41)=1,CA41+1,IF(WEEKDAY(CA41)=7,CA41+2,CA41)))+COUNTIF(ClosedDays!$F$4:$F$32,IF(WEEKDAY(CA41)=1,CA41+1,IF(WEEKDAY(CA41)=7,CA41+2,CA41)))+COUNTIF(ClosedDays!$J$4:$J$32,IF(WEEKDAY(CA41)=1,CA41+1,IF(WEEKDAY(CA41)=7,CA41+2,CA41)))+COUNTIF(ClosedDays!$N$4:$N$32,IF(WEEKDAY(CA41)=1,CA41+1,IF(WEEKDAY(CA41)=7,CA41+2,CA41)))</f>
        <v>44473</v>
      </c>
      <c r="CC41" s="405">
        <f>CB41+IF(WEEKDAY(CB41)=1,1,IF(WEEKDAY(CB41)=7,2,0))+COUNTIF(ClosedDays!$B$4:$B$32,IF(WEEKDAY(CB41)=1,CB41+1,IF(WEEKDAY(CB41)=7,CB41+2,CB41)))+COUNTIF(ClosedDays!$F$4:$F$32,IF(WEEKDAY(CB41)=1,CB41+1,IF(WEEKDAY(CB41)=7,CB41+2,CB41)))+COUNTIF(ClosedDays!$J$4:$J$32,IF(WEEKDAY(CB41)=1,CB41+1,IF(WEEKDAY(CB41)=7,CB41+2,CB41)))+COUNTIF(ClosedDays!$N$4:$N$32,IF(WEEKDAY(CB41)=1,CB41+1,IF(WEEKDAY(CB41)=7,CB41+2,CB41)))</f>
        <v>44473</v>
      </c>
      <c r="CD41" s="405">
        <f>CC41+IF(WEEKDAY(CC41)=1,1,IF(WEEKDAY(CC41)=7,2,0))+COUNTIF(ClosedDays!$B$4:$B$32,IF(WEEKDAY(CC41)=1,CC41+1,IF(WEEKDAY(CC41)=7,CC41+2,CC41)))+COUNTIF(ClosedDays!$F$4:$F$32,IF(WEEKDAY(CC41)=1,CC41+1,IF(WEEKDAY(CC41)=7,CC41+2,CC41)))+COUNTIF(ClosedDays!$J$4:$J$32,IF(WEEKDAY(CC41)=1,CC41+1,IF(WEEKDAY(CC41)=7,CC41+2,CC41)))+COUNTIF(ClosedDays!$N$4:$N$32,IF(WEEKDAY(CC41)=1,CC41+1,IF(WEEKDAY(CC41)=7,CC41+2,CC41)))</f>
        <v>44473</v>
      </c>
      <c r="CE41" s="405">
        <f>CD41+IF(WEEKDAY(CD41)=1,1,IF(WEEKDAY(CD41)=7,2,0))+COUNTIF(ClosedDays!$B$4:$B$32,IF(WEEKDAY(CD41)=1,CD41+1,IF(WEEKDAY(CD41)=7,CD41+2,CD41)))+COUNTIF(ClosedDays!$F$4:$F$32,IF(WEEKDAY(CD41)=1,CD41+1,IF(WEEKDAY(CD41)=7,CD41+2,CD41)))+COUNTIF(ClosedDays!$J$4:$J$32,IF(WEEKDAY(CD41)=1,CD41+1,IF(WEEKDAY(CD41)=7,CD41+2,CD41)))+COUNTIF(ClosedDays!$N$4:$N$32,IF(WEEKDAY(CD41)=1,CD41+1,IF(WEEKDAY(CD41)=7,CD41+2,CD41)))</f>
        <v>44473</v>
      </c>
      <c r="CF41" s="405">
        <f>CE41+IF(WEEKDAY(CE41)=1,1,IF(WEEKDAY(CE41)=7,2,0))+COUNTIF(ClosedDays!$B$4:$B$32,IF(WEEKDAY(CE41)=1,CE41+1,IF(WEEKDAY(CE41)=7,CE41+2,CE41)))+COUNTIF(ClosedDays!$F$4:$F$32,IF(WEEKDAY(CE41)=1,CE41+1,IF(WEEKDAY(CE41)=7,CE41+2,CE41)))+COUNTIF(ClosedDays!$J$4:$J$32,IF(WEEKDAY(CE41)=1,CE41+1,IF(WEEKDAY(CE41)=7,CE41+2,CE41)))+COUNTIF(ClosedDays!$N$4:$N$32,IF(WEEKDAY(CE41)=1,CE41+1,IF(WEEKDAY(CE41)=7,CE41+2,CE41)))</f>
        <v>44473</v>
      </c>
      <c r="CG41" s="405">
        <f>CF41+IF(WEEKDAY(CF41)=1,1,IF(WEEKDAY(CF41)=7,2,0))+COUNTIF(ClosedDays!$B$4:$B$32,IF(WEEKDAY(CF41)=1,CF41+1,IF(WEEKDAY(CF41)=7,CF41+2,CF41)))+COUNTIF(ClosedDays!$F$4:$F$32,IF(WEEKDAY(CF41)=1,CF41+1,IF(WEEKDAY(CF41)=7,CF41+2,CF41)))+COUNTIF(ClosedDays!$J$4:$J$32,IF(WEEKDAY(CF41)=1,CF41+1,IF(WEEKDAY(CF41)=7,CF41+2,CF41)))+COUNTIF(ClosedDays!$N$4:$N$32,IF(WEEKDAY(CF41)=1,CF41+1,IF(WEEKDAY(CF41)=7,CF41+2,CF41)))</f>
        <v>44473</v>
      </c>
      <c r="CH41" s="405">
        <f t="shared" si="17"/>
        <v>44473</v>
      </c>
      <c r="CI41" s="446">
        <f>IF(AND($D41&lt;='Outline Info'!$H$33,CH41&gt;='Outline Info'!$H$33,$CJ$4=1,$AC41&gt;10,$AC41&lt;9997),1,0)</f>
        <v>0</v>
      </c>
      <c r="CJ41" s="405">
        <f>IF(CI41=1,CH41+'Outline Info'!$I$33-'Outline Info'!$H$33+1,CH41)</f>
        <v>44473</v>
      </c>
      <c r="CK41" s="405">
        <f>CJ41+IF(WEEKDAY(CJ41)=1,1,IF(WEEKDAY(CJ41)=7,2,0))+COUNTIF(ClosedDays!$B$4:$B$32,IF(WEEKDAY(CJ41)=1,CJ41+1,IF(WEEKDAY(CJ41)=7,CJ41+2,CJ41)))+COUNTIF(ClosedDays!$F$4:$F$32,IF(WEEKDAY(CJ41)=1,CJ41+1,IF(WEEKDAY(CJ41)=7,CJ41+2,CJ41)))+COUNTIF(ClosedDays!$J$4:$J$32,IF(WEEKDAY(CJ41)=1,CJ41+1,IF(WEEKDAY(CJ41)=7,CJ41+2,CJ41)))+COUNTIF(ClosedDays!$N$4:$N$32,IF(WEEKDAY(CJ41)=1,CJ41+1,IF(WEEKDAY(CJ41)=7,CJ41+2,CJ41)))</f>
        <v>44473</v>
      </c>
      <c r="CL41" s="405">
        <f>CK41+IF(WEEKDAY(CK41)=1,1,IF(WEEKDAY(CK41)=7,2,0))+COUNTIF(ClosedDays!$B$4:$B$32,IF(WEEKDAY(CK41)=1,CK41+1,IF(WEEKDAY(CK41)=7,CK41+2,CK41)))+COUNTIF(ClosedDays!$F$4:$F$32,IF(WEEKDAY(CK41)=1,CK41+1,IF(WEEKDAY(CK41)=7,CK41+2,CK41)))+COUNTIF(ClosedDays!$J$4:$J$32,IF(WEEKDAY(CK41)=1,CK41+1,IF(WEEKDAY(CK41)=7,CK41+2,CK41)))+COUNTIF(ClosedDays!$N$4:$N$32,IF(WEEKDAY(CK41)=1,CK41+1,IF(WEEKDAY(CK41)=7,CK41+2,CK41)))</f>
        <v>44473</v>
      </c>
      <c r="CM41" s="405">
        <f>CL41+IF(WEEKDAY(CL41)=1,1,IF(WEEKDAY(CL41)=7,2,0))+COUNTIF(ClosedDays!$B$4:$B$32,IF(WEEKDAY(CL41)=1,CL41+1,IF(WEEKDAY(CL41)=7,CL41+2,CL41)))+COUNTIF(ClosedDays!$F$4:$F$32,IF(WEEKDAY(CL41)=1,CL41+1,IF(WEEKDAY(CL41)=7,CL41+2,CL41)))+COUNTIF(ClosedDays!$J$4:$J$32,IF(WEEKDAY(CL41)=1,CL41+1,IF(WEEKDAY(CL41)=7,CL41+2,CL41)))+COUNTIF(ClosedDays!$N$4:$N$32,IF(WEEKDAY(CL41)=1,CL41+1,IF(WEEKDAY(CL41)=7,CL41+2,CL41)))</f>
        <v>44473</v>
      </c>
      <c r="CN41" s="405">
        <f>CM41+IF(WEEKDAY(CM41)=1,1,IF(WEEKDAY(CM41)=7,2,0))+COUNTIF(ClosedDays!$B$4:$B$32,IF(WEEKDAY(CM41)=1,CM41+1,IF(WEEKDAY(CM41)=7,CM41+2,CM41)))+COUNTIF(ClosedDays!$F$4:$F$32,IF(WEEKDAY(CM41)=1,CM41+1,IF(WEEKDAY(CM41)=7,CM41+2,CM41)))+COUNTIF(ClosedDays!$J$4:$J$32,IF(WEEKDAY(CM41)=1,CM41+1,IF(WEEKDAY(CM41)=7,CM41+2,CM41)))+COUNTIF(ClosedDays!$N$4:$N$32,IF(WEEKDAY(CM41)=1,CM41+1,IF(WEEKDAY(CM41)=7,CM41+2,CM41)))</f>
        <v>44473</v>
      </c>
      <c r="CO41" s="405">
        <f>CN41+IF(WEEKDAY(CN41)=1,1,IF(WEEKDAY(CN41)=7,2,0))+COUNTIF(ClosedDays!$B$4:$B$32,IF(WEEKDAY(CN41)=1,CN41+1,IF(WEEKDAY(CN41)=7,CN41+2,CN41)))+COUNTIF(ClosedDays!$F$4:$F$32,IF(WEEKDAY(CN41)=1,CN41+1,IF(WEEKDAY(CN41)=7,CN41+2,CN41)))+COUNTIF(ClosedDays!$J$4:$J$32,IF(WEEKDAY(CN41)=1,CN41+1,IF(WEEKDAY(CN41)=7,CN41+2,CN41)))+COUNTIF(ClosedDays!$N$4:$N$32,IF(WEEKDAY(CN41)=1,CN41+1,IF(WEEKDAY(CN41)=7,CN41+2,CN41)))</f>
        <v>44473</v>
      </c>
      <c r="CP41" s="405">
        <f>CO41+IF(WEEKDAY(CO41)=1,1,IF(WEEKDAY(CO41)=7,2,0))+COUNTIF(ClosedDays!$B$4:$B$32,IF(WEEKDAY(CO41)=1,CO41+1,IF(WEEKDAY(CO41)=7,CO41+2,CO41)))+COUNTIF(ClosedDays!$F$4:$F$32,IF(WEEKDAY(CO41)=1,CO41+1,IF(WEEKDAY(CO41)=7,CO41+2,CO41)))+COUNTIF(ClosedDays!$J$4:$J$32,IF(WEEKDAY(CO41)=1,CO41+1,IF(WEEKDAY(CO41)=7,CO41+2,CO41)))+COUNTIF(ClosedDays!$N$4:$N$32,IF(WEEKDAY(CO41)=1,CO41+1,IF(WEEKDAY(CO41)=7,CO41+2,CO41)))</f>
        <v>44473</v>
      </c>
      <c r="CQ41" s="405">
        <f>CP41+IF(WEEKDAY(CP41)=1,1,IF(WEEKDAY(CP41)=7,2,0))+COUNTIF(ClosedDays!$B$4:$B$32,IF(WEEKDAY(CP41)=1,CP41+1,IF(WEEKDAY(CP41)=7,CP41+2,CP41)))+COUNTIF(ClosedDays!$F$4:$F$32,IF(WEEKDAY(CP41)=1,CP41+1,IF(WEEKDAY(CP41)=7,CP41+2,CP41)))+COUNTIF(ClosedDays!$J$4:$J$32,IF(WEEKDAY(CP41)=1,CP41+1,IF(WEEKDAY(CP41)=7,CP41+2,CP41)))+COUNTIF(ClosedDays!$N$4:$N$32,IF(WEEKDAY(CP41)=1,CP41+1,IF(WEEKDAY(CP41)=7,CP41+2,CP41)))</f>
        <v>44473</v>
      </c>
      <c r="CR41" s="405">
        <f>CQ41+IF(WEEKDAY(CQ41)=1,1,IF(WEEKDAY(CQ41)=7,2,0))+COUNTIF(ClosedDays!$B$4:$B$32,IF(WEEKDAY(CQ41)=1,CQ41+1,IF(WEEKDAY(CQ41)=7,CQ41+2,CQ41)))+COUNTIF(ClosedDays!$F$4:$F$32,IF(WEEKDAY(CQ41)=1,CQ41+1,IF(WEEKDAY(CQ41)=7,CQ41+2,CQ41)))+COUNTIF(ClosedDays!$J$4:$J$32,IF(WEEKDAY(CQ41)=1,CQ41+1,IF(WEEKDAY(CQ41)=7,CQ41+2,CQ41)))+COUNTIF(ClosedDays!$N$4:$N$32,IF(WEEKDAY(CQ41)=1,CQ41+1,IF(WEEKDAY(CQ41)=7,CQ41+2,CQ41)))</f>
        <v>44473</v>
      </c>
      <c r="CS41" s="405">
        <f>CR41+IF(WEEKDAY(CR41)=1,1,IF(WEEKDAY(CR41)=7,2,0))+COUNTIF(ClosedDays!$B$4:$B$32,IF(WEEKDAY(CR41)=1,CR41+1,IF(WEEKDAY(CR41)=7,CR41+2,CR41)))+COUNTIF(ClosedDays!$F$4:$F$32,IF(WEEKDAY(CR41)=1,CR41+1,IF(WEEKDAY(CR41)=7,CR41+2,CR41)))+COUNTIF(ClosedDays!$J$4:$J$32,IF(WEEKDAY(CR41)=1,CR41+1,IF(WEEKDAY(CR41)=7,CR41+2,CR41)))+COUNTIF(ClosedDays!$N$4:$N$32,IF(WEEKDAY(CR41)=1,CR41+1,IF(WEEKDAY(CR41)=7,CR41+2,CR41)))</f>
        <v>44473</v>
      </c>
      <c r="CT41" s="405">
        <f>CS41+IF(WEEKDAY(CS41)=1,1,IF(WEEKDAY(CS41)=7,2,0))+COUNTIF(ClosedDays!$B$4:$B$32,IF(WEEKDAY(CS41)=1,CS41+1,IF(WEEKDAY(CS41)=7,CS41+2,CS41)))+COUNTIF(ClosedDays!$F$4:$F$32,IF(WEEKDAY(CS41)=1,CS41+1,IF(WEEKDAY(CS41)=7,CS41+2,CS41)))+COUNTIF(ClosedDays!$J$4:$J$32,IF(WEEKDAY(CS41)=1,CS41+1,IF(WEEKDAY(CS41)=7,CS41+2,CS41)))+COUNTIF(ClosedDays!$N$4:$N$32,IF(WEEKDAY(CS41)=1,CS41+1,IF(WEEKDAY(CS41)=7,CS41+2,CS41)))</f>
        <v>44473</v>
      </c>
      <c r="CU41" s="405">
        <f>CT41+IF(WEEKDAY(CT41)=1,1,IF(WEEKDAY(CT41)=7,2,0))+COUNTIF(ClosedDays!$B$4:$B$32,IF(WEEKDAY(CT41)=1,CT41+1,IF(WEEKDAY(CT41)=7,CT41+2,CT41)))+COUNTIF(ClosedDays!$F$4:$F$32,IF(WEEKDAY(CT41)=1,CT41+1,IF(WEEKDAY(CT41)=7,CT41+2,CT41)))+COUNTIF(ClosedDays!$J$4:$J$32,IF(WEEKDAY(CT41)=1,CT41+1,IF(WEEKDAY(CT41)=7,CT41+2,CT41)))+COUNTIF(ClosedDays!$N$4:$N$32,IF(WEEKDAY(CT41)=1,CT41+1,IF(WEEKDAY(CT41)=7,CT41+2,CT41)))</f>
        <v>44473</v>
      </c>
      <c r="CV41" s="405">
        <f>CU41+IF(WEEKDAY(CU41)=1,1,IF(WEEKDAY(CU41)=7,2,0))+COUNTIF(ClosedDays!$B$4:$B$32,IF(WEEKDAY(CU41)=1,CU41+1,IF(WEEKDAY(CU41)=7,CU41+2,CU41)))+COUNTIF(ClosedDays!$F$4:$F$32,IF(WEEKDAY(CU41)=1,CU41+1,IF(WEEKDAY(CU41)=7,CU41+2,CU41)))+COUNTIF(ClosedDays!$J$4:$J$32,IF(WEEKDAY(CU41)=1,CU41+1,IF(WEEKDAY(CU41)=7,CU41+2,CU41)))+COUNTIF(ClosedDays!$N$4:$N$32,IF(WEEKDAY(CU41)=1,CU41+1,IF(WEEKDAY(CU41)=7,CU41+2,CU41)))</f>
        <v>44473</v>
      </c>
      <c r="CW41" s="405">
        <f>CV41+IF(WEEKDAY(CV41)=1,1,IF(WEEKDAY(CV41)=7,2,0))+COUNTIF(ClosedDays!$B$4:$B$32,IF(WEEKDAY(CV41)=1,CV41+1,IF(WEEKDAY(CV41)=7,CV41+2,CV41)))+COUNTIF(ClosedDays!$F$4:$F$32,IF(WEEKDAY(CV41)=1,CV41+1,IF(WEEKDAY(CV41)=7,CV41+2,CV41)))+COUNTIF(ClosedDays!$J$4:$J$32,IF(WEEKDAY(CV41)=1,CV41+1,IF(WEEKDAY(CV41)=7,CV41+2,CV41)))+COUNTIF(ClosedDays!$N$4:$N$32,IF(WEEKDAY(CV41)=1,CV41+1,IF(WEEKDAY(CV41)=7,CV41+2,CV41)))</f>
        <v>44473</v>
      </c>
      <c r="CX41" s="405">
        <f>CW41+IF(WEEKDAY(CW41)=1,1,IF(WEEKDAY(CW41)=7,2,0))+COUNTIF(ClosedDays!$B$4:$B$32,IF(WEEKDAY(CW41)=1,CW41+1,IF(WEEKDAY(CW41)=7,CW41+2,CW41)))+COUNTIF(ClosedDays!$F$4:$F$32,IF(WEEKDAY(CW41)=1,CW41+1,IF(WEEKDAY(CW41)=7,CW41+2,CW41)))+COUNTIF(ClosedDays!$J$4:$J$32,IF(WEEKDAY(CW41)=1,CW41+1,IF(WEEKDAY(CW41)=7,CW41+2,CW41)))+COUNTIF(ClosedDays!$N$4:$N$32,IF(WEEKDAY(CW41)=1,CW41+1,IF(WEEKDAY(CW41)=7,CW41+2,CW41)))</f>
        <v>44473</v>
      </c>
      <c r="CY41" s="405">
        <f t="shared" si="18"/>
        <v>44473</v>
      </c>
      <c r="CZ41" s="446">
        <f>IF(AND($D41&lt;='Outline Info'!$E$33,CY41&gt;='Outline Info'!$E$33,$AC41&gt;10,$AC41&lt;9997),1,0)</f>
        <v>0</v>
      </c>
      <c r="DA41" s="405">
        <f>IF(AND($D41&lt;='Outline Info'!$E$33,CY41&gt;='Outline Info'!$E$33),CY41+'Outline Info'!$F$33-'Outline Info'!$E$33+1,CY41)</f>
        <v>44473</v>
      </c>
      <c r="DB41" s="405">
        <f>DA41+IF(WEEKDAY(DA41)=1,1,IF(WEEKDAY(DA41)=7,2,0))+COUNTIF(ClosedDays!$B$4:$B$32,IF(WEEKDAY(DA41)=1,DA41+1,IF(WEEKDAY(DA41)=7,DA41+2,DA41)))+COUNTIF(ClosedDays!$F$4:$F$32,IF(WEEKDAY(DA41)=1,DA41+1,IF(WEEKDAY(DA41)=7,DA41+2,DA41)))+COUNTIF(ClosedDays!$J$4:$J$32,IF(WEEKDAY(DA41)=1,DA41+1,IF(WEEKDAY(DA41)=7,DA41+2,DA41)))+COUNTIF(ClosedDays!$N$4:$N$32,IF(WEEKDAY(DA41)=1,DA41+1,IF(WEEKDAY(DA41)=7,DA41+2,DA41)))</f>
        <v>44473</v>
      </c>
      <c r="DC41" s="405">
        <f>DB41+IF(WEEKDAY(DB41)=1,1,IF(WEEKDAY(DB41)=7,2,0))+COUNTIF(ClosedDays!$B$4:$B$32,IF(WEEKDAY(DB41)=1,DB41+1,IF(WEEKDAY(DB41)=7,DB41+2,DB41)))+COUNTIF(ClosedDays!$F$4:$F$32,IF(WEEKDAY(DB41)=1,DB41+1,IF(WEEKDAY(DB41)=7,DB41+2,DB41)))+COUNTIF(ClosedDays!$J$4:$J$32,IF(WEEKDAY(DB41)=1,DB41+1,IF(WEEKDAY(DB41)=7,DB41+2,DB41)))+COUNTIF(ClosedDays!$N$4:$N$32,IF(WEEKDAY(DB41)=1,DB41+1,IF(WEEKDAY(DB41)=7,DB41+2,DB41)))</f>
        <v>44473</v>
      </c>
      <c r="DD41" s="405">
        <f>DC41+IF(WEEKDAY(DC41)=1,1,IF(WEEKDAY(DC41)=7,2,0))+COUNTIF(ClosedDays!$B$4:$B$32,IF(WEEKDAY(DC41)=1,DC41+1,IF(WEEKDAY(DC41)=7,DC41+2,DC41)))+COUNTIF(ClosedDays!$F$4:$F$32,IF(WEEKDAY(DC41)=1,DC41+1,IF(WEEKDAY(DC41)=7,DC41+2,DC41)))+COUNTIF(ClosedDays!$J$4:$J$32,IF(WEEKDAY(DC41)=1,DC41+1,IF(WEEKDAY(DC41)=7,DC41+2,DC41)))+COUNTIF(ClosedDays!$N$4:$N$32,IF(WEEKDAY(DC41)=1,DC41+1,IF(WEEKDAY(DC41)=7,DC41+2,DC41)))</f>
        <v>44473</v>
      </c>
      <c r="DE41" s="405">
        <f>DD41+IF(WEEKDAY(DD41)=1,1,IF(WEEKDAY(DD41)=7,2,0))+COUNTIF(ClosedDays!$B$4:$B$32,IF(WEEKDAY(DD41)=1,DD41+1,IF(WEEKDAY(DD41)=7,DD41+2,DD41)))+COUNTIF(ClosedDays!$F$4:$F$32,IF(WEEKDAY(DD41)=1,DD41+1,IF(WEEKDAY(DD41)=7,DD41+2,DD41)))+COUNTIF(ClosedDays!$J$4:$J$32,IF(WEEKDAY(DD41)=1,DD41+1,IF(WEEKDAY(DD41)=7,DD41+2,DD41)))+COUNTIF(ClosedDays!$N$4:$N$32,IF(WEEKDAY(DD41)=1,DD41+1,IF(WEEKDAY(DD41)=7,DD41+2,DD41)))</f>
        <v>44473</v>
      </c>
      <c r="DF41" s="405">
        <f>DE41+IF(WEEKDAY(DE41)=1,1,IF(WEEKDAY(DE41)=7,2,0))+COUNTIF(ClosedDays!$B$4:$B$32,IF(WEEKDAY(DE41)=1,DE41+1,IF(WEEKDAY(DE41)=7,DE41+2,DE41)))+COUNTIF(ClosedDays!$F$4:$F$32,IF(WEEKDAY(DE41)=1,DE41+1,IF(WEEKDAY(DE41)=7,DE41+2,DE41)))+COUNTIF(ClosedDays!$J$4:$J$32,IF(WEEKDAY(DE41)=1,DE41+1,IF(WEEKDAY(DE41)=7,DE41+2,DE41)))+COUNTIF(ClosedDays!$N$4:$N$32,IF(WEEKDAY(DE41)=1,DE41+1,IF(WEEKDAY(DE41)=7,DE41+2,DE41)))</f>
        <v>44473</v>
      </c>
      <c r="DG41" s="405">
        <f>DF41+IF(WEEKDAY(DF41)=1,1,IF(WEEKDAY(DF41)=7,2,0))+COUNTIF(ClosedDays!$B$4:$B$32,IF(WEEKDAY(DF41)=1,DF41+1,IF(WEEKDAY(DF41)=7,DF41+2,DF41)))+COUNTIF(ClosedDays!$F$4:$F$32,IF(WEEKDAY(DF41)=1,DF41+1,IF(WEEKDAY(DF41)=7,DF41+2,DF41)))+COUNTIF(ClosedDays!$J$4:$J$32,IF(WEEKDAY(DF41)=1,DF41+1,IF(WEEKDAY(DF41)=7,DF41+2,DF41)))+COUNTIF(ClosedDays!$N$4:$N$32,IF(WEEKDAY(DF41)=1,DF41+1,IF(WEEKDAY(DF41)=7,DF41+2,DF41)))</f>
        <v>44473</v>
      </c>
      <c r="DH41" s="405">
        <f>DG41+IF(WEEKDAY(DG41)=1,1,IF(WEEKDAY(DG41)=7,2,0))+COUNTIF(ClosedDays!$B$4:$B$32,IF(WEEKDAY(DG41)=1,DG41+1,IF(WEEKDAY(DG41)=7,DG41+2,DG41)))+COUNTIF(ClosedDays!$F$4:$F$32,IF(WEEKDAY(DG41)=1,DG41+1,IF(WEEKDAY(DG41)=7,DG41+2,DG41)))+COUNTIF(ClosedDays!$J$4:$J$32,IF(WEEKDAY(DG41)=1,DG41+1,IF(WEEKDAY(DG41)=7,DG41+2,DG41)))+COUNTIF(ClosedDays!$N$4:$N$32,IF(WEEKDAY(DG41)=1,DG41+1,IF(WEEKDAY(DG41)=7,DG41+2,DG41)))</f>
        <v>44473</v>
      </c>
      <c r="DI41" s="405">
        <f>DH41+IF(WEEKDAY(DH41)=1,1,IF(WEEKDAY(DH41)=7,2,0))+COUNTIF(ClosedDays!$B$4:$B$32,IF(WEEKDAY(DH41)=1,DH41+1,IF(WEEKDAY(DH41)=7,DH41+2,DH41)))+COUNTIF(ClosedDays!$F$4:$F$32,IF(WEEKDAY(DH41)=1,DH41+1,IF(WEEKDAY(DH41)=7,DH41+2,DH41)))+COUNTIF(ClosedDays!$J$4:$J$32,IF(WEEKDAY(DH41)=1,DH41+1,IF(WEEKDAY(DH41)=7,DH41+2,DH41)))+COUNTIF(ClosedDays!$N$4:$N$32,IF(WEEKDAY(DH41)=1,DH41+1,IF(WEEKDAY(DH41)=7,DH41+2,DH41)))</f>
        <v>44473</v>
      </c>
      <c r="DJ41" s="405">
        <f>DI41+IF(WEEKDAY(DI41)=1,1,IF(WEEKDAY(DI41)=7,2,0))+COUNTIF(ClosedDays!$B$4:$B$32,IF(WEEKDAY(DI41)=1,DI41+1,IF(WEEKDAY(DI41)=7,DI41+2,DI41)))+COUNTIF(ClosedDays!$F$4:$F$32,IF(WEEKDAY(DI41)=1,DI41+1,IF(WEEKDAY(DI41)=7,DI41+2,DI41)))+COUNTIF(ClosedDays!$J$4:$J$32,IF(WEEKDAY(DI41)=1,DI41+1,IF(WEEKDAY(DI41)=7,DI41+2,DI41)))+COUNTIF(ClosedDays!$N$4:$N$32,IF(WEEKDAY(DI41)=1,DI41+1,IF(WEEKDAY(DI41)=7,DI41+2,DI41)))</f>
        <v>44473</v>
      </c>
      <c r="DK41" s="405">
        <f>DJ41+IF(WEEKDAY(DJ41)=1,1,IF(WEEKDAY(DJ41)=7,2,0))+COUNTIF(ClosedDays!$B$4:$B$32,IF(WEEKDAY(DJ41)=1,DJ41+1,IF(WEEKDAY(DJ41)=7,DJ41+2,DJ41)))+COUNTIF(ClosedDays!$F$4:$F$32,IF(WEEKDAY(DJ41)=1,DJ41+1,IF(WEEKDAY(DJ41)=7,DJ41+2,DJ41)))+COUNTIF(ClosedDays!$J$4:$J$32,IF(WEEKDAY(DJ41)=1,DJ41+1,IF(WEEKDAY(DJ41)=7,DJ41+2,DJ41)))+COUNTIF(ClosedDays!$N$4:$N$32,IF(WEEKDAY(DJ41)=1,DJ41+1,IF(WEEKDAY(DJ41)=7,DJ41+2,DJ41)))</f>
        <v>44473</v>
      </c>
      <c r="DL41" s="405">
        <f>DK41+IF(WEEKDAY(DK41)=1,1,IF(WEEKDAY(DK41)=7,2,0))+COUNTIF(ClosedDays!$B$4:$B$32,IF(WEEKDAY(DK41)=1,DK41+1,IF(WEEKDAY(DK41)=7,DK41+2,DK41)))+COUNTIF(ClosedDays!$F$4:$F$32,IF(WEEKDAY(DK41)=1,DK41+1,IF(WEEKDAY(DK41)=7,DK41+2,DK41)))+COUNTIF(ClosedDays!$J$4:$J$32,IF(WEEKDAY(DK41)=1,DK41+1,IF(WEEKDAY(DK41)=7,DK41+2,DK41)))+COUNTIF(ClosedDays!$N$4:$N$32,IF(WEEKDAY(DK41)=1,DK41+1,IF(WEEKDAY(DK41)=7,DK41+2,DK41)))</f>
        <v>44473</v>
      </c>
      <c r="DM41" s="405">
        <f>DL41+IF(WEEKDAY(DL41)=1,1,IF(WEEKDAY(DL41)=7,2,0))+COUNTIF(ClosedDays!$B$4:$B$32,IF(WEEKDAY(DL41)=1,DL41+1,IF(WEEKDAY(DL41)=7,DL41+2,DL41)))+COUNTIF(ClosedDays!$F$4:$F$32,IF(WEEKDAY(DL41)=1,DL41+1,IF(WEEKDAY(DL41)=7,DL41+2,DL41)))+COUNTIF(ClosedDays!$J$4:$J$32,IF(WEEKDAY(DL41)=1,DL41+1,IF(WEEKDAY(DL41)=7,DL41+2,DL41)))+COUNTIF(ClosedDays!$N$4:$N$32,IF(WEEKDAY(DL41)=1,DL41+1,IF(WEEKDAY(DL41)=7,DL41+2,DL41)))</f>
        <v>44473</v>
      </c>
      <c r="DN41" s="405">
        <f>DM41+IF(WEEKDAY(DM41)=1,1,IF(WEEKDAY(DM41)=7,2,0))+COUNTIF(ClosedDays!$B$4:$B$32,IF(WEEKDAY(DM41)=1,DM41+1,IF(WEEKDAY(DM41)=7,DM41+2,DM41)))+COUNTIF(ClosedDays!$F$4:$F$32,IF(WEEKDAY(DM41)=1,DM41+1,IF(WEEKDAY(DM41)=7,DM41+2,DM41)))+COUNTIF(ClosedDays!$J$4:$J$32,IF(WEEKDAY(DM41)=1,DM41+1,IF(WEEKDAY(DM41)=7,DM41+2,DM41)))+COUNTIF(ClosedDays!$N$4:$N$32,IF(WEEKDAY(DM41)=1,DM41+1,IF(WEEKDAY(DM41)=7,DM41+2,DM41)))</f>
        <v>44473</v>
      </c>
      <c r="DO41" s="405">
        <f>DN41+IF(WEEKDAY(DN41)=1,1,IF(WEEKDAY(DN41)=7,2,0))+COUNTIF(ClosedDays!$B$4:$B$32,IF(WEEKDAY(DN41)=1,DN41+1,IF(WEEKDAY(DN41)=7,DN41+2,DN41)))+COUNTIF(ClosedDays!$F$4:$F$32,IF(WEEKDAY(DN41)=1,DN41+1,IF(WEEKDAY(DN41)=7,DN41+2,DN41)))+COUNTIF(ClosedDays!$J$4:$J$32,IF(WEEKDAY(DN41)=1,DN41+1,IF(WEEKDAY(DN41)=7,DN41+2,DN41)))+COUNTIF(ClosedDays!$N$4:$N$32,IF(WEEKDAY(DN41)=1,DN41+1,IF(WEEKDAY(DN41)=7,DN41+2,DN41)))</f>
        <v>44473</v>
      </c>
      <c r="DP41" s="405">
        <f t="shared" si="23"/>
        <v>44473</v>
      </c>
      <c r="DQ41" s="405">
        <f t="shared" si="20"/>
        <v>44473</v>
      </c>
      <c r="DR41" s="394">
        <f t="shared" si="19"/>
        <v>1</v>
      </c>
      <c r="DS41" s="394">
        <f>IF(AND(DR41=1,COUNTIF(DS$7:DS40,1)&lt;12,VLOOKUP(COUNTIF(DS$7:DS40,1)+1,'Outline Info'!$A$21:$C$32,2)&lt;=I41),1,0)</f>
        <v>0</v>
      </c>
      <c r="DT41" s="405" t="str">
        <f>IF(DS41=1,IF(VLOOKUP(COUNTIF(DS$7:DS41,1),'Outline Info'!$A$21:$C$32,2)=0,"",VLOOKUP(COUNTIF(DS$7:DS41,1),'Outline Info'!$A$21:$C$32,2)),"")</f>
        <v/>
      </c>
      <c r="DU41" s="447">
        <f>IF(DS41=1,VLOOKUP(COUNTIF(DS$7:DS41,1),'Outline Info'!$A$21:$C$32,3),0)</f>
        <v>0</v>
      </c>
      <c r="DV41" s="445">
        <f>IF('Outline Info'!$B$8="Y",IF(B41="*",'Outline Info'!$B$19,IF(OR($A41="",B41="X",B41="x"),0,VLOOKUP($A41,'Course Table'!$A$2:$J$331,4,TRUE))),0)</f>
        <v>0</v>
      </c>
      <c r="DW41" s="447">
        <f t="shared" si="6"/>
        <v>0</v>
      </c>
      <c r="DX41" s="447">
        <f>IF('Outline Info'!$B$8="Y",$DV41,$DW41)</f>
        <v>0</v>
      </c>
      <c r="DY41" s="394"/>
      <c r="DZ41" s="934"/>
      <c r="EA41" s="934"/>
      <c r="EB41" s="394"/>
      <c r="EC41" s="394"/>
      <c r="ED41" s="394"/>
    </row>
    <row r="42" spans="1:134" s="400" customFormat="1" ht="20.100000000000001" customHeight="1">
      <c r="A42" s="875" t="str">
        <f t="shared" ref="A42:A45" si="24">IF(AD42="","",AD42)</f>
        <v/>
      </c>
      <c r="B42" s="877" t="str">
        <f t="shared" ref="B42:B45" si="25">IF(CZ42=1,"A",IF(CI42=1,"J",IF(BR42=1,"T",IF(AE42="","",AE42))))</f>
        <v/>
      </c>
      <c r="C42" s="879" t="str">
        <f t="shared" ref="C42:C45" si="26">IF(AF42="","",AF42)</f>
        <v/>
      </c>
      <c r="D42" s="463">
        <f>IF(NOT(ISBLANK(DZ42)),DZ42,IF(AND($AC42=9998,'Outline Info'!$H$33&gt;='Outline Info'!$B$6,'Outline Info'!$H$33&lt;='Outline Info'!$C$6),'Outline Info'!$H$33,IF(AND($AC42=9997,'Outline Info'!$H$31&gt;='Outline Info'!$B$6,'Outline Info'!$H$31&lt;='Outline Info'!$C$6),'Outline Info'!$H$31,IF(AE42="*",DQ41,IF(OR(AE42="x",AE42="X"),I41,IF(AND(AC42&gt;6,AC41&lt;6),DQ41,IF(AND($AC42=9998,$AC41=9997),I40,I41)))))))</f>
        <v>44470</v>
      </c>
      <c r="E42" s="1309"/>
      <c r="F42" s="1310"/>
      <c r="G42" s="1284"/>
      <c r="H42" s="1285"/>
      <c r="I42" s="465">
        <f>IF(AND($AC42=9998,'Outline Info'!$I$33&gt;='Outline Info'!$B$6,'Outline Info'!$I$33&lt;='Outline Info'!$C$6),'Outline Info'!$I$33,IF(AND($AC42=9997,'Outline Info'!$I$31&gt;='Outline Info'!$B$6,'Outline Info'!$I$31&lt;='Outline Info'!$C$6),'Outline Info'!$I$31,IF(DP42&gt;$V$4,$V$4,DP42)))</f>
        <v>44470</v>
      </c>
      <c r="J42" s="456"/>
      <c r="K42" s="457"/>
      <c r="L42" s="458"/>
      <c r="M42" s="458"/>
      <c r="N42" s="455"/>
      <c r="O42" s="455"/>
      <c r="P42" s="458"/>
      <c r="Q42" s="458"/>
      <c r="R42" s="459"/>
      <c r="S42" s="873">
        <f>IF($V$5-SUM($DX$7:$DX42)&lt;0,IF($V$5-SUM($DX$7:$DX41)&lt;0,0,$V$5-SUM($DX$7:$DX41)),DX42)</f>
        <v>0</v>
      </c>
      <c r="T42" s="460" t="str">
        <f>IF(S42&gt;0,IF('Outline Info'!$B$8="Y",D42,DT42),"")</f>
        <v/>
      </c>
      <c r="U42" s="461"/>
      <c r="V42" s="462"/>
      <c r="W42" s="871" t="str">
        <f>IF('Outline Info'!$C$33&gt;0,ROUND(IF('Outline Info'!$B$8="Y",SUM(S$7:S42)-SUM(AJ$7:AJ42)-'Outline Info'!$B$14-'Outline Info'!$B$15-'Outline Info'!$B$17,IF(AL42=0,SUM(S$7:S42)-SUM(AK$7:AK42)-SUM(AP42:AS42)-'Outline Info'!$B$14-'Outline Info'!$B$15-'Outline Info'!$B$17,0)),0),IF('Outline Info'!$T$4&lt;&gt;1,"",IF(OR(AD42="",AL42=1),"",SUM(AK$7:AK42)+SUM(AP42:AS42)+'Outline Info'!$B$14+'Outline Info'!$B$15+'Outline Info'!$B$17)))</f>
        <v/>
      </c>
      <c r="X42" s="448"/>
      <c r="Y42" s="443">
        <f>IF(OR(AE42="X",AE42="x",AE42="*",AC42=99999),0,IF(AC42&lt;50,0,IF($S$4-SUM($Y$7:$Y41)&gt;0,1,0)))</f>
        <v>0</v>
      </c>
      <c r="Z42" s="444">
        <f>IF(AC42&lt;99999,IF(AE42="*",AH42,IF(OR(AE42="x",AE42="X",AC42&lt;10),0,IF(AND(AC42&lt;&gt;9998,AC42&lt;&gt;9997),IF(AM42=1,(AH42+$AM$5)*(1+('Outline Info'!$B$16)),IF(AN42=1,(AH42+$AN$5)*(1+('Outline Info'!$B$16)),0)),AH42))),0)</f>
        <v>0</v>
      </c>
      <c r="AA42" s="395">
        <f>Z42/'Outline Info'!$C$11+Y42</f>
        <v>0</v>
      </c>
      <c r="AB42" s="395">
        <f>ROUND(AA42/'Outline Info'!$B$11*7,0)</f>
        <v>0</v>
      </c>
      <c r="AC42" s="450">
        <f>IF($AD42&lt;&gt;"",VLOOKUP($AD42,'Course Table'!$A$2:$J$331,10,TRUE),99999)</f>
        <v>99999</v>
      </c>
      <c r="AD42" s="451"/>
      <c r="AE42" s="394"/>
      <c r="AF42" s="451"/>
      <c r="AG42" s="451"/>
      <c r="AH42" s="451"/>
      <c r="AI42" s="394">
        <v>0</v>
      </c>
      <c r="AJ42" s="394">
        <v>0</v>
      </c>
      <c r="AK42" s="394">
        <f t="shared" ref="AK42:AK45" si="27">IF(AND(AC42&gt;6,AE42&lt;&gt;"x",AE42&lt;&gt;"X"),AJ42,IF(AE42="*",AJ42,0))</f>
        <v>0</v>
      </c>
      <c r="AL42" s="394">
        <f t="shared" ref="AL42:AL45" si="28">IF(AND(AC42&lt;6,AE42&lt;&gt;"X",AE42&lt;&gt;"x",AE42&lt;&gt;"*"),1,0)</f>
        <v>0</v>
      </c>
      <c r="AM42" s="394">
        <f t="shared" ref="AM42:AM45" si="29">IF(AND(AN42=1,AC42&gt;19,AC42&lt;300,AE42&lt;&gt;"*"),1,0)</f>
        <v>0</v>
      </c>
      <c r="AN42" s="394">
        <f t="shared" ref="AN42:AN45" si="30">IF(AND(AL42=0,AE42&lt;&gt;"X",AE42&lt;&gt;"x",AC42&lt;99999),1,0)</f>
        <v>0</v>
      </c>
      <c r="AO42" s="394">
        <f>IF(AN42=1,SUMPRODUCT($AJ$7:$AJ42,$AN$7:$AN42),0)</f>
        <v>0</v>
      </c>
      <c r="AP42" s="394">
        <f t="shared" ref="AP42:AP45" si="31">IF(OR(AND($AE42&lt;&gt;"*",$AN42=1,AX$6&lt;=$D42),$AC42=9997,$AC42=9998,$AC42&gt;99998),AT$6,0)</f>
        <v>0</v>
      </c>
      <c r="AQ42" s="394">
        <f t="shared" ref="AQ42:AQ45" si="32">IF(OR(AND($AE42&lt;&gt;"*",$AN42=1,AY$6&lt;=$D42),$AC42=9997,$AC42=9998,$AC42&gt;99998),AU$6,0)</f>
        <v>0</v>
      </c>
      <c r="AR42" s="394">
        <f t="shared" ref="AR42:AR45" si="33">IF(OR(AND($AE42&lt;&gt;"*",$AN42=1,AZ$6&lt;=$D42),$AC42=9997,$AC42=9998,$AC42&gt;99998),AV$6,0)</f>
        <v>0</v>
      </c>
      <c r="AS42" s="394">
        <f t="shared" ref="AS42:AS45" si="34">IF(OR(AND($AE42&lt;&gt;"*",$AN42=1,BA$6&lt;=$D42),$AC42=9997,$AC42=9998,$AC42&gt;99998),AW$6,0)</f>
        <v>0</v>
      </c>
      <c r="AT42" s="394">
        <f t="shared" ref="AT42:AT45" si="35">IF(AX42&gt;0,$AJ42,0)</f>
        <v>0</v>
      </c>
      <c r="AU42" s="394">
        <f t="shared" ref="AU42:AU45" si="36">IF(AY42&gt;0,$AJ42,0)</f>
        <v>0</v>
      </c>
      <c r="AV42" s="394">
        <f t="shared" ref="AV42:AV45" si="37">IF(AZ42&gt;0,$AJ42,0)</f>
        <v>0</v>
      </c>
      <c r="AW42" s="394">
        <f t="shared" ref="AW42:AW45" si="38">IF(BA42&gt;0,$AJ42,0)</f>
        <v>0</v>
      </c>
      <c r="AX42" s="394">
        <f t="shared" si="1"/>
        <v>0</v>
      </c>
      <c r="AY42" s="394">
        <f t="shared" si="2"/>
        <v>0</v>
      </c>
      <c r="AZ42" s="394">
        <f t="shared" si="3"/>
        <v>0</v>
      </c>
      <c r="BA42" s="394">
        <f t="shared" si="4"/>
        <v>0</v>
      </c>
      <c r="BB42" s="405">
        <f t="shared" si="22"/>
        <v>44473</v>
      </c>
      <c r="BC42" s="405">
        <f>BB42+IF(WEEKDAY(BB42)=1,1,IF(WEEKDAY(BB42)=7,2,0))+COUNTIF(ClosedDays!$B$4:$B$32,IF(WEEKDAY(BB42)=1,BB42+1,IF(WEEKDAY(BB42)=7,BB42+2,BB42)))+COUNTIF(ClosedDays!$F$4:$F$32,IF(WEEKDAY(BB42)=1,BB42+1,IF(WEEKDAY(BB42)=7,BB42+2,BB42)))+COUNTIF(ClosedDays!$J$4:$J$32,IF(WEEKDAY(BB42)=1,BB42+1,IF(WEEKDAY(BB42)=7,BB42+2,BB42)))+COUNTIF(ClosedDays!$N$4:$N$32,IF(WEEKDAY(BB42)=1,BB42+1,IF(WEEKDAY(BB42)=7,BB42+2,BB42)))</f>
        <v>44473</v>
      </c>
      <c r="BD42" s="405">
        <f>BC42+IF(WEEKDAY(BC42)=1,1,IF(WEEKDAY(BC42)=7,2,0))+COUNTIF(ClosedDays!$B$4:$B$32,IF(WEEKDAY(BC42)=1,BC42+1,IF(WEEKDAY(BC42)=7,BC42+2,BC42)))+COUNTIF(ClosedDays!$F$4:$F$32,IF(WEEKDAY(BC42)=1,BC42+1,IF(WEEKDAY(BC42)=7,BC42+2,BC42)))+COUNTIF(ClosedDays!$J$4:$J$32,IF(WEEKDAY(BC42)=1,BC42+1,IF(WEEKDAY(BC42)=7,BC42+2,BC42)))+COUNTIF(ClosedDays!$N$4:$N$32,IF(WEEKDAY(BC42)=1,BC42+1,IF(WEEKDAY(BC42)=7,BC42+2,BC42)))</f>
        <v>44473</v>
      </c>
      <c r="BE42" s="405">
        <f>BD42+IF(WEEKDAY(BD42)=1,1,IF(WEEKDAY(BD42)=7,2,0))+COUNTIF(ClosedDays!$B$4:$B$32,IF(WEEKDAY(BD42)=1,BD42+1,IF(WEEKDAY(BD42)=7,BD42+2,BD42)))+COUNTIF(ClosedDays!$F$4:$F$32,IF(WEEKDAY(BD42)=1,BD42+1,IF(WEEKDAY(BD42)=7,BD42+2,BD42)))+COUNTIF(ClosedDays!$J$4:$J$32,IF(WEEKDAY(BD42)=1,BD42+1,IF(WEEKDAY(BD42)=7,BD42+2,BD42)))+COUNTIF(ClosedDays!$N$4:$N$32,IF(WEEKDAY(BD42)=1,BD42+1,IF(WEEKDAY(BD42)=7,BD42+2,BD42)))</f>
        <v>44473</v>
      </c>
      <c r="BF42" s="405">
        <f>BE42+IF(WEEKDAY(BE42)=1,1,IF(WEEKDAY(BE42)=7,2,0))+COUNTIF(ClosedDays!$B$4:$B$32,IF(WEEKDAY(BE42)=1,BE42+1,IF(WEEKDAY(BE42)=7,BE42+2,BE42)))+COUNTIF(ClosedDays!$F$4:$F$32,IF(WEEKDAY(BE42)=1,BE42+1,IF(WEEKDAY(BE42)=7,BE42+2,BE42)))+COUNTIF(ClosedDays!$J$4:$J$32,IF(WEEKDAY(BE42)=1,BE42+1,IF(WEEKDAY(BE42)=7,BE42+2,BE42)))+COUNTIF(ClosedDays!$N$4:$N$32,IF(WEEKDAY(BE42)=1,BE42+1,IF(WEEKDAY(BE42)=7,BE42+2,BE42)))</f>
        <v>44473</v>
      </c>
      <c r="BG42" s="405">
        <f>BF42+IF(WEEKDAY(BF42)=1,1,IF(WEEKDAY(BF42)=7,2,0))+COUNTIF(ClosedDays!$B$4:$B$32,IF(WEEKDAY(BF42)=1,BF42+1,IF(WEEKDAY(BF42)=7,BF42+2,BF42)))+COUNTIF(ClosedDays!$F$4:$F$32,IF(WEEKDAY(BF42)=1,BF42+1,IF(WEEKDAY(BF42)=7,BF42+2,BF42)))+COUNTIF(ClosedDays!$J$4:$J$32,IF(WEEKDAY(BF42)=1,BF42+1,IF(WEEKDAY(BF42)=7,BF42+2,BF42)))+COUNTIF(ClosedDays!$N$4:$N$32,IF(WEEKDAY(BF42)=1,BF42+1,IF(WEEKDAY(BF42)=7,BF42+2,BF42)))</f>
        <v>44473</v>
      </c>
      <c r="BH42" s="405">
        <f>BG42+IF(WEEKDAY(BG42)=1,1,IF(WEEKDAY(BG42)=7,2,0))+COUNTIF(ClosedDays!$B$4:$B$32,IF(WEEKDAY(BG42)=1,BG42+1,IF(WEEKDAY(BG42)=7,BG42+2,BG42)))+COUNTIF(ClosedDays!$F$4:$F$32,IF(WEEKDAY(BG42)=1,BG42+1,IF(WEEKDAY(BG42)=7,BG42+2,BG42)))+COUNTIF(ClosedDays!$J$4:$J$32,IF(WEEKDAY(BG42)=1,BG42+1,IF(WEEKDAY(BG42)=7,BG42+2,BG42)))+COUNTIF(ClosedDays!$N$4:$N$32,IF(WEEKDAY(BG42)=1,BG42+1,IF(WEEKDAY(BG42)=7,BG42+2,BG42)))</f>
        <v>44473</v>
      </c>
      <c r="BI42" s="405">
        <f>BH42+IF(WEEKDAY(BH42)=1,1,IF(WEEKDAY(BH42)=7,2,0))+COUNTIF(ClosedDays!$B$4:$B$32,IF(WEEKDAY(BH42)=1,BH42+1,IF(WEEKDAY(BH42)=7,BH42+2,BH42)))+COUNTIF(ClosedDays!$F$4:$F$32,IF(WEEKDAY(BH42)=1,BH42+1,IF(WEEKDAY(BH42)=7,BH42+2,BH42)))+COUNTIF(ClosedDays!$J$4:$J$32,IF(WEEKDAY(BH42)=1,BH42+1,IF(WEEKDAY(BH42)=7,BH42+2,BH42)))+COUNTIF(ClosedDays!$N$4:$N$32,IF(WEEKDAY(BH42)=1,BH42+1,IF(WEEKDAY(BH42)=7,BH42+2,BH42)))</f>
        <v>44473</v>
      </c>
      <c r="BJ42" s="405">
        <f>BI42+IF(WEEKDAY(BI42)=1,1,IF(WEEKDAY(BI42)=7,2,0))+COUNTIF(ClosedDays!$B$4:$B$32,IF(WEEKDAY(BI42)=1,BI42+1,IF(WEEKDAY(BI42)=7,BI42+2,BI42)))+COUNTIF(ClosedDays!$F$4:$F$32,IF(WEEKDAY(BI42)=1,BI42+1,IF(WEEKDAY(BI42)=7,BI42+2,BI42)))+COUNTIF(ClosedDays!$J$4:$J$32,IF(WEEKDAY(BI42)=1,BI42+1,IF(WEEKDAY(BI42)=7,BI42+2,BI42)))+COUNTIF(ClosedDays!$N$4:$N$32,IF(WEEKDAY(BI42)=1,BI42+1,IF(WEEKDAY(BI42)=7,BI42+2,BI42)))</f>
        <v>44473</v>
      </c>
      <c r="BK42" s="405">
        <f>BJ42+IF(WEEKDAY(BJ42)=1,1,IF(WEEKDAY(BJ42)=7,2,0))+COUNTIF(ClosedDays!$B$4:$B$32,IF(WEEKDAY(BJ42)=1,BJ42+1,IF(WEEKDAY(BJ42)=7,BJ42+2,BJ42)))+COUNTIF(ClosedDays!$F$4:$F$32,IF(WEEKDAY(BJ42)=1,BJ42+1,IF(WEEKDAY(BJ42)=7,BJ42+2,BJ42)))+COUNTIF(ClosedDays!$J$4:$J$32,IF(WEEKDAY(BJ42)=1,BJ42+1,IF(WEEKDAY(BJ42)=7,BJ42+2,BJ42)))+COUNTIF(ClosedDays!$N$4:$N$32,IF(WEEKDAY(BJ42)=1,BJ42+1,IF(WEEKDAY(BJ42)=7,BJ42+2,BJ42)))</f>
        <v>44473</v>
      </c>
      <c r="BL42" s="405">
        <f>BK42+IF(WEEKDAY(BK42)=1,1,IF(WEEKDAY(BK42)=7,2,0))+COUNTIF(ClosedDays!$B$4:$B$32,IF(WEEKDAY(BK42)=1,BK42+1,IF(WEEKDAY(BK42)=7,BK42+2,BK42)))+COUNTIF(ClosedDays!$F$4:$F$32,IF(WEEKDAY(BK42)=1,BK42+1,IF(WEEKDAY(BK42)=7,BK42+2,BK42)))+COUNTIF(ClosedDays!$J$4:$J$32,IF(WEEKDAY(BK42)=1,BK42+1,IF(WEEKDAY(BK42)=7,BK42+2,BK42)))+COUNTIF(ClosedDays!$N$4:$N$32,IF(WEEKDAY(BK42)=1,BK42+1,IF(WEEKDAY(BK42)=7,BK42+2,BK42)))</f>
        <v>44473</v>
      </c>
      <c r="BM42" s="405">
        <f>BL42+IF(WEEKDAY(BL42)=1,1,IF(WEEKDAY(BL42)=7,2,0))+COUNTIF(ClosedDays!$B$4:$B$32,IF(WEEKDAY(BL42)=1,BL42+1,IF(WEEKDAY(BL42)=7,BL42+2,BL42)))+COUNTIF(ClosedDays!$F$4:$F$32,IF(WEEKDAY(BL42)=1,BL42+1,IF(WEEKDAY(BL42)=7,BL42+2,BL42)))+COUNTIF(ClosedDays!$J$4:$J$32,IF(WEEKDAY(BL42)=1,BL42+1,IF(WEEKDAY(BL42)=7,BL42+2,BL42)))+COUNTIF(ClosedDays!$N$4:$N$32,IF(WEEKDAY(BL42)=1,BL42+1,IF(WEEKDAY(BL42)=7,BL42+2,BL42)))</f>
        <v>44473</v>
      </c>
      <c r="BN42" s="405">
        <f>BM42+IF(WEEKDAY(BM42)=1,1,IF(WEEKDAY(BM42)=7,2,0))+COUNTIF(ClosedDays!$B$4:$B$32,IF(WEEKDAY(BM42)=1,BM42+1,IF(WEEKDAY(BM42)=7,BM42+2,BM42)))+COUNTIF(ClosedDays!$F$4:$F$32,IF(WEEKDAY(BM42)=1,BM42+1,IF(WEEKDAY(BM42)=7,BM42+2,BM42)))+COUNTIF(ClosedDays!$J$4:$J$32,IF(WEEKDAY(BM42)=1,BM42+1,IF(WEEKDAY(BM42)=7,BM42+2,BM42)))+COUNTIF(ClosedDays!$N$4:$N$32,IF(WEEKDAY(BM42)=1,BM42+1,IF(WEEKDAY(BM42)=7,BM42+2,BM42)))</f>
        <v>44473</v>
      </c>
      <c r="BO42" s="405">
        <f>BN42+IF(WEEKDAY(BN42)=1,1,IF(WEEKDAY(BN42)=7,2,0))+COUNTIF(ClosedDays!$B$4:$B$32,IF(WEEKDAY(BN42)=1,BN42+1,IF(WEEKDAY(BN42)=7,BN42+2,BN42)))+COUNTIF(ClosedDays!$F$4:$F$32,IF(WEEKDAY(BN42)=1,BN42+1,IF(WEEKDAY(BN42)=7,BN42+2,BN42)))+COUNTIF(ClosedDays!$J$4:$J$32,IF(WEEKDAY(BN42)=1,BN42+1,IF(WEEKDAY(BN42)=7,BN42+2,BN42)))+COUNTIF(ClosedDays!$N$4:$N$32,IF(WEEKDAY(BN42)=1,BN42+1,IF(WEEKDAY(BN42)=7,BN42+2,BN42)))</f>
        <v>44473</v>
      </c>
      <c r="BP42" s="405">
        <f>BO42+IF(WEEKDAY(BO42)=1,1,IF(WEEKDAY(BO42)=7,2,0))+COUNTIF(ClosedDays!$B$4:$B$32,IF(WEEKDAY(BO42)=1,BO42+1,IF(WEEKDAY(BO42)=7,BO42+2,BO42)))+COUNTIF(ClosedDays!$F$4:$F$32,IF(WEEKDAY(BO42)=1,BO42+1,IF(WEEKDAY(BO42)=7,BO42+2,BO42)))+COUNTIF(ClosedDays!$J$4:$J$32,IF(WEEKDAY(BO42)=1,BO42+1,IF(WEEKDAY(BO42)=7,BO42+2,BO42)))+COUNTIF(ClosedDays!$N$4:$N$32,IF(WEEKDAY(BO42)=1,BO42+1,IF(WEEKDAY(BO42)=7,BO42+2,BO42)))</f>
        <v>44473</v>
      </c>
      <c r="BQ42" s="405">
        <f t="shared" ref="BQ42:BQ45" si="39">IF(WEEKDAY(BP42)=1,BP42+1,IF(WEEKDAY(BP42)=7,BP42+2,BP42))</f>
        <v>44473</v>
      </c>
      <c r="BR42" s="446">
        <f>IF(AND($D42&lt;='Outline Info'!$H$31,BQ42&gt;='Outline Info'!$H$31,$BS$4=1,$AC42&gt;10,$AC42&lt;9997),1,0)</f>
        <v>0</v>
      </c>
      <c r="BS42" s="405">
        <f>IF(BR42=1,BQ42+'Outline Info'!$I$31-'Outline Info'!$H$31+1,BQ42)</f>
        <v>44473</v>
      </c>
      <c r="BT42" s="405">
        <f>BS42+IF(WEEKDAY(BS42)=1,1,IF(WEEKDAY(BS42)=7,2,0))+COUNTIF(ClosedDays!$B$4:$B$32,IF(WEEKDAY(BS42)=1,BS42+1,IF(WEEKDAY(BS42)=7,BS42+2,BS42)))+COUNTIF(ClosedDays!$F$4:$F$32,IF(WEEKDAY(BS42)=1,BS42+1,IF(WEEKDAY(BS42)=7,BS42+2,BS42)))+COUNTIF(ClosedDays!$J$4:$J$32,IF(WEEKDAY(BS42)=1,BS42+1,IF(WEEKDAY(BS42)=7,BS42+2,BS42)))+COUNTIF(ClosedDays!$N$4:$N$32,IF(WEEKDAY(BS42)=1,BS42+1,IF(WEEKDAY(BS42)=7,BS42+2,BS42)))</f>
        <v>44473</v>
      </c>
      <c r="BU42" s="405">
        <f>BT42+IF(WEEKDAY(BT42)=1,1,IF(WEEKDAY(BT42)=7,2,0))+COUNTIF(ClosedDays!$B$4:$B$32,IF(WEEKDAY(BT42)=1,BT42+1,IF(WEEKDAY(BT42)=7,BT42+2,BT42)))+COUNTIF(ClosedDays!$F$4:$F$32,IF(WEEKDAY(BT42)=1,BT42+1,IF(WEEKDAY(BT42)=7,BT42+2,BT42)))+COUNTIF(ClosedDays!$J$4:$J$32,IF(WEEKDAY(BT42)=1,BT42+1,IF(WEEKDAY(BT42)=7,BT42+2,BT42)))+COUNTIF(ClosedDays!$N$4:$N$32,IF(WEEKDAY(BT42)=1,BT42+1,IF(WEEKDAY(BT42)=7,BT42+2,BT42)))</f>
        <v>44473</v>
      </c>
      <c r="BV42" s="405">
        <f>BU42+IF(WEEKDAY(BU42)=1,1,IF(WEEKDAY(BU42)=7,2,0))+COUNTIF(ClosedDays!$B$4:$B$32,IF(WEEKDAY(BU42)=1,BU42+1,IF(WEEKDAY(BU42)=7,BU42+2,BU42)))+COUNTIF(ClosedDays!$F$4:$F$32,IF(WEEKDAY(BU42)=1,BU42+1,IF(WEEKDAY(BU42)=7,BU42+2,BU42)))+COUNTIF(ClosedDays!$J$4:$J$32,IF(WEEKDAY(BU42)=1,BU42+1,IF(WEEKDAY(BU42)=7,BU42+2,BU42)))+COUNTIF(ClosedDays!$N$4:$N$32,IF(WEEKDAY(BU42)=1,BU42+1,IF(WEEKDAY(BU42)=7,BU42+2,BU42)))</f>
        <v>44473</v>
      </c>
      <c r="BW42" s="405">
        <f>BV42+IF(WEEKDAY(BV42)=1,1,IF(WEEKDAY(BV42)=7,2,0))+COUNTIF(ClosedDays!$B$4:$B$32,IF(WEEKDAY(BV42)=1,BV42+1,IF(WEEKDAY(BV42)=7,BV42+2,BV42)))+COUNTIF(ClosedDays!$F$4:$F$32,IF(WEEKDAY(BV42)=1,BV42+1,IF(WEEKDAY(BV42)=7,BV42+2,BV42)))+COUNTIF(ClosedDays!$J$4:$J$32,IF(WEEKDAY(BV42)=1,BV42+1,IF(WEEKDAY(BV42)=7,BV42+2,BV42)))+COUNTIF(ClosedDays!$N$4:$N$32,IF(WEEKDAY(BV42)=1,BV42+1,IF(WEEKDAY(BV42)=7,BV42+2,BV42)))</f>
        <v>44473</v>
      </c>
      <c r="BX42" s="405">
        <f>BW42+IF(WEEKDAY(BW42)=1,1,IF(WEEKDAY(BW42)=7,2,0))+COUNTIF(ClosedDays!$B$4:$B$32,IF(WEEKDAY(BW42)=1,BW42+1,IF(WEEKDAY(BW42)=7,BW42+2,BW42)))+COUNTIF(ClosedDays!$F$4:$F$32,IF(WEEKDAY(BW42)=1,BW42+1,IF(WEEKDAY(BW42)=7,BW42+2,BW42)))+COUNTIF(ClosedDays!$J$4:$J$32,IF(WEEKDAY(BW42)=1,BW42+1,IF(WEEKDAY(BW42)=7,BW42+2,BW42)))+COUNTIF(ClosedDays!$N$4:$N$32,IF(WEEKDAY(BW42)=1,BW42+1,IF(WEEKDAY(BW42)=7,BW42+2,BW42)))</f>
        <v>44473</v>
      </c>
      <c r="BY42" s="405">
        <f>BX42+IF(WEEKDAY(BX42)=1,1,IF(WEEKDAY(BX42)=7,2,0))+COUNTIF(ClosedDays!$B$4:$B$32,IF(WEEKDAY(BX42)=1,BX42+1,IF(WEEKDAY(BX42)=7,BX42+2,BX42)))+COUNTIF(ClosedDays!$F$4:$F$32,IF(WEEKDAY(BX42)=1,BX42+1,IF(WEEKDAY(BX42)=7,BX42+2,BX42)))+COUNTIF(ClosedDays!$J$4:$J$32,IF(WEEKDAY(BX42)=1,BX42+1,IF(WEEKDAY(BX42)=7,BX42+2,BX42)))+COUNTIF(ClosedDays!$N$4:$N$32,IF(WEEKDAY(BX42)=1,BX42+1,IF(WEEKDAY(BX42)=7,BX42+2,BX42)))</f>
        <v>44473</v>
      </c>
      <c r="BZ42" s="405">
        <f>BY42+IF(WEEKDAY(BY42)=1,1,IF(WEEKDAY(BY42)=7,2,0))+COUNTIF(ClosedDays!$B$4:$B$32,IF(WEEKDAY(BY42)=1,BY42+1,IF(WEEKDAY(BY42)=7,BY42+2,BY42)))+COUNTIF(ClosedDays!$F$4:$F$32,IF(WEEKDAY(BY42)=1,BY42+1,IF(WEEKDAY(BY42)=7,BY42+2,BY42)))+COUNTIF(ClosedDays!$J$4:$J$32,IF(WEEKDAY(BY42)=1,BY42+1,IF(WEEKDAY(BY42)=7,BY42+2,BY42)))+COUNTIF(ClosedDays!$N$4:$N$32,IF(WEEKDAY(BY42)=1,BY42+1,IF(WEEKDAY(BY42)=7,BY42+2,BY42)))</f>
        <v>44473</v>
      </c>
      <c r="CA42" s="405">
        <f>BZ42+IF(WEEKDAY(BZ42)=1,1,IF(WEEKDAY(BZ42)=7,2,0))+COUNTIF(ClosedDays!$B$4:$B$32,IF(WEEKDAY(BZ42)=1,BZ42+1,IF(WEEKDAY(BZ42)=7,BZ42+2,BZ42)))+COUNTIF(ClosedDays!$F$4:$F$32,IF(WEEKDAY(BZ42)=1,BZ42+1,IF(WEEKDAY(BZ42)=7,BZ42+2,BZ42)))+COUNTIF(ClosedDays!$J$4:$J$32,IF(WEEKDAY(BZ42)=1,BZ42+1,IF(WEEKDAY(BZ42)=7,BZ42+2,BZ42)))+COUNTIF(ClosedDays!$N$4:$N$32,IF(WEEKDAY(BZ42)=1,BZ42+1,IF(WEEKDAY(BZ42)=7,BZ42+2,BZ42)))</f>
        <v>44473</v>
      </c>
      <c r="CB42" s="405">
        <f>CA42+IF(WEEKDAY(CA42)=1,1,IF(WEEKDAY(CA42)=7,2,0))+COUNTIF(ClosedDays!$B$4:$B$32,IF(WEEKDAY(CA42)=1,CA42+1,IF(WEEKDAY(CA42)=7,CA42+2,CA42)))+COUNTIF(ClosedDays!$F$4:$F$32,IF(WEEKDAY(CA42)=1,CA42+1,IF(WEEKDAY(CA42)=7,CA42+2,CA42)))+COUNTIF(ClosedDays!$J$4:$J$32,IF(WEEKDAY(CA42)=1,CA42+1,IF(WEEKDAY(CA42)=7,CA42+2,CA42)))+COUNTIF(ClosedDays!$N$4:$N$32,IF(WEEKDAY(CA42)=1,CA42+1,IF(WEEKDAY(CA42)=7,CA42+2,CA42)))</f>
        <v>44473</v>
      </c>
      <c r="CC42" s="405">
        <f>CB42+IF(WEEKDAY(CB42)=1,1,IF(WEEKDAY(CB42)=7,2,0))+COUNTIF(ClosedDays!$B$4:$B$32,IF(WEEKDAY(CB42)=1,CB42+1,IF(WEEKDAY(CB42)=7,CB42+2,CB42)))+COUNTIF(ClosedDays!$F$4:$F$32,IF(WEEKDAY(CB42)=1,CB42+1,IF(WEEKDAY(CB42)=7,CB42+2,CB42)))+COUNTIF(ClosedDays!$J$4:$J$32,IF(WEEKDAY(CB42)=1,CB42+1,IF(WEEKDAY(CB42)=7,CB42+2,CB42)))+COUNTIF(ClosedDays!$N$4:$N$32,IF(WEEKDAY(CB42)=1,CB42+1,IF(WEEKDAY(CB42)=7,CB42+2,CB42)))</f>
        <v>44473</v>
      </c>
      <c r="CD42" s="405">
        <f>CC42+IF(WEEKDAY(CC42)=1,1,IF(WEEKDAY(CC42)=7,2,0))+COUNTIF(ClosedDays!$B$4:$B$32,IF(WEEKDAY(CC42)=1,CC42+1,IF(WEEKDAY(CC42)=7,CC42+2,CC42)))+COUNTIF(ClosedDays!$F$4:$F$32,IF(WEEKDAY(CC42)=1,CC42+1,IF(WEEKDAY(CC42)=7,CC42+2,CC42)))+COUNTIF(ClosedDays!$J$4:$J$32,IF(WEEKDAY(CC42)=1,CC42+1,IF(WEEKDAY(CC42)=7,CC42+2,CC42)))+COUNTIF(ClosedDays!$N$4:$N$32,IF(WEEKDAY(CC42)=1,CC42+1,IF(WEEKDAY(CC42)=7,CC42+2,CC42)))</f>
        <v>44473</v>
      </c>
      <c r="CE42" s="405">
        <f>CD42+IF(WEEKDAY(CD42)=1,1,IF(WEEKDAY(CD42)=7,2,0))+COUNTIF(ClosedDays!$B$4:$B$32,IF(WEEKDAY(CD42)=1,CD42+1,IF(WEEKDAY(CD42)=7,CD42+2,CD42)))+COUNTIF(ClosedDays!$F$4:$F$32,IF(WEEKDAY(CD42)=1,CD42+1,IF(WEEKDAY(CD42)=7,CD42+2,CD42)))+COUNTIF(ClosedDays!$J$4:$J$32,IF(WEEKDAY(CD42)=1,CD42+1,IF(WEEKDAY(CD42)=7,CD42+2,CD42)))+COUNTIF(ClosedDays!$N$4:$N$32,IF(WEEKDAY(CD42)=1,CD42+1,IF(WEEKDAY(CD42)=7,CD42+2,CD42)))</f>
        <v>44473</v>
      </c>
      <c r="CF42" s="405">
        <f>CE42+IF(WEEKDAY(CE42)=1,1,IF(WEEKDAY(CE42)=7,2,0))+COUNTIF(ClosedDays!$B$4:$B$32,IF(WEEKDAY(CE42)=1,CE42+1,IF(WEEKDAY(CE42)=7,CE42+2,CE42)))+COUNTIF(ClosedDays!$F$4:$F$32,IF(WEEKDAY(CE42)=1,CE42+1,IF(WEEKDAY(CE42)=7,CE42+2,CE42)))+COUNTIF(ClosedDays!$J$4:$J$32,IF(WEEKDAY(CE42)=1,CE42+1,IF(WEEKDAY(CE42)=7,CE42+2,CE42)))+COUNTIF(ClosedDays!$N$4:$N$32,IF(WEEKDAY(CE42)=1,CE42+1,IF(WEEKDAY(CE42)=7,CE42+2,CE42)))</f>
        <v>44473</v>
      </c>
      <c r="CG42" s="405">
        <f>CF42+IF(WEEKDAY(CF42)=1,1,IF(WEEKDAY(CF42)=7,2,0))+COUNTIF(ClosedDays!$B$4:$B$32,IF(WEEKDAY(CF42)=1,CF42+1,IF(WEEKDAY(CF42)=7,CF42+2,CF42)))+COUNTIF(ClosedDays!$F$4:$F$32,IF(WEEKDAY(CF42)=1,CF42+1,IF(WEEKDAY(CF42)=7,CF42+2,CF42)))+COUNTIF(ClosedDays!$J$4:$J$32,IF(WEEKDAY(CF42)=1,CF42+1,IF(WEEKDAY(CF42)=7,CF42+2,CF42)))+COUNTIF(ClosedDays!$N$4:$N$32,IF(WEEKDAY(CF42)=1,CF42+1,IF(WEEKDAY(CF42)=7,CF42+2,CF42)))</f>
        <v>44473</v>
      </c>
      <c r="CH42" s="405">
        <f t="shared" ref="CH42:CH45" si="40">IF(WEEKDAY(CG42)=1,CG42+1,IF(WEEKDAY(CG42)=7,CG42+2,CG42))</f>
        <v>44473</v>
      </c>
      <c r="CI42" s="446">
        <f>IF(AND($D42&lt;='Outline Info'!$H$33,CH42&gt;='Outline Info'!$H$33,$CJ$4=1,$AC42&gt;10,$AC42&lt;9997),1,0)</f>
        <v>0</v>
      </c>
      <c r="CJ42" s="405">
        <f>IF(CI42=1,CH42+'Outline Info'!$I$33-'Outline Info'!$H$33+1,CH42)</f>
        <v>44473</v>
      </c>
      <c r="CK42" s="405">
        <f>CJ42+IF(WEEKDAY(CJ42)=1,1,IF(WEEKDAY(CJ42)=7,2,0))+COUNTIF(ClosedDays!$B$4:$B$32,IF(WEEKDAY(CJ42)=1,CJ42+1,IF(WEEKDAY(CJ42)=7,CJ42+2,CJ42)))+COUNTIF(ClosedDays!$F$4:$F$32,IF(WEEKDAY(CJ42)=1,CJ42+1,IF(WEEKDAY(CJ42)=7,CJ42+2,CJ42)))+COUNTIF(ClosedDays!$J$4:$J$32,IF(WEEKDAY(CJ42)=1,CJ42+1,IF(WEEKDAY(CJ42)=7,CJ42+2,CJ42)))+COUNTIF(ClosedDays!$N$4:$N$32,IF(WEEKDAY(CJ42)=1,CJ42+1,IF(WEEKDAY(CJ42)=7,CJ42+2,CJ42)))</f>
        <v>44473</v>
      </c>
      <c r="CL42" s="405">
        <f>CK42+IF(WEEKDAY(CK42)=1,1,IF(WEEKDAY(CK42)=7,2,0))+COUNTIF(ClosedDays!$B$4:$B$32,IF(WEEKDAY(CK42)=1,CK42+1,IF(WEEKDAY(CK42)=7,CK42+2,CK42)))+COUNTIF(ClosedDays!$F$4:$F$32,IF(WEEKDAY(CK42)=1,CK42+1,IF(WEEKDAY(CK42)=7,CK42+2,CK42)))+COUNTIF(ClosedDays!$J$4:$J$32,IF(WEEKDAY(CK42)=1,CK42+1,IF(WEEKDAY(CK42)=7,CK42+2,CK42)))+COUNTIF(ClosedDays!$N$4:$N$32,IF(WEEKDAY(CK42)=1,CK42+1,IF(WEEKDAY(CK42)=7,CK42+2,CK42)))</f>
        <v>44473</v>
      </c>
      <c r="CM42" s="405">
        <f>CL42+IF(WEEKDAY(CL42)=1,1,IF(WEEKDAY(CL42)=7,2,0))+COUNTIF(ClosedDays!$B$4:$B$32,IF(WEEKDAY(CL42)=1,CL42+1,IF(WEEKDAY(CL42)=7,CL42+2,CL42)))+COUNTIF(ClosedDays!$F$4:$F$32,IF(WEEKDAY(CL42)=1,CL42+1,IF(WEEKDAY(CL42)=7,CL42+2,CL42)))+COUNTIF(ClosedDays!$J$4:$J$32,IF(WEEKDAY(CL42)=1,CL42+1,IF(WEEKDAY(CL42)=7,CL42+2,CL42)))+COUNTIF(ClosedDays!$N$4:$N$32,IF(WEEKDAY(CL42)=1,CL42+1,IF(WEEKDAY(CL42)=7,CL42+2,CL42)))</f>
        <v>44473</v>
      </c>
      <c r="CN42" s="405">
        <f>CM42+IF(WEEKDAY(CM42)=1,1,IF(WEEKDAY(CM42)=7,2,0))+COUNTIF(ClosedDays!$B$4:$B$32,IF(WEEKDAY(CM42)=1,CM42+1,IF(WEEKDAY(CM42)=7,CM42+2,CM42)))+COUNTIF(ClosedDays!$F$4:$F$32,IF(WEEKDAY(CM42)=1,CM42+1,IF(WEEKDAY(CM42)=7,CM42+2,CM42)))+COUNTIF(ClosedDays!$J$4:$J$32,IF(WEEKDAY(CM42)=1,CM42+1,IF(WEEKDAY(CM42)=7,CM42+2,CM42)))+COUNTIF(ClosedDays!$N$4:$N$32,IF(WEEKDAY(CM42)=1,CM42+1,IF(WEEKDAY(CM42)=7,CM42+2,CM42)))</f>
        <v>44473</v>
      </c>
      <c r="CO42" s="405">
        <f>CN42+IF(WEEKDAY(CN42)=1,1,IF(WEEKDAY(CN42)=7,2,0))+COUNTIF(ClosedDays!$B$4:$B$32,IF(WEEKDAY(CN42)=1,CN42+1,IF(WEEKDAY(CN42)=7,CN42+2,CN42)))+COUNTIF(ClosedDays!$F$4:$F$32,IF(WEEKDAY(CN42)=1,CN42+1,IF(WEEKDAY(CN42)=7,CN42+2,CN42)))+COUNTIF(ClosedDays!$J$4:$J$32,IF(WEEKDAY(CN42)=1,CN42+1,IF(WEEKDAY(CN42)=7,CN42+2,CN42)))+COUNTIF(ClosedDays!$N$4:$N$32,IF(WEEKDAY(CN42)=1,CN42+1,IF(WEEKDAY(CN42)=7,CN42+2,CN42)))</f>
        <v>44473</v>
      </c>
      <c r="CP42" s="405">
        <f>CO42+IF(WEEKDAY(CO42)=1,1,IF(WEEKDAY(CO42)=7,2,0))+COUNTIF(ClosedDays!$B$4:$B$32,IF(WEEKDAY(CO42)=1,CO42+1,IF(WEEKDAY(CO42)=7,CO42+2,CO42)))+COUNTIF(ClosedDays!$F$4:$F$32,IF(WEEKDAY(CO42)=1,CO42+1,IF(WEEKDAY(CO42)=7,CO42+2,CO42)))+COUNTIF(ClosedDays!$J$4:$J$32,IF(WEEKDAY(CO42)=1,CO42+1,IF(WEEKDAY(CO42)=7,CO42+2,CO42)))+COUNTIF(ClosedDays!$N$4:$N$32,IF(WEEKDAY(CO42)=1,CO42+1,IF(WEEKDAY(CO42)=7,CO42+2,CO42)))</f>
        <v>44473</v>
      </c>
      <c r="CQ42" s="405">
        <f>CP42+IF(WEEKDAY(CP42)=1,1,IF(WEEKDAY(CP42)=7,2,0))+COUNTIF(ClosedDays!$B$4:$B$32,IF(WEEKDAY(CP42)=1,CP42+1,IF(WEEKDAY(CP42)=7,CP42+2,CP42)))+COUNTIF(ClosedDays!$F$4:$F$32,IF(WEEKDAY(CP42)=1,CP42+1,IF(WEEKDAY(CP42)=7,CP42+2,CP42)))+COUNTIF(ClosedDays!$J$4:$J$32,IF(WEEKDAY(CP42)=1,CP42+1,IF(WEEKDAY(CP42)=7,CP42+2,CP42)))+COUNTIF(ClosedDays!$N$4:$N$32,IF(WEEKDAY(CP42)=1,CP42+1,IF(WEEKDAY(CP42)=7,CP42+2,CP42)))</f>
        <v>44473</v>
      </c>
      <c r="CR42" s="405">
        <f>CQ42+IF(WEEKDAY(CQ42)=1,1,IF(WEEKDAY(CQ42)=7,2,0))+COUNTIF(ClosedDays!$B$4:$B$32,IF(WEEKDAY(CQ42)=1,CQ42+1,IF(WEEKDAY(CQ42)=7,CQ42+2,CQ42)))+COUNTIF(ClosedDays!$F$4:$F$32,IF(WEEKDAY(CQ42)=1,CQ42+1,IF(WEEKDAY(CQ42)=7,CQ42+2,CQ42)))+COUNTIF(ClosedDays!$J$4:$J$32,IF(WEEKDAY(CQ42)=1,CQ42+1,IF(WEEKDAY(CQ42)=7,CQ42+2,CQ42)))+COUNTIF(ClosedDays!$N$4:$N$32,IF(WEEKDAY(CQ42)=1,CQ42+1,IF(WEEKDAY(CQ42)=7,CQ42+2,CQ42)))</f>
        <v>44473</v>
      </c>
      <c r="CS42" s="405">
        <f>CR42+IF(WEEKDAY(CR42)=1,1,IF(WEEKDAY(CR42)=7,2,0))+COUNTIF(ClosedDays!$B$4:$B$32,IF(WEEKDAY(CR42)=1,CR42+1,IF(WEEKDAY(CR42)=7,CR42+2,CR42)))+COUNTIF(ClosedDays!$F$4:$F$32,IF(WEEKDAY(CR42)=1,CR42+1,IF(WEEKDAY(CR42)=7,CR42+2,CR42)))+COUNTIF(ClosedDays!$J$4:$J$32,IF(WEEKDAY(CR42)=1,CR42+1,IF(WEEKDAY(CR42)=7,CR42+2,CR42)))+COUNTIF(ClosedDays!$N$4:$N$32,IF(WEEKDAY(CR42)=1,CR42+1,IF(WEEKDAY(CR42)=7,CR42+2,CR42)))</f>
        <v>44473</v>
      </c>
      <c r="CT42" s="405">
        <f>CS42+IF(WEEKDAY(CS42)=1,1,IF(WEEKDAY(CS42)=7,2,0))+COUNTIF(ClosedDays!$B$4:$B$32,IF(WEEKDAY(CS42)=1,CS42+1,IF(WEEKDAY(CS42)=7,CS42+2,CS42)))+COUNTIF(ClosedDays!$F$4:$F$32,IF(WEEKDAY(CS42)=1,CS42+1,IF(WEEKDAY(CS42)=7,CS42+2,CS42)))+COUNTIF(ClosedDays!$J$4:$J$32,IF(WEEKDAY(CS42)=1,CS42+1,IF(WEEKDAY(CS42)=7,CS42+2,CS42)))+COUNTIF(ClosedDays!$N$4:$N$32,IF(WEEKDAY(CS42)=1,CS42+1,IF(WEEKDAY(CS42)=7,CS42+2,CS42)))</f>
        <v>44473</v>
      </c>
      <c r="CU42" s="405">
        <f>CT42+IF(WEEKDAY(CT42)=1,1,IF(WEEKDAY(CT42)=7,2,0))+COUNTIF(ClosedDays!$B$4:$B$32,IF(WEEKDAY(CT42)=1,CT42+1,IF(WEEKDAY(CT42)=7,CT42+2,CT42)))+COUNTIF(ClosedDays!$F$4:$F$32,IF(WEEKDAY(CT42)=1,CT42+1,IF(WEEKDAY(CT42)=7,CT42+2,CT42)))+COUNTIF(ClosedDays!$J$4:$J$32,IF(WEEKDAY(CT42)=1,CT42+1,IF(WEEKDAY(CT42)=7,CT42+2,CT42)))+COUNTIF(ClosedDays!$N$4:$N$32,IF(WEEKDAY(CT42)=1,CT42+1,IF(WEEKDAY(CT42)=7,CT42+2,CT42)))</f>
        <v>44473</v>
      </c>
      <c r="CV42" s="405">
        <f>CU42+IF(WEEKDAY(CU42)=1,1,IF(WEEKDAY(CU42)=7,2,0))+COUNTIF(ClosedDays!$B$4:$B$32,IF(WEEKDAY(CU42)=1,CU42+1,IF(WEEKDAY(CU42)=7,CU42+2,CU42)))+COUNTIF(ClosedDays!$F$4:$F$32,IF(WEEKDAY(CU42)=1,CU42+1,IF(WEEKDAY(CU42)=7,CU42+2,CU42)))+COUNTIF(ClosedDays!$J$4:$J$32,IF(WEEKDAY(CU42)=1,CU42+1,IF(WEEKDAY(CU42)=7,CU42+2,CU42)))+COUNTIF(ClosedDays!$N$4:$N$32,IF(WEEKDAY(CU42)=1,CU42+1,IF(WEEKDAY(CU42)=7,CU42+2,CU42)))</f>
        <v>44473</v>
      </c>
      <c r="CW42" s="405">
        <f>CV42+IF(WEEKDAY(CV42)=1,1,IF(WEEKDAY(CV42)=7,2,0))+COUNTIF(ClosedDays!$B$4:$B$32,IF(WEEKDAY(CV42)=1,CV42+1,IF(WEEKDAY(CV42)=7,CV42+2,CV42)))+COUNTIF(ClosedDays!$F$4:$F$32,IF(WEEKDAY(CV42)=1,CV42+1,IF(WEEKDAY(CV42)=7,CV42+2,CV42)))+COUNTIF(ClosedDays!$J$4:$J$32,IF(WEEKDAY(CV42)=1,CV42+1,IF(WEEKDAY(CV42)=7,CV42+2,CV42)))+COUNTIF(ClosedDays!$N$4:$N$32,IF(WEEKDAY(CV42)=1,CV42+1,IF(WEEKDAY(CV42)=7,CV42+2,CV42)))</f>
        <v>44473</v>
      </c>
      <c r="CX42" s="405">
        <f>CW42+IF(WEEKDAY(CW42)=1,1,IF(WEEKDAY(CW42)=7,2,0))+COUNTIF(ClosedDays!$B$4:$B$32,IF(WEEKDAY(CW42)=1,CW42+1,IF(WEEKDAY(CW42)=7,CW42+2,CW42)))+COUNTIF(ClosedDays!$F$4:$F$32,IF(WEEKDAY(CW42)=1,CW42+1,IF(WEEKDAY(CW42)=7,CW42+2,CW42)))+COUNTIF(ClosedDays!$J$4:$J$32,IF(WEEKDAY(CW42)=1,CW42+1,IF(WEEKDAY(CW42)=7,CW42+2,CW42)))+COUNTIF(ClosedDays!$N$4:$N$32,IF(WEEKDAY(CW42)=1,CW42+1,IF(WEEKDAY(CW42)=7,CW42+2,CW42)))</f>
        <v>44473</v>
      </c>
      <c r="CY42" s="405">
        <f t="shared" ref="CY42:CY45" si="41">IF(WEEKDAY(CX42)=1,CX42+1,IF(WEEKDAY(CX42)=7,CX42+2,CX42))</f>
        <v>44473</v>
      </c>
      <c r="CZ42" s="446">
        <f>IF(AND($D42&lt;='Outline Info'!$E$33,CY42&gt;='Outline Info'!$E$33,$AC42&gt;10,$AC42&lt;9997),1,0)</f>
        <v>0</v>
      </c>
      <c r="DA42" s="405">
        <f>IF(AND($D42&lt;='Outline Info'!$E$33,CY42&gt;='Outline Info'!$E$33),CY42+'Outline Info'!$F$33-'Outline Info'!$E$33+1,CY42)</f>
        <v>44473</v>
      </c>
      <c r="DB42" s="405">
        <f>DA42+IF(WEEKDAY(DA42)=1,1,IF(WEEKDAY(DA42)=7,2,0))+COUNTIF(ClosedDays!$B$4:$B$32,IF(WEEKDAY(DA42)=1,DA42+1,IF(WEEKDAY(DA42)=7,DA42+2,DA42)))+COUNTIF(ClosedDays!$F$4:$F$32,IF(WEEKDAY(DA42)=1,DA42+1,IF(WEEKDAY(DA42)=7,DA42+2,DA42)))+COUNTIF(ClosedDays!$J$4:$J$32,IF(WEEKDAY(DA42)=1,DA42+1,IF(WEEKDAY(DA42)=7,DA42+2,DA42)))+COUNTIF(ClosedDays!$N$4:$N$32,IF(WEEKDAY(DA42)=1,DA42+1,IF(WEEKDAY(DA42)=7,DA42+2,DA42)))</f>
        <v>44473</v>
      </c>
      <c r="DC42" s="405">
        <f>DB42+IF(WEEKDAY(DB42)=1,1,IF(WEEKDAY(DB42)=7,2,0))+COUNTIF(ClosedDays!$B$4:$B$32,IF(WEEKDAY(DB42)=1,DB42+1,IF(WEEKDAY(DB42)=7,DB42+2,DB42)))+COUNTIF(ClosedDays!$F$4:$F$32,IF(WEEKDAY(DB42)=1,DB42+1,IF(WEEKDAY(DB42)=7,DB42+2,DB42)))+COUNTIF(ClosedDays!$J$4:$J$32,IF(WEEKDAY(DB42)=1,DB42+1,IF(WEEKDAY(DB42)=7,DB42+2,DB42)))+COUNTIF(ClosedDays!$N$4:$N$32,IF(WEEKDAY(DB42)=1,DB42+1,IF(WEEKDAY(DB42)=7,DB42+2,DB42)))</f>
        <v>44473</v>
      </c>
      <c r="DD42" s="405">
        <f>DC42+IF(WEEKDAY(DC42)=1,1,IF(WEEKDAY(DC42)=7,2,0))+COUNTIF(ClosedDays!$B$4:$B$32,IF(WEEKDAY(DC42)=1,DC42+1,IF(WEEKDAY(DC42)=7,DC42+2,DC42)))+COUNTIF(ClosedDays!$F$4:$F$32,IF(WEEKDAY(DC42)=1,DC42+1,IF(WEEKDAY(DC42)=7,DC42+2,DC42)))+COUNTIF(ClosedDays!$J$4:$J$32,IF(WEEKDAY(DC42)=1,DC42+1,IF(WEEKDAY(DC42)=7,DC42+2,DC42)))+COUNTIF(ClosedDays!$N$4:$N$32,IF(WEEKDAY(DC42)=1,DC42+1,IF(WEEKDAY(DC42)=7,DC42+2,DC42)))</f>
        <v>44473</v>
      </c>
      <c r="DE42" s="405">
        <f>DD42+IF(WEEKDAY(DD42)=1,1,IF(WEEKDAY(DD42)=7,2,0))+COUNTIF(ClosedDays!$B$4:$B$32,IF(WEEKDAY(DD42)=1,DD42+1,IF(WEEKDAY(DD42)=7,DD42+2,DD42)))+COUNTIF(ClosedDays!$F$4:$F$32,IF(WEEKDAY(DD42)=1,DD42+1,IF(WEEKDAY(DD42)=7,DD42+2,DD42)))+COUNTIF(ClosedDays!$J$4:$J$32,IF(WEEKDAY(DD42)=1,DD42+1,IF(WEEKDAY(DD42)=7,DD42+2,DD42)))+COUNTIF(ClosedDays!$N$4:$N$32,IF(WEEKDAY(DD42)=1,DD42+1,IF(WEEKDAY(DD42)=7,DD42+2,DD42)))</f>
        <v>44473</v>
      </c>
      <c r="DF42" s="405">
        <f>DE42+IF(WEEKDAY(DE42)=1,1,IF(WEEKDAY(DE42)=7,2,0))+COUNTIF(ClosedDays!$B$4:$B$32,IF(WEEKDAY(DE42)=1,DE42+1,IF(WEEKDAY(DE42)=7,DE42+2,DE42)))+COUNTIF(ClosedDays!$F$4:$F$32,IF(WEEKDAY(DE42)=1,DE42+1,IF(WEEKDAY(DE42)=7,DE42+2,DE42)))+COUNTIF(ClosedDays!$J$4:$J$32,IF(WEEKDAY(DE42)=1,DE42+1,IF(WEEKDAY(DE42)=7,DE42+2,DE42)))+COUNTIF(ClosedDays!$N$4:$N$32,IF(WEEKDAY(DE42)=1,DE42+1,IF(WEEKDAY(DE42)=7,DE42+2,DE42)))</f>
        <v>44473</v>
      </c>
      <c r="DG42" s="405">
        <f>DF42+IF(WEEKDAY(DF42)=1,1,IF(WEEKDAY(DF42)=7,2,0))+COUNTIF(ClosedDays!$B$4:$B$32,IF(WEEKDAY(DF42)=1,DF42+1,IF(WEEKDAY(DF42)=7,DF42+2,DF42)))+COUNTIF(ClosedDays!$F$4:$F$32,IF(WEEKDAY(DF42)=1,DF42+1,IF(WEEKDAY(DF42)=7,DF42+2,DF42)))+COUNTIF(ClosedDays!$J$4:$J$32,IF(WEEKDAY(DF42)=1,DF42+1,IF(WEEKDAY(DF42)=7,DF42+2,DF42)))+COUNTIF(ClosedDays!$N$4:$N$32,IF(WEEKDAY(DF42)=1,DF42+1,IF(WEEKDAY(DF42)=7,DF42+2,DF42)))</f>
        <v>44473</v>
      </c>
      <c r="DH42" s="405">
        <f>DG42+IF(WEEKDAY(DG42)=1,1,IF(WEEKDAY(DG42)=7,2,0))+COUNTIF(ClosedDays!$B$4:$B$32,IF(WEEKDAY(DG42)=1,DG42+1,IF(WEEKDAY(DG42)=7,DG42+2,DG42)))+COUNTIF(ClosedDays!$F$4:$F$32,IF(WEEKDAY(DG42)=1,DG42+1,IF(WEEKDAY(DG42)=7,DG42+2,DG42)))+COUNTIF(ClosedDays!$J$4:$J$32,IF(WEEKDAY(DG42)=1,DG42+1,IF(WEEKDAY(DG42)=7,DG42+2,DG42)))+COUNTIF(ClosedDays!$N$4:$N$32,IF(WEEKDAY(DG42)=1,DG42+1,IF(WEEKDAY(DG42)=7,DG42+2,DG42)))</f>
        <v>44473</v>
      </c>
      <c r="DI42" s="405">
        <f>DH42+IF(WEEKDAY(DH42)=1,1,IF(WEEKDAY(DH42)=7,2,0))+COUNTIF(ClosedDays!$B$4:$B$32,IF(WEEKDAY(DH42)=1,DH42+1,IF(WEEKDAY(DH42)=7,DH42+2,DH42)))+COUNTIF(ClosedDays!$F$4:$F$32,IF(WEEKDAY(DH42)=1,DH42+1,IF(WEEKDAY(DH42)=7,DH42+2,DH42)))+COUNTIF(ClosedDays!$J$4:$J$32,IF(WEEKDAY(DH42)=1,DH42+1,IF(WEEKDAY(DH42)=7,DH42+2,DH42)))+COUNTIF(ClosedDays!$N$4:$N$32,IF(WEEKDAY(DH42)=1,DH42+1,IF(WEEKDAY(DH42)=7,DH42+2,DH42)))</f>
        <v>44473</v>
      </c>
      <c r="DJ42" s="405">
        <f>DI42+IF(WEEKDAY(DI42)=1,1,IF(WEEKDAY(DI42)=7,2,0))+COUNTIF(ClosedDays!$B$4:$B$32,IF(WEEKDAY(DI42)=1,DI42+1,IF(WEEKDAY(DI42)=7,DI42+2,DI42)))+COUNTIF(ClosedDays!$F$4:$F$32,IF(WEEKDAY(DI42)=1,DI42+1,IF(WEEKDAY(DI42)=7,DI42+2,DI42)))+COUNTIF(ClosedDays!$J$4:$J$32,IF(WEEKDAY(DI42)=1,DI42+1,IF(WEEKDAY(DI42)=7,DI42+2,DI42)))+COUNTIF(ClosedDays!$N$4:$N$32,IF(WEEKDAY(DI42)=1,DI42+1,IF(WEEKDAY(DI42)=7,DI42+2,DI42)))</f>
        <v>44473</v>
      </c>
      <c r="DK42" s="405">
        <f>DJ42+IF(WEEKDAY(DJ42)=1,1,IF(WEEKDAY(DJ42)=7,2,0))+COUNTIF(ClosedDays!$B$4:$B$32,IF(WEEKDAY(DJ42)=1,DJ42+1,IF(WEEKDAY(DJ42)=7,DJ42+2,DJ42)))+COUNTIF(ClosedDays!$F$4:$F$32,IF(WEEKDAY(DJ42)=1,DJ42+1,IF(WEEKDAY(DJ42)=7,DJ42+2,DJ42)))+COUNTIF(ClosedDays!$J$4:$J$32,IF(WEEKDAY(DJ42)=1,DJ42+1,IF(WEEKDAY(DJ42)=7,DJ42+2,DJ42)))+COUNTIF(ClosedDays!$N$4:$N$32,IF(WEEKDAY(DJ42)=1,DJ42+1,IF(WEEKDAY(DJ42)=7,DJ42+2,DJ42)))</f>
        <v>44473</v>
      </c>
      <c r="DL42" s="405">
        <f>DK42+IF(WEEKDAY(DK42)=1,1,IF(WEEKDAY(DK42)=7,2,0))+COUNTIF(ClosedDays!$B$4:$B$32,IF(WEEKDAY(DK42)=1,DK42+1,IF(WEEKDAY(DK42)=7,DK42+2,DK42)))+COUNTIF(ClosedDays!$F$4:$F$32,IF(WEEKDAY(DK42)=1,DK42+1,IF(WEEKDAY(DK42)=7,DK42+2,DK42)))+COUNTIF(ClosedDays!$J$4:$J$32,IF(WEEKDAY(DK42)=1,DK42+1,IF(WEEKDAY(DK42)=7,DK42+2,DK42)))+COUNTIF(ClosedDays!$N$4:$N$32,IF(WEEKDAY(DK42)=1,DK42+1,IF(WEEKDAY(DK42)=7,DK42+2,DK42)))</f>
        <v>44473</v>
      </c>
      <c r="DM42" s="405">
        <f>DL42+IF(WEEKDAY(DL42)=1,1,IF(WEEKDAY(DL42)=7,2,0))+COUNTIF(ClosedDays!$B$4:$B$32,IF(WEEKDAY(DL42)=1,DL42+1,IF(WEEKDAY(DL42)=7,DL42+2,DL42)))+COUNTIF(ClosedDays!$F$4:$F$32,IF(WEEKDAY(DL42)=1,DL42+1,IF(WEEKDAY(DL42)=7,DL42+2,DL42)))+COUNTIF(ClosedDays!$J$4:$J$32,IF(WEEKDAY(DL42)=1,DL42+1,IF(WEEKDAY(DL42)=7,DL42+2,DL42)))+COUNTIF(ClosedDays!$N$4:$N$32,IF(WEEKDAY(DL42)=1,DL42+1,IF(WEEKDAY(DL42)=7,DL42+2,DL42)))</f>
        <v>44473</v>
      </c>
      <c r="DN42" s="405">
        <f>DM42+IF(WEEKDAY(DM42)=1,1,IF(WEEKDAY(DM42)=7,2,0))+COUNTIF(ClosedDays!$B$4:$B$32,IF(WEEKDAY(DM42)=1,DM42+1,IF(WEEKDAY(DM42)=7,DM42+2,DM42)))+COUNTIF(ClosedDays!$F$4:$F$32,IF(WEEKDAY(DM42)=1,DM42+1,IF(WEEKDAY(DM42)=7,DM42+2,DM42)))+COUNTIF(ClosedDays!$J$4:$J$32,IF(WEEKDAY(DM42)=1,DM42+1,IF(WEEKDAY(DM42)=7,DM42+2,DM42)))+COUNTIF(ClosedDays!$N$4:$N$32,IF(WEEKDAY(DM42)=1,DM42+1,IF(WEEKDAY(DM42)=7,DM42+2,DM42)))</f>
        <v>44473</v>
      </c>
      <c r="DO42" s="405">
        <f>DN42+IF(WEEKDAY(DN42)=1,1,IF(WEEKDAY(DN42)=7,2,0))+COUNTIF(ClosedDays!$B$4:$B$32,IF(WEEKDAY(DN42)=1,DN42+1,IF(WEEKDAY(DN42)=7,DN42+2,DN42)))+COUNTIF(ClosedDays!$F$4:$F$32,IF(WEEKDAY(DN42)=1,DN42+1,IF(WEEKDAY(DN42)=7,DN42+2,DN42)))+COUNTIF(ClosedDays!$J$4:$J$32,IF(WEEKDAY(DN42)=1,DN42+1,IF(WEEKDAY(DN42)=7,DN42+2,DN42)))+COUNTIF(ClosedDays!$N$4:$N$32,IF(WEEKDAY(DN42)=1,DN42+1,IF(WEEKDAY(DN42)=7,DN42+2,DN42)))</f>
        <v>44473</v>
      </c>
      <c r="DP42" s="405">
        <f t="shared" si="23"/>
        <v>44473</v>
      </c>
      <c r="DQ42" s="405">
        <f t="shared" ref="DQ42:DQ45" si="42">IF(OR(AE42="*",AE42="X",AE42="x",AC42&gt;6),DP42,DQ41)</f>
        <v>44473</v>
      </c>
      <c r="DR42" s="394">
        <f t="shared" ref="DR42:DR45" si="43">IF(OR(AE42="*",AC42&gt;6),1,0)</f>
        <v>1</v>
      </c>
      <c r="DS42" s="394">
        <f>IF(AND(DR42=1,COUNTIF(DS$7:DS41,1)&lt;12,VLOOKUP(COUNTIF(DS$7:DS41,1)+1,'Outline Info'!$A$21:$C$32,2)&lt;=I42),1,0)</f>
        <v>0</v>
      </c>
      <c r="DT42" s="405" t="str">
        <f>IF(DS42=1,IF(VLOOKUP(COUNTIF(DS$7:DS42,1),'Outline Info'!$A$21:$C$32,2)=0,"",VLOOKUP(COUNTIF(DS$7:DS42,1),'Outline Info'!$A$21:$C$32,2)),"")</f>
        <v/>
      </c>
      <c r="DU42" s="447">
        <f>IF(DS42=1,VLOOKUP(COUNTIF(DS$7:DS42,1),'Outline Info'!$A$21:$C$32,3),0)</f>
        <v>0</v>
      </c>
      <c r="DV42" s="445">
        <f>IF('Outline Info'!$B$8="Y",IF(B42="*",'Outline Info'!$B$19,IF(OR($A42="",B42="X",B42="x"),0,VLOOKUP($A42,'Course Table'!$A$2:$J$331,4,TRUE))),0)</f>
        <v>0</v>
      </c>
      <c r="DW42" s="447">
        <f t="shared" ref="DW42:DW45" si="44">DU42</f>
        <v>0</v>
      </c>
      <c r="DX42" s="447">
        <f>IF('Outline Info'!$B$8="Y",$DV42,$DW42)</f>
        <v>0</v>
      </c>
      <c r="DY42" s="394"/>
      <c r="DZ42" s="934"/>
      <c r="EA42" s="934"/>
      <c r="EB42" s="394"/>
      <c r="EC42" s="394"/>
      <c r="ED42" s="394"/>
    </row>
    <row r="43" spans="1:134" s="400" customFormat="1" ht="20.100000000000001" customHeight="1">
      <c r="A43" s="875" t="str">
        <f t="shared" si="24"/>
        <v/>
      </c>
      <c r="B43" s="877" t="str">
        <f t="shared" si="25"/>
        <v/>
      </c>
      <c r="C43" s="879" t="str">
        <f t="shared" si="26"/>
        <v/>
      </c>
      <c r="D43" s="463">
        <f>IF(NOT(ISBLANK(DZ43)),DZ43,IF(AND($AC43=9998,'Outline Info'!$H$33&gt;='Outline Info'!$B$6,'Outline Info'!$H$33&lt;='Outline Info'!$C$6),'Outline Info'!$H$33,IF(AND($AC43=9997,'Outline Info'!$H$31&gt;='Outline Info'!$B$6,'Outline Info'!$H$31&lt;='Outline Info'!$C$6),'Outline Info'!$H$31,IF(AE43="*",DQ42,IF(OR(AE43="x",AE43="X"),I42,IF(AND(AC43&gt;6,AC42&lt;6),DQ42,IF(AND($AC43=9998,$AC42=9997),I41,I42)))))))</f>
        <v>44470</v>
      </c>
      <c r="E43" s="1309"/>
      <c r="F43" s="1310"/>
      <c r="G43" s="1284"/>
      <c r="H43" s="1285"/>
      <c r="I43" s="465">
        <f>IF(AND($AC43=9998,'Outline Info'!$I$33&gt;='Outline Info'!$B$6,'Outline Info'!$I$33&lt;='Outline Info'!$C$6),'Outline Info'!$I$33,IF(AND($AC43=9997,'Outline Info'!$I$31&gt;='Outline Info'!$B$6,'Outline Info'!$I$31&lt;='Outline Info'!$C$6),'Outline Info'!$I$31,IF(DP43&gt;$V$4,$V$4,DP43)))</f>
        <v>44470</v>
      </c>
      <c r="J43" s="456"/>
      <c r="K43" s="457"/>
      <c r="L43" s="458"/>
      <c r="M43" s="458"/>
      <c r="N43" s="455"/>
      <c r="O43" s="455"/>
      <c r="P43" s="458"/>
      <c r="Q43" s="458"/>
      <c r="R43" s="459"/>
      <c r="S43" s="873">
        <f>IF($V$5-SUM($DX$7:$DX43)&lt;0,IF($V$5-SUM($DX$7:$DX42)&lt;0,0,$V$5-SUM($DX$7:$DX42)),DX43)</f>
        <v>0</v>
      </c>
      <c r="T43" s="460" t="str">
        <f>IF(S43&gt;0,IF('Outline Info'!$B$8="Y",D43,DT43),"")</f>
        <v/>
      </c>
      <c r="U43" s="461"/>
      <c r="V43" s="462"/>
      <c r="W43" s="871" t="str">
        <f>IF('Outline Info'!$C$33&gt;0,ROUND(IF('Outline Info'!$B$8="Y",SUM(S$7:S43)-SUM(AJ$7:AJ43)-'Outline Info'!$B$14-'Outline Info'!$B$15-'Outline Info'!$B$17,IF(AL43=0,SUM(S$7:S43)-SUM(AK$7:AK43)-SUM(AP43:AS43)-'Outline Info'!$B$14-'Outline Info'!$B$15-'Outline Info'!$B$17,0)),0),IF('Outline Info'!$T$4&lt;&gt;1,"",IF(OR(AD43="",AL43=1),"",SUM(AK$7:AK43)+SUM(AP43:AS43)+'Outline Info'!$B$14+'Outline Info'!$B$15+'Outline Info'!$B$17)))</f>
        <v/>
      </c>
      <c r="X43" s="448"/>
      <c r="Y43" s="443">
        <f>IF(OR(AE43="X",AE43="x",AE43="*",AC43=99999),0,IF(AC43&lt;50,0,IF($S$4-SUM($Y$7:$Y42)&gt;0,1,0)))</f>
        <v>0</v>
      </c>
      <c r="Z43" s="444">
        <f>IF(AC43&lt;99999,IF(AE43="*",AH43,IF(OR(AE43="x",AE43="X",AC43&lt;10),0,IF(AND(AC43&lt;&gt;9998,AC43&lt;&gt;9997),IF(AM43=1,(AH43+$AM$5)*(1+('Outline Info'!$B$16)),IF(AN43=1,(AH43+$AN$5)*(1+('Outline Info'!$B$16)),0)),AH43))),0)</f>
        <v>0</v>
      </c>
      <c r="AA43" s="395">
        <f>Z43/'Outline Info'!$C$11+Y43</f>
        <v>0</v>
      </c>
      <c r="AB43" s="395">
        <f>ROUND(AA43/'Outline Info'!$B$11*7,0)</f>
        <v>0</v>
      </c>
      <c r="AC43" s="445">
        <f>IF($AD43&lt;&gt;"",VLOOKUP($AD43,'Course Table'!$A$2:$J$331,10,TRUE),99999)</f>
        <v>99999</v>
      </c>
      <c r="AD43" s="394"/>
      <c r="AE43" s="394"/>
      <c r="AF43" s="394"/>
      <c r="AG43" s="394"/>
      <c r="AH43" s="394"/>
      <c r="AI43" s="394">
        <v>0</v>
      </c>
      <c r="AJ43" s="394">
        <v>0</v>
      </c>
      <c r="AK43" s="394">
        <f t="shared" si="27"/>
        <v>0</v>
      </c>
      <c r="AL43" s="394">
        <f t="shared" si="28"/>
        <v>0</v>
      </c>
      <c r="AM43" s="394">
        <f t="shared" si="29"/>
        <v>0</v>
      </c>
      <c r="AN43" s="394">
        <f t="shared" si="30"/>
        <v>0</v>
      </c>
      <c r="AO43" s="394">
        <f>IF(AN43=1,SUMPRODUCT($AJ$7:$AJ43,$AN$7:$AN43),0)</f>
        <v>0</v>
      </c>
      <c r="AP43" s="394">
        <f t="shared" si="31"/>
        <v>0</v>
      </c>
      <c r="AQ43" s="394">
        <f t="shared" si="32"/>
        <v>0</v>
      </c>
      <c r="AR43" s="394">
        <f t="shared" si="33"/>
        <v>0</v>
      </c>
      <c r="AS43" s="394">
        <f t="shared" si="34"/>
        <v>0</v>
      </c>
      <c r="AT43" s="394">
        <f t="shared" si="35"/>
        <v>0</v>
      </c>
      <c r="AU43" s="394">
        <f t="shared" si="36"/>
        <v>0</v>
      </c>
      <c r="AV43" s="394">
        <f t="shared" si="37"/>
        <v>0</v>
      </c>
      <c r="AW43" s="394">
        <f t="shared" si="38"/>
        <v>0</v>
      </c>
      <c r="AX43" s="394">
        <f t="shared" si="1"/>
        <v>0</v>
      </c>
      <c r="AY43" s="394">
        <f t="shared" si="2"/>
        <v>0</v>
      </c>
      <c r="AZ43" s="394">
        <f t="shared" si="3"/>
        <v>0</v>
      </c>
      <c r="BA43" s="394">
        <f t="shared" si="4"/>
        <v>0</v>
      </c>
      <c r="BB43" s="405">
        <f t="shared" si="22"/>
        <v>44473</v>
      </c>
      <c r="BC43" s="405">
        <f>BB43+IF(WEEKDAY(BB43)=1,1,IF(WEEKDAY(BB43)=7,2,0))+COUNTIF(ClosedDays!$B$4:$B$32,IF(WEEKDAY(BB43)=1,BB43+1,IF(WEEKDAY(BB43)=7,BB43+2,BB43)))+COUNTIF(ClosedDays!$F$4:$F$32,IF(WEEKDAY(BB43)=1,BB43+1,IF(WEEKDAY(BB43)=7,BB43+2,BB43)))+COUNTIF(ClosedDays!$J$4:$J$32,IF(WEEKDAY(BB43)=1,BB43+1,IF(WEEKDAY(BB43)=7,BB43+2,BB43)))+COUNTIF(ClosedDays!$N$4:$N$32,IF(WEEKDAY(BB43)=1,BB43+1,IF(WEEKDAY(BB43)=7,BB43+2,BB43)))</f>
        <v>44473</v>
      </c>
      <c r="BD43" s="405">
        <f>BC43+IF(WEEKDAY(BC43)=1,1,IF(WEEKDAY(BC43)=7,2,0))+COUNTIF(ClosedDays!$B$4:$B$32,IF(WEEKDAY(BC43)=1,BC43+1,IF(WEEKDAY(BC43)=7,BC43+2,BC43)))+COUNTIF(ClosedDays!$F$4:$F$32,IF(WEEKDAY(BC43)=1,BC43+1,IF(WEEKDAY(BC43)=7,BC43+2,BC43)))+COUNTIF(ClosedDays!$J$4:$J$32,IF(WEEKDAY(BC43)=1,BC43+1,IF(WEEKDAY(BC43)=7,BC43+2,BC43)))+COUNTIF(ClosedDays!$N$4:$N$32,IF(WEEKDAY(BC43)=1,BC43+1,IF(WEEKDAY(BC43)=7,BC43+2,BC43)))</f>
        <v>44473</v>
      </c>
      <c r="BE43" s="405">
        <f>BD43+IF(WEEKDAY(BD43)=1,1,IF(WEEKDAY(BD43)=7,2,0))+COUNTIF(ClosedDays!$B$4:$B$32,IF(WEEKDAY(BD43)=1,BD43+1,IF(WEEKDAY(BD43)=7,BD43+2,BD43)))+COUNTIF(ClosedDays!$F$4:$F$32,IF(WEEKDAY(BD43)=1,BD43+1,IF(WEEKDAY(BD43)=7,BD43+2,BD43)))+COUNTIF(ClosedDays!$J$4:$J$32,IF(WEEKDAY(BD43)=1,BD43+1,IF(WEEKDAY(BD43)=7,BD43+2,BD43)))+COUNTIF(ClosedDays!$N$4:$N$32,IF(WEEKDAY(BD43)=1,BD43+1,IF(WEEKDAY(BD43)=7,BD43+2,BD43)))</f>
        <v>44473</v>
      </c>
      <c r="BF43" s="405">
        <f>BE43+IF(WEEKDAY(BE43)=1,1,IF(WEEKDAY(BE43)=7,2,0))+COUNTIF(ClosedDays!$B$4:$B$32,IF(WEEKDAY(BE43)=1,BE43+1,IF(WEEKDAY(BE43)=7,BE43+2,BE43)))+COUNTIF(ClosedDays!$F$4:$F$32,IF(WEEKDAY(BE43)=1,BE43+1,IF(WEEKDAY(BE43)=7,BE43+2,BE43)))+COUNTIF(ClosedDays!$J$4:$J$32,IF(WEEKDAY(BE43)=1,BE43+1,IF(WEEKDAY(BE43)=7,BE43+2,BE43)))+COUNTIF(ClosedDays!$N$4:$N$32,IF(WEEKDAY(BE43)=1,BE43+1,IF(WEEKDAY(BE43)=7,BE43+2,BE43)))</f>
        <v>44473</v>
      </c>
      <c r="BG43" s="405">
        <f>BF43+IF(WEEKDAY(BF43)=1,1,IF(WEEKDAY(BF43)=7,2,0))+COUNTIF(ClosedDays!$B$4:$B$32,IF(WEEKDAY(BF43)=1,BF43+1,IF(WEEKDAY(BF43)=7,BF43+2,BF43)))+COUNTIF(ClosedDays!$F$4:$F$32,IF(WEEKDAY(BF43)=1,BF43+1,IF(WEEKDAY(BF43)=7,BF43+2,BF43)))+COUNTIF(ClosedDays!$J$4:$J$32,IF(WEEKDAY(BF43)=1,BF43+1,IF(WEEKDAY(BF43)=7,BF43+2,BF43)))+COUNTIF(ClosedDays!$N$4:$N$32,IF(WEEKDAY(BF43)=1,BF43+1,IF(WEEKDAY(BF43)=7,BF43+2,BF43)))</f>
        <v>44473</v>
      </c>
      <c r="BH43" s="405">
        <f>BG43+IF(WEEKDAY(BG43)=1,1,IF(WEEKDAY(BG43)=7,2,0))+COUNTIF(ClosedDays!$B$4:$B$32,IF(WEEKDAY(BG43)=1,BG43+1,IF(WEEKDAY(BG43)=7,BG43+2,BG43)))+COUNTIF(ClosedDays!$F$4:$F$32,IF(WEEKDAY(BG43)=1,BG43+1,IF(WEEKDAY(BG43)=7,BG43+2,BG43)))+COUNTIF(ClosedDays!$J$4:$J$32,IF(WEEKDAY(BG43)=1,BG43+1,IF(WEEKDAY(BG43)=7,BG43+2,BG43)))+COUNTIF(ClosedDays!$N$4:$N$32,IF(WEEKDAY(BG43)=1,BG43+1,IF(WEEKDAY(BG43)=7,BG43+2,BG43)))</f>
        <v>44473</v>
      </c>
      <c r="BI43" s="405">
        <f>BH43+IF(WEEKDAY(BH43)=1,1,IF(WEEKDAY(BH43)=7,2,0))+COUNTIF(ClosedDays!$B$4:$B$32,IF(WEEKDAY(BH43)=1,BH43+1,IF(WEEKDAY(BH43)=7,BH43+2,BH43)))+COUNTIF(ClosedDays!$F$4:$F$32,IF(WEEKDAY(BH43)=1,BH43+1,IF(WEEKDAY(BH43)=7,BH43+2,BH43)))+COUNTIF(ClosedDays!$J$4:$J$32,IF(WEEKDAY(BH43)=1,BH43+1,IF(WEEKDAY(BH43)=7,BH43+2,BH43)))+COUNTIF(ClosedDays!$N$4:$N$32,IF(WEEKDAY(BH43)=1,BH43+1,IF(WEEKDAY(BH43)=7,BH43+2,BH43)))</f>
        <v>44473</v>
      </c>
      <c r="BJ43" s="405">
        <f>BI43+IF(WEEKDAY(BI43)=1,1,IF(WEEKDAY(BI43)=7,2,0))+COUNTIF(ClosedDays!$B$4:$B$32,IF(WEEKDAY(BI43)=1,BI43+1,IF(WEEKDAY(BI43)=7,BI43+2,BI43)))+COUNTIF(ClosedDays!$F$4:$F$32,IF(WEEKDAY(BI43)=1,BI43+1,IF(WEEKDAY(BI43)=7,BI43+2,BI43)))+COUNTIF(ClosedDays!$J$4:$J$32,IF(WEEKDAY(BI43)=1,BI43+1,IF(WEEKDAY(BI43)=7,BI43+2,BI43)))+COUNTIF(ClosedDays!$N$4:$N$32,IF(WEEKDAY(BI43)=1,BI43+1,IF(WEEKDAY(BI43)=7,BI43+2,BI43)))</f>
        <v>44473</v>
      </c>
      <c r="BK43" s="405">
        <f>BJ43+IF(WEEKDAY(BJ43)=1,1,IF(WEEKDAY(BJ43)=7,2,0))+COUNTIF(ClosedDays!$B$4:$B$32,IF(WEEKDAY(BJ43)=1,BJ43+1,IF(WEEKDAY(BJ43)=7,BJ43+2,BJ43)))+COUNTIF(ClosedDays!$F$4:$F$32,IF(WEEKDAY(BJ43)=1,BJ43+1,IF(WEEKDAY(BJ43)=7,BJ43+2,BJ43)))+COUNTIF(ClosedDays!$J$4:$J$32,IF(WEEKDAY(BJ43)=1,BJ43+1,IF(WEEKDAY(BJ43)=7,BJ43+2,BJ43)))+COUNTIF(ClosedDays!$N$4:$N$32,IF(WEEKDAY(BJ43)=1,BJ43+1,IF(WEEKDAY(BJ43)=7,BJ43+2,BJ43)))</f>
        <v>44473</v>
      </c>
      <c r="BL43" s="405">
        <f>BK43+IF(WEEKDAY(BK43)=1,1,IF(WEEKDAY(BK43)=7,2,0))+COUNTIF(ClosedDays!$B$4:$B$32,IF(WEEKDAY(BK43)=1,BK43+1,IF(WEEKDAY(BK43)=7,BK43+2,BK43)))+COUNTIF(ClosedDays!$F$4:$F$32,IF(WEEKDAY(BK43)=1,BK43+1,IF(WEEKDAY(BK43)=7,BK43+2,BK43)))+COUNTIF(ClosedDays!$J$4:$J$32,IF(WEEKDAY(BK43)=1,BK43+1,IF(WEEKDAY(BK43)=7,BK43+2,BK43)))+COUNTIF(ClosedDays!$N$4:$N$32,IF(WEEKDAY(BK43)=1,BK43+1,IF(WEEKDAY(BK43)=7,BK43+2,BK43)))</f>
        <v>44473</v>
      </c>
      <c r="BM43" s="405">
        <f>BL43+IF(WEEKDAY(BL43)=1,1,IF(WEEKDAY(BL43)=7,2,0))+COUNTIF(ClosedDays!$B$4:$B$32,IF(WEEKDAY(BL43)=1,BL43+1,IF(WEEKDAY(BL43)=7,BL43+2,BL43)))+COUNTIF(ClosedDays!$F$4:$F$32,IF(WEEKDAY(BL43)=1,BL43+1,IF(WEEKDAY(BL43)=7,BL43+2,BL43)))+COUNTIF(ClosedDays!$J$4:$J$32,IF(WEEKDAY(BL43)=1,BL43+1,IF(WEEKDAY(BL43)=7,BL43+2,BL43)))+COUNTIF(ClosedDays!$N$4:$N$32,IF(WEEKDAY(BL43)=1,BL43+1,IF(WEEKDAY(BL43)=7,BL43+2,BL43)))</f>
        <v>44473</v>
      </c>
      <c r="BN43" s="405">
        <f>BM43+IF(WEEKDAY(BM43)=1,1,IF(WEEKDAY(BM43)=7,2,0))+COUNTIF(ClosedDays!$B$4:$B$32,IF(WEEKDAY(BM43)=1,BM43+1,IF(WEEKDAY(BM43)=7,BM43+2,BM43)))+COUNTIF(ClosedDays!$F$4:$F$32,IF(WEEKDAY(BM43)=1,BM43+1,IF(WEEKDAY(BM43)=7,BM43+2,BM43)))+COUNTIF(ClosedDays!$J$4:$J$32,IF(WEEKDAY(BM43)=1,BM43+1,IF(WEEKDAY(BM43)=7,BM43+2,BM43)))+COUNTIF(ClosedDays!$N$4:$N$32,IF(WEEKDAY(BM43)=1,BM43+1,IF(WEEKDAY(BM43)=7,BM43+2,BM43)))</f>
        <v>44473</v>
      </c>
      <c r="BO43" s="405">
        <f>BN43+IF(WEEKDAY(BN43)=1,1,IF(WEEKDAY(BN43)=7,2,0))+COUNTIF(ClosedDays!$B$4:$B$32,IF(WEEKDAY(BN43)=1,BN43+1,IF(WEEKDAY(BN43)=7,BN43+2,BN43)))+COUNTIF(ClosedDays!$F$4:$F$32,IF(WEEKDAY(BN43)=1,BN43+1,IF(WEEKDAY(BN43)=7,BN43+2,BN43)))+COUNTIF(ClosedDays!$J$4:$J$32,IF(WEEKDAY(BN43)=1,BN43+1,IF(WEEKDAY(BN43)=7,BN43+2,BN43)))+COUNTIF(ClosedDays!$N$4:$N$32,IF(WEEKDAY(BN43)=1,BN43+1,IF(WEEKDAY(BN43)=7,BN43+2,BN43)))</f>
        <v>44473</v>
      </c>
      <c r="BP43" s="405">
        <f>BO43+IF(WEEKDAY(BO43)=1,1,IF(WEEKDAY(BO43)=7,2,0))+COUNTIF(ClosedDays!$B$4:$B$32,IF(WEEKDAY(BO43)=1,BO43+1,IF(WEEKDAY(BO43)=7,BO43+2,BO43)))+COUNTIF(ClosedDays!$F$4:$F$32,IF(WEEKDAY(BO43)=1,BO43+1,IF(WEEKDAY(BO43)=7,BO43+2,BO43)))+COUNTIF(ClosedDays!$J$4:$J$32,IF(WEEKDAY(BO43)=1,BO43+1,IF(WEEKDAY(BO43)=7,BO43+2,BO43)))+COUNTIF(ClosedDays!$N$4:$N$32,IF(WEEKDAY(BO43)=1,BO43+1,IF(WEEKDAY(BO43)=7,BO43+2,BO43)))</f>
        <v>44473</v>
      </c>
      <c r="BQ43" s="405">
        <f t="shared" si="39"/>
        <v>44473</v>
      </c>
      <c r="BR43" s="446">
        <f>IF(AND($D43&lt;='Outline Info'!$H$31,BQ43&gt;='Outline Info'!$H$31,$BS$4=1,$AC43&gt;10,$AC43&lt;9997),1,0)</f>
        <v>0</v>
      </c>
      <c r="BS43" s="405">
        <f>IF(BR43=1,BQ43+'Outline Info'!$I$31-'Outline Info'!$H$31+1,BQ43)</f>
        <v>44473</v>
      </c>
      <c r="BT43" s="405">
        <f>BS43+IF(WEEKDAY(BS43)=1,1,IF(WEEKDAY(BS43)=7,2,0))+COUNTIF(ClosedDays!$B$4:$B$32,IF(WEEKDAY(BS43)=1,BS43+1,IF(WEEKDAY(BS43)=7,BS43+2,BS43)))+COUNTIF(ClosedDays!$F$4:$F$32,IF(WEEKDAY(BS43)=1,BS43+1,IF(WEEKDAY(BS43)=7,BS43+2,BS43)))+COUNTIF(ClosedDays!$J$4:$J$32,IF(WEEKDAY(BS43)=1,BS43+1,IF(WEEKDAY(BS43)=7,BS43+2,BS43)))+COUNTIF(ClosedDays!$N$4:$N$32,IF(WEEKDAY(BS43)=1,BS43+1,IF(WEEKDAY(BS43)=7,BS43+2,BS43)))</f>
        <v>44473</v>
      </c>
      <c r="BU43" s="405">
        <f>BT43+IF(WEEKDAY(BT43)=1,1,IF(WEEKDAY(BT43)=7,2,0))+COUNTIF(ClosedDays!$B$4:$B$32,IF(WEEKDAY(BT43)=1,BT43+1,IF(WEEKDAY(BT43)=7,BT43+2,BT43)))+COUNTIF(ClosedDays!$F$4:$F$32,IF(WEEKDAY(BT43)=1,BT43+1,IF(WEEKDAY(BT43)=7,BT43+2,BT43)))+COUNTIF(ClosedDays!$J$4:$J$32,IF(WEEKDAY(BT43)=1,BT43+1,IF(WEEKDAY(BT43)=7,BT43+2,BT43)))+COUNTIF(ClosedDays!$N$4:$N$32,IF(WEEKDAY(BT43)=1,BT43+1,IF(WEEKDAY(BT43)=7,BT43+2,BT43)))</f>
        <v>44473</v>
      </c>
      <c r="BV43" s="405">
        <f>BU43+IF(WEEKDAY(BU43)=1,1,IF(WEEKDAY(BU43)=7,2,0))+COUNTIF(ClosedDays!$B$4:$B$32,IF(WEEKDAY(BU43)=1,BU43+1,IF(WEEKDAY(BU43)=7,BU43+2,BU43)))+COUNTIF(ClosedDays!$F$4:$F$32,IF(WEEKDAY(BU43)=1,BU43+1,IF(WEEKDAY(BU43)=7,BU43+2,BU43)))+COUNTIF(ClosedDays!$J$4:$J$32,IF(WEEKDAY(BU43)=1,BU43+1,IF(WEEKDAY(BU43)=7,BU43+2,BU43)))+COUNTIF(ClosedDays!$N$4:$N$32,IF(WEEKDAY(BU43)=1,BU43+1,IF(WEEKDAY(BU43)=7,BU43+2,BU43)))</f>
        <v>44473</v>
      </c>
      <c r="BW43" s="405">
        <f>BV43+IF(WEEKDAY(BV43)=1,1,IF(WEEKDAY(BV43)=7,2,0))+COUNTIF(ClosedDays!$B$4:$B$32,IF(WEEKDAY(BV43)=1,BV43+1,IF(WEEKDAY(BV43)=7,BV43+2,BV43)))+COUNTIF(ClosedDays!$F$4:$F$32,IF(WEEKDAY(BV43)=1,BV43+1,IF(WEEKDAY(BV43)=7,BV43+2,BV43)))+COUNTIF(ClosedDays!$J$4:$J$32,IF(WEEKDAY(BV43)=1,BV43+1,IF(WEEKDAY(BV43)=7,BV43+2,BV43)))+COUNTIF(ClosedDays!$N$4:$N$32,IF(WEEKDAY(BV43)=1,BV43+1,IF(WEEKDAY(BV43)=7,BV43+2,BV43)))</f>
        <v>44473</v>
      </c>
      <c r="BX43" s="405">
        <f>BW43+IF(WEEKDAY(BW43)=1,1,IF(WEEKDAY(BW43)=7,2,0))+COUNTIF(ClosedDays!$B$4:$B$32,IF(WEEKDAY(BW43)=1,BW43+1,IF(WEEKDAY(BW43)=7,BW43+2,BW43)))+COUNTIF(ClosedDays!$F$4:$F$32,IF(WEEKDAY(BW43)=1,BW43+1,IF(WEEKDAY(BW43)=7,BW43+2,BW43)))+COUNTIF(ClosedDays!$J$4:$J$32,IF(WEEKDAY(BW43)=1,BW43+1,IF(WEEKDAY(BW43)=7,BW43+2,BW43)))+COUNTIF(ClosedDays!$N$4:$N$32,IF(WEEKDAY(BW43)=1,BW43+1,IF(WEEKDAY(BW43)=7,BW43+2,BW43)))</f>
        <v>44473</v>
      </c>
      <c r="BY43" s="405">
        <f>BX43+IF(WEEKDAY(BX43)=1,1,IF(WEEKDAY(BX43)=7,2,0))+COUNTIF(ClosedDays!$B$4:$B$32,IF(WEEKDAY(BX43)=1,BX43+1,IF(WEEKDAY(BX43)=7,BX43+2,BX43)))+COUNTIF(ClosedDays!$F$4:$F$32,IF(WEEKDAY(BX43)=1,BX43+1,IF(WEEKDAY(BX43)=7,BX43+2,BX43)))+COUNTIF(ClosedDays!$J$4:$J$32,IF(WEEKDAY(BX43)=1,BX43+1,IF(WEEKDAY(BX43)=7,BX43+2,BX43)))+COUNTIF(ClosedDays!$N$4:$N$32,IF(WEEKDAY(BX43)=1,BX43+1,IF(WEEKDAY(BX43)=7,BX43+2,BX43)))</f>
        <v>44473</v>
      </c>
      <c r="BZ43" s="405">
        <f>BY43+IF(WEEKDAY(BY43)=1,1,IF(WEEKDAY(BY43)=7,2,0))+COUNTIF(ClosedDays!$B$4:$B$32,IF(WEEKDAY(BY43)=1,BY43+1,IF(WEEKDAY(BY43)=7,BY43+2,BY43)))+COUNTIF(ClosedDays!$F$4:$F$32,IF(WEEKDAY(BY43)=1,BY43+1,IF(WEEKDAY(BY43)=7,BY43+2,BY43)))+COUNTIF(ClosedDays!$J$4:$J$32,IF(WEEKDAY(BY43)=1,BY43+1,IF(WEEKDAY(BY43)=7,BY43+2,BY43)))+COUNTIF(ClosedDays!$N$4:$N$32,IF(WEEKDAY(BY43)=1,BY43+1,IF(WEEKDAY(BY43)=7,BY43+2,BY43)))</f>
        <v>44473</v>
      </c>
      <c r="CA43" s="405">
        <f>BZ43+IF(WEEKDAY(BZ43)=1,1,IF(WEEKDAY(BZ43)=7,2,0))+COUNTIF(ClosedDays!$B$4:$B$32,IF(WEEKDAY(BZ43)=1,BZ43+1,IF(WEEKDAY(BZ43)=7,BZ43+2,BZ43)))+COUNTIF(ClosedDays!$F$4:$F$32,IF(WEEKDAY(BZ43)=1,BZ43+1,IF(WEEKDAY(BZ43)=7,BZ43+2,BZ43)))+COUNTIF(ClosedDays!$J$4:$J$32,IF(WEEKDAY(BZ43)=1,BZ43+1,IF(WEEKDAY(BZ43)=7,BZ43+2,BZ43)))+COUNTIF(ClosedDays!$N$4:$N$32,IF(WEEKDAY(BZ43)=1,BZ43+1,IF(WEEKDAY(BZ43)=7,BZ43+2,BZ43)))</f>
        <v>44473</v>
      </c>
      <c r="CB43" s="405">
        <f>CA43+IF(WEEKDAY(CA43)=1,1,IF(WEEKDAY(CA43)=7,2,0))+COUNTIF(ClosedDays!$B$4:$B$32,IF(WEEKDAY(CA43)=1,CA43+1,IF(WEEKDAY(CA43)=7,CA43+2,CA43)))+COUNTIF(ClosedDays!$F$4:$F$32,IF(WEEKDAY(CA43)=1,CA43+1,IF(WEEKDAY(CA43)=7,CA43+2,CA43)))+COUNTIF(ClosedDays!$J$4:$J$32,IF(WEEKDAY(CA43)=1,CA43+1,IF(WEEKDAY(CA43)=7,CA43+2,CA43)))+COUNTIF(ClosedDays!$N$4:$N$32,IF(WEEKDAY(CA43)=1,CA43+1,IF(WEEKDAY(CA43)=7,CA43+2,CA43)))</f>
        <v>44473</v>
      </c>
      <c r="CC43" s="405">
        <f>CB43+IF(WEEKDAY(CB43)=1,1,IF(WEEKDAY(CB43)=7,2,0))+COUNTIF(ClosedDays!$B$4:$B$32,IF(WEEKDAY(CB43)=1,CB43+1,IF(WEEKDAY(CB43)=7,CB43+2,CB43)))+COUNTIF(ClosedDays!$F$4:$F$32,IF(WEEKDAY(CB43)=1,CB43+1,IF(WEEKDAY(CB43)=7,CB43+2,CB43)))+COUNTIF(ClosedDays!$J$4:$J$32,IF(WEEKDAY(CB43)=1,CB43+1,IF(WEEKDAY(CB43)=7,CB43+2,CB43)))+COUNTIF(ClosedDays!$N$4:$N$32,IF(WEEKDAY(CB43)=1,CB43+1,IF(WEEKDAY(CB43)=7,CB43+2,CB43)))</f>
        <v>44473</v>
      </c>
      <c r="CD43" s="405">
        <f>CC43+IF(WEEKDAY(CC43)=1,1,IF(WEEKDAY(CC43)=7,2,0))+COUNTIF(ClosedDays!$B$4:$B$32,IF(WEEKDAY(CC43)=1,CC43+1,IF(WEEKDAY(CC43)=7,CC43+2,CC43)))+COUNTIF(ClosedDays!$F$4:$F$32,IF(WEEKDAY(CC43)=1,CC43+1,IF(WEEKDAY(CC43)=7,CC43+2,CC43)))+COUNTIF(ClosedDays!$J$4:$J$32,IF(WEEKDAY(CC43)=1,CC43+1,IF(WEEKDAY(CC43)=7,CC43+2,CC43)))+COUNTIF(ClosedDays!$N$4:$N$32,IF(WEEKDAY(CC43)=1,CC43+1,IF(WEEKDAY(CC43)=7,CC43+2,CC43)))</f>
        <v>44473</v>
      </c>
      <c r="CE43" s="405">
        <f>CD43+IF(WEEKDAY(CD43)=1,1,IF(WEEKDAY(CD43)=7,2,0))+COUNTIF(ClosedDays!$B$4:$B$32,IF(WEEKDAY(CD43)=1,CD43+1,IF(WEEKDAY(CD43)=7,CD43+2,CD43)))+COUNTIF(ClosedDays!$F$4:$F$32,IF(WEEKDAY(CD43)=1,CD43+1,IF(WEEKDAY(CD43)=7,CD43+2,CD43)))+COUNTIF(ClosedDays!$J$4:$J$32,IF(WEEKDAY(CD43)=1,CD43+1,IF(WEEKDAY(CD43)=7,CD43+2,CD43)))+COUNTIF(ClosedDays!$N$4:$N$32,IF(WEEKDAY(CD43)=1,CD43+1,IF(WEEKDAY(CD43)=7,CD43+2,CD43)))</f>
        <v>44473</v>
      </c>
      <c r="CF43" s="405">
        <f>CE43+IF(WEEKDAY(CE43)=1,1,IF(WEEKDAY(CE43)=7,2,0))+COUNTIF(ClosedDays!$B$4:$B$32,IF(WEEKDAY(CE43)=1,CE43+1,IF(WEEKDAY(CE43)=7,CE43+2,CE43)))+COUNTIF(ClosedDays!$F$4:$F$32,IF(WEEKDAY(CE43)=1,CE43+1,IF(WEEKDAY(CE43)=7,CE43+2,CE43)))+COUNTIF(ClosedDays!$J$4:$J$32,IF(WEEKDAY(CE43)=1,CE43+1,IF(WEEKDAY(CE43)=7,CE43+2,CE43)))+COUNTIF(ClosedDays!$N$4:$N$32,IF(WEEKDAY(CE43)=1,CE43+1,IF(WEEKDAY(CE43)=7,CE43+2,CE43)))</f>
        <v>44473</v>
      </c>
      <c r="CG43" s="405">
        <f>CF43+IF(WEEKDAY(CF43)=1,1,IF(WEEKDAY(CF43)=7,2,0))+COUNTIF(ClosedDays!$B$4:$B$32,IF(WEEKDAY(CF43)=1,CF43+1,IF(WEEKDAY(CF43)=7,CF43+2,CF43)))+COUNTIF(ClosedDays!$F$4:$F$32,IF(WEEKDAY(CF43)=1,CF43+1,IF(WEEKDAY(CF43)=7,CF43+2,CF43)))+COUNTIF(ClosedDays!$J$4:$J$32,IF(WEEKDAY(CF43)=1,CF43+1,IF(WEEKDAY(CF43)=7,CF43+2,CF43)))+COUNTIF(ClosedDays!$N$4:$N$32,IF(WEEKDAY(CF43)=1,CF43+1,IF(WEEKDAY(CF43)=7,CF43+2,CF43)))</f>
        <v>44473</v>
      </c>
      <c r="CH43" s="405">
        <f t="shared" si="40"/>
        <v>44473</v>
      </c>
      <c r="CI43" s="446">
        <f>IF(AND($D43&lt;='Outline Info'!$H$33,CH43&gt;='Outline Info'!$H$33,$CJ$4=1,$AC43&gt;10,$AC43&lt;9997),1,0)</f>
        <v>0</v>
      </c>
      <c r="CJ43" s="405">
        <f>IF(CI43=1,CH43+'Outline Info'!$I$33-'Outline Info'!$H$33+1,CH43)</f>
        <v>44473</v>
      </c>
      <c r="CK43" s="405">
        <f>CJ43+IF(WEEKDAY(CJ43)=1,1,IF(WEEKDAY(CJ43)=7,2,0))+COUNTIF(ClosedDays!$B$4:$B$32,IF(WEEKDAY(CJ43)=1,CJ43+1,IF(WEEKDAY(CJ43)=7,CJ43+2,CJ43)))+COUNTIF(ClosedDays!$F$4:$F$32,IF(WEEKDAY(CJ43)=1,CJ43+1,IF(WEEKDAY(CJ43)=7,CJ43+2,CJ43)))+COUNTIF(ClosedDays!$J$4:$J$32,IF(WEEKDAY(CJ43)=1,CJ43+1,IF(WEEKDAY(CJ43)=7,CJ43+2,CJ43)))+COUNTIF(ClosedDays!$N$4:$N$32,IF(WEEKDAY(CJ43)=1,CJ43+1,IF(WEEKDAY(CJ43)=7,CJ43+2,CJ43)))</f>
        <v>44473</v>
      </c>
      <c r="CL43" s="405">
        <f>CK43+IF(WEEKDAY(CK43)=1,1,IF(WEEKDAY(CK43)=7,2,0))+COUNTIF(ClosedDays!$B$4:$B$32,IF(WEEKDAY(CK43)=1,CK43+1,IF(WEEKDAY(CK43)=7,CK43+2,CK43)))+COUNTIF(ClosedDays!$F$4:$F$32,IF(WEEKDAY(CK43)=1,CK43+1,IF(WEEKDAY(CK43)=7,CK43+2,CK43)))+COUNTIF(ClosedDays!$J$4:$J$32,IF(WEEKDAY(CK43)=1,CK43+1,IF(WEEKDAY(CK43)=7,CK43+2,CK43)))+COUNTIF(ClosedDays!$N$4:$N$32,IF(WEEKDAY(CK43)=1,CK43+1,IF(WEEKDAY(CK43)=7,CK43+2,CK43)))</f>
        <v>44473</v>
      </c>
      <c r="CM43" s="405">
        <f>CL43+IF(WEEKDAY(CL43)=1,1,IF(WEEKDAY(CL43)=7,2,0))+COUNTIF(ClosedDays!$B$4:$B$32,IF(WEEKDAY(CL43)=1,CL43+1,IF(WEEKDAY(CL43)=7,CL43+2,CL43)))+COUNTIF(ClosedDays!$F$4:$F$32,IF(WEEKDAY(CL43)=1,CL43+1,IF(WEEKDAY(CL43)=7,CL43+2,CL43)))+COUNTIF(ClosedDays!$J$4:$J$32,IF(WEEKDAY(CL43)=1,CL43+1,IF(WEEKDAY(CL43)=7,CL43+2,CL43)))+COUNTIF(ClosedDays!$N$4:$N$32,IF(WEEKDAY(CL43)=1,CL43+1,IF(WEEKDAY(CL43)=7,CL43+2,CL43)))</f>
        <v>44473</v>
      </c>
      <c r="CN43" s="405">
        <f>CM43+IF(WEEKDAY(CM43)=1,1,IF(WEEKDAY(CM43)=7,2,0))+COUNTIF(ClosedDays!$B$4:$B$32,IF(WEEKDAY(CM43)=1,CM43+1,IF(WEEKDAY(CM43)=7,CM43+2,CM43)))+COUNTIF(ClosedDays!$F$4:$F$32,IF(WEEKDAY(CM43)=1,CM43+1,IF(WEEKDAY(CM43)=7,CM43+2,CM43)))+COUNTIF(ClosedDays!$J$4:$J$32,IF(WEEKDAY(CM43)=1,CM43+1,IF(WEEKDAY(CM43)=7,CM43+2,CM43)))+COUNTIF(ClosedDays!$N$4:$N$32,IF(WEEKDAY(CM43)=1,CM43+1,IF(WEEKDAY(CM43)=7,CM43+2,CM43)))</f>
        <v>44473</v>
      </c>
      <c r="CO43" s="405">
        <f>CN43+IF(WEEKDAY(CN43)=1,1,IF(WEEKDAY(CN43)=7,2,0))+COUNTIF(ClosedDays!$B$4:$B$32,IF(WEEKDAY(CN43)=1,CN43+1,IF(WEEKDAY(CN43)=7,CN43+2,CN43)))+COUNTIF(ClosedDays!$F$4:$F$32,IF(WEEKDAY(CN43)=1,CN43+1,IF(WEEKDAY(CN43)=7,CN43+2,CN43)))+COUNTIF(ClosedDays!$J$4:$J$32,IF(WEEKDAY(CN43)=1,CN43+1,IF(WEEKDAY(CN43)=7,CN43+2,CN43)))+COUNTIF(ClosedDays!$N$4:$N$32,IF(WEEKDAY(CN43)=1,CN43+1,IF(WEEKDAY(CN43)=7,CN43+2,CN43)))</f>
        <v>44473</v>
      </c>
      <c r="CP43" s="405">
        <f>CO43+IF(WEEKDAY(CO43)=1,1,IF(WEEKDAY(CO43)=7,2,0))+COUNTIF(ClosedDays!$B$4:$B$32,IF(WEEKDAY(CO43)=1,CO43+1,IF(WEEKDAY(CO43)=7,CO43+2,CO43)))+COUNTIF(ClosedDays!$F$4:$F$32,IF(WEEKDAY(CO43)=1,CO43+1,IF(WEEKDAY(CO43)=7,CO43+2,CO43)))+COUNTIF(ClosedDays!$J$4:$J$32,IF(WEEKDAY(CO43)=1,CO43+1,IF(WEEKDAY(CO43)=7,CO43+2,CO43)))+COUNTIF(ClosedDays!$N$4:$N$32,IF(WEEKDAY(CO43)=1,CO43+1,IF(WEEKDAY(CO43)=7,CO43+2,CO43)))</f>
        <v>44473</v>
      </c>
      <c r="CQ43" s="405">
        <f>CP43+IF(WEEKDAY(CP43)=1,1,IF(WEEKDAY(CP43)=7,2,0))+COUNTIF(ClosedDays!$B$4:$B$32,IF(WEEKDAY(CP43)=1,CP43+1,IF(WEEKDAY(CP43)=7,CP43+2,CP43)))+COUNTIF(ClosedDays!$F$4:$F$32,IF(WEEKDAY(CP43)=1,CP43+1,IF(WEEKDAY(CP43)=7,CP43+2,CP43)))+COUNTIF(ClosedDays!$J$4:$J$32,IF(WEEKDAY(CP43)=1,CP43+1,IF(WEEKDAY(CP43)=7,CP43+2,CP43)))+COUNTIF(ClosedDays!$N$4:$N$32,IF(WEEKDAY(CP43)=1,CP43+1,IF(WEEKDAY(CP43)=7,CP43+2,CP43)))</f>
        <v>44473</v>
      </c>
      <c r="CR43" s="405">
        <f>CQ43+IF(WEEKDAY(CQ43)=1,1,IF(WEEKDAY(CQ43)=7,2,0))+COUNTIF(ClosedDays!$B$4:$B$32,IF(WEEKDAY(CQ43)=1,CQ43+1,IF(WEEKDAY(CQ43)=7,CQ43+2,CQ43)))+COUNTIF(ClosedDays!$F$4:$F$32,IF(WEEKDAY(CQ43)=1,CQ43+1,IF(WEEKDAY(CQ43)=7,CQ43+2,CQ43)))+COUNTIF(ClosedDays!$J$4:$J$32,IF(WEEKDAY(CQ43)=1,CQ43+1,IF(WEEKDAY(CQ43)=7,CQ43+2,CQ43)))+COUNTIF(ClosedDays!$N$4:$N$32,IF(WEEKDAY(CQ43)=1,CQ43+1,IF(WEEKDAY(CQ43)=7,CQ43+2,CQ43)))</f>
        <v>44473</v>
      </c>
      <c r="CS43" s="405">
        <f>CR43+IF(WEEKDAY(CR43)=1,1,IF(WEEKDAY(CR43)=7,2,0))+COUNTIF(ClosedDays!$B$4:$B$32,IF(WEEKDAY(CR43)=1,CR43+1,IF(WEEKDAY(CR43)=7,CR43+2,CR43)))+COUNTIF(ClosedDays!$F$4:$F$32,IF(WEEKDAY(CR43)=1,CR43+1,IF(WEEKDAY(CR43)=7,CR43+2,CR43)))+COUNTIF(ClosedDays!$J$4:$J$32,IF(WEEKDAY(CR43)=1,CR43+1,IF(WEEKDAY(CR43)=7,CR43+2,CR43)))+COUNTIF(ClosedDays!$N$4:$N$32,IF(WEEKDAY(CR43)=1,CR43+1,IF(WEEKDAY(CR43)=7,CR43+2,CR43)))</f>
        <v>44473</v>
      </c>
      <c r="CT43" s="405">
        <f>CS43+IF(WEEKDAY(CS43)=1,1,IF(WEEKDAY(CS43)=7,2,0))+COUNTIF(ClosedDays!$B$4:$B$32,IF(WEEKDAY(CS43)=1,CS43+1,IF(WEEKDAY(CS43)=7,CS43+2,CS43)))+COUNTIF(ClosedDays!$F$4:$F$32,IF(WEEKDAY(CS43)=1,CS43+1,IF(WEEKDAY(CS43)=7,CS43+2,CS43)))+COUNTIF(ClosedDays!$J$4:$J$32,IF(WEEKDAY(CS43)=1,CS43+1,IF(WEEKDAY(CS43)=7,CS43+2,CS43)))+COUNTIF(ClosedDays!$N$4:$N$32,IF(WEEKDAY(CS43)=1,CS43+1,IF(WEEKDAY(CS43)=7,CS43+2,CS43)))</f>
        <v>44473</v>
      </c>
      <c r="CU43" s="405">
        <f>CT43+IF(WEEKDAY(CT43)=1,1,IF(WEEKDAY(CT43)=7,2,0))+COUNTIF(ClosedDays!$B$4:$B$32,IF(WEEKDAY(CT43)=1,CT43+1,IF(WEEKDAY(CT43)=7,CT43+2,CT43)))+COUNTIF(ClosedDays!$F$4:$F$32,IF(WEEKDAY(CT43)=1,CT43+1,IF(WEEKDAY(CT43)=7,CT43+2,CT43)))+COUNTIF(ClosedDays!$J$4:$J$32,IF(WEEKDAY(CT43)=1,CT43+1,IF(WEEKDAY(CT43)=7,CT43+2,CT43)))+COUNTIF(ClosedDays!$N$4:$N$32,IF(WEEKDAY(CT43)=1,CT43+1,IF(WEEKDAY(CT43)=7,CT43+2,CT43)))</f>
        <v>44473</v>
      </c>
      <c r="CV43" s="405">
        <f>CU43+IF(WEEKDAY(CU43)=1,1,IF(WEEKDAY(CU43)=7,2,0))+COUNTIF(ClosedDays!$B$4:$B$32,IF(WEEKDAY(CU43)=1,CU43+1,IF(WEEKDAY(CU43)=7,CU43+2,CU43)))+COUNTIF(ClosedDays!$F$4:$F$32,IF(WEEKDAY(CU43)=1,CU43+1,IF(WEEKDAY(CU43)=7,CU43+2,CU43)))+COUNTIF(ClosedDays!$J$4:$J$32,IF(WEEKDAY(CU43)=1,CU43+1,IF(WEEKDAY(CU43)=7,CU43+2,CU43)))+COUNTIF(ClosedDays!$N$4:$N$32,IF(WEEKDAY(CU43)=1,CU43+1,IF(WEEKDAY(CU43)=7,CU43+2,CU43)))</f>
        <v>44473</v>
      </c>
      <c r="CW43" s="405">
        <f>CV43+IF(WEEKDAY(CV43)=1,1,IF(WEEKDAY(CV43)=7,2,0))+COUNTIF(ClosedDays!$B$4:$B$32,IF(WEEKDAY(CV43)=1,CV43+1,IF(WEEKDAY(CV43)=7,CV43+2,CV43)))+COUNTIF(ClosedDays!$F$4:$F$32,IF(WEEKDAY(CV43)=1,CV43+1,IF(WEEKDAY(CV43)=7,CV43+2,CV43)))+COUNTIF(ClosedDays!$J$4:$J$32,IF(WEEKDAY(CV43)=1,CV43+1,IF(WEEKDAY(CV43)=7,CV43+2,CV43)))+COUNTIF(ClosedDays!$N$4:$N$32,IF(WEEKDAY(CV43)=1,CV43+1,IF(WEEKDAY(CV43)=7,CV43+2,CV43)))</f>
        <v>44473</v>
      </c>
      <c r="CX43" s="405">
        <f>CW43+IF(WEEKDAY(CW43)=1,1,IF(WEEKDAY(CW43)=7,2,0))+COUNTIF(ClosedDays!$B$4:$B$32,IF(WEEKDAY(CW43)=1,CW43+1,IF(WEEKDAY(CW43)=7,CW43+2,CW43)))+COUNTIF(ClosedDays!$F$4:$F$32,IF(WEEKDAY(CW43)=1,CW43+1,IF(WEEKDAY(CW43)=7,CW43+2,CW43)))+COUNTIF(ClosedDays!$J$4:$J$32,IF(WEEKDAY(CW43)=1,CW43+1,IF(WEEKDAY(CW43)=7,CW43+2,CW43)))+COUNTIF(ClosedDays!$N$4:$N$32,IF(WEEKDAY(CW43)=1,CW43+1,IF(WEEKDAY(CW43)=7,CW43+2,CW43)))</f>
        <v>44473</v>
      </c>
      <c r="CY43" s="405">
        <f t="shared" si="41"/>
        <v>44473</v>
      </c>
      <c r="CZ43" s="446">
        <f>IF(AND($D43&lt;='Outline Info'!$E$33,CY43&gt;='Outline Info'!$E$33,$AC43&gt;10,$AC43&lt;9997),1,0)</f>
        <v>0</v>
      </c>
      <c r="DA43" s="405">
        <f>IF(AND($D43&lt;='Outline Info'!$E$33,CY43&gt;='Outline Info'!$E$33),CY43+'Outline Info'!$F$33-'Outline Info'!$E$33+1,CY43)</f>
        <v>44473</v>
      </c>
      <c r="DB43" s="405">
        <f>DA43+IF(WEEKDAY(DA43)=1,1,IF(WEEKDAY(DA43)=7,2,0))+COUNTIF(ClosedDays!$B$4:$B$32,IF(WEEKDAY(DA43)=1,DA43+1,IF(WEEKDAY(DA43)=7,DA43+2,DA43)))+COUNTIF(ClosedDays!$F$4:$F$32,IF(WEEKDAY(DA43)=1,DA43+1,IF(WEEKDAY(DA43)=7,DA43+2,DA43)))+COUNTIF(ClosedDays!$J$4:$J$32,IF(WEEKDAY(DA43)=1,DA43+1,IF(WEEKDAY(DA43)=7,DA43+2,DA43)))+COUNTIF(ClosedDays!$N$4:$N$32,IF(WEEKDAY(DA43)=1,DA43+1,IF(WEEKDAY(DA43)=7,DA43+2,DA43)))</f>
        <v>44473</v>
      </c>
      <c r="DC43" s="405">
        <f>DB43+IF(WEEKDAY(DB43)=1,1,IF(WEEKDAY(DB43)=7,2,0))+COUNTIF(ClosedDays!$B$4:$B$32,IF(WEEKDAY(DB43)=1,DB43+1,IF(WEEKDAY(DB43)=7,DB43+2,DB43)))+COUNTIF(ClosedDays!$F$4:$F$32,IF(WEEKDAY(DB43)=1,DB43+1,IF(WEEKDAY(DB43)=7,DB43+2,DB43)))+COUNTIF(ClosedDays!$J$4:$J$32,IF(WEEKDAY(DB43)=1,DB43+1,IF(WEEKDAY(DB43)=7,DB43+2,DB43)))+COUNTIF(ClosedDays!$N$4:$N$32,IF(WEEKDAY(DB43)=1,DB43+1,IF(WEEKDAY(DB43)=7,DB43+2,DB43)))</f>
        <v>44473</v>
      </c>
      <c r="DD43" s="405">
        <f>DC43+IF(WEEKDAY(DC43)=1,1,IF(WEEKDAY(DC43)=7,2,0))+COUNTIF(ClosedDays!$B$4:$B$32,IF(WEEKDAY(DC43)=1,DC43+1,IF(WEEKDAY(DC43)=7,DC43+2,DC43)))+COUNTIF(ClosedDays!$F$4:$F$32,IF(WEEKDAY(DC43)=1,DC43+1,IF(WEEKDAY(DC43)=7,DC43+2,DC43)))+COUNTIF(ClosedDays!$J$4:$J$32,IF(WEEKDAY(DC43)=1,DC43+1,IF(WEEKDAY(DC43)=7,DC43+2,DC43)))+COUNTIF(ClosedDays!$N$4:$N$32,IF(WEEKDAY(DC43)=1,DC43+1,IF(WEEKDAY(DC43)=7,DC43+2,DC43)))</f>
        <v>44473</v>
      </c>
      <c r="DE43" s="405">
        <f>DD43+IF(WEEKDAY(DD43)=1,1,IF(WEEKDAY(DD43)=7,2,0))+COUNTIF(ClosedDays!$B$4:$B$32,IF(WEEKDAY(DD43)=1,DD43+1,IF(WEEKDAY(DD43)=7,DD43+2,DD43)))+COUNTIF(ClosedDays!$F$4:$F$32,IF(WEEKDAY(DD43)=1,DD43+1,IF(WEEKDAY(DD43)=7,DD43+2,DD43)))+COUNTIF(ClosedDays!$J$4:$J$32,IF(WEEKDAY(DD43)=1,DD43+1,IF(WEEKDAY(DD43)=7,DD43+2,DD43)))+COUNTIF(ClosedDays!$N$4:$N$32,IF(WEEKDAY(DD43)=1,DD43+1,IF(WEEKDAY(DD43)=7,DD43+2,DD43)))</f>
        <v>44473</v>
      </c>
      <c r="DF43" s="405">
        <f>DE43+IF(WEEKDAY(DE43)=1,1,IF(WEEKDAY(DE43)=7,2,0))+COUNTIF(ClosedDays!$B$4:$B$32,IF(WEEKDAY(DE43)=1,DE43+1,IF(WEEKDAY(DE43)=7,DE43+2,DE43)))+COUNTIF(ClosedDays!$F$4:$F$32,IF(WEEKDAY(DE43)=1,DE43+1,IF(WEEKDAY(DE43)=7,DE43+2,DE43)))+COUNTIF(ClosedDays!$J$4:$J$32,IF(WEEKDAY(DE43)=1,DE43+1,IF(WEEKDAY(DE43)=7,DE43+2,DE43)))+COUNTIF(ClosedDays!$N$4:$N$32,IF(WEEKDAY(DE43)=1,DE43+1,IF(WEEKDAY(DE43)=7,DE43+2,DE43)))</f>
        <v>44473</v>
      </c>
      <c r="DG43" s="405">
        <f>DF43+IF(WEEKDAY(DF43)=1,1,IF(WEEKDAY(DF43)=7,2,0))+COUNTIF(ClosedDays!$B$4:$B$32,IF(WEEKDAY(DF43)=1,DF43+1,IF(WEEKDAY(DF43)=7,DF43+2,DF43)))+COUNTIF(ClosedDays!$F$4:$F$32,IF(WEEKDAY(DF43)=1,DF43+1,IF(WEEKDAY(DF43)=7,DF43+2,DF43)))+COUNTIF(ClosedDays!$J$4:$J$32,IF(WEEKDAY(DF43)=1,DF43+1,IF(WEEKDAY(DF43)=7,DF43+2,DF43)))+COUNTIF(ClosedDays!$N$4:$N$32,IF(WEEKDAY(DF43)=1,DF43+1,IF(WEEKDAY(DF43)=7,DF43+2,DF43)))</f>
        <v>44473</v>
      </c>
      <c r="DH43" s="405">
        <f>DG43+IF(WEEKDAY(DG43)=1,1,IF(WEEKDAY(DG43)=7,2,0))+COUNTIF(ClosedDays!$B$4:$B$32,IF(WEEKDAY(DG43)=1,DG43+1,IF(WEEKDAY(DG43)=7,DG43+2,DG43)))+COUNTIF(ClosedDays!$F$4:$F$32,IF(WEEKDAY(DG43)=1,DG43+1,IF(WEEKDAY(DG43)=7,DG43+2,DG43)))+COUNTIF(ClosedDays!$J$4:$J$32,IF(WEEKDAY(DG43)=1,DG43+1,IF(WEEKDAY(DG43)=7,DG43+2,DG43)))+COUNTIF(ClosedDays!$N$4:$N$32,IF(WEEKDAY(DG43)=1,DG43+1,IF(WEEKDAY(DG43)=7,DG43+2,DG43)))</f>
        <v>44473</v>
      </c>
      <c r="DI43" s="405">
        <f>DH43+IF(WEEKDAY(DH43)=1,1,IF(WEEKDAY(DH43)=7,2,0))+COUNTIF(ClosedDays!$B$4:$B$32,IF(WEEKDAY(DH43)=1,DH43+1,IF(WEEKDAY(DH43)=7,DH43+2,DH43)))+COUNTIF(ClosedDays!$F$4:$F$32,IF(WEEKDAY(DH43)=1,DH43+1,IF(WEEKDAY(DH43)=7,DH43+2,DH43)))+COUNTIF(ClosedDays!$J$4:$J$32,IF(WEEKDAY(DH43)=1,DH43+1,IF(WEEKDAY(DH43)=7,DH43+2,DH43)))+COUNTIF(ClosedDays!$N$4:$N$32,IF(WEEKDAY(DH43)=1,DH43+1,IF(WEEKDAY(DH43)=7,DH43+2,DH43)))</f>
        <v>44473</v>
      </c>
      <c r="DJ43" s="405">
        <f>DI43+IF(WEEKDAY(DI43)=1,1,IF(WEEKDAY(DI43)=7,2,0))+COUNTIF(ClosedDays!$B$4:$B$32,IF(WEEKDAY(DI43)=1,DI43+1,IF(WEEKDAY(DI43)=7,DI43+2,DI43)))+COUNTIF(ClosedDays!$F$4:$F$32,IF(WEEKDAY(DI43)=1,DI43+1,IF(WEEKDAY(DI43)=7,DI43+2,DI43)))+COUNTIF(ClosedDays!$J$4:$J$32,IF(WEEKDAY(DI43)=1,DI43+1,IF(WEEKDAY(DI43)=7,DI43+2,DI43)))+COUNTIF(ClosedDays!$N$4:$N$32,IF(WEEKDAY(DI43)=1,DI43+1,IF(WEEKDAY(DI43)=7,DI43+2,DI43)))</f>
        <v>44473</v>
      </c>
      <c r="DK43" s="405">
        <f>DJ43+IF(WEEKDAY(DJ43)=1,1,IF(WEEKDAY(DJ43)=7,2,0))+COUNTIF(ClosedDays!$B$4:$B$32,IF(WEEKDAY(DJ43)=1,DJ43+1,IF(WEEKDAY(DJ43)=7,DJ43+2,DJ43)))+COUNTIF(ClosedDays!$F$4:$F$32,IF(WEEKDAY(DJ43)=1,DJ43+1,IF(WEEKDAY(DJ43)=7,DJ43+2,DJ43)))+COUNTIF(ClosedDays!$J$4:$J$32,IF(WEEKDAY(DJ43)=1,DJ43+1,IF(WEEKDAY(DJ43)=7,DJ43+2,DJ43)))+COUNTIF(ClosedDays!$N$4:$N$32,IF(WEEKDAY(DJ43)=1,DJ43+1,IF(WEEKDAY(DJ43)=7,DJ43+2,DJ43)))</f>
        <v>44473</v>
      </c>
      <c r="DL43" s="405">
        <f>DK43+IF(WEEKDAY(DK43)=1,1,IF(WEEKDAY(DK43)=7,2,0))+COUNTIF(ClosedDays!$B$4:$B$32,IF(WEEKDAY(DK43)=1,DK43+1,IF(WEEKDAY(DK43)=7,DK43+2,DK43)))+COUNTIF(ClosedDays!$F$4:$F$32,IF(WEEKDAY(DK43)=1,DK43+1,IF(WEEKDAY(DK43)=7,DK43+2,DK43)))+COUNTIF(ClosedDays!$J$4:$J$32,IF(WEEKDAY(DK43)=1,DK43+1,IF(WEEKDAY(DK43)=7,DK43+2,DK43)))+COUNTIF(ClosedDays!$N$4:$N$32,IF(WEEKDAY(DK43)=1,DK43+1,IF(WEEKDAY(DK43)=7,DK43+2,DK43)))</f>
        <v>44473</v>
      </c>
      <c r="DM43" s="405">
        <f>DL43+IF(WEEKDAY(DL43)=1,1,IF(WEEKDAY(DL43)=7,2,0))+COUNTIF(ClosedDays!$B$4:$B$32,IF(WEEKDAY(DL43)=1,DL43+1,IF(WEEKDAY(DL43)=7,DL43+2,DL43)))+COUNTIF(ClosedDays!$F$4:$F$32,IF(WEEKDAY(DL43)=1,DL43+1,IF(WEEKDAY(DL43)=7,DL43+2,DL43)))+COUNTIF(ClosedDays!$J$4:$J$32,IF(WEEKDAY(DL43)=1,DL43+1,IF(WEEKDAY(DL43)=7,DL43+2,DL43)))+COUNTIF(ClosedDays!$N$4:$N$32,IF(WEEKDAY(DL43)=1,DL43+1,IF(WEEKDAY(DL43)=7,DL43+2,DL43)))</f>
        <v>44473</v>
      </c>
      <c r="DN43" s="405">
        <f>DM43+IF(WEEKDAY(DM43)=1,1,IF(WEEKDAY(DM43)=7,2,0))+COUNTIF(ClosedDays!$B$4:$B$32,IF(WEEKDAY(DM43)=1,DM43+1,IF(WEEKDAY(DM43)=7,DM43+2,DM43)))+COUNTIF(ClosedDays!$F$4:$F$32,IF(WEEKDAY(DM43)=1,DM43+1,IF(WEEKDAY(DM43)=7,DM43+2,DM43)))+COUNTIF(ClosedDays!$J$4:$J$32,IF(WEEKDAY(DM43)=1,DM43+1,IF(WEEKDAY(DM43)=7,DM43+2,DM43)))+COUNTIF(ClosedDays!$N$4:$N$32,IF(WEEKDAY(DM43)=1,DM43+1,IF(WEEKDAY(DM43)=7,DM43+2,DM43)))</f>
        <v>44473</v>
      </c>
      <c r="DO43" s="405">
        <f>DN43+IF(WEEKDAY(DN43)=1,1,IF(WEEKDAY(DN43)=7,2,0))+COUNTIF(ClosedDays!$B$4:$B$32,IF(WEEKDAY(DN43)=1,DN43+1,IF(WEEKDAY(DN43)=7,DN43+2,DN43)))+COUNTIF(ClosedDays!$F$4:$F$32,IF(WEEKDAY(DN43)=1,DN43+1,IF(WEEKDAY(DN43)=7,DN43+2,DN43)))+COUNTIF(ClosedDays!$J$4:$J$32,IF(WEEKDAY(DN43)=1,DN43+1,IF(WEEKDAY(DN43)=7,DN43+2,DN43)))+COUNTIF(ClosedDays!$N$4:$N$32,IF(WEEKDAY(DN43)=1,DN43+1,IF(WEEKDAY(DN43)=7,DN43+2,DN43)))</f>
        <v>44473</v>
      </c>
      <c r="DP43" s="405">
        <f t="shared" si="23"/>
        <v>44473</v>
      </c>
      <c r="DQ43" s="405">
        <f t="shared" si="42"/>
        <v>44473</v>
      </c>
      <c r="DR43" s="394">
        <f t="shared" si="43"/>
        <v>1</v>
      </c>
      <c r="DS43" s="394">
        <f>IF(AND(DR43=1,COUNTIF(DS$7:DS42,1)&lt;12,VLOOKUP(COUNTIF(DS$7:DS42,1)+1,'Outline Info'!$A$21:$C$32,2)&lt;=I43),1,0)</f>
        <v>0</v>
      </c>
      <c r="DT43" s="405" t="str">
        <f>IF(DS43=1,IF(VLOOKUP(COUNTIF(DS$7:DS43,1),'Outline Info'!$A$21:$C$32,2)=0,"",VLOOKUP(COUNTIF(DS$7:DS43,1),'Outline Info'!$A$21:$C$32,2)),"")</f>
        <v/>
      </c>
      <c r="DU43" s="447">
        <f>IF(DS43=1,VLOOKUP(COUNTIF(DS$7:DS43,1),'Outline Info'!$A$21:$C$32,3),0)</f>
        <v>0</v>
      </c>
      <c r="DV43" s="445">
        <f>IF('Outline Info'!$B$8="Y",IF(B43="*",'Outline Info'!$B$19,IF(OR($A43="",B43="X",B43="x"),0,VLOOKUP($A43,'Course Table'!$A$2:$J$331,4,TRUE))),0)</f>
        <v>0</v>
      </c>
      <c r="DW43" s="447">
        <f t="shared" si="44"/>
        <v>0</v>
      </c>
      <c r="DX43" s="447">
        <f>IF('Outline Info'!$B$8="Y",$DV43,$DW43)</f>
        <v>0</v>
      </c>
      <c r="DY43" s="394"/>
      <c r="DZ43" s="934"/>
      <c r="EA43" s="934"/>
      <c r="EB43" s="394"/>
      <c r="EC43" s="394"/>
      <c r="ED43" s="394"/>
    </row>
    <row r="44" spans="1:134" s="400" customFormat="1" ht="20.100000000000001" customHeight="1">
      <c r="A44" s="875" t="str">
        <f t="shared" si="24"/>
        <v/>
      </c>
      <c r="B44" s="877" t="str">
        <f t="shared" si="25"/>
        <v/>
      </c>
      <c r="C44" s="879" t="str">
        <f t="shared" si="26"/>
        <v/>
      </c>
      <c r="D44" s="463">
        <f>IF(NOT(ISBLANK(DZ44)),DZ44,IF(AND($AC44=9998,'Outline Info'!$H$33&gt;='Outline Info'!$B$6,'Outline Info'!$H$33&lt;='Outline Info'!$C$6),'Outline Info'!$H$33,IF(AND($AC44=9997,'Outline Info'!$H$31&gt;='Outline Info'!$B$6,'Outline Info'!$H$31&lt;='Outline Info'!$C$6),'Outline Info'!$H$31,IF(AE44="*",DQ43,IF(OR(AE44="x",AE44="X"),I43,IF(AND(AC44&gt;6,AC43&lt;6),DQ43,IF(AND($AC44=9998,$AC43=9997),I42,I43)))))))</f>
        <v>44470</v>
      </c>
      <c r="E44" s="1309"/>
      <c r="F44" s="1310"/>
      <c r="G44" s="1284"/>
      <c r="H44" s="1285"/>
      <c r="I44" s="465">
        <f>IF(AND($AC44=9998,'Outline Info'!$I$33&gt;='Outline Info'!$B$6,'Outline Info'!$I$33&lt;='Outline Info'!$C$6),'Outline Info'!$I$33,IF(AND($AC44=9997,'Outline Info'!$I$31&gt;='Outline Info'!$B$6,'Outline Info'!$I$31&lt;='Outline Info'!$C$6),'Outline Info'!$I$31,IF(DP44&gt;$V$4,$V$4,DP44)))</f>
        <v>44470</v>
      </c>
      <c r="J44" s="456"/>
      <c r="K44" s="457"/>
      <c r="L44" s="458"/>
      <c r="M44" s="458"/>
      <c r="N44" s="455"/>
      <c r="O44" s="455"/>
      <c r="P44" s="458"/>
      <c r="Q44" s="458"/>
      <c r="R44" s="459"/>
      <c r="S44" s="873">
        <f>IF($V$5-SUM($DX$7:$DX44)&lt;0,IF($V$5-SUM($DX$7:$DX43)&lt;0,0,$V$5-SUM($DX$7:$DX43)),DX44)</f>
        <v>0</v>
      </c>
      <c r="T44" s="460" t="str">
        <f>IF(S44&gt;0,IF('Outline Info'!$B$8="Y",D44,DT44),"")</f>
        <v/>
      </c>
      <c r="U44" s="461"/>
      <c r="V44" s="462"/>
      <c r="W44" s="871" t="str">
        <f>IF('Outline Info'!$C$33&gt;0,ROUND(IF('Outline Info'!$B$8="Y",SUM(S$7:S44)-SUM(AJ$7:AJ44)-'Outline Info'!$B$14-'Outline Info'!$B$15-'Outline Info'!$B$17,IF(AL44=0,SUM(S$7:S44)-SUM(AK$7:AK44)-SUM(AP44:AS44)-'Outline Info'!$B$14-'Outline Info'!$B$15-'Outline Info'!$B$17,0)),0),IF('Outline Info'!$T$4&lt;&gt;1,"",IF(OR(AD44="",AL44=1),"",SUM(AK$7:AK44)+SUM(AP44:AS44)+'Outline Info'!$B$14+'Outline Info'!$B$15+'Outline Info'!$B$17)))</f>
        <v/>
      </c>
      <c r="X44" s="448"/>
      <c r="Y44" s="443">
        <f>IF(OR(AE44="X",AE44="x",AE44="*",AC44=99999),0,IF(AC44&lt;50,0,IF($S$4-SUM($Y$7:$Y43)&gt;0,1,0)))</f>
        <v>0</v>
      </c>
      <c r="Z44" s="444">
        <f>IF(AC44&lt;99999,IF(AE44="*",AH44,IF(OR(AE44="x",AE44="X",AC44&lt;10),0,IF(AND(AC44&lt;&gt;9998,AC44&lt;&gt;9997),IF(AM44=1,(AH44+$AM$5)*(1+('Outline Info'!$B$16)),IF(AN44=1,(AH44+$AN$5)*(1+('Outline Info'!$B$16)),0)),AH44))),0)</f>
        <v>0</v>
      </c>
      <c r="AA44" s="395">
        <f>Z44/'Outline Info'!$C$11+Y44</f>
        <v>0</v>
      </c>
      <c r="AB44" s="395">
        <f>ROUND(AA44/'Outline Info'!$B$11*7,0)</f>
        <v>0</v>
      </c>
      <c r="AC44" s="450">
        <f>IF($AD44&lt;&gt;"",VLOOKUP($AD44,'Course Table'!$A$2:$J$331,10,TRUE),99999)</f>
        <v>99999</v>
      </c>
      <c r="AD44" s="451"/>
      <c r="AE44" s="394"/>
      <c r="AF44" s="451"/>
      <c r="AG44" s="451"/>
      <c r="AH44" s="451"/>
      <c r="AI44" s="394">
        <v>0</v>
      </c>
      <c r="AJ44" s="394">
        <v>0</v>
      </c>
      <c r="AK44" s="394">
        <f t="shared" si="27"/>
        <v>0</v>
      </c>
      <c r="AL44" s="394">
        <f t="shared" si="28"/>
        <v>0</v>
      </c>
      <c r="AM44" s="394">
        <f t="shared" si="29"/>
        <v>0</v>
      </c>
      <c r="AN44" s="394">
        <f t="shared" si="30"/>
        <v>0</v>
      </c>
      <c r="AO44" s="394">
        <f>IF(AN44=1,SUMPRODUCT($AJ$7:$AJ44,$AN$7:$AN44),0)</f>
        <v>0</v>
      </c>
      <c r="AP44" s="394">
        <f t="shared" si="31"/>
        <v>0</v>
      </c>
      <c r="AQ44" s="394">
        <f t="shared" si="32"/>
        <v>0</v>
      </c>
      <c r="AR44" s="394">
        <f t="shared" si="33"/>
        <v>0</v>
      </c>
      <c r="AS44" s="394">
        <f t="shared" si="34"/>
        <v>0</v>
      </c>
      <c r="AT44" s="394">
        <f t="shared" si="35"/>
        <v>0</v>
      </c>
      <c r="AU44" s="394">
        <f t="shared" si="36"/>
        <v>0</v>
      </c>
      <c r="AV44" s="394">
        <f t="shared" si="37"/>
        <v>0</v>
      </c>
      <c r="AW44" s="394">
        <f t="shared" si="38"/>
        <v>0</v>
      </c>
      <c r="AX44" s="394">
        <f t="shared" si="1"/>
        <v>0</v>
      </c>
      <c r="AY44" s="394">
        <f t="shared" si="2"/>
        <v>0</v>
      </c>
      <c r="AZ44" s="394">
        <f t="shared" si="3"/>
        <v>0</v>
      </c>
      <c r="BA44" s="394">
        <f t="shared" si="4"/>
        <v>0</v>
      </c>
      <c r="BB44" s="405">
        <f t="shared" si="22"/>
        <v>44473</v>
      </c>
      <c r="BC44" s="405">
        <f>BB44+IF(WEEKDAY(BB44)=1,1,IF(WEEKDAY(BB44)=7,2,0))+COUNTIF(ClosedDays!$B$4:$B$32,IF(WEEKDAY(BB44)=1,BB44+1,IF(WEEKDAY(BB44)=7,BB44+2,BB44)))+COUNTIF(ClosedDays!$F$4:$F$32,IF(WEEKDAY(BB44)=1,BB44+1,IF(WEEKDAY(BB44)=7,BB44+2,BB44)))+COUNTIF(ClosedDays!$J$4:$J$32,IF(WEEKDAY(BB44)=1,BB44+1,IF(WEEKDAY(BB44)=7,BB44+2,BB44)))+COUNTIF(ClosedDays!$N$4:$N$32,IF(WEEKDAY(BB44)=1,BB44+1,IF(WEEKDAY(BB44)=7,BB44+2,BB44)))</f>
        <v>44473</v>
      </c>
      <c r="BD44" s="405">
        <f>BC44+IF(WEEKDAY(BC44)=1,1,IF(WEEKDAY(BC44)=7,2,0))+COUNTIF(ClosedDays!$B$4:$B$32,IF(WEEKDAY(BC44)=1,BC44+1,IF(WEEKDAY(BC44)=7,BC44+2,BC44)))+COUNTIF(ClosedDays!$F$4:$F$32,IF(WEEKDAY(BC44)=1,BC44+1,IF(WEEKDAY(BC44)=7,BC44+2,BC44)))+COUNTIF(ClosedDays!$J$4:$J$32,IF(WEEKDAY(BC44)=1,BC44+1,IF(WEEKDAY(BC44)=7,BC44+2,BC44)))+COUNTIF(ClosedDays!$N$4:$N$32,IF(WEEKDAY(BC44)=1,BC44+1,IF(WEEKDAY(BC44)=7,BC44+2,BC44)))</f>
        <v>44473</v>
      </c>
      <c r="BE44" s="405">
        <f>BD44+IF(WEEKDAY(BD44)=1,1,IF(WEEKDAY(BD44)=7,2,0))+COUNTIF(ClosedDays!$B$4:$B$32,IF(WEEKDAY(BD44)=1,BD44+1,IF(WEEKDAY(BD44)=7,BD44+2,BD44)))+COUNTIF(ClosedDays!$F$4:$F$32,IF(WEEKDAY(BD44)=1,BD44+1,IF(WEEKDAY(BD44)=7,BD44+2,BD44)))+COUNTIF(ClosedDays!$J$4:$J$32,IF(WEEKDAY(BD44)=1,BD44+1,IF(WEEKDAY(BD44)=7,BD44+2,BD44)))+COUNTIF(ClosedDays!$N$4:$N$32,IF(WEEKDAY(BD44)=1,BD44+1,IF(WEEKDAY(BD44)=7,BD44+2,BD44)))</f>
        <v>44473</v>
      </c>
      <c r="BF44" s="405">
        <f>BE44+IF(WEEKDAY(BE44)=1,1,IF(WEEKDAY(BE44)=7,2,0))+COUNTIF(ClosedDays!$B$4:$B$32,IF(WEEKDAY(BE44)=1,BE44+1,IF(WEEKDAY(BE44)=7,BE44+2,BE44)))+COUNTIF(ClosedDays!$F$4:$F$32,IF(WEEKDAY(BE44)=1,BE44+1,IF(WEEKDAY(BE44)=7,BE44+2,BE44)))+COUNTIF(ClosedDays!$J$4:$J$32,IF(WEEKDAY(BE44)=1,BE44+1,IF(WEEKDAY(BE44)=7,BE44+2,BE44)))+COUNTIF(ClosedDays!$N$4:$N$32,IF(WEEKDAY(BE44)=1,BE44+1,IF(WEEKDAY(BE44)=7,BE44+2,BE44)))</f>
        <v>44473</v>
      </c>
      <c r="BG44" s="405">
        <f>BF44+IF(WEEKDAY(BF44)=1,1,IF(WEEKDAY(BF44)=7,2,0))+COUNTIF(ClosedDays!$B$4:$B$32,IF(WEEKDAY(BF44)=1,BF44+1,IF(WEEKDAY(BF44)=7,BF44+2,BF44)))+COUNTIF(ClosedDays!$F$4:$F$32,IF(WEEKDAY(BF44)=1,BF44+1,IF(WEEKDAY(BF44)=7,BF44+2,BF44)))+COUNTIF(ClosedDays!$J$4:$J$32,IF(WEEKDAY(BF44)=1,BF44+1,IF(WEEKDAY(BF44)=7,BF44+2,BF44)))+COUNTIF(ClosedDays!$N$4:$N$32,IF(WEEKDAY(BF44)=1,BF44+1,IF(WEEKDAY(BF44)=7,BF44+2,BF44)))</f>
        <v>44473</v>
      </c>
      <c r="BH44" s="405">
        <f>BG44+IF(WEEKDAY(BG44)=1,1,IF(WEEKDAY(BG44)=7,2,0))+COUNTIF(ClosedDays!$B$4:$B$32,IF(WEEKDAY(BG44)=1,BG44+1,IF(WEEKDAY(BG44)=7,BG44+2,BG44)))+COUNTIF(ClosedDays!$F$4:$F$32,IF(WEEKDAY(BG44)=1,BG44+1,IF(WEEKDAY(BG44)=7,BG44+2,BG44)))+COUNTIF(ClosedDays!$J$4:$J$32,IF(WEEKDAY(BG44)=1,BG44+1,IF(WEEKDAY(BG44)=7,BG44+2,BG44)))+COUNTIF(ClosedDays!$N$4:$N$32,IF(WEEKDAY(BG44)=1,BG44+1,IF(WEEKDAY(BG44)=7,BG44+2,BG44)))</f>
        <v>44473</v>
      </c>
      <c r="BI44" s="405">
        <f>BH44+IF(WEEKDAY(BH44)=1,1,IF(WEEKDAY(BH44)=7,2,0))+COUNTIF(ClosedDays!$B$4:$B$32,IF(WEEKDAY(BH44)=1,BH44+1,IF(WEEKDAY(BH44)=7,BH44+2,BH44)))+COUNTIF(ClosedDays!$F$4:$F$32,IF(WEEKDAY(BH44)=1,BH44+1,IF(WEEKDAY(BH44)=7,BH44+2,BH44)))+COUNTIF(ClosedDays!$J$4:$J$32,IF(WEEKDAY(BH44)=1,BH44+1,IF(WEEKDAY(BH44)=7,BH44+2,BH44)))+COUNTIF(ClosedDays!$N$4:$N$32,IF(WEEKDAY(BH44)=1,BH44+1,IF(WEEKDAY(BH44)=7,BH44+2,BH44)))</f>
        <v>44473</v>
      </c>
      <c r="BJ44" s="405">
        <f>BI44+IF(WEEKDAY(BI44)=1,1,IF(WEEKDAY(BI44)=7,2,0))+COUNTIF(ClosedDays!$B$4:$B$32,IF(WEEKDAY(BI44)=1,BI44+1,IF(WEEKDAY(BI44)=7,BI44+2,BI44)))+COUNTIF(ClosedDays!$F$4:$F$32,IF(WEEKDAY(BI44)=1,BI44+1,IF(WEEKDAY(BI44)=7,BI44+2,BI44)))+COUNTIF(ClosedDays!$J$4:$J$32,IF(WEEKDAY(BI44)=1,BI44+1,IF(WEEKDAY(BI44)=7,BI44+2,BI44)))+COUNTIF(ClosedDays!$N$4:$N$32,IF(WEEKDAY(BI44)=1,BI44+1,IF(WEEKDAY(BI44)=7,BI44+2,BI44)))</f>
        <v>44473</v>
      </c>
      <c r="BK44" s="405">
        <f>BJ44+IF(WEEKDAY(BJ44)=1,1,IF(WEEKDAY(BJ44)=7,2,0))+COUNTIF(ClosedDays!$B$4:$B$32,IF(WEEKDAY(BJ44)=1,BJ44+1,IF(WEEKDAY(BJ44)=7,BJ44+2,BJ44)))+COUNTIF(ClosedDays!$F$4:$F$32,IF(WEEKDAY(BJ44)=1,BJ44+1,IF(WEEKDAY(BJ44)=7,BJ44+2,BJ44)))+COUNTIF(ClosedDays!$J$4:$J$32,IF(WEEKDAY(BJ44)=1,BJ44+1,IF(WEEKDAY(BJ44)=7,BJ44+2,BJ44)))+COUNTIF(ClosedDays!$N$4:$N$32,IF(WEEKDAY(BJ44)=1,BJ44+1,IF(WEEKDAY(BJ44)=7,BJ44+2,BJ44)))</f>
        <v>44473</v>
      </c>
      <c r="BL44" s="405">
        <f>BK44+IF(WEEKDAY(BK44)=1,1,IF(WEEKDAY(BK44)=7,2,0))+COUNTIF(ClosedDays!$B$4:$B$32,IF(WEEKDAY(BK44)=1,BK44+1,IF(WEEKDAY(BK44)=7,BK44+2,BK44)))+COUNTIF(ClosedDays!$F$4:$F$32,IF(WEEKDAY(BK44)=1,BK44+1,IF(WEEKDAY(BK44)=7,BK44+2,BK44)))+COUNTIF(ClosedDays!$J$4:$J$32,IF(WEEKDAY(BK44)=1,BK44+1,IF(WEEKDAY(BK44)=7,BK44+2,BK44)))+COUNTIF(ClosedDays!$N$4:$N$32,IF(WEEKDAY(BK44)=1,BK44+1,IF(WEEKDAY(BK44)=7,BK44+2,BK44)))</f>
        <v>44473</v>
      </c>
      <c r="BM44" s="405">
        <f>BL44+IF(WEEKDAY(BL44)=1,1,IF(WEEKDAY(BL44)=7,2,0))+COUNTIF(ClosedDays!$B$4:$B$32,IF(WEEKDAY(BL44)=1,BL44+1,IF(WEEKDAY(BL44)=7,BL44+2,BL44)))+COUNTIF(ClosedDays!$F$4:$F$32,IF(WEEKDAY(BL44)=1,BL44+1,IF(WEEKDAY(BL44)=7,BL44+2,BL44)))+COUNTIF(ClosedDays!$J$4:$J$32,IF(WEEKDAY(BL44)=1,BL44+1,IF(WEEKDAY(BL44)=7,BL44+2,BL44)))+COUNTIF(ClosedDays!$N$4:$N$32,IF(WEEKDAY(BL44)=1,BL44+1,IF(WEEKDAY(BL44)=7,BL44+2,BL44)))</f>
        <v>44473</v>
      </c>
      <c r="BN44" s="405">
        <f>BM44+IF(WEEKDAY(BM44)=1,1,IF(WEEKDAY(BM44)=7,2,0))+COUNTIF(ClosedDays!$B$4:$B$32,IF(WEEKDAY(BM44)=1,BM44+1,IF(WEEKDAY(BM44)=7,BM44+2,BM44)))+COUNTIF(ClosedDays!$F$4:$F$32,IF(WEEKDAY(BM44)=1,BM44+1,IF(WEEKDAY(BM44)=7,BM44+2,BM44)))+COUNTIF(ClosedDays!$J$4:$J$32,IF(WEEKDAY(BM44)=1,BM44+1,IF(WEEKDAY(BM44)=7,BM44+2,BM44)))+COUNTIF(ClosedDays!$N$4:$N$32,IF(WEEKDAY(BM44)=1,BM44+1,IF(WEEKDAY(BM44)=7,BM44+2,BM44)))</f>
        <v>44473</v>
      </c>
      <c r="BO44" s="405">
        <f>BN44+IF(WEEKDAY(BN44)=1,1,IF(WEEKDAY(BN44)=7,2,0))+COUNTIF(ClosedDays!$B$4:$B$32,IF(WEEKDAY(BN44)=1,BN44+1,IF(WEEKDAY(BN44)=7,BN44+2,BN44)))+COUNTIF(ClosedDays!$F$4:$F$32,IF(WEEKDAY(BN44)=1,BN44+1,IF(WEEKDAY(BN44)=7,BN44+2,BN44)))+COUNTIF(ClosedDays!$J$4:$J$32,IF(WEEKDAY(BN44)=1,BN44+1,IF(WEEKDAY(BN44)=7,BN44+2,BN44)))+COUNTIF(ClosedDays!$N$4:$N$32,IF(WEEKDAY(BN44)=1,BN44+1,IF(WEEKDAY(BN44)=7,BN44+2,BN44)))</f>
        <v>44473</v>
      </c>
      <c r="BP44" s="405">
        <f>BO44+IF(WEEKDAY(BO44)=1,1,IF(WEEKDAY(BO44)=7,2,0))+COUNTIF(ClosedDays!$B$4:$B$32,IF(WEEKDAY(BO44)=1,BO44+1,IF(WEEKDAY(BO44)=7,BO44+2,BO44)))+COUNTIF(ClosedDays!$F$4:$F$32,IF(WEEKDAY(BO44)=1,BO44+1,IF(WEEKDAY(BO44)=7,BO44+2,BO44)))+COUNTIF(ClosedDays!$J$4:$J$32,IF(WEEKDAY(BO44)=1,BO44+1,IF(WEEKDAY(BO44)=7,BO44+2,BO44)))+COUNTIF(ClosedDays!$N$4:$N$32,IF(WEEKDAY(BO44)=1,BO44+1,IF(WEEKDAY(BO44)=7,BO44+2,BO44)))</f>
        <v>44473</v>
      </c>
      <c r="BQ44" s="405">
        <f t="shared" si="39"/>
        <v>44473</v>
      </c>
      <c r="BR44" s="446">
        <f>IF(AND($D44&lt;='Outline Info'!$H$31,BQ44&gt;='Outline Info'!$H$31,$BS$4=1,$AC44&gt;10,$AC44&lt;9997),1,0)</f>
        <v>0</v>
      </c>
      <c r="BS44" s="405">
        <f>IF(BR44=1,BQ44+'Outline Info'!$I$31-'Outline Info'!$H$31+1,BQ44)</f>
        <v>44473</v>
      </c>
      <c r="BT44" s="405">
        <f>BS44+IF(WEEKDAY(BS44)=1,1,IF(WEEKDAY(BS44)=7,2,0))+COUNTIF(ClosedDays!$B$4:$B$32,IF(WEEKDAY(BS44)=1,BS44+1,IF(WEEKDAY(BS44)=7,BS44+2,BS44)))+COUNTIF(ClosedDays!$F$4:$F$32,IF(WEEKDAY(BS44)=1,BS44+1,IF(WEEKDAY(BS44)=7,BS44+2,BS44)))+COUNTIF(ClosedDays!$J$4:$J$32,IF(WEEKDAY(BS44)=1,BS44+1,IF(WEEKDAY(BS44)=7,BS44+2,BS44)))+COUNTIF(ClosedDays!$N$4:$N$32,IF(WEEKDAY(BS44)=1,BS44+1,IF(WEEKDAY(BS44)=7,BS44+2,BS44)))</f>
        <v>44473</v>
      </c>
      <c r="BU44" s="405">
        <f>BT44+IF(WEEKDAY(BT44)=1,1,IF(WEEKDAY(BT44)=7,2,0))+COUNTIF(ClosedDays!$B$4:$B$32,IF(WEEKDAY(BT44)=1,BT44+1,IF(WEEKDAY(BT44)=7,BT44+2,BT44)))+COUNTIF(ClosedDays!$F$4:$F$32,IF(WEEKDAY(BT44)=1,BT44+1,IF(WEEKDAY(BT44)=7,BT44+2,BT44)))+COUNTIF(ClosedDays!$J$4:$J$32,IF(WEEKDAY(BT44)=1,BT44+1,IF(WEEKDAY(BT44)=7,BT44+2,BT44)))+COUNTIF(ClosedDays!$N$4:$N$32,IF(WEEKDAY(BT44)=1,BT44+1,IF(WEEKDAY(BT44)=7,BT44+2,BT44)))</f>
        <v>44473</v>
      </c>
      <c r="BV44" s="405">
        <f>BU44+IF(WEEKDAY(BU44)=1,1,IF(WEEKDAY(BU44)=7,2,0))+COUNTIF(ClosedDays!$B$4:$B$32,IF(WEEKDAY(BU44)=1,BU44+1,IF(WEEKDAY(BU44)=7,BU44+2,BU44)))+COUNTIF(ClosedDays!$F$4:$F$32,IF(WEEKDAY(BU44)=1,BU44+1,IF(WEEKDAY(BU44)=7,BU44+2,BU44)))+COUNTIF(ClosedDays!$J$4:$J$32,IF(WEEKDAY(BU44)=1,BU44+1,IF(WEEKDAY(BU44)=7,BU44+2,BU44)))+COUNTIF(ClosedDays!$N$4:$N$32,IF(WEEKDAY(BU44)=1,BU44+1,IF(WEEKDAY(BU44)=7,BU44+2,BU44)))</f>
        <v>44473</v>
      </c>
      <c r="BW44" s="405">
        <f>BV44+IF(WEEKDAY(BV44)=1,1,IF(WEEKDAY(BV44)=7,2,0))+COUNTIF(ClosedDays!$B$4:$B$32,IF(WEEKDAY(BV44)=1,BV44+1,IF(WEEKDAY(BV44)=7,BV44+2,BV44)))+COUNTIF(ClosedDays!$F$4:$F$32,IF(WEEKDAY(BV44)=1,BV44+1,IF(WEEKDAY(BV44)=7,BV44+2,BV44)))+COUNTIF(ClosedDays!$J$4:$J$32,IF(WEEKDAY(BV44)=1,BV44+1,IF(WEEKDAY(BV44)=7,BV44+2,BV44)))+COUNTIF(ClosedDays!$N$4:$N$32,IF(WEEKDAY(BV44)=1,BV44+1,IF(WEEKDAY(BV44)=7,BV44+2,BV44)))</f>
        <v>44473</v>
      </c>
      <c r="BX44" s="405">
        <f>BW44+IF(WEEKDAY(BW44)=1,1,IF(WEEKDAY(BW44)=7,2,0))+COUNTIF(ClosedDays!$B$4:$B$32,IF(WEEKDAY(BW44)=1,BW44+1,IF(WEEKDAY(BW44)=7,BW44+2,BW44)))+COUNTIF(ClosedDays!$F$4:$F$32,IF(WEEKDAY(BW44)=1,BW44+1,IF(WEEKDAY(BW44)=7,BW44+2,BW44)))+COUNTIF(ClosedDays!$J$4:$J$32,IF(WEEKDAY(BW44)=1,BW44+1,IF(WEEKDAY(BW44)=7,BW44+2,BW44)))+COUNTIF(ClosedDays!$N$4:$N$32,IF(WEEKDAY(BW44)=1,BW44+1,IF(WEEKDAY(BW44)=7,BW44+2,BW44)))</f>
        <v>44473</v>
      </c>
      <c r="BY44" s="405">
        <f>BX44+IF(WEEKDAY(BX44)=1,1,IF(WEEKDAY(BX44)=7,2,0))+COUNTIF(ClosedDays!$B$4:$B$32,IF(WEEKDAY(BX44)=1,BX44+1,IF(WEEKDAY(BX44)=7,BX44+2,BX44)))+COUNTIF(ClosedDays!$F$4:$F$32,IF(WEEKDAY(BX44)=1,BX44+1,IF(WEEKDAY(BX44)=7,BX44+2,BX44)))+COUNTIF(ClosedDays!$J$4:$J$32,IF(WEEKDAY(BX44)=1,BX44+1,IF(WEEKDAY(BX44)=7,BX44+2,BX44)))+COUNTIF(ClosedDays!$N$4:$N$32,IF(WEEKDAY(BX44)=1,BX44+1,IF(WEEKDAY(BX44)=7,BX44+2,BX44)))</f>
        <v>44473</v>
      </c>
      <c r="BZ44" s="405">
        <f>BY44+IF(WEEKDAY(BY44)=1,1,IF(WEEKDAY(BY44)=7,2,0))+COUNTIF(ClosedDays!$B$4:$B$32,IF(WEEKDAY(BY44)=1,BY44+1,IF(WEEKDAY(BY44)=7,BY44+2,BY44)))+COUNTIF(ClosedDays!$F$4:$F$32,IF(WEEKDAY(BY44)=1,BY44+1,IF(WEEKDAY(BY44)=7,BY44+2,BY44)))+COUNTIF(ClosedDays!$J$4:$J$32,IF(WEEKDAY(BY44)=1,BY44+1,IF(WEEKDAY(BY44)=7,BY44+2,BY44)))+COUNTIF(ClosedDays!$N$4:$N$32,IF(WEEKDAY(BY44)=1,BY44+1,IF(WEEKDAY(BY44)=7,BY44+2,BY44)))</f>
        <v>44473</v>
      </c>
      <c r="CA44" s="405">
        <f>BZ44+IF(WEEKDAY(BZ44)=1,1,IF(WEEKDAY(BZ44)=7,2,0))+COUNTIF(ClosedDays!$B$4:$B$32,IF(WEEKDAY(BZ44)=1,BZ44+1,IF(WEEKDAY(BZ44)=7,BZ44+2,BZ44)))+COUNTIF(ClosedDays!$F$4:$F$32,IF(WEEKDAY(BZ44)=1,BZ44+1,IF(WEEKDAY(BZ44)=7,BZ44+2,BZ44)))+COUNTIF(ClosedDays!$J$4:$J$32,IF(WEEKDAY(BZ44)=1,BZ44+1,IF(WEEKDAY(BZ44)=7,BZ44+2,BZ44)))+COUNTIF(ClosedDays!$N$4:$N$32,IF(WEEKDAY(BZ44)=1,BZ44+1,IF(WEEKDAY(BZ44)=7,BZ44+2,BZ44)))</f>
        <v>44473</v>
      </c>
      <c r="CB44" s="405">
        <f>CA44+IF(WEEKDAY(CA44)=1,1,IF(WEEKDAY(CA44)=7,2,0))+COUNTIF(ClosedDays!$B$4:$B$32,IF(WEEKDAY(CA44)=1,CA44+1,IF(WEEKDAY(CA44)=7,CA44+2,CA44)))+COUNTIF(ClosedDays!$F$4:$F$32,IF(WEEKDAY(CA44)=1,CA44+1,IF(WEEKDAY(CA44)=7,CA44+2,CA44)))+COUNTIF(ClosedDays!$J$4:$J$32,IF(WEEKDAY(CA44)=1,CA44+1,IF(WEEKDAY(CA44)=7,CA44+2,CA44)))+COUNTIF(ClosedDays!$N$4:$N$32,IF(WEEKDAY(CA44)=1,CA44+1,IF(WEEKDAY(CA44)=7,CA44+2,CA44)))</f>
        <v>44473</v>
      </c>
      <c r="CC44" s="405">
        <f>CB44+IF(WEEKDAY(CB44)=1,1,IF(WEEKDAY(CB44)=7,2,0))+COUNTIF(ClosedDays!$B$4:$B$32,IF(WEEKDAY(CB44)=1,CB44+1,IF(WEEKDAY(CB44)=7,CB44+2,CB44)))+COUNTIF(ClosedDays!$F$4:$F$32,IF(WEEKDAY(CB44)=1,CB44+1,IF(WEEKDAY(CB44)=7,CB44+2,CB44)))+COUNTIF(ClosedDays!$J$4:$J$32,IF(WEEKDAY(CB44)=1,CB44+1,IF(WEEKDAY(CB44)=7,CB44+2,CB44)))+COUNTIF(ClosedDays!$N$4:$N$32,IF(WEEKDAY(CB44)=1,CB44+1,IF(WEEKDAY(CB44)=7,CB44+2,CB44)))</f>
        <v>44473</v>
      </c>
      <c r="CD44" s="405">
        <f>CC44+IF(WEEKDAY(CC44)=1,1,IF(WEEKDAY(CC44)=7,2,0))+COUNTIF(ClosedDays!$B$4:$B$32,IF(WEEKDAY(CC44)=1,CC44+1,IF(WEEKDAY(CC44)=7,CC44+2,CC44)))+COUNTIF(ClosedDays!$F$4:$F$32,IF(WEEKDAY(CC44)=1,CC44+1,IF(WEEKDAY(CC44)=7,CC44+2,CC44)))+COUNTIF(ClosedDays!$J$4:$J$32,IF(WEEKDAY(CC44)=1,CC44+1,IF(WEEKDAY(CC44)=7,CC44+2,CC44)))+COUNTIF(ClosedDays!$N$4:$N$32,IF(WEEKDAY(CC44)=1,CC44+1,IF(WEEKDAY(CC44)=7,CC44+2,CC44)))</f>
        <v>44473</v>
      </c>
      <c r="CE44" s="405">
        <f>CD44+IF(WEEKDAY(CD44)=1,1,IF(WEEKDAY(CD44)=7,2,0))+COUNTIF(ClosedDays!$B$4:$B$32,IF(WEEKDAY(CD44)=1,CD44+1,IF(WEEKDAY(CD44)=7,CD44+2,CD44)))+COUNTIF(ClosedDays!$F$4:$F$32,IF(WEEKDAY(CD44)=1,CD44+1,IF(WEEKDAY(CD44)=7,CD44+2,CD44)))+COUNTIF(ClosedDays!$J$4:$J$32,IF(WEEKDAY(CD44)=1,CD44+1,IF(WEEKDAY(CD44)=7,CD44+2,CD44)))+COUNTIF(ClosedDays!$N$4:$N$32,IF(WEEKDAY(CD44)=1,CD44+1,IF(WEEKDAY(CD44)=7,CD44+2,CD44)))</f>
        <v>44473</v>
      </c>
      <c r="CF44" s="405">
        <f>CE44+IF(WEEKDAY(CE44)=1,1,IF(WEEKDAY(CE44)=7,2,0))+COUNTIF(ClosedDays!$B$4:$B$32,IF(WEEKDAY(CE44)=1,CE44+1,IF(WEEKDAY(CE44)=7,CE44+2,CE44)))+COUNTIF(ClosedDays!$F$4:$F$32,IF(WEEKDAY(CE44)=1,CE44+1,IF(WEEKDAY(CE44)=7,CE44+2,CE44)))+COUNTIF(ClosedDays!$J$4:$J$32,IF(WEEKDAY(CE44)=1,CE44+1,IF(WEEKDAY(CE44)=7,CE44+2,CE44)))+COUNTIF(ClosedDays!$N$4:$N$32,IF(WEEKDAY(CE44)=1,CE44+1,IF(WEEKDAY(CE44)=7,CE44+2,CE44)))</f>
        <v>44473</v>
      </c>
      <c r="CG44" s="405">
        <f>CF44+IF(WEEKDAY(CF44)=1,1,IF(WEEKDAY(CF44)=7,2,0))+COUNTIF(ClosedDays!$B$4:$B$32,IF(WEEKDAY(CF44)=1,CF44+1,IF(WEEKDAY(CF44)=7,CF44+2,CF44)))+COUNTIF(ClosedDays!$F$4:$F$32,IF(WEEKDAY(CF44)=1,CF44+1,IF(WEEKDAY(CF44)=7,CF44+2,CF44)))+COUNTIF(ClosedDays!$J$4:$J$32,IF(WEEKDAY(CF44)=1,CF44+1,IF(WEEKDAY(CF44)=7,CF44+2,CF44)))+COUNTIF(ClosedDays!$N$4:$N$32,IF(WEEKDAY(CF44)=1,CF44+1,IF(WEEKDAY(CF44)=7,CF44+2,CF44)))</f>
        <v>44473</v>
      </c>
      <c r="CH44" s="405">
        <f t="shared" si="40"/>
        <v>44473</v>
      </c>
      <c r="CI44" s="446">
        <f>IF(AND($D44&lt;='Outline Info'!$H$33,CH44&gt;='Outline Info'!$H$33,$CJ$4=1,$AC44&gt;10,$AC44&lt;9997),1,0)</f>
        <v>0</v>
      </c>
      <c r="CJ44" s="405">
        <f>IF(CI44=1,CH44+'Outline Info'!$I$33-'Outline Info'!$H$33+1,CH44)</f>
        <v>44473</v>
      </c>
      <c r="CK44" s="405">
        <f>CJ44+IF(WEEKDAY(CJ44)=1,1,IF(WEEKDAY(CJ44)=7,2,0))+COUNTIF(ClosedDays!$B$4:$B$32,IF(WEEKDAY(CJ44)=1,CJ44+1,IF(WEEKDAY(CJ44)=7,CJ44+2,CJ44)))+COUNTIF(ClosedDays!$F$4:$F$32,IF(WEEKDAY(CJ44)=1,CJ44+1,IF(WEEKDAY(CJ44)=7,CJ44+2,CJ44)))+COUNTIF(ClosedDays!$J$4:$J$32,IF(WEEKDAY(CJ44)=1,CJ44+1,IF(WEEKDAY(CJ44)=7,CJ44+2,CJ44)))+COUNTIF(ClosedDays!$N$4:$N$32,IF(WEEKDAY(CJ44)=1,CJ44+1,IF(WEEKDAY(CJ44)=7,CJ44+2,CJ44)))</f>
        <v>44473</v>
      </c>
      <c r="CL44" s="405">
        <f>CK44+IF(WEEKDAY(CK44)=1,1,IF(WEEKDAY(CK44)=7,2,0))+COUNTIF(ClosedDays!$B$4:$B$32,IF(WEEKDAY(CK44)=1,CK44+1,IF(WEEKDAY(CK44)=7,CK44+2,CK44)))+COUNTIF(ClosedDays!$F$4:$F$32,IF(WEEKDAY(CK44)=1,CK44+1,IF(WEEKDAY(CK44)=7,CK44+2,CK44)))+COUNTIF(ClosedDays!$J$4:$J$32,IF(WEEKDAY(CK44)=1,CK44+1,IF(WEEKDAY(CK44)=7,CK44+2,CK44)))+COUNTIF(ClosedDays!$N$4:$N$32,IF(WEEKDAY(CK44)=1,CK44+1,IF(WEEKDAY(CK44)=7,CK44+2,CK44)))</f>
        <v>44473</v>
      </c>
      <c r="CM44" s="405">
        <f>CL44+IF(WEEKDAY(CL44)=1,1,IF(WEEKDAY(CL44)=7,2,0))+COUNTIF(ClosedDays!$B$4:$B$32,IF(WEEKDAY(CL44)=1,CL44+1,IF(WEEKDAY(CL44)=7,CL44+2,CL44)))+COUNTIF(ClosedDays!$F$4:$F$32,IF(WEEKDAY(CL44)=1,CL44+1,IF(WEEKDAY(CL44)=7,CL44+2,CL44)))+COUNTIF(ClosedDays!$J$4:$J$32,IF(WEEKDAY(CL44)=1,CL44+1,IF(WEEKDAY(CL44)=7,CL44+2,CL44)))+COUNTIF(ClosedDays!$N$4:$N$32,IF(WEEKDAY(CL44)=1,CL44+1,IF(WEEKDAY(CL44)=7,CL44+2,CL44)))</f>
        <v>44473</v>
      </c>
      <c r="CN44" s="405">
        <f>CM44+IF(WEEKDAY(CM44)=1,1,IF(WEEKDAY(CM44)=7,2,0))+COUNTIF(ClosedDays!$B$4:$B$32,IF(WEEKDAY(CM44)=1,CM44+1,IF(WEEKDAY(CM44)=7,CM44+2,CM44)))+COUNTIF(ClosedDays!$F$4:$F$32,IF(WEEKDAY(CM44)=1,CM44+1,IF(WEEKDAY(CM44)=7,CM44+2,CM44)))+COUNTIF(ClosedDays!$J$4:$J$32,IF(WEEKDAY(CM44)=1,CM44+1,IF(WEEKDAY(CM44)=7,CM44+2,CM44)))+COUNTIF(ClosedDays!$N$4:$N$32,IF(WEEKDAY(CM44)=1,CM44+1,IF(WEEKDAY(CM44)=7,CM44+2,CM44)))</f>
        <v>44473</v>
      </c>
      <c r="CO44" s="405">
        <f>CN44+IF(WEEKDAY(CN44)=1,1,IF(WEEKDAY(CN44)=7,2,0))+COUNTIF(ClosedDays!$B$4:$B$32,IF(WEEKDAY(CN44)=1,CN44+1,IF(WEEKDAY(CN44)=7,CN44+2,CN44)))+COUNTIF(ClosedDays!$F$4:$F$32,IF(WEEKDAY(CN44)=1,CN44+1,IF(WEEKDAY(CN44)=7,CN44+2,CN44)))+COUNTIF(ClosedDays!$J$4:$J$32,IF(WEEKDAY(CN44)=1,CN44+1,IF(WEEKDAY(CN44)=7,CN44+2,CN44)))+COUNTIF(ClosedDays!$N$4:$N$32,IF(WEEKDAY(CN44)=1,CN44+1,IF(WEEKDAY(CN44)=7,CN44+2,CN44)))</f>
        <v>44473</v>
      </c>
      <c r="CP44" s="405">
        <f>CO44+IF(WEEKDAY(CO44)=1,1,IF(WEEKDAY(CO44)=7,2,0))+COUNTIF(ClosedDays!$B$4:$B$32,IF(WEEKDAY(CO44)=1,CO44+1,IF(WEEKDAY(CO44)=7,CO44+2,CO44)))+COUNTIF(ClosedDays!$F$4:$F$32,IF(WEEKDAY(CO44)=1,CO44+1,IF(WEEKDAY(CO44)=7,CO44+2,CO44)))+COUNTIF(ClosedDays!$J$4:$J$32,IF(WEEKDAY(CO44)=1,CO44+1,IF(WEEKDAY(CO44)=7,CO44+2,CO44)))+COUNTIF(ClosedDays!$N$4:$N$32,IF(WEEKDAY(CO44)=1,CO44+1,IF(WEEKDAY(CO44)=7,CO44+2,CO44)))</f>
        <v>44473</v>
      </c>
      <c r="CQ44" s="405">
        <f>CP44+IF(WEEKDAY(CP44)=1,1,IF(WEEKDAY(CP44)=7,2,0))+COUNTIF(ClosedDays!$B$4:$B$32,IF(WEEKDAY(CP44)=1,CP44+1,IF(WEEKDAY(CP44)=7,CP44+2,CP44)))+COUNTIF(ClosedDays!$F$4:$F$32,IF(WEEKDAY(CP44)=1,CP44+1,IF(WEEKDAY(CP44)=7,CP44+2,CP44)))+COUNTIF(ClosedDays!$J$4:$J$32,IF(WEEKDAY(CP44)=1,CP44+1,IF(WEEKDAY(CP44)=7,CP44+2,CP44)))+COUNTIF(ClosedDays!$N$4:$N$32,IF(WEEKDAY(CP44)=1,CP44+1,IF(WEEKDAY(CP44)=7,CP44+2,CP44)))</f>
        <v>44473</v>
      </c>
      <c r="CR44" s="405">
        <f>CQ44+IF(WEEKDAY(CQ44)=1,1,IF(WEEKDAY(CQ44)=7,2,0))+COUNTIF(ClosedDays!$B$4:$B$32,IF(WEEKDAY(CQ44)=1,CQ44+1,IF(WEEKDAY(CQ44)=7,CQ44+2,CQ44)))+COUNTIF(ClosedDays!$F$4:$F$32,IF(WEEKDAY(CQ44)=1,CQ44+1,IF(WEEKDAY(CQ44)=7,CQ44+2,CQ44)))+COUNTIF(ClosedDays!$J$4:$J$32,IF(WEEKDAY(CQ44)=1,CQ44+1,IF(WEEKDAY(CQ44)=7,CQ44+2,CQ44)))+COUNTIF(ClosedDays!$N$4:$N$32,IF(WEEKDAY(CQ44)=1,CQ44+1,IF(WEEKDAY(CQ44)=7,CQ44+2,CQ44)))</f>
        <v>44473</v>
      </c>
      <c r="CS44" s="405">
        <f>CR44+IF(WEEKDAY(CR44)=1,1,IF(WEEKDAY(CR44)=7,2,0))+COUNTIF(ClosedDays!$B$4:$B$32,IF(WEEKDAY(CR44)=1,CR44+1,IF(WEEKDAY(CR44)=7,CR44+2,CR44)))+COUNTIF(ClosedDays!$F$4:$F$32,IF(WEEKDAY(CR44)=1,CR44+1,IF(WEEKDAY(CR44)=7,CR44+2,CR44)))+COUNTIF(ClosedDays!$J$4:$J$32,IF(WEEKDAY(CR44)=1,CR44+1,IF(WEEKDAY(CR44)=7,CR44+2,CR44)))+COUNTIF(ClosedDays!$N$4:$N$32,IF(WEEKDAY(CR44)=1,CR44+1,IF(WEEKDAY(CR44)=7,CR44+2,CR44)))</f>
        <v>44473</v>
      </c>
      <c r="CT44" s="405">
        <f>CS44+IF(WEEKDAY(CS44)=1,1,IF(WEEKDAY(CS44)=7,2,0))+COUNTIF(ClosedDays!$B$4:$B$32,IF(WEEKDAY(CS44)=1,CS44+1,IF(WEEKDAY(CS44)=7,CS44+2,CS44)))+COUNTIF(ClosedDays!$F$4:$F$32,IF(WEEKDAY(CS44)=1,CS44+1,IF(WEEKDAY(CS44)=7,CS44+2,CS44)))+COUNTIF(ClosedDays!$J$4:$J$32,IF(WEEKDAY(CS44)=1,CS44+1,IF(WEEKDAY(CS44)=7,CS44+2,CS44)))+COUNTIF(ClosedDays!$N$4:$N$32,IF(WEEKDAY(CS44)=1,CS44+1,IF(WEEKDAY(CS44)=7,CS44+2,CS44)))</f>
        <v>44473</v>
      </c>
      <c r="CU44" s="405">
        <f>CT44+IF(WEEKDAY(CT44)=1,1,IF(WEEKDAY(CT44)=7,2,0))+COUNTIF(ClosedDays!$B$4:$B$32,IF(WEEKDAY(CT44)=1,CT44+1,IF(WEEKDAY(CT44)=7,CT44+2,CT44)))+COUNTIF(ClosedDays!$F$4:$F$32,IF(WEEKDAY(CT44)=1,CT44+1,IF(WEEKDAY(CT44)=7,CT44+2,CT44)))+COUNTIF(ClosedDays!$J$4:$J$32,IF(WEEKDAY(CT44)=1,CT44+1,IF(WEEKDAY(CT44)=7,CT44+2,CT44)))+COUNTIF(ClosedDays!$N$4:$N$32,IF(WEEKDAY(CT44)=1,CT44+1,IF(WEEKDAY(CT44)=7,CT44+2,CT44)))</f>
        <v>44473</v>
      </c>
      <c r="CV44" s="405">
        <f>CU44+IF(WEEKDAY(CU44)=1,1,IF(WEEKDAY(CU44)=7,2,0))+COUNTIF(ClosedDays!$B$4:$B$32,IF(WEEKDAY(CU44)=1,CU44+1,IF(WEEKDAY(CU44)=7,CU44+2,CU44)))+COUNTIF(ClosedDays!$F$4:$F$32,IF(WEEKDAY(CU44)=1,CU44+1,IF(WEEKDAY(CU44)=7,CU44+2,CU44)))+COUNTIF(ClosedDays!$J$4:$J$32,IF(WEEKDAY(CU44)=1,CU44+1,IF(WEEKDAY(CU44)=7,CU44+2,CU44)))+COUNTIF(ClosedDays!$N$4:$N$32,IF(WEEKDAY(CU44)=1,CU44+1,IF(WEEKDAY(CU44)=7,CU44+2,CU44)))</f>
        <v>44473</v>
      </c>
      <c r="CW44" s="405">
        <f>CV44+IF(WEEKDAY(CV44)=1,1,IF(WEEKDAY(CV44)=7,2,0))+COUNTIF(ClosedDays!$B$4:$B$32,IF(WEEKDAY(CV44)=1,CV44+1,IF(WEEKDAY(CV44)=7,CV44+2,CV44)))+COUNTIF(ClosedDays!$F$4:$F$32,IF(WEEKDAY(CV44)=1,CV44+1,IF(WEEKDAY(CV44)=7,CV44+2,CV44)))+COUNTIF(ClosedDays!$J$4:$J$32,IF(WEEKDAY(CV44)=1,CV44+1,IF(WEEKDAY(CV44)=7,CV44+2,CV44)))+COUNTIF(ClosedDays!$N$4:$N$32,IF(WEEKDAY(CV44)=1,CV44+1,IF(WEEKDAY(CV44)=7,CV44+2,CV44)))</f>
        <v>44473</v>
      </c>
      <c r="CX44" s="405">
        <f>CW44+IF(WEEKDAY(CW44)=1,1,IF(WEEKDAY(CW44)=7,2,0))+COUNTIF(ClosedDays!$B$4:$B$32,IF(WEEKDAY(CW44)=1,CW44+1,IF(WEEKDAY(CW44)=7,CW44+2,CW44)))+COUNTIF(ClosedDays!$F$4:$F$32,IF(WEEKDAY(CW44)=1,CW44+1,IF(WEEKDAY(CW44)=7,CW44+2,CW44)))+COUNTIF(ClosedDays!$J$4:$J$32,IF(WEEKDAY(CW44)=1,CW44+1,IF(WEEKDAY(CW44)=7,CW44+2,CW44)))+COUNTIF(ClosedDays!$N$4:$N$32,IF(WEEKDAY(CW44)=1,CW44+1,IF(WEEKDAY(CW44)=7,CW44+2,CW44)))</f>
        <v>44473</v>
      </c>
      <c r="CY44" s="405">
        <f t="shared" si="41"/>
        <v>44473</v>
      </c>
      <c r="CZ44" s="446">
        <f>IF(AND($D44&lt;='Outline Info'!$E$33,CY44&gt;='Outline Info'!$E$33,$AC44&gt;10,$AC44&lt;9997),1,0)</f>
        <v>0</v>
      </c>
      <c r="DA44" s="405">
        <f>IF(AND($D44&lt;='Outline Info'!$E$33,CY44&gt;='Outline Info'!$E$33),CY44+'Outline Info'!$F$33-'Outline Info'!$E$33+1,CY44)</f>
        <v>44473</v>
      </c>
      <c r="DB44" s="405">
        <f>DA44+IF(WEEKDAY(DA44)=1,1,IF(WEEKDAY(DA44)=7,2,0))+COUNTIF(ClosedDays!$B$4:$B$32,IF(WEEKDAY(DA44)=1,DA44+1,IF(WEEKDAY(DA44)=7,DA44+2,DA44)))+COUNTIF(ClosedDays!$F$4:$F$32,IF(WEEKDAY(DA44)=1,DA44+1,IF(WEEKDAY(DA44)=7,DA44+2,DA44)))+COUNTIF(ClosedDays!$J$4:$J$32,IF(WEEKDAY(DA44)=1,DA44+1,IF(WEEKDAY(DA44)=7,DA44+2,DA44)))+COUNTIF(ClosedDays!$N$4:$N$32,IF(WEEKDAY(DA44)=1,DA44+1,IF(WEEKDAY(DA44)=7,DA44+2,DA44)))</f>
        <v>44473</v>
      </c>
      <c r="DC44" s="405">
        <f>DB44+IF(WEEKDAY(DB44)=1,1,IF(WEEKDAY(DB44)=7,2,0))+COUNTIF(ClosedDays!$B$4:$B$32,IF(WEEKDAY(DB44)=1,DB44+1,IF(WEEKDAY(DB44)=7,DB44+2,DB44)))+COUNTIF(ClosedDays!$F$4:$F$32,IF(WEEKDAY(DB44)=1,DB44+1,IF(WEEKDAY(DB44)=7,DB44+2,DB44)))+COUNTIF(ClosedDays!$J$4:$J$32,IF(WEEKDAY(DB44)=1,DB44+1,IF(WEEKDAY(DB44)=7,DB44+2,DB44)))+COUNTIF(ClosedDays!$N$4:$N$32,IF(WEEKDAY(DB44)=1,DB44+1,IF(WEEKDAY(DB44)=7,DB44+2,DB44)))</f>
        <v>44473</v>
      </c>
      <c r="DD44" s="405">
        <f>DC44+IF(WEEKDAY(DC44)=1,1,IF(WEEKDAY(DC44)=7,2,0))+COUNTIF(ClosedDays!$B$4:$B$32,IF(WEEKDAY(DC44)=1,DC44+1,IF(WEEKDAY(DC44)=7,DC44+2,DC44)))+COUNTIF(ClosedDays!$F$4:$F$32,IF(WEEKDAY(DC44)=1,DC44+1,IF(WEEKDAY(DC44)=7,DC44+2,DC44)))+COUNTIF(ClosedDays!$J$4:$J$32,IF(WEEKDAY(DC44)=1,DC44+1,IF(WEEKDAY(DC44)=7,DC44+2,DC44)))+COUNTIF(ClosedDays!$N$4:$N$32,IF(WEEKDAY(DC44)=1,DC44+1,IF(WEEKDAY(DC44)=7,DC44+2,DC44)))</f>
        <v>44473</v>
      </c>
      <c r="DE44" s="405">
        <f>DD44+IF(WEEKDAY(DD44)=1,1,IF(WEEKDAY(DD44)=7,2,0))+COUNTIF(ClosedDays!$B$4:$B$32,IF(WEEKDAY(DD44)=1,DD44+1,IF(WEEKDAY(DD44)=7,DD44+2,DD44)))+COUNTIF(ClosedDays!$F$4:$F$32,IF(WEEKDAY(DD44)=1,DD44+1,IF(WEEKDAY(DD44)=7,DD44+2,DD44)))+COUNTIF(ClosedDays!$J$4:$J$32,IF(WEEKDAY(DD44)=1,DD44+1,IF(WEEKDAY(DD44)=7,DD44+2,DD44)))+COUNTIF(ClosedDays!$N$4:$N$32,IF(WEEKDAY(DD44)=1,DD44+1,IF(WEEKDAY(DD44)=7,DD44+2,DD44)))</f>
        <v>44473</v>
      </c>
      <c r="DF44" s="405">
        <f>DE44+IF(WEEKDAY(DE44)=1,1,IF(WEEKDAY(DE44)=7,2,0))+COUNTIF(ClosedDays!$B$4:$B$32,IF(WEEKDAY(DE44)=1,DE44+1,IF(WEEKDAY(DE44)=7,DE44+2,DE44)))+COUNTIF(ClosedDays!$F$4:$F$32,IF(WEEKDAY(DE44)=1,DE44+1,IF(WEEKDAY(DE44)=7,DE44+2,DE44)))+COUNTIF(ClosedDays!$J$4:$J$32,IF(WEEKDAY(DE44)=1,DE44+1,IF(WEEKDAY(DE44)=7,DE44+2,DE44)))+COUNTIF(ClosedDays!$N$4:$N$32,IF(WEEKDAY(DE44)=1,DE44+1,IF(WEEKDAY(DE44)=7,DE44+2,DE44)))</f>
        <v>44473</v>
      </c>
      <c r="DG44" s="405">
        <f>DF44+IF(WEEKDAY(DF44)=1,1,IF(WEEKDAY(DF44)=7,2,0))+COUNTIF(ClosedDays!$B$4:$B$32,IF(WEEKDAY(DF44)=1,DF44+1,IF(WEEKDAY(DF44)=7,DF44+2,DF44)))+COUNTIF(ClosedDays!$F$4:$F$32,IF(WEEKDAY(DF44)=1,DF44+1,IF(WEEKDAY(DF44)=7,DF44+2,DF44)))+COUNTIF(ClosedDays!$J$4:$J$32,IF(WEEKDAY(DF44)=1,DF44+1,IF(WEEKDAY(DF44)=7,DF44+2,DF44)))+COUNTIF(ClosedDays!$N$4:$N$32,IF(WEEKDAY(DF44)=1,DF44+1,IF(WEEKDAY(DF44)=7,DF44+2,DF44)))</f>
        <v>44473</v>
      </c>
      <c r="DH44" s="405">
        <f>DG44+IF(WEEKDAY(DG44)=1,1,IF(WEEKDAY(DG44)=7,2,0))+COUNTIF(ClosedDays!$B$4:$B$32,IF(WEEKDAY(DG44)=1,DG44+1,IF(WEEKDAY(DG44)=7,DG44+2,DG44)))+COUNTIF(ClosedDays!$F$4:$F$32,IF(WEEKDAY(DG44)=1,DG44+1,IF(WEEKDAY(DG44)=7,DG44+2,DG44)))+COUNTIF(ClosedDays!$J$4:$J$32,IF(WEEKDAY(DG44)=1,DG44+1,IF(WEEKDAY(DG44)=7,DG44+2,DG44)))+COUNTIF(ClosedDays!$N$4:$N$32,IF(WEEKDAY(DG44)=1,DG44+1,IF(WEEKDAY(DG44)=7,DG44+2,DG44)))</f>
        <v>44473</v>
      </c>
      <c r="DI44" s="405">
        <f>DH44+IF(WEEKDAY(DH44)=1,1,IF(WEEKDAY(DH44)=7,2,0))+COUNTIF(ClosedDays!$B$4:$B$32,IF(WEEKDAY(DH44)=1,DH44+1,IF(WEEKDAY(DH44)=7,DH44+2,DH44)))+COUNTIF(ClosedDays!$F$4:$F$32,IF(WEEKDAY(DH44)=1,DH44+1,IF(WEEKDAY(DH44)=7,DH44+2,DH44)))+COUNTIF(ClosedDays!$J$4:$J$32,IF(WEEKDAY(DH44)=1,DH44+1,IF(WEEKDAY(DH44)=7,DH44+2,DH44)))+COUNTIF(ClosedDays!$N$4:$N$32,IF(WEEKDAY(DH44)=1,DH44+1,IF(WEEKDAY(DH44)=7,DH44+2,DH44)))</f>
        <v>44473</v>
      </c>
      <c r="DJ44" s="405">
        <f>DI44+IF(WEEKDAY(DI44)=1,1,IF(WEEKDAY(DI44)=7,2,0))+COUNTIF(ClosedDays!$B$4:$B$32,IF(WEEKDAY(DI44)=1,DI44+1,IF(WEEKDAY(DI44)=7,DI44+2,DI44)))+COUNTIF(ClosedDays!$F$4:$F$32,IF(WEEKDAY(DI44)=1,DI44+1,IF(WEEKDAY(DI44)=7,DI44+2,DI44)))+COUNTIF(ClosedDays!$J$4:$J$32,IF(WEEKDAY(DI44)=1,DI44+1,IF(WEEKDAY(DI44)=7,DI44+2,DI44)))+COUNTIF(ClosedDays!$N$4:$N$32,IF(WEEKDAY(DI44)=1,DI44+1,IF(WEEKDAY(DI44)=7,DI44+2,DI44)))</f>
        <v>44473</v>
      </c>
      <c r="DK44" s="405">
        <f>DJ44+IF(WEEKDAY(DJ44)=1,1,IF(WEEKDAY(DJ44)=7,2,0))+COUNTIF(ClosedDays!$B$4:$B$32,IF(WEEKDAY(DJ44)=1,DJ44+1,IF(WEEKDAY(DJ44)=7,DJ44+2,DJ44)))+COUNTIF(ClosedDays!$F$4:$F$32,IF(WEEKDAY(DJ44)=1,DJ44+1,IF(WEEKDAY(DJ44)=7,DJ44+2,DJ44)))+COUNTIF(ClosedDays!$J$4:$J$32,IF(WEEKDAY(DJ44)=1,DJ44+1,IF(WEEKDAY(DJ44)=7,DJ44+2,DJ44)))+COUNTIF(ClosedDays!$N$4:$N$32,IF(WEEKDAY(DJ44)=1,DJ44+1,IF(WEEKDAY(DJ44)=7,DJ44+2,DJ44)))</f>
        <v>44473</v>
      </c>
      <c r="DL44" s="405">
        <f>DK44+IF(WEEKDAY(DK44)=1,1,IF(WEEKDAY(DK44)=7,2,0))+COUNTIF(ClosedDays!$B$4:$B$32,IF(WEEKDAY(DK44)=1,DK44+1,IF(WEEKDAY(DK44)=7,DK44+2,DK44)))+COUNTIF(ClosedDays!$F$4:$F$32,IF(WEEKDAY(DK44)=1,DK44+1,IF(WEEKDAY(DK44)=7,DK44+2,DK44)))+COUNTIF(ClosedDays!$J$4:$J$32,IF(WEEKDAY(DK44)=1,DK44+1,IF(WEEKDAY(DK44)=7,DK44+2,DK44)))+COUNTIF(ClosedDays!$N$4:$N$32,IF(WEEKDAY(DK44)=1,DK44+1,IF(WEEKDAY(DK44)=7,DK44+2,DK44)))</f>
        <v>44473</v>
      </c>
      <c r="DM44" s="405">
        <f>DL44+IF(WEEKDAY(DL44)=1,1,IF(WEEKDAY(DL44)=7,2,0))+COUNTIF(ClosedDays!$B$4:$B$32,IF(WEEKDAY(DL44)=1,DL44+1,IF(WEEKDAY(DL44)=7,DL44+2,DL44)))+COUNTIF(ClosedDays!$F$4:$F$32,IF(WEEKDAY(DL44)=1,DL44+1,IF(WEEKDAY(DL44)=7,DL44+2,DL44)))+COUNTIF(ClosedDays!$J$4:$J$32,IF(WEEKDAY(DL44)=1,DL44+1,IF(WEEKDAY(DL44)=7,DL44+2,DL44)))+COUNTIF(ClosedDays!$N$4:$N$32,IF(WEEKDAY(DL44)=1,DL44+1,IF(WEEKDAY(DL44)=7,DL44+2,DL44)))</f>
        <v>44473</v>
      </c>
      <c r="DN44" s="405">
        <f>DM44+IF(WEEKDAY(DM44)=1,1,IF(WEEKDAY(DM44)=7,2,0))+COUNTIF(ClosedDays!$B$4:$B$32,IF(WEEKDAY(DM44)=1,DM44+1,IF(WEEKDAY(DM44)=7,DM44+2,DM44)))+COUNTIF(ClosedDays!$F$4:$F$32,IF(WEEKDAY(DM44)=1,DM44+1,IF(WEEKDAY(DM44)=7,DM44+2,DM44)))+COUNTIF(ClosedDays!$J$4:$J$32,IF(WEEKDAY(DM44)=1,DM44+1,IF(WEEKDAY(DM44)=7,DM44+2,DM44)))+COUNTIF(ClosedDays!$N$4:$N$32,IF(WEEKDAY(DM44)=1,DM44+1,IF(WEEKDAY(DM44)=7,DM44+2,DM44)))</f>
        <v>44473</v>
      </c>
      <c r="DO44" s="405">
        <f>DN44+IF(WEEKDAY(DN44)=1,1,IF(WEEKDAY(DN44)=7,2,0))+COUNTIF(ClosedDays!$B$4:$B$32,IF(WEEKDAY(DN44)=1,DN44+1,IF(WEEKDAY(DN44)=7,DN44+2,DN44)))+COUNTIF(ClosedDays!$F$4:$F$32,IF(WEEKDAY(DN44)=1,DN44+1,IF(WEEKDAY(DN44)=7,DN44+2,DN44)))+COUNTIF(ClosedDays!$J$4:$J$32,IF(WEEKDAY(DN44)=1,DN44+1,IF(WEEKDAY(DN44)=7,DN44+2,DN44)))+COUNTIF(ClosedDays!$N$4:$N$32,IF(WEEKDAY(DN44)=1,DN44+1,IF(WEEKDAY(DN44)=7,DN44+2,DN44)))</f>
        <v>44473</v>
      </c>
      <c r="DP44" s="405">
        <f t="shared" si="23"/>
        <v>44473</v>
      </c>
      <c r="DQ44" s="405">
        <f t="shared" si="42"/>
        <v>44473</v>
      </c>
      <c r="DR44" s="394">
        <f t="shared" si="43"/>
        <v>1</v>
      </c>
      <c r="DS44" s="394">
        <f>IF(AND(DR44=1,COUNTIF(DS$7:DS43,1)&lt;12,VLOOKUP(COUNTIF(DS$7:DS43,1)+1,'Outline Info'!$A$21:$C$32,2)&lt;=I44),1,0)</f>
        <v>0</v>
      </c>
      <c r="DT44" s="405" t="str">
        <f>IF(DS44=1,IF(VLOOKUP(COUNTIF(DS$7:DS44,1),'Outline Info'!$A$21:$C$32,2)=0,"",VLOOKUP(COUNTIF(DS$7:DS44,1),'Outline Info'!$A$21:$C$32,2)),"")</f>
        <v/>
      </c>
      <c r="DU44" s="447">
        <f>IF(DS44=1,VLOOKUP(COUNTIF(DS$7:DS44,1),'Outline Info'!$A$21:$C$32,3),0)</f>
        <v>0</v>
      </c>
      <c r="DV44" s="445">
        <f>IF('Outline Info'!$B$8="Y",IF(B44="*",'Outline Info'!$B$19,IF(OR($A44="",B44="X",B44="x"),0,VLOOKUP($A44,'Course Table'!$A$2:$J$331,4,TRUE))),0)</f>
        <v>0</v>
      </c>
      <c r="DW44" s="447">
        <f t="shared" si="44"/>
        <v>0</v>
      </c>
      <c r="DX44" s="447">
        <f>IF('Outline Info'!$B$8="Y",$DV44,$DW44)</f>
        <v>0</v>
      </c>
      <c r="DY44" s="394"/>
      <c r="DZ44" s="934"/>
      <c r="EA44" s="934"/>
      <c r="EB44" s="394"/>
      <c r="EC44" s="394"/>
      <c r="ED44" s="394"/>
    </row>
    <row r="45" spans="1:134" s="400" customFormat="1" ht="20.100000000000001" customHeight="1" thickBot="1">
      <c r="A45" s="875" t="str">
        <f t="shared" si="24"/>
        <v/>
      </c>
      <c r="B45" s="877" t="str">
        <f t="shared" si="25"/>
        <v/>
      </c>
      <c r="C45" s="879" t="str">
        <f t="shared" si="26"/>
        <v/>
      </c>
      <c r="D45" s="463">
        <f>IF(NOT(ISBLANK(DZ45)),DZ45,IF(AND($AC45=9998,'Outline Info'!$H$33&gt;='Outline Info'!$B$6,'Outline Info'!$H$33&lt;='Outline Info'!$C$6),'Outline Info'!$H$33,IF(AND($AC45=9997,'Outline Info'!$H$31&gt;='Outline Info'!$B$6,'Outline Info'!$H$31&lt;='Outline Info'!$C$6),'Outline Info'!$H$31,IF(AE45="*",DQ44,IF(OR(AE45="x",AE45="X"),I44,IF(AND(AC45&gt;6,AC44&lt;6),DQ44,IF(AND($AC45=9998,$AC44=9997),I43,I44)))))))</f>
        <v>44470</v>
      </c>
      <c r="E45" s="1309"/>
      <c r="F45" s="1310"/>
      <c r="G45" s="1284"/>
      <c r="H45" s="1285"/>
      <c r="I45" s="465">
        <f>IF(AND($AC45=9998,'Outline Info'!$I$33&gt;='Outline Info'!$B$6,'Outline Info'!$I$33&lt;='Outline Info'!$C$6),'Outline Info'!$I$33,IF(AND($AC45=9997,'Outline Info'!$I$31&gt;='Outline Info'!$B$6,'Outline Info'!$I$31&lt;='Outline Info'!$C$6),'Outline Info'!$I$31,IF(DP45&gt;$V$4,$V$4,DP45)))</f>
        <v>44470</v>
      </c>
      <c r="J45" s="456"/>
      <c r="K45" s="457"/>
      <c r="L45" s="458"/>
      <c r="M45" s="458"/>
      <c r="N45" s="455"/>
      <c r="O45" s="455"/>
      <c r="P45" s="458"/>
      <c r="Q45" s="458"/>
      <c r="R45" s="459"/>
      <c r="S45" s="873">
        <f>IF($V$5-SUM($DX$7:$DX45)&lt;0,IF($V$5-SUM($DX$7:$DX44)&lt;0,0,$V$5-SUM($DX$7:$DX44)),DX45)</f>
        <v>0</v>
      </c>
      <c r="T45" s="460" t="str">
        <f>IF(S45&gt;0,IF('Outline Info'!$B$8="Y",D45,DT45),"")</f>
        <v/>
      </c>
      <c r="U45" s="461"/>
      <c r="V45" s="462"/>
      <c r="W45" s="871" t="str">
        <f>IF('Outline Info'!$C$33&gt;0,ROUND(IF('Outline Info'!$B$8="Y",SUM(S$7:S45)-SUM(AJ$7:AJ45)-'Outline Info'!$B$14-'Outline Info'!$B$15-'Outline Info'!$B$17,IF(AL45=0,SUM(S$7:S45)-SUM(AK$7:AK45)-SUM(AP45:AS45)-'Outline Info'!$B$14-'Outline Info'!$B$15-'Outline Info'!$B$17,0)),0),IF('Outline Info'!$T$4&lt;&gt;1,"",IF(OR(AD45="",AL45=1),"",SUM(AK$7:AK45)+SUM(AP45:AS45)+'Outline Info'!$B$14+'Outline Info'!$B$15+'Outline Info'!$B$17)))</f>
        <v/>
      </c>
      <c r="X45" s="448"/>
      <c r="Y45" s="443">
        <f>IF(OR(AE45="X",AE45="x",AE45="*",AC45=99999),0,IF(AC45&lt;50,0,IF($S$4-SUM($Y$7:$Y44)&gt;0,1,0)))</f>
        <v>0</v>
      </c>
      <c r="Z45" s="444">
        <f>IF(AC45&lt;99999,IF(AE45="*",AH45,IF(OR(AE45="x",AE45="X",AC45&lt;10),0,IF(AND(AC45&lt;&gt;9998,AC45&lt;&gt;9997),IF(AM45=1,(AH45+$AM$5)*(1+('Outline Info'!$B$16)),IF(AN45=1,(AH45+$AN$5)*(1+('Outline Info'!$B$16)),0)),AH45))),0)</f>
        <v>0</v>
      </c>
      <c r="AA45" s="395">
        <f>Z45/'Outline Info'!$C$11+Y45</f>
        <v>0</v>
      </c>
      <c r="AB45" s="395">
        <f>ROUND(AA45/'Outline Info'!$B$11*7,0)</f>
        <v>0</v>
      </c>
      <c r="AC45" s="6">
        <f>IF($AD45&lt;&gt;"",VLOOKUP($AD45,'Course Table'!$A$2:$J$331,10,TRUE),99999)</f>
        <v>99999</v>
      </c>
      <c r="AD45" s="2"/>
      <c r="AE45" s="2"/>
      <c r="AF45" s="2"/>
      <c r="AG45" s="2"/>
      <c r="AH45" s="2"/>
      <c r="AI45" s="2">
        <v>0</v>
      </c>
      <c r="AJ45" s="2">
        <v>0</v>
      </c>
      <c r="AK45" s="394">
        <f t="shared" si="27"/>
        <v>0</v>
      </c>
      <c r="AL45" s="394">
        <f t="shared" si="28"/>
        <v>0</v>
      </c>
      <c r="AM45" s="394">
        <f t="shared" si="29"/>
        <v>0</v>
      </c>
      <c r="AN45" s="394">
        <f t="shared" si="30"/>
        <v>0</v>
      </c>
      <c r="AO45" s="394">
        <f>IF(AN45=1,SUMPRODUCT($AJ$7:$AJ45,$AN$7:$AN45),0)</f>
        <v>0</v>
      </c>
      <c r="AP45" s="394">
        <f t="shared" si="31"/>
        <v>0</v>
      </c>
      <c r="AQ45" s="394">
        <f t="shared" si="32"/>
        <v>0</v>
      </c>
      <c r="AR45" s="394">
        <f t="shared" si="33"/>
        <v>0</v>
      </c>
      <c r="AS45" s="394">
        <f t="shared" si="34"/>
        <v>0</v>
      </c>
      <c r="AT45" s="394">
        <f t="shared" si="35"/>
        <v>0</v>
      </c>
      <c r="AU45" s="394">
        <f t="shared" si="36"/>
        <v>0</v>
      </c>
      <c r="AV45" s="394">
        <f t="shared" si="37"/>
        <v>0</v>
      </c>
      <c r="AW45" s="394">
        <f t="shared" si="38"/>
        <v>0</v>
      </c>
      <c r="AX45" s="394">
        <f t="shared" si="1"/>
        <v>0</v>
      </c>
      <c r="AY45" s="394">
        <f t="shared" si="2"/>
        <v>0</v>
      </c>
      <c r="AZ45" s="394">
        <f t="shared" si="3"/>
        <v>0</v>
      </c>
      <c r="BA45" s="394">
        <f t="shared" si="4"/>
        <v>0</v>
      </c>
      <c r="BB45" s="405">
        <f t="shared" si="22"/>
        <v>44473</v>
      </c>
      <c r="BC45" s="405">
        <f>BB45+IF(WEEKDAY(BB45)=1,1,IF(WEEKDAY(BB45)=7,2,0))+COUNTIF(ClosedDays!$B$4:$B$32,IF(WEEKDAY(BB45)=1,BB45+1,IF(WEEKDAY(BB45)=7,BB45+2,BB45)))+COUNTIF(ClosedDays!$F$4:$F$32,IF(WEEKDAY(BB45)=1,BB45+1,IF(WEEKDAY(BB45)=7,BB45+2,BB45)))+COUNTIF(ClosedDays!$J$4:$J$32,IF(WEEKDAY(BB45)=1,BB45+1,IF(WEEKDAY(BB45)=7,BB45+2,BB45)))+COUNTIF(ClosedDays!$N$4:$N$32,IF(WEEKDAY(BB45)=1,BB45+1,IF(WEEKDAY(BB45)=7,BB45+2,BB45)))</f>
        <v>44473</v>
      </c>
      <c r="BD45" s="405">
        <f>BC45+IF(WEEKDAY(BC45)=1,1,IF(WEEKDAY(BC45)=7,2,0))+COUNTIF(ClosedDays!$B$4:$B$32,IF(WEEKDAY(BC45)=1,BC45+1,IF(WEEKDAY(BC45)=7,BC45+2,BC45)))+COUNTIF(ClosedDays!$F$4:$F$32,IF(WEEKDAY(BC45)=1,BC45+1,IF(WEEKDAY(BC45)=7,BC45+2,BC45)))+COUNTIF(ClosedDays!$J$4:$J$32,IF(WEEKDAY(BC45)=1,BC45+1,IF(WEEKDAY(BC45)=7,BC45+2,BC45)))+COUNTIF(ClosedDays!$N$4:$N$32,IF(WEEKDAY(BC45)=1,BC45+1,IF(WEEKDAY(BC45)=7,BC45+2,BC45)))</f>
        <v>44473</v>
      </c>
      <c r="BE45" s="405">
        <f>BD45+IF(WEEKDAY(BD45)=1,1,IF(WEEKDAY(BD45)=7,2,0))+COUNTIF(ClosedDays!$B$4:$B$32,IF(WEEKDAY(BD45)=1,BD45+1,IF(WEEKDAY(BD45)=7,BD45+2,BD45)))+COUNTIF(ClosedDays!$F$4:$F$32,IF(WEEKDAY(BD45)=1,BD45+1,IF(WEEKDAY(BD45)=7,BD45+2,BD45)))+COUNTIF(ClosedDays!$J$4:$J$32,IF(WEEKDAY(BD45)=1,BD45+1,IF(WEEKDAY(BD45)=7,BD45+2,BD45)))+COUNTIF(ClosedDays!$N$4:$N$32,IF(WEEKDAY(BD45)=1,BD45+1,IF(WEEKDAY(BD45)=7,BD45+2,BD45)))</f>
        <v>44473</v>
      </c>
      <c r="BF45" s="405">
        <f>BE45+IF(WEEKDAY(BE45)=1,1,IF(WEEKDAY(BE45)=7,2,0))+COUNTIF(ClosedDays!$B$4:$B$32,IF(WEEKDAY(BE45)=1,BE45+1,IF(WEEKDAY(BE45)=7,BE45+2,BE45)))+COUNTIF(ClosedDays!$F$4:$F$32,IF(WEEKDAY(BE45)=1,BE45+1,IF(WEEKDAY(BE45)=7,BE45+2,BE45)))+COUNTIF(ClosedDays!$J$4:$J$32,IF(WEEKDAY(BE45)=1,BE45+1,IF(WEEKDAY(BE45)=7,BE45+2,BE45)))+COUNTIF(ClosedDays!$N$4:$N$32,IF(WEEKDAY(BE45)=1,BE45+1,IF(WEEKDAY(BE45)=7,BE45+2,BE45)))</f>
        <v>44473</v>
      </c>
      <c r="BG45" s="405">
        <f>BF45+IF(WEEKDAY(BF45)=1,1,IF(WEEKDAY(BF45)=7,2,0))+COUNTIF(ClosedDays!$B$4:$B$32,IF(WEEKDAY(BF45)=1,BF45+1,IF(WEEKDAY(BF45)=7,BF45+2,BF45)))+COUNTIF(ClosedDays!$F$4:$F$32,IF(WEEKDAY(BF45)=1,BF45+1,IF(WEEKDAY(BF45)=7,BF45+2,BF45)))+COUNTIF(ClosedDays!$J$4:$J$32,IF(WEEKDAY(BF45)=1,BF45+1,IF(WEEKDAY(BF45)=7,BF45+2,BF45)))+COUNTIF(ClosedDays!$N$4:$N$32,IF(WEEKDAY(BF45)=1,BF45+1,IF(WEEKDAY(BF45)=7,BF45+2,BF45)))</f>
        <v>44473</v>
      </c>
      <c r="BH45" s="405">
        <f>BG45+IF(WEEKDAY(BG45)=1,1,IF(WEEKDAY(BG45)=7,2,0))+COUNTIF(ClosedDays!$B$4:$B$32,IF(WEEKDAY(BG45)=1,BG45+1,IF(WEEKDAY(BG45)=7,BG45+2,BG45)))+COUNTIF(ClosedDays!$F$4:$F$32,IF(WEEKDAY(BG45)=1,BG45+1,IF(WEEKDAY(BG45)=7,BG45+2,BG45)))+COUNTIF(ClosedDays!$J$4:$J$32,IF(WEEKDAY(BG45)=1,BG45+1,IF(WEEKDAY(BG45)=7,BG45+2,BG45)))+COUNTIF(ClosedDays!$N$4:$N$32,IF(WEEKDAY(BG45)=1,BG45+1,IF(WEEKDAY(BG45)=7,BG45+2,BG45)))</f>
        <v>44473</v>
      </c>
      <c r="BI45" s="405">
        <f>BH45+IF(WEEKDAY(BH45)=1,1,IF(WEEKDAY(BH45)=7,2,0))+COUNTIF(ClosedDays!$B$4:$B$32,IF(WEEKDAY(BH45)=1,BH45+1,IF(WEEKDAY(BH45)=7,BH45+2,BH45)))+COUNTIF(ClosedDays!$F$4:$F$32,IF(WEEKDAY(BH45)=1,BH45+1,IF(WEEKDAY(BH45)=7,BH45+2,BH45)))+COUNTIF(ClosedDays!$J$4:$J$32,IF(WEEKDAY(BH45)=1,BH45+1,IF(WEEKDAY(BH45)=7,BH45+2,BH45)))+COUNTIF(ClosedDays!$N$4:$N$32,IF(WEEKDAY(BH45)=1,BH45+1,IF(WEEKDAY(BH45)=7,BH45+2,BH45)))</f>
        <v>44473</v>
      </c>
      <c r="BJ45" s="405">
        <f>BI45+IF(WEEKDAY(BI45)=1,1,IF(WEEKDAY(BI45)=7,2,0))+COUNTIF(ClosedDays!$B$4:$B$32,IF(WEEKDAY(BI45)=1,BI45+1,IF(WEEKDAY(BI45)=7,BI45+2,BI45)))+COUNTIF(ClosedDays!$F$4:$F$32,IF(WEEKDAY(BI45)=1,BI45+1,IF(WEEKDAY(BI45)=7,BI45+2,BI45)))+COUNTIF(ClosedDays!$J$4:$J$32,IF(WEEKDAY(BI45)=1,BI45+1,IF(WEEKDAY(BI45)=7,BI45+2,BI45)))+COUNTIF(ClosedDays!$N$4:$N$32,IF(WEEKDAY(BI45)=1,BI45+1,IF(WEEKDAY(BI45)=7,BI45+2,BI45)))</f>
        <v>44473</v>
      </c>
      <c r="BK45" s="405">
        <f>BJ45+IF(WEEKDAY(BJ45)=1,1,IF(WEEKDAY(BJ45)=7,2,0))+COUNTIF(ClosedDays!$B$4:$B$32,IF(WEEKDAY(BJ45)=1,BJ45+1,IF(WEEKDAY(BJ45)=7,BJ45+2,BJ45)))+COUNTIF(ClosedDays!$F$4:$F$32,IF(WEEKDAY(BJ45)=1,BJ45+1,IF(WEEKDAY(BJ45)=7,BJ45+2,BJ45)))+COUNTIF(ClosedDays!$J$4:$J$32,IF(WEEKDAY(BJ45)=1,BJ45+1,IF(WEEKDAY(BJ45)=7,BJ45+2,BJ45)))+COUNTIF(ClosedDays!$N$4:$N$32,IF(WEEKDAY(BJ45)=1,BJ45+1,IF(WEEKDAY(BJ45)=7,BJ45+2,BJ45)))</f>
        <v>44473</v>
      </c>
      <c r="BL45" s="405">
        <f>BK45+IF(WEEKDAY(BK45)=1,1,IF(WEEKDAY(BK45)=7,2,0))+COUNTIF(ClosedDays!$B$4:$B$32,IF(WEEKDAY(BK45)=1,BK45+1,IF(WEEKDAY(BK45)=7,BK45+2,BK45)))+COUNTIF(ClosedDays!$F$4:$F$32,IF(WEEKDAY(BK45)=1,BK45+1,IF(WEEKDAY(BK45)=7,BK45+2,BK45)))+COUNTIF(ClosedDays!$J$4:$J$32,IF(WEEKDAY(BK45)=1,BK45+1,IF(WEEKDAY(BK45)=7,BK45+2,BK45)))+COUNTIF(ClosedDays!$N$4:$N$32,IF(WEEKDAY(BK45)=1,BK45+1,IF(WEEKDAY(BK45)=7,BK45+2,BK45)))</f>
        <v>44473</v>
      </c>
      <c r="BM45" s="405">
        <f>BL45+IF(WEEKDAY(BL45)=1,1,IF(WEEKDAY(BL45)=7,2,0))+COUNTIF(ClosedDays!$B$4:$B$32,IF(WEEKDAY(BL45)=1,BL45+1,IF(WEEKDAY(BL45)=7,BL45+2,BL45)))+COUNTIF(ClosedDays!$F$4:$F$32,IF(WEEKDAY(BL45)=1,BL45+1,IF(WEEKDAY(BL45)=7,BL45+2,BL45)))+COUNTIF(ClosedDays!$J$4:$J$32,IF(WEEKDAY(BL45)=1,BL45+1,IF(WEEKDAY(BL45)=7,BL45+2,BL45)))+COUNTIF(ClosedDays!$N$4:$N$32,IF(WEEKDAY(BL45)=1,BL45+1,IF(WEEKDAY(BL45)=7,BL45+2,BL45)))</f>
        <v>44473</v>
      </c>
      <c r="BN45" s="405">
        <f>BM45+IF(WEEKDAY(BM45)=1,1,IF(WEEKDAY(BM45)=7,2,0))+COUNTIF(ClosedDays!$B$4:$B$32,IF(WEEKDAY(BM45)=1,BM45+1,IF(WEEKDAY(BM45)=7,BM45+2,BM45)))+COUNTIF(ClosedDays!$F$4:$F$32,IF(WEEKDAY(BM45)=1,BM45+1,IF(WEEKDAY(BM45)=7,BM45+2,BM45)))+COUNTIF(ClosedDays!$J$4:$J$32,IF(WEEKDAY(BM45)=1,BM45+1,IF(WEEKDAY(BM45)=7,BM45+2,BM45)))+COUNTIF(ClosedDays!$N$4:$N$32,IF(WEEKDAY(BM45)=1,BM45+1,IF(WEEKDAY(BM45)=7,BM45+2,BM45)))</f>
        <v>44473</v>
      </c>
      <c r="BO45" s="405">
        <f>BN45+IF(WEEKDAY(BN45)=1,1,IF(WEEKDAY(BN45)=7,2,0))+COUNTIF(ClosedDays!$B$4:$B$32,IF(WEEKDAY(BN45)=1,BN45+1,IF(WEEKDAY(BN45)=7,BN45+2,BN45)))+COUNTIF(ClosedDays!$F$4:$F$32,IF(WEEKDAY(BN45)=1,BN45+1,IF(WEEKDAY(BN45)=7,BN45+2,BN45)))+COUNTIF(ClosedDays!$J$4:$J$32,IF(WEEKDAY(BN45)=1,BN45+1,IF(WEEKDAY(BN45)=7,BN45+2,BN45)))+COUNTIF(ClosedDays!$N$4:$N$32,IF(WEEKDAY(BN45)=1,BN45+1,IF(WEEKDAY(BN45)=7,BN45+2,BN45)))</f>
        <v>44473</v>
      </c>
      <c r="BP45" s="405">
        <f>BO45+IF(WEEKDAY(BO45)=1,1,IF(WEEKDAY(BO45)=7,2,0))+COUNTIF(ClosedDays!$B$4:$B$32,IF(WEEKDAY(BO45)=1,BO45+1,IF(WEEKDAY(BO45)=7,BO45+2,BO45)))+COUNTIF(ClosedDays!$F$4:$F$32,IF(WEEKDAY(BO45)=1,BO45+1,IF(WEEKDAY(BO45)=7,BO45+2,BO45)))+COUNTIF(ClosedDays!$J$4:$J$32,IF(WEEKDAY(BO45)=1,BO45+1,IF(WEEKDAY(BO45)=7,BO45+2,BO45)))+COUNTIF(ClosedDays!$N$4:$N$32,IF(WEEKDAY(BO45)=1,BO45+1,IF(WEEKDAY(BO45)=7,BO45+2,BO45)))</f>
        <v>44473</v>
      </c>
      <c r="BQ45" s="405">
        <f t="shared" si="39"/>
        <v>44473</v>
      </c>
      <c r="BR45" s="446">
        <f>IF(AND($D45&lt;='Outline Info'!$H$31,BQ45&gt;='Outline Info'!$H$31,$BS$4=1,$AC45&gt;10,$AC45&lt;9997),1,0)</f>
        <v>0</v>
      </c>
      <c r="BS45" s="405">
        <f>IF(BR45=1,BQ45+'Outline Info'!$I$31-'Outline Info'!$H$31+1,BQ45)</f>
        <v>44473</v>
      </c>
      <c r="BT45" s="405">
        <f>BS45+IF(WEEKDAY(BS45)=1,1,IF(WEEKDAY(BS45)=7,2,0))+COUNTIF(ClosedDays!$B$4:$B$32,IF(WEEKDAY(BS45)=1,BS45+1,IF(WEEKDAY(BS45)=7,BS45+2,BS45)))+COUNTIF(ClosedDays!$F$4:$F$32,IF(WEEKDAY(BS45)=1,BS45+1,IF(WEEKDAY(BS45)=7,BS45+2,BS45)))+COUNTIF(ClosedDays!$J$4:$J$32,IF(WEEKDAY(BS45)=1,BS45+1,IF(WEEKDAY(BS45)=7,BS45+2,BS45)))+COUNTIF(ClosedDays!$N$4:$N$32,IF(WEEKDAY(BS45)=1,BS45+1,IF(WEEKDAY(BS45)=7,BS45+2,BS45)))</f>
        <v>44473</v>
      </c>
      <c r="BU45" s="405">
        <f>BT45+IF(WEEKDAY(BT45)=1,1,IF(WEEKDAY(BT45)=7,2,0))+COUNTIF(ClosedDays!$B$4:$B$32,IF(WEEKDAY(BT45)=1,BT45+1,IF(WEEKDAY(BT45)=7,BT45+2,BT45)))+COUNTIF(ClosedDays!$F$4:$F$32,IF(WEEKDAY(BT45)=1,BT45+1,IF(WEEKDAY(BT45)=7,BT45+2,BT45)))+COUNTIF(ClosedDays!$J$4:$J$32,IF(WEEKDAY(BT45)=1,BT45+1,IF(WEEKDAY(BT45)=7,BT45+2,BT45)))+COUNTIF(ClosedDays!$N$4:$N$32,IF(WEEKDAY(BT45)=1,BT45+1,IF(WEEKDAY(BT45)=7,BT45+2,BT45)))</f>
        <v>44473</v>
      </c>
      <c r="BV45" s="405">
        <f>BU45+IF(WEEKDAY(BU45)=1,1,IF(WEEKDAY(BU45)=7,2,0))+COUNTIF(ClosedDays!$B$4:$B$32,IF(WEEKDAY(BU45)=1,BU45+1,IF(WEEKDAY(BU45)=7,BU45+2,BU45)))+COUNTIF(ClosedDays!$F$4:$F$32,IF(WEEKDAY(BU45)=1,BU45+1,IF(WEEKDAY(BU45)=7,BU45+2,BU45)))+COUNTIF(ClosedDays!$J$4:$J$32,IF(WEEKDAY(BU45)=1,BU45+1,IF(WEEKDAY(BU45)=7,BU45+2,BU45)))+COUNTIF(ClosedDays!$N$4:$N$32,IF(WEEKDAY(BU45)=1,BU45+1,IF(WEEKDAY(BU45)=7,BU45+2,BU45)))</f>
        <v>44473</v>
      </c>
      <c r="BW45" s="405">
        <f>BV45+IF(WEEKDAY(BV45)=1,1,IF(WEEKDAY(BV45)=7,2,0))+COUNTIF(ClosedDays!$B$4:$B$32,IF(WEEKDAY(BV45)=1,BV45+1,IF(WEEKDAY(BV45)=7,BV45+2,BV45)))+COUNTIF(ClosedDays!$F$4:$F$32,IF(WEEKDAY(BV45)=1,BV45+1,IF(WEEKDAY(BV45)=7,BV45+2,BV45)))+COUNTIF(ClosedDays!$J$4:$J$32,IF(WEEKDAY(BV45)=1,BV45+1,IF(WEEKDAY(BV45)=7,BV45+2,BV45)))+COUNTIF(ClosedDays!$N$4:$N$32,IF(WEEKDAY(BV45)=1,BV45+1,IF(WEEKDAY(BV45)=7,BV45+2,BV45)))</f>
        <v>44473</v>
      </c>
      <c r="BX45" s="405">
        <f>BW45+IF(WEEKDAY(BW45)=1,1,IF(WEEKDAY(BW45)=7,2,0))+COUNTIF(ClosedDays!$B$4:$B$32,IF(WEEKDAY(BW45)=1,BW45+1,IF(WEEKDAY(BW45)=7,BW45+2,BW45)))+COUNTIF(ClosedDays!$F$4:$F$32,IF(WEEKDAY(BW45)=1,BW45+1,IF(WEEKDAY(BW45)=7,BW45+2,BW45)))+COUNTIF(ClosedDays!$J$4:$J$32,IF(WEEKDAY(BW45)=1,BW45+1,IF(WEEKDAY(BW45)=7,BW45+2,BW45)))+COUNTIF(ClosedDays!$N$4:$N$32,IF(WEEKDAY(BW45)=1,BW45+1,IF(WEEKDAY(BW45)=7,BW45+2,BW45)))</f>
        <v>44473</v>
      </c>
      <c r="BY45" s="405">
        <f>BX45+IF(WEEKDAY(BX45)=1,1,IF(WEEKDAY(BX45)=7,2,0))+COUNTIF(ClosedDays!$B$4:$B$32,IF(WEEKDAY(BX45)=1,BX45+1,IF(WEEKDAY(BX45)=7,BX45+2,BX45)))+COUNTIF(ClosedDays!$F$4:$F$32,IF(WEEKDAY(BX45)=1,BX45+1,IF(WEEKDAY(BX45)=7,BX45+2,BX45)))+COUNTIF(ClosedDays!$J$4:$J$32,IF(WEEKDAY(BX45)=1,BX45+1,IF(WEEKDAY(BX45)=7,BX45+2,BX45)))+COUNTIF(ClosedDays!$N$4:$N$32,IF(WEEKDAY(BX45)=1,BX45+1,IF(WEEKDAY(BX45)=7,BX45+2,BX45)))</f>
        <v>44473</v>
      </c>
      <c r="BZ45" s="405">
        <f>BY45+IF(WEEKDAY(BY45)=1,1,IF(WEEKDAY(BY45)=7,2,0))+COUNTIF(ClosedDays!$B$4:$B$32,IF(WEEKDAY(BY45)=1,BY45+1,IF(WEEKDAY(BY45)=7,BY45+2,BY45)))+COUNTIF(ClosedDays!$F$4:$F$32,IF(WEEKDAY(BY45)=1,BY45+1,IF(WEEKDAY(BY45)=7,BY45+2,BY45)))+COUNTIF(ClosedDays!$J$4:$J$32,IF(WEEKDAY(BY45)=1,BY45+1,IF(WEEKDAY(BY45)=7,BY45+2,BY45)))+COUNTIF(ClosedDays!$N$4:$N$32,IF(WEEKDAY(BY45)=1,BY45+1,IF(WEEKDAY(BY45)=7,BY45+2,BY45)))</f>
        <v>44473</v>
      </c>
      <c r="CA45" s="405">
        <f>BZ45+IF(WEEKDAY(BZ45)=1,1,IF(WEEKDAY(BZ45)=7,2,0))+COUNTIF(ClosedDays!$B$4:$B$32,IF(WEEKDAY(BZ45)=1,BZ45+1,IF(WEEKDAY(BZ45)=7,BZ45+2,BZ45)))+COUNTIF(ClosedDays!$F$4:$F$32,IF(WEEKDAY(BZ45)=1,BZ45+1,IF(WEEKDAY(BZ45)=7,BZ45+2,BZ45)))+COUNTIF(ClosedDays!$J$4:$J$32,IF(WEEKDAY(BZ45)=1,BZ45+1,IF(WEEKDAY(BZ45)=7,BZ45+2,BZ45)))+COUNTIF(ClosedDays!$N$4:$N$32,IF(WEEKDAY(BZ45)=1,BZ45+1,IF(WEEKDAY(BZ45)=7,BZ45+2,BZ45)))</f>
        <v>44473</v>
      </c>
      <c r="CB45" s="405">
        <f>CA45+IF(WEEKDAY(CA45)=1,1,IF(WEEKDAY(CA45)=7,2,0))+COUNTIF(ClosedDays!$B$4:$B$32,IF(WEEKDAY(CA45)=1,CA45+1,IF(WEEKDAY(CA45)=7,CA45+2,CA45)))+COUNTIF(ClosedDays!$F$4:$F$32,IF(WEEKDAY(CA45)=1,CA45+1,IF(WEEKDAY(CA45)=7,CA45+2,CA45)))+COUNTIF(ClosedDays!$J$4:$J$32,IF(WEEKDAY(CA45)=1,CA45+1,IF(WEEKDAY(CA45)=7,CA45+2,CA45)))+COUNTIF(ClosedDays!$N$4:$N$32,IF(WEEKDAY(CA45)=1,CA45+1,IF(WEEKDAY(CA45)=7,CA45+2,CA45)))</f>
        <v>44473</v>
      </c>
      <c r="CC45" s="405">
        <f>CB45+IF(WEEKDAY(CB45)=1,1,IF(WEEKDAY(CB45)=7,2,0))+COUNTIF(ClosedDays!$B$4:$B$32,IF(WEEKDAY(CB45)=1,CB45+1,IF(WEEKDAY(CB45)=7,CB45+2,CB45)))+COUNTIF(ClosedDays!$F$4:$F$32,IF(WEEKDAY(CB45)=1,CB45+1,IF(WEEKDAY(CB45)=7,CB45+2,CB45)))+COUNTIF(ClosedDays!$J$4:$J$32,IF(WEEKDAY(CB45)=1,CB45+1,IF(WEEKDAY(CB45)=7,CB45+2,CB45)))+COUNTIF(ClosedDays!$N$4:$N$32,IF(WEEKDAY(CB45)=1,CB45+1,IF(WEEKDAY(CB45)=7,CB45+2,CB45)))</f>
        <v>44473</v>
      </c>
      <c r="CD45" s="405">
        <f>CC45+IF(WEEKDAY(CC45)=1,1,IF(WEEKDAY(CC45)=7,2,0))+COUNTIF(ClosedDays!$B$4:$B$32,IF(WEEKDAY(CC45)=1,CC45+1,IF(WEEKDAY(CC45)=7,CC45+2,CC45)))+COUNTIF(ClosedDays!$F$4:$F$32,IF(WEEKDAY(CC45)=1,CC45+1,IF(WEEKDAY(CC45)=7,CC45+2,CC45)))+COUNTIF(ClosedDays!$J$4:$J$32,IF(WEEKDAY(CC45)=1,CC45+1,IF(WEEKDAY(CC45)=7,CC45+2,CC45)))+COUNTIF(ClosedDays!$N$4:$N$32,IF(WEEKDAY(CC45)=1,CC45+1,IF(WEEKDAY(CC45)=7,CC45+2,CC45)))</f>
        <v>44473</v>
      </c>
      <c r="CE45" s="405">
        <f>CD45+IF(WEEKDAY(CD45)=1,1,IF(WEEKDAY(CD45)=7,2,0))+COUNTIF(ClosedDays!$B$4:$B$32,IF(WEEKDAY(CD45)=1,CD45+1,IF(WEEKDAY(CD45)=7,CD45+2,CD45)))+COUNTIF(ClosedDays!$F$4:$F$32,IF(WEEKDAY(CD45)=1,CD45+1,IF(WEEKDAY(CD45)=7,CD45+2,CD45)))+COUNTIF(ClosedDays!$J$4:$J$32,IF(WEEKDAY(CD45)=1,CD45+1,IF(WEEKDAY(CD45)=7,CD45+2,CD45)))+COUNTIF(ClosedDays!$N$4:$N$32,IF(WEEKDAY(CD45)=1,CD45+1,IF(WEEKDAY(CD45)=7,CD45+2,CD45)))</f>
        <v>44473</v>
      </c>
      <c r="CF45" s="405">
        <f>CE45+IF(WEEKDAY(CE45)=1,1,IF(WEEKDAY(CE45)=7,2,0))+COUNTIF(ClosedDays!$B$4:$B$32,IF(WEEKDAY(CE45)=1,CE45+1,IF(WEEKDAY(CE45)=7,CE45+2,CE45)))+COUNTIF(ClosedDays!$F$4:$F$32,IF(WEEKDAY(CE45)=1,CE45+1,IF(WEEKDAY(CE45)=7,CE45+2,CE45)))+COUNTIF(ClosedDays!$J$4:$J$32,IF(WEEKDAY(CE45)=1,CE45+1,IF(WEEKDAY(CE45)=7,CE45+2,CE45)))+COUNTIF(ClosedDays!$N$4:$N$32,IF(WEEKDAY(CE45)=1,CE45+1,IF(WEEKDAY(CE45)=7,CE45+2,CE45)))</f>
        <v>44473</v>
      </c>
      <c r="CG45" s="405">
        <f>CF45+IF(WEEKDAY(CF45)=1,1,IF(WEEKDAY(CF45)=7,2,0))+COUNTIF(ClosedDays!$B$4:$B$32,IF(WEEKDAY(CF45)=1,CF45+1,IF(WEEKDAY(CF45)=7,CF45+2,CF45)))+COUNTIF(ClosedDays!$F$4:$F$32,IF(WEEKDAY(CF45)=1,CF45+1,IF(WEEKDAY(CF45)=7,CF45+2,CF45)))+COUNTIF(ClosedDays!$J$4:$J$32,IF(WEEKDAY(CF45)=1,CF45+1,IF(WEEKDAY(CF45)=7,CF45+2,CF45)))+COUNTIF(ClosedDays!$N$4:$N$32,IF(WEEKDAY(CF45)=1,CF45+1,IF(WEEKDAY(CF45)=7,CF45+2,CF45)))</f>
        <v>44473</v>
      </c>
      <c r="CH45" s="405">
        <f t="shared" si="40"/>
        <v>44473</v>
      </c>
      <c r="CI45" s="446">
        <f>IF(AND($D45&lt;='Outline Info'!$H$33,CH45&gt;='Outline Info'!$H$33,$CJ$4=1,$AC45&gt;10,$AC45&lt;9997),1,0)</f>
        <v>0</v>
      </c>
      <c r="CJ45" s="405">
        <f>IF(CI45=1,CH45+'Outline Info'!$I$33-'Outline Info'!$H$33+1,CH45)</f>
        <v>44473</v>
      </c>
      <c r="CK45" s="405">
        <f>CJ45+IF(WEEKDAY(CJ45)=1,1,IF(WEEKDAY(CJ45)=7,2,0))+COUNTIF(ClosedDays!$B$4:$B$32,IF(WEEKDAY(CJ45)=1,CJ45+1,IF(WEEKDAY(CJ45)=7,CJ45+2,CJ45)))+COUNTIF(ClosedDays!$F$4:$F$32,IF(WEEKDAY(CJ45)=1,CJ45+1,IF(WEEKDAY(CJ45)=7,CJ45+2,CJ45)))+COUNTIF(ClosedDays!$J$4:$J$32,IF(WEEKDAY(CJ45)=1,CJ45+1,IF(WEEKDAY(CJ45)=7,CJ45+2,CJ45)))+COUNTIF(ClosedDays!$N$4:$N$32,IF(WEEKDAY(CJ45)=1,CJ45+1,IF(WEEKDAY(CJ45)=7,CJ45+2,CJ45)))</f>
        <v>44473</v>
      </c>
      <c r="CL45" s="405">
        <f>CK45+IF(WEEKDAY(CK45)=1,1,IF(WEEKDAY(CK45)=7,2,0))+COUNTIF(ClosedDays!$B$4:$B$32,IF(WEEKDAY(CK45)=1,CK45+1,IF(WEEKDAY(CK45)=7,CK45+2,CK45)))+COUNTIF(ClosedDays!$F$4:$F$32,IF(WEEKDAY(CK45)=1,CK45+1,IF(WEEKDAY(CK45)=7,CK45+2,CK45)))+COUNTIF(ClosedDays!$J$4:$J$32,IF(WEEKDAY(CK45)=1,CK45+1,IF(WEEKDAY(CK45)=7,CK45+2,CK45)))+COUNTIF(ClosedDays!$N$4:$N$32,IF(WEEKDAY(CK45)=1,CK45+1,IF(WEEKDAY(CK45)=7,CK45+2,CK45)))</f>
        <v>44473</v>
      </c>
      <c r="CM45" s="405">
        <f>CL45+IF(WEEKDAY(CL45)=1,1,IF(WEEKDAY(CL45)=7,2,0))+COUNTIF(ClosedDays!$B$4:$B$32,IF(WEEKDAY(CL45)=1,CL45+1,IF(WEEKDAY(CL45)=7,CL45+2,CL45)))+COUNTIF(ClosedDays!$F$4:$F$32,IF(WEEKDAY(CL45)=1,CL45+1,IF(WEEKDAY(CL45)=7,CL45+2,CL45)))+COUNTIF(ClosedDays!$J$4:$J$32,IF(WEEKDAY(CL45)=1,CL45+1,IF(WEEKDAY(CL45)=7,CL45+2,CL45)))+COUNTIF(ClosedDays!$N$4:$N$32,IF(WEEKDAY(CL45)=1,CL45+1,IF(WEEKDAY(CL45)=7,CL45+2,CL45)))</f>
        <v>44473</v>
      </c>
      <c r="CN45" s="405">
        <f>CM45+IF(WEEKDAY(CM45)=1,1,IF(WEEKDAY(CM45)=7,2,0))+COUNTIF(ClosedDays!$B$4:$B$32,IF(WEEKDAY(CM45)=1,CM45+1,IF(WEEKDAY(CM45)=7,CM45+2,CM45)))+COUNTIF(ClosedDays!$F$4:$F$32,IF(WEEKDAY(CM45)=1,CM45+1,IF(WEEKDAY(CM45)=7,CM45+2,CM45)))+COUNTIF(ClosedDays!$J$4:$J$32,IF(WEEKDAY(CM45)=1,CM45+1,IF(WEEKDAY(CM45)=7,CM45+2,CM45)))+COUNTIF(ClosedDays!$N$4:$N$32,IF(WEEKDAY(CM45)=1,CM45+1,IF(WEEKDAY(CM45)=7,CM45+2,CM45)))</f>
        <v>44473</v>
      </c>
      <c r="CO45" s="405">
        <f>CN45+IF(WEEKDAY(CN45)=1,1,IF(WEEKDAY(CN45)=7,2,0))+COUNTIF(ClosedDays!$B$4:$B$32,IF(WEEKDAY(CN45)=1,CN45+1,IF(WEEKDAY(CN45)=7,CN45+2,CN45)))+COUNTIF(ClosedDays!$F$4:$F$32,IF(WEEKDAY(CN45)=1,CN45+1,IF(WEEKDAY(CN45)=7,CN45+2,CN45)))+COUNTIF(ClosedDays!$J$4:$J$32,IF(WEEKDAY(CN45)=1,CN45+1,IF(WEEKDAY(CN45)=7,CN45+2,CN45)))+COUNTIF(ClosedDays!$N$4:$N$32,IF(WEEKDAY(CN45)=1,CN45+1,IF(WEEKDAY(CN45)=7,CN45+2,CN45)))</f>
        <v>44473</v>
      </c>
      <c r="CP45" s="405">
        <f>CO45+IF(WEEKDAY(CO45)=1,1,IF(WEEKDAY(CO45)=7,2,0))+COUNTIF(ClosedDays!$B$4:$B$32,IF(WEEKDAY(CO45)=1,CO45+1,IF(WEEKDAY(CO45)=7,CO45+2,CO45)))+COUNTIF(ClosedDays!$F$4:$F$32,IF(WEEKDAY(CO45)=1,CO45+1,IF(WEEKDAY(CO45)=7,CO45+2,CO45)))+COUNTIF(ClosedDays!$J$4:$J$32,IF(WEEKDAY(CO45)=1,CO45+1,IF(WEEKDAY(CO45)=7,CO45+2,CO45)))+COUNTIF(ClosedDays!$N$4:$N$32,IF(WEEKDAY(CO45)=1,CO45+1,IF(WEEKDAY(CO45)=7,CO45+2,CO45)))</f>
        <v>44473</v>
      </c>
      <c r="CQ45" s="405">
        <f>CP45+IF(WEEKDAY(CP45)=1,1,IF(WEEKDAY(CP45)=7,2,0))+COUNTIF(ClosedDays!$B$4:$B$32,IF(WEEKDAY(CP45)=1,CP45+1,IF(WEEKDAY(CP45)=7,CP45+2,CP45)))+COUNTIF(ClosedDays!$F$4:$F$32,IF(WEEKDAY(CP45)=1,CP45+1,IF(WEEKDAY(CP45)=7,CP45+2,CP45)))+COUNTIF(ClosedDays!$J$4:$J$32,IF(WEEKDAY(CP45)=1,CP45+1,IF(WEEKDAY(CP45)=7,CP45+2,CP45)))+COUNTIF(ClosedDays!$N$4:$N$32,IF(WEEKDAY(CP45)=1,CP45+1,IF(WEEKDAY(CP45)=7,CP45+2,CP45)))</f>
        <v>44473</v>
      </c>
      <c r="CR45" s="405">
        <f>CQ45+IF(WEEKDAY(CQ45)=1,1,IF(WEEKDAY(CQ45)=7,2,0))+COUNTIF(ClosedDays!$B$4:$B$32,IF(WEEKDAY(CQ45)=1,CQ45+1,IF(WEEKDAY(CQ45)=7,CQ45+2,CQ45)))+COUNTIF(ClosedDays!$F$4:$F$32,IF(WEEKDAY(CQ45)=1,CQ45+1,IF(WEEKDAY(CQ45)=7,CQ45+2,CQ45)))+COUNTIF(ClosedDays!$J$4:$J$32,IF(WEEKDAY(CQ45)=1,CQ45+1,IF(WEEKDAY(CQ45)=7,CQ45+2,CQ45)))+COUNTIF(ClosedDays!$N$4:$N$32,IF(WEEKDAY(CQ45)=1,CQ45+1,IF(WEEKDAY(CQ45)=7,CQ45+2,CQ45)))</f>
        <v>44473</v>
      </c>
      <c r="CS45" s="405">
        <f>CR45+IF(WEEKDAY(CR45)=1,1,IF(WEEKDAY(CR45)=7,2,0))+COUNTIF(ClosedDays!$B$4:$B$32,IF(WEEKDAY(CR45)=1,CR45+1,IF(WEEKDAY(CR45)=7,CR45+2,CR45)))+COUNTIF(ClosedDays!$F$4:$F$32,IF(WEEKDAY(CR45)=1,CR45+1,IF(WEEKDAY(CR45)=7,CR45+2,CR45)))+COUNTIF(ClosedDays!$J$4:$J$32,IF(WEEKDAY(CR45)=1,CR45+1,IF(WEEKDAY(CR45)=7,CR45+2,CR45)))+COUNTIF(ClosedDays!$N$4:$N$32,IF(WEEKDAY(CR45)=1,CR45+1,IF(WEEKDAY(CR45)=7,CR45+2,CR45)))</f>
        <v>44473</v>
      </c>
      <c r="CT45" s="405">
        <f>CS45+IF(WEEKDAY(CS45)=1,1,IF(WEEKDAY(CS45)=7,2,0))+COUNTIF(ClosedDays!$B$4:$B$32,IF(WEEKDAY(CS45)=1,CS45+1,IF(WEEKDAY(CS45)=7,CS45+2,CS45)))+COUNTIF(ClosedDays!$F$4:$F$32,IF(WEEKDAY(CS45)=1,CS45+1,IF(WEEKDAY(CS45)=7,CS45+2,CS45)))+COUNTIF(ClosedDays!$J$4:$J$32,IF(WEEKDAY(CS45)=1,CS45+1,IF(WEEKDAY(CS45)=7,CS45+2,CS45)))+COUNTIF(ClosedDays!$N$4:$N$32,IF(WEEKDAY(CS45)=1,CS45+1,IF(WEEKDAY(CS45)=7,CS45+2,CS45)))</f>
        <v>44473</v>
      </c>
      <c r="CU45" s="405">
        <f>CT45+IF(WEEKDAY(CT45)=1,1,IF(WEEKDAY(CT45)=7,2,0))+COUNTIF(ClosedDays!$B$4:$B$32,IF(WEEKDAY(CT45)=1,CT45+1,IF(WEEKDAY(CT45)=7,CT45+2,CT45)))+COUNTIF(ClosedDays!$F$4:$F$32,IF(WEEKDAY(CT45)=1,CT45+1,IF(WEEKDAY(CT45)=7,CT45+2,CT45)))+COUNTIF(ClosedDays!$J$4:$J$32,IF(WEEKDAY(CT45)=1,CT45+1,IF(WEEKDAY(CT45)=7,CT45+2,CT45)))+COUNTIF(ClosedDays!$N$4:$N$32,IF(WEEKDAY(CT45)=1,CT45+1,IF(WEEKDAY(CT45)=7,CT45+2,CT45)))</f>
        <v>44473</v>
      </c>
      <c r="CV45" s="405">
        <f>CU45+IF(WEEKDAY(CU45)=1,1,IF(WEEKDAY(CU45)=7,2,0))+COUNTIF(ClosedDays!$B$4:$B$32,IF(WEEKDAY(CU45)=1,CU45+1,IF(WEEKDAY(CU45)=7,CU45+2,CU45)))+COUNTIF(ClosedDays!$F$4:$F$32,IF(WEEKDAY(CU45)=1,CU45+1,IF(WEEKDAY(CU45)=7,CU45+2,CU45)))+COUNTIF(ClosedDays!$J$4:$J$32,IF(WEEKDAY(CU45)=1,CU45+1,IF(WEEKDAY(CU45)=7,CU45+2,CU45)))+COUNTIF(ClosedDays!$N$4:$N$32,IF(WEEKDAY(CU45)=1,CU45+1,IF(WEEKDAY(CU45)=7,CU45+2,CU45)))</f>
        <v>44473</v>
      </c>
      <c r="CW45" s="405">
        <f>CV45+IF(WEEKDAY(CV45)=1,1,IF(WEEKDAY(CV45)=7,2,0))+COUNTIF(ClosedDays!$B$4:$B$32,IF(WEEKDAY(CV45)=1,CV45+1,IF(WEEKDAY(CV45)=7,CV45+2,CV45)))+COUNTIF(ClosedDays!$F$4:$F$32,IF(WEEKDAY(CV45)=1,CV45+1,IF(WEEKDAY(CV45)=7,CV45+2,CV45)))+COUNTIF(ClosedDays!$J$4:$J$32,IF(WEEKDAY(CV45)=1,CV45+1,IF(WEEKDAY(CV45)=7,CV45+2,CV45)))+COUNTIF(ClosedDays!$N$4:$N$32,IF(WEEKDAY(CV45)=1,CV45+1,IF(WEEKDAY(CV45)=7,CV45+2,CV45)))</f>
        <v>44473</v>
      </c>
      <c r="CX45" s="405">
        <f>CW45+IF(WEEKDAY(CW45)=1,1,IF(WEEKDAY(CW45)=7,2,0))+COUNTIF(ClosedDays!$B$4:$B$32,IF(WEEKDAY(CW45)=1,CW45+1,IF(WEEKDAY(CW45)=7,CW45+2,CW45)))+COUNTIF(ClosedDays!$F$4:$F$32,IF(WEEKDAY(CW45)=1,CW45+1,IF(WEEKDAY(CW45)=7,CW45+2,CW45)))+COUNTIF(ClosedDays!$J$4:$J$32,IF(WEEKDAY(CW45)=1,CW45+1,IF(WEEKDAY(CW45)=7,CW45+2,CW45)))+COUNTIF(ClosedDays!$N$4:$N$32,IF(WEEKDAY(CW45)=1,CW45+1,IF(WEEKDAY(CW45)=7,CW45+2,CW45)))</f>
        <v>44473</v>
      </c>
      <c r="CY45" s="405">
        <f t="shared" si="41"/>
        <v>44473</v>
      </c>
      <c r="CZ45" s="446">
        <f>IF(AND($D45&lt;='Outline Info'!$E$33,CY45&gt;='Outline Info'!$E$33,$AC45&gt;10,$AC45&lt;9997),1,0)</f>
        <v>0</v>
      </c>
      <c r="DA45" s="405">
        <f>IF(AND($D45&lt;='Outline Info'!$E$33,CY45&gt;='Outline Info'!$E$33),CY45+'Outline Info'!$F$33-'Outline Info'!$E$33+1,CY45)</f>
        <v>44473</v>
      </c>
      <c r="DB45" s="405">
        <f>DA45+IF(WEEKDAY(DA45)=1,1,IF(WEEKDAY(DA45)=7,2,0))+COUNTIF(ClosedDays!$B$4:$B$32,IF(WEEKDAY(DA45)=1,DA45+1,IF(WEEKDAY(DA45)=7,DA45+2,DA45)))+COUNTIF(ClosedDays!$F$4:$F$32,IF(WEEKDAY(DA45)=1,DA45+1,IF(WEEKDAY(DA45)=7,DA45+2,DA45)))+COUNTIF(ClosedDays!$J$4:$J$32,IF(WEEKDAY(DA45)=1,DA45+1,IF(WEEKDAY(DA45)=7,DA45+2,DA45)))+COUNTIF(ClosedDays!$N$4:$N$32,IF(WEEKDAY(DA45)=1,DA45+1,IF(WEEKDAY(DA45)=7,DA45+2,DA45)))</f>
        <v>44473</v>
      </c>
      <c r="DC45" s="405">
        <f>DB45+IF(WEEKDAY(DB45)=1,1,IF(WEEKDAY(DB45)=7,2,0))+COUNTIF(ClosedDays!$B$4:$B$32,IF(WEEKDAY(DB45)=1,DB45+1,IF(WEEKDAY(DB45)=7,DB45+2,DB45)))+COUNTIF(ClosedDays!$F$4:$F$32,IF(WEEKDAY(DB45)=1,DB45+1,IF(WEEKDAY(DB45)=7,DB45+2,DB45)))+COUNTIF(ClosedDays!$J$4:$J$32,IF(WEEKDAY(DB45)=1,DB45+1,IF(WEEKDAY(DB45)=7,DB45+2,DB45)))+COUNTIF(ClosedDays!$N$4:$N$32,IF(WEEKDAY(DB45)=1,DB45+1,IF(WEEKDAY(DB45)=7,DB45+2,DB45)))</f>
        <v>44473</v>
      </c>
      <c r="DD45" s="405">
        <f>DC45+IF(WEEKDAY(DC45)=1,1,IF(WEEKDAY(DC45)=7,2,0))+COUNTIF(ClosedDays!$B$4:$B$32,IF(WEEKDAY(DC45)=1,DC45+1,IF(WEEKDAY(DC45)=7,DC45+2,DC45)))+COUNTIF(ClosedDays!$F$4:$F$32,IF(WEEKDAY(DC45)=1,DC45+1,IF(WEEKDAY(DC45)=7,DC45+2,DC45)))+COUNTIF(ClosedDays!$J$4:$J$32,IF(WEEKDAY(DC45)=1,DC45+1,IF(WEEKDAY(DC45)=7,DC45+2,DC45)))+COUNTIF(ClosedDays!$N$4:$N$32,IF(WEEKDAY(DC45)=1,DC45+1,IF(WEEKDAY(DC45)=7,DC45+2,DC45)))</f>
        <v>44473</v>
      </c>
      <c r="DE45" s="405">
        <f>DD45+IF(WEEKDAY(DD45)=1,1,IF(WEEKDAY(DD45)=7,2,0))+COUNTIF(ClosedDays!$B$4:$B$32,IF(WEEKDAY(DD45)=1,DD45+1,IF(WEEKDAY(DD45)=7,DD45+2,DD45)))+COUNTIF(ClosedDays!$F$4:$F$32,IF(WEEKDAY(DD45)=1,DD45+1,IF(WEEKDAY(DD45)=7,DD45+2,DD45)))+COUNTIF(ClosedDays!$J$4:$J$32,IF(WEEKDAY(DD45)=1,DD45+1,IF(WEEKDAY(DD45)=7,DD45+2,DD45)))+COUNTIF(ClosedDays!$N$4:$N$32,IF(WEEKDAY(DD45)=1,DD45+1,IF(WEEKDAY(DD45)=7,DD45+2,DD45)))</f>
        <v>44473</v>
      </c>
      <c r="DF45" s="405">
        <f>DE45+IF(WEEKDAY(DE45)=1,1,IF(WEEKDAY(DE45)=7,2,0))+COUNTIF(ClosedDays!$B$4:$B$32,IF(WEEKDAY(DE45)=1,DE45+1,IF(WEEKDAY(DE45)=7,DE45+2,DE45)))+COUNTIF(ClosedDays!$F$4:$F$32,IF(WEEKDAY(DE45)=1,DE45+1,IF(WEEKDAY(DE45)=7,DE45+2,DE45)))+COUNTIF(ClosedDays!$J$4:$J$32,IF(WEEKDAY(DE45)=1,DE45+1,IF(WEEKDAY(DE45)=7,DE45+2,DE45)))+COUNTIF(ClosedDays!$N$4:$N$32,IF(WEEKDAY(DE45)=1,DE45+1,IF(WEEKDAY(DE45)=7,DE45+2,DE45)))</f>
        <v>44473</v>
      </c>
      <c r="DG45" s="405">
        <f>DF45+IF(WEEKDAY(DF45)=1,1,IF(WEEKDAY(DF45)=7,2,0))+COUNTIF(ClosedDays!$B$4:$B$32,IF(WEEKDAY(DF45)=1,DF45+1,IF(WEEKDAY(DF45)=7,DF45+2,DF45)))+COUNTIF(ClosedDays!$F$4:$F$32,IF(WEEKDAY(DF45)=1,DF45+1,IF(WEEKDAY(DF45)=7,DF45+2,DF45)))+COUNTIF(ClosedDays!$J$4:$J$32,IF(WEEKDAY(DF45)=1,DF45+1,IF(WEEKDAY(DF45)=7,DF45+2,DF45)))+COUNTIF(ClosedDays!$N$4:$N$32,IF(WEEKDAY(DF45)=1,DF45+1,IF(WEEKDAY(DF45)=7,DF45+2,DF45)))</f>
        <v>44473</v>
      </c>
      <c r="DH45" s="405">
        <f>DG45+IF(WEEKDAY(DG45)=1,1,IF(WEEKDAY(DG45)=7,2,0))+COUNTIF(ClosedDays!$B$4:$B$32,IF(WEEKDAY(DG45)=1,DG45+1,IF(WEEKDAY(DG45)=7,DG45+2,DG45)))+COUNTIF(ClosedDays!$F$4:$F$32,IF(WEEKDAY(DG45)=1,DG45+1,IF(WEEKDAY(DG45)=7,DG45+2,DG45)))+COUNTIF(ClosedDays!$J$4:$J$32,IF(WEEKDAY(DG45)=1,DG45+1,IF(WEEKDAY(DG45)=7,DG45+2,DG45)))+COUNTIF(ClosedDays!$N$4:$N$32,IF(WEEKDAY(DG45)=1,DG45+1,IF(WEEKDAY(DG45)=7,DG45+2,DG45)))</f>
        <v>44473</v>
      </c>
      <c r="DI45" s="405">
        <f>DH45+IF(WEEKDAY(DH45)=1,1,IF(WEEKDAY(DH45)=7,2,0))+COUNTIF(ClosedDays!$B$4:$B$32,IF(WEEKDAY(DH45)=1,DH45+1,IF(WEEKDAY(DH45)=7,DH45+2,DH45)))+COUNTIF(ClosedDays!$F$4:$F$32,IF(WEEKDAY(DH45)=1,DH45+1,IF(WEEKDAY(DH45)=7,DH45+2,DH45)))+COUNTIF(ClosedDays!$J$4:$J$32,IF(WEEKDAY(DH45)=1,DH45+1,IF(WEEKDAY(DH45)=7,DH45+2,DH45)))+COUNTIF(ClosedDays!$N$4:$N$32,IF(WEEKDAY(DH45)=1,DH45+1,IF(WEEKDAY(DH45)=7,DH45+2,DH45)))</f>
        <v>44473</v>
      </c>
      <c r="DJ45" s="405">
        <f>DI45+IF(WEEKDAY(DI45)=1,1,IF(WEEKDAY(DI45)=7,2,0))+COUNTIF(ClosedDays!$B$4:$B$32,IF(WEEKDAY(DI45)=1,DI45+1,IF(WEEKDAY(DI45)=7,DI45+2,DI45)))+COUNTIF(ClosedDays!$F$4:$F$32,IF(WEEKDAY(DI45)=1,DI45+1,IF(WEEKDAY(DI45)=7,DI45+2,DI45)))+COUNTIF(ClosedDays!$J$4:$J$32,IF(WEEKDAY(DI45)=1,DI45+1,IF(WEEKDAY(DI45)=7,DI45+2,DI45)))+COUNTIF(ClosedDays!$N$4:$N$32,IF(WEEKDAY(DI45)=1,DI45+1,IF(WEEKDAY(DI45)=7,DI45+2,DI45)))</f>
        <v>44473</v>
      </c>
      <c r="DK45" s="405">
        <f>DJ45+IF(WEEKDAY(DJ45)=1,1,IF(WEEKDAY(DJ45)=7,2,0))+COUNTIF(ClosedDays!$B$4:$B$32,IF(WEEKDAY(DJ45)=1,DJ45+1,IF(WEEKDAY(DJ45)=7,DJ45+2,DJ45)))+COUNTIF(ClosedDays!$F$4:$F$32,IF(WEEKDAY(DJ45)=1,DJ45+1,IF(WEEKDAY(DJ45)=7,DJ45+2,DJ45)))+COUNTIF(ClosedDays!$J$4:$J$32,IF(WEEKDAY(DJ45)=1,DJ45+1,IF(WEEKDAY(DJ45)=7,DJ45+2,DJ45)))+COUNTIF(ClosedDays!$N$4:$N$32,IF(WEEKDAY(DJ45)=1,DJ45+1,IF(WEEKDAY(DJ45)=7,DJ45+2,DJ45)))</f>
        <v>44473</v>
      </c>
      <c r="DL45" s="405">
        <f>DK45+IF(WEEKDAY(DK45)=1,1,IF(WEEKDAY(DK45)=7,2,0))+COUNTIF(ClosedDays!$B$4:$B$32,IF(WEEKDAY(DK45)=1,DK45+1,IF(WEEKDAY(DK45)=7,DK45+2,DK45)))+COUNTIF(ClosedDays!$F$4:$F$32,IF(WEEKDAY(DK45)=1,DK45+1,IF(WEEKDAY(DK45)=7,DK45+2,DK45)))+COUNTIF(ClosedDays!$J$4:$J$32,IF(WEEKDAY(DK45)=1,DK45+1,IF(WEEKDAY(DK45)=7,DK45+2,DK45)))+COUNTIF(ClosedDays!$N$4:$N$32,IF(WEEKDAY(DK45)=1,DK45+1,IF(WEEKDAY(DK45)=7,DK45+2,DK45)))</f>
        <v>44473</v>
      </c>
      <c r="DM45" s="405">
        <f>DL45+IF(WEEKDAY(DL45)=1,1,IF(WEEKDAY(DL45)=7,2,0))+COUNTIF(ClosedDays!$B$4:$B$32,IF(WEEKDAY(DL45)=1,DL45+1,IF(WEEKDAY(DL45)=7,DL45+2,DL45)))+COUNTIF(ClosedDays!$F$4:$F$32,IF(WEEKDAY(DL45)=1,DL45+1,IF(WEEKDAY(DL45)=7,DL45+2,DL45)))+COUNTIF(ClosedDays!$J$4:$J$32,IF(WEEKDAY(DL45)=1,DL45+1,IF(WEEKDAY(DL45)=7,DL45+2,DL45)))+COUNTIF(ClosedDays!$N$4:$N$32,IF(WEEKDAY(DL45)=1,DL45+1,IF(WEEKDAY(DL45)=7,DL45+2,DL45)))</f>
        <v>44473</v>
      </c>
      <c r="DN45" s="405">
        <f>DM45+IF(WEEKDAY(DM45)=1,1,IF(WEEKDAY(DM45)=7,2,0))+COUNTIF(ClosedDays!$B$4:$B$32,IF(WEEKDAY(DM45)=1,DM45+1,IF(WEEKDAY(DM45)=7,DM45+2,DM45)))+COUNTIF(ClosedDays!$F$4:$F$32,IF(WEEKDAY(DM45)=1,DM45+1,IF(WEEKDAY(DM45)=7,DM45+2,DM45)))+COUNTIF(ClosedDays!$J$4:$J$32,IF(WEEKDAY(DM45)=1,DM45+1,IF(WEEKDAY(DM45)=7,DM45+2,DM45)))+COUNTIF(ClosedDays!$N$4:$N$32,IF(WEEKDAY(DM45)=1,DM45+1,IF(WEEKDAY(DM45)=7,DM45+2,DM45)))</f>
        <v>44473</v>
      </c>
      <c r="DO45" s="405">
        <f>DN45+IF(WEEKDAY(DN45)=1,1,IF(WEEKDAY(DN45)=7,2,0))+COUNTIF(ClosedDays!$B$4:$B$32,IF(WEEKDAY(DN45)=1,DN45+1,IF(WEEKDAY(DN45)=7,DN45+2,DN45)))+COUNTIF(ClosedDays!$F$4:$F$32,IF(WEEKDAY(DN45)=1,DN45+1,IF(WEEKDAY(DN45)=7,DN45+2,DN45)))+COUNTIF(ClosedDays!$J$4:$J$32,IF(WEEKDAY(DN45)=1,DN45+1,IF(WEEKDAY(DN45)=7,DN45+2,DN45)))+COUNTIF(ClosedDays!$N$4:$N$32,IF(WEEKDAY(DN45)=1,DN45+1,IF(WEEKDAY(DN45)=7,DN45+2,DN45)))</f>
        <v>44473</v>
      </c>
      <c r="DP45" s="405">
        <f t="shared" si="23"/>
        <v>44473</v>
      </c>
      <c r="DQ45" s="405">
        <f t="shared" si="42"/>
        <v>44473</v>
      </c>
      <c r="DR45" s="394">
        <f t="shared" si="43"/>
        <v>1</v>
      </c>
      <c r="DS45" s="394">
        <f>IF(AND(DR45=1,COUNTIF(DS$7:DS44,1)&lt;12,VLOOKUP(COUNTIF(DS$7:DS44,1)+1,'Outline Info'!$A$21:$C$32,2)&lt;=I45),1,0)</f>
        <v>0</v>
      </c>
      <c r="DT45" s="405" t="str">
        <f>IF(DS45=1,IF(VLOOKUP(COUNTIF(DS$7:DS45,1),'Outline Info'!$A$21:$C$32,2)=0,"",VLOOKUP(COUNTIF(DS$7:DS45,1),'Outline Info'!$A$21:$C$32,2)),"")</f>
        <v/>
      </c>
      <c r="DU45" s="447">
        <f>IF(DS45=1,VLOOKUP(COUNTIF(DS$7:DS45,1),'Outline Info'!$A$21:$C$32,3),0)</f>
        <v>0</v>
      </c>
      <c r="DV45" s="445">
        <f>IF('Outline Info'!$B$8="Y",IF(B45="*",'Outline Info'!$B$19,IF(OR($A45="",B45="X",B45="x"),0,VLOOKUP($A45,'Course Table'!$A$2:$J$331,4,TRUE))),0)</f>
        <v>0</v>
      </c>
      <c r="DW45" s="447">
        <f t="shared" si="44"/>
        <v>0</v>
      </c>
      <c r="DX45" s="447">
        <f>IF('Outline Info'!$B$8="Y",$DV45,$DW45)</f>
        <v>0</v>
      </c>
      <c r="DY45" s="394"/>
      <c r="DZ45" s="934"/>
      <c r="EA45" s="934"/>
      <c r="EB45" s="394"/>
      <c r="EC45" s="394"/>
      <c r="ED45" s="394"/>
    </row>
    <row r="46" spans="1:134" ht="20.100000000000001" customHeight="1">
      <c r="A46" s="1273" t="s">
        <v>1546</v>
      </c>
      <c r="B46" s="1274"/>
      <c r="C46" s="1274"/>
      <c r="D46" s="1274"/>
      <c r="E46" s="1274"/>
      <c r="F46" s="1274"/>
      <c r="G46" s="1274"/>
      <c r="H46" s="1274"/>
      <c r="I46" s="1274"/>
      <c r="J46" s="1274"/>
      <c r="K46" s="1274"/>
      <c r="L46" s="1274"/>
      <c r="M46" s="1274"/>
      <c r="N46" s="1274"/>
      <c r="O46" s="1274"/>
      <c r="P46" s="1274"/>
      <c r="Q46" s="1274"/>
      <c r="R46" s="1274"/>
      <c r="S46" s="1274"/>
      <c r="T46" s="1274"/>
      <c r="U46" s="1274"/>
      <c r="V46" s="1274"/>
      <c r="W46" s="1275"/>
      <c r="X46" s="8"/>
      <c r="Y46" s="86">
        <f>IF(OR(AE46="X",AE46="x",AE46="*",AC46=99999),0,IF(AC46&lt;50,0,IF($S$4-SUM($Y$7:$Y41)&gt;0,1,0)))</f>
        <v>0</v>
      </c>
      <c r="Z46" s="87">
        <f>IF(AC46&lt;99999,IF(AE46="*",AH46,IF(OR(AE46="x",AE46="X",AC46&lt;10),0,IF(AND(AC46&lt;&gt;9998,AC46&lt;&gt;9997),IF(AM46=1,(AH46+$AM$5)*(1+('Outline Info'!$B$16)),IF(AN46=1,(AH46+$AN$5)*(1+('Outline Info'!$B$16)),0)),AH46))),0)</f>
        <v>0</v>
      </c>
      <c r="AA46" s="88">
        <f>Z46/'Outline Info'!$C$11+Y46</f>
        <v>0</v>
      </c>
      <c r="AB46" s="88">
        <f>ROUND(AA46/'Outline Info'!$B$11*7,0)</f>
        <v>0</v>
      </c>
      <c r="AC46" s="445">
        <f>IF($AD46&lt;&gt;"",VLOOKUP($AD46,'Course Table'!$A$2:$J$331,10,TRUE),99999)</f>
        <v>99999</v>
      </c>
      <c r="AD46" s="394"/>
      <c r="AE46" s="394"/>
      <c r="AF46" s="394"/>
      <c r="AG46" s="394"/>
      <c r="AH46" s="394"/>
      <c r="AI46" s="394">
        <v>0</v>
      </c>
      <c r="AJ46" s="394">
        <v>0</v>
      </c>
      <c r="AK46" s="394">
        <f t="shared" si="10"/>
        <v>0</v>
      </c>
      <c r="AL46" s="394">
        <f t="shared" si="11"/>
        <v>0</v>
      </c>
      <c r="AM46" s="394">
        <f t="shared" si="12"/>
        <v>0</v>
      </c>
      <c r="AN46" s="394">
        <f t="shared" si="13"/>
        <v>0</v>
      </c>
      <c r="AO46" s="394">
        <f>IF(AN46=1,SUMPRODUCT($AJ$7:$AJ46,$AN$7:$AN46),0)</f>
        <v>0</v>
      </c>
      <c r="AP46" s="394">
        <f t="shared" si="14"/>
        <v>0</v>
      </c>
      <c r="AQ46" s="394">
        <f t="shared" si="14"/>
        <v>0</v>
      </c>
      <c r="AR46" s="394">
        <f t="shared" si="14"/>
        <v>0</v>
      </c>
      <c r="AS46" s="394">
        <f t="shared" si="14"/>
        <v>0</v>
      </c>
      <c r="AT46" s="394">
        <f t="shared" si="15"/>
        <v>0</v>
      </c>
      <c r="AU46" s="394">
        <f t="shared" si="15"/>
        <v>0</v>
      </c>
      <c r="AV46" s="394">
        <f t="shared" si="15"/>
        <v>0</v>
      </c>
      <c r="AW46" s="394">
        <f t="shared" si="15"/>
        <v>0</v>
      </c>
      <c r="AX46" s="394">
        <f t="shared" si="1"/>
        <v>0</v>
      </c>
      <c r="AY46" s="394">
        <f t="shared" si="2"/>
        <v>0</v>
      </c>
      <c r="AZ46" s="394">
        <f t="shared" si="3"/>
        <v>0</v>
      </c>
      <c r="BA46" s="394">
        <f t="shared" si="4"/>
        <v>0</v>
      </c>
      <c r="BB46" s="405">
        <f t="shared" si="22"/>
        <v>44473</v>
      </c>
      <c r="BC46" s="405">
        <f>BB46+IF(WEEKDAY(BB46)=1,1,IF(WEEKDAY(BB46)=7,2,0))+COUNTIF(ClosedDays!$B$4:$B$32,IF(WEEKDAY(BB46)=1,BB46+1,IF(WEEKDAY(BB46)=7,BB46+2,BB46)))+COUNTIF(ClosedDays!$F$4:$F$32,IF(WEEKDAY(BB46)=1,BB46+1,IF(WEEKDAY(BB46)=7,BB46+2,BB46)))+COUNTIF(ClosedDays!$J$4:$J$32,IF(WEEKDAY(BB46)=1,BB46+1,IF(WEEKDAY(BB46)=7,BB46+2,BB46)))+COUNTIF(ClosedDays!$N$4:$N$32,IF(WEEKDAY(BB46)=1,BB46+1,IF(WEEKDAY(BB46)=7,BB46+2,BB46)))</f>
        <v>44473</v>
      </c>
      <c r="BD46" s="405">
        <f>BC46+IF(WEEKDAY(BC46)=1,1,IF(WEEKDAY(BC46)=7,2,0))+COUNTIF(ClosedDays!$B$4:$B$32,IF(WEEKDAY(BC46)=1,BC46+1,IF(WEEKDAY(BC46)=7,BC46+2,BC46)))+COUNTIF(ClosedDays!$F$4:$F$32,IF(WEEKDAY(BC46)=1,BC46+1,IF(WEEKDAY(BC46)=7,BC46+2,BC46)))+COUNTIF(ClosedDays!$J$4:$J$32,IF(WEEKDAY(BC46)=1,BC46+1,IF(WEEKDAY(BC46)=7,BC46+2,BC46)))+COUNTIF(ClosedDays!$N$4:$N$32,IF(WEEKDAY(BC46)=1,BC46+1,IF(WEEKDAY(BC46)=7,BC46+2,BC46)))</f>
        <v>44473</v>
      </c>
      <c r="BE46" s="405">
        <f>BD46+IF(WEEKDAY(BD46)=1,1,IF(WEEKDAY(BD46)=7,2,0))+COUNTIF(ClosedDays!$B$4:$B$32,IF(WEEKDAY(BD46)=1,BD46+1,IF(WEEKDAY(BD46)=7,BD46+2,BD46)))+COUNTIF(ClosedDays!$F$4:$F$32,IF(WEEKDAY(BD46)=1,BD46+1,IF(WEEKDAY(BD46)=7,BD46+2,BD46)))+COUNTIF(ClosedDays!$J$4:$J$32,IF(WEEKDAY(BD46)=1,BD46+1,IF(WEEKDAY(BD46)=7,BD46+2,BD46)))+COUNTIF(ClosedDays!$N$4:$N$32,IF(WEEKDAY(BD46)=1,BD46+1,IF(WEEKDAY(BD46)=7,BD46+2,BD46)))</f>
        <v>44473</v>
      </c>
      <c r="BF46" s="405">
        <f>BE46+IF(WEEKDAY(BE46)=1,1,IF(WEEKDAY(BE46)=7,2,0))+COUNTIF(ClosedDays!$B$4:$B$32,IF(WEEKDAY(BE46)=1,BE46+1,IF(WEEKDAY(BE46)=7,BE46+2,BE46)))+COUNTIF(ClosedDays!$F$4:$F$32,IF(WEEKDAY(BE46)=1,BE46+1,IF(WEEKDAY(BE46)=7,BE46+2,BE46)))+COUNTIF(ClosedDays!$J$4:$J$32,IF(WEEKDAY(BE46)=1,BE46+1,IF(WEEKDAY(BE46)=7,BE46+2,BE46)))+COUNTIF(ClosedDays!$N$4:$N$32,IF(WEEKDAY(BE46)=1,BE46+1,IF(WEEKDAY(BE46)=7,BE46+2,BE46)))</f>
        <v>44473</v>
      </c>
      <c r="BG46" s="405">
        <f>BF46+IF(WEEKDAY(BF46)=1,1,IF(WEEKDAY(BF46)=7,2,0))+COUNTIF(ClosedDays!$B$4:$B$32,IF(WEEKDAY(BF46)=1,BF46+1,IF(WEEKDAY(BF46)=7,BF46+2,BF46)))+COUNTIF(ClosedDays!$F$4:$F$32,IF(WEEKDAY(BF46)=1,BF46+1,IF(WEEKDAY(BF46)=7,BF46+2,BF46)))+COUNTIF(ClosedDays!$J$4:$J$32,IF(WEEKDAY(BF46)=1,BF46+1,IF(WEEKDAY(BF46)=7,BF46+2,BF46)))+COUNTIF(ClosedDays!$N$4:$N$32,IF(WEEKDAY(BF46)=1,BF46+1,IF(WEEKDAY(BF46)=7,BF46+2,BF46)))</f>
        <v>44473</v>
      </c>
      <c r="BH46" s="405">
        <f>BG46+IF(WEEKDAY(BG46)=1,1,IF(WEEKDAY(BG46)=7,2,0))+COUNTIF(ClosedDays!$B$4:$B$32,IF(WEEKDAY(BG46)=1,BG46+1,IF(WEEKDAY(BG46)=7,BG46+2,BG46)))+COUNTIF(ClosedDays!$F$4:$F$32,IF(WEEKDAY(BG46)=1,BG46+1,IF(WEEKDAY(BG46)=7,BG46+2,BG46)))+COUNTIF(ClosedDays!$J$4:$J$32,IF(WEEKDAY(BG46)=1,BG46+1,IF(WEEKDAY(BG46)=7,BG46+2,BG46)))+COUNTIF(ClosedDays!$N$4:$N$32,IF(WEEKDAY(BG46)=1,BG46+1,IF(WEEKDAY(BG46)=7,BG46+2,BG46)))</f>
        <v>44473</v>
      </c>
      <c r="BI46" s="405">
        <f>BH46+IF(WEEKDAY(BH46)=1,1,IF(WEEKDAY(BH46)=7,2,0))+COUNTIF(ClosedDays!$B$4:$B$32,IF(WEEKDAY(BH46)=1,BH46+1,IF(WEEKDAY(BH46)=7,BH46+2,BH46)))+COUNTIF(ClosedDays!$F$4:$F$32,IF(WEEKDAY(BH46)=1,BH46+1,IF(WEEKDAY(BH46)=7,BH46+2,BH46)))+COUNTIF(ClosedDays!$J$4:$J$32,IF(WEEKDAY(BH46)=1,BH46+1,IF(WEEKDAY(BH46)=7,BH46+2,BH46)))+COUNTIF(ClosedDays!$N$4:$N$32,IF(WEEKDAY(BH46)=1,BH46+1,IF(WEEKDAY(BH46)=7,BH46+2,BH46)))</f>
        <v>44473</v>
      </c>
      <c r="BJ46" s="405">
        <f>BI46+IF(WEEKDAY(BI46)=1,1,IF(WEEKDAY(BI46)=7,2,0))+COUNTIF(ClosedDays!$B$4:$B$32,IF(WEEKDAY(BI46)=1,BI46+1,IF(WEEKDAY(BI46)=7,BI46+2,BI46)))+COUNTIF(ClosedDays!$F$4:$F$32,IF(WEEKDAY(BI46)=1,BI46+1,IF(WEEKDAY(BI46)=7,BI46+2,BI46)))+COUNTIF(ClosedDays!$J$4:$J$32,IF(WEEKDAY(BI46)=1,BI46+1,IF(WEEKDAY(BI46)=7,BI46+2,BI46)))+COUNTIF(ClosedDays!$N$4:$N$32,IF(WEEKDAY(BI46)=1,BI46+1,IF(WEEKDAY(BI46)=7,BI46+2,BI46)))</f>
        <v>44473</v>
      </c>
      <c r="BK46" s="405">
        <f>BJ46+IF(WEEKDAY(BJ46)=1,1,IF(WEEKDAY(BJ46)=7,2,0))+COUNTIF(ClosedDays!$B$4:$B$32,IF(WEEKDAY(BJ46)=1,BJ46+1,IF(WEEKDAY(BJ46)=7,BJ46+2,BJ46)))+COUNTIF(ClosedDays!$F$4:$F$32,IF(WEEKDAY(BJ46)=1,BJ46+1,IF(WEEKDAY(BJ46)=7,BJ46+2,BJ46)))+COUNTIF(ClosedDays!$J$4:$J$32,IF(WEEKDAY(BJ46)=1,BJ46+1,IF(WEEKDAY(BJ46)=7,BJ46+2,BJ46)))+COUNTIF(ClosedDays!$N$4:$N$32,IF(WEEKDAY(BJ46)=1,BJ46+1,IF(WEEKDAY(BJ46)=7,BJ46+2,BJ46)))</f>
        <v>44473</v>
      </c>
      <c r="BL46" s="405">
        <f>BK46+IF(WEEKDAY(BK46)=1,1,IF(WEEKDAY(BK46)=7,2,0))+COUNTIF(ClosedDays!$B$4:$B$32,IF(WEEKDAY(BK46)=1,BK46+1,IF(WEEKDAY(BK46)=7,BK46+2,BK46)))+COUNTIF(ClosedDays!$F$4:$F$32,IF(WEEKDAY(BK46)=1,BK46+1,IF(WEEKDAY(BK46)=7,BK46+2,BK46)))+COUNTIF(ClosedDays!$J$4:$J$32,IF(WEEKDAY(BK46)=1,BK46+1,IF(WEEKDAY(BK46)=7,BK46+2,BK46)))+COUNTIF(ClosedDays!$N$4:$N$32,IF(WEEKDAY(BK46)=1,BK46+1,IF(WEEKDAY(BK46)=7,BK46+2,BK46)))</f>
        <v>44473</v>
      </c>
      <c r="BM46" s="405">
        <f>BL46+IF(WEEKDAY(BL46)=1,1,IF(WEEKDAY(BL46)=7,2,0))+COUNTIF(ClosedDays!$B$4:$B$32,IF(WEEKDAY(BL46)=1,BL46+1,IF(WEEKDAY(BL46)=7,BL46+2,BL46)))+COUNTIF(ClosedDays!$F$4:$F$32,IF(WEEKDAY(BL46)=1,BL46+1,IF(WEEKDAY(BL46)=7,BL46+2,BL46)))+COUNTIF(ClosedDays!$J$4:$J$32,IF(WEEKDAY(BL46)=1,BL46+1,IF(WEEKDAY(BL46)=7,BL46+2,BL46)))+COUNTIF(ClosedDays!$N$4:$N$32,IF(WEEKDAY(BL46)=1,BL46+1,IF(WEEKDAY(BL46)=7,BL46+2,BL46)))</f>
        <v>44473</v>
      </c>
      <c r="BN46" s="405">
        <f>BM46+IF(WEEKDAY(BM46)=1,1,IF(WEEKDAY(BM46)=7,2,0))+COUNTIF(ClosedDays!$B$4:$B$32,IF(WEEKDAY(BM46)=1,BM46+1,IF(WEEKDAY(BM46)=7,BM46+2,BM46)))+COUNTIF(ClosedDays!$F$4:$F$32,IF(WEEKDAY(BM46)=1,BM46+1,IF(WEEKDAY(BM46)=7,BM46+2,BM46)))+COUNTIF(ClosedDays!$J$4:$J$32,IF(WEEKDAY(BM46)=1,BM46+1,IF(WEEKDAY(BM46)=7,BM46+2,BM46)))+COUNTIF(ClosedDays!$N$4:$N$32,IF(WEEKDAY(BM46)=1,BM46+1,IF(WEEKDAY(BM46)=7,BM46+2,BM46)))</f>
        <v>44473</v>
      </c>
      <c r="BO46" s="405">
        <f>BN46+IF(WEEKDAY(BN46)=1,1,IF(WEEKDAY(BN46)=7,2,0))+COUNTIF(ClosedDays!$B$4:$B$32,IF(WEEKDAY(BN46)=1,BN46+1,IF(WEEKDAY(BN46)=7,BN46+2,BN46)))+COUNTIF(ClosedDays!$F$4:$F$32,IF(WEEKDAY(BN46)=1,BN46+1,IF(WEEKDAY(BN46)=7,BN46+2,BN46)))+COUNTIF(ClosedDays!$J$4:$J$32,IF(WEEKDAY(BN46)=1,BN46+1,IF(WEEKDAY(BN46)=7,BN46+2,BN46)))+COUNTIF(ClosedDays!$N$4:$N$32,IF(WEEKDAY(BN46)=1,BN46+1,IF(WEEKDAY(BN46)=7,BN46+2,BN46)))</f>
        <v>44473</v>
      </c>
      <c r="BP46" s="405">
        <f>BO46+IF(WEEKDAY(BO46)=1,1,IF(WEEKDAY(BO46)=7,2,0))+COUNTIF(ClosedDays!$B$4:$B$32,IF(WEEKDAY(BO46)=1,BO46+1,IF(WEEKDAY(BO46)=7,BO46+2,BO46)))+COUNTIF(ClosedDays!$F$4:$F$32,IF(WEEKDAY(BO46)=1,BO46+1,IF(WEEKDAY(BO46)=7,BO46+2,BO46)))+COUNTIF(ClosedDays!$J$4:$J$32,IF(WEEKDAY(BO46)=1,BO46+1,IF(WEEKDAY(BO46)=7,BO46+2,BO46)))+COUNTIF(ClosedDays!$N$4:$N$32,IF(WEEKDAY(BO46)=1,BO46+1,IF(WEEKDAY(BO46)=7,BO46+2,BO46)))</f>
        <v>44473</v>
      </c>
      <c r="BQ46" s="405">
        <f t="shared" si="16"/>
        <v>44473</v>
      </c>
      <c r="BR46" s="446">
        <f>IF(AND($D46&lt;='Outline Info'!$H$31,BQ46&gt;='Outline Info'!$H$31,$BS$4=1,$AC46&gt;10,$AC46&lt;9997),1,0)</f>
        <v>0</v>
      </c>
      <c r="BS46" s="405">
        <f>IF(BR46=1,BQ46+'Outline Info'!$I$31-'Outline Info'!$H$31+1,BQ46)</f>
        <v>44473</v>
      </c>
      <c r="BT46" s="405">
        <f>BS46+IF(WEEKDAY(BS46)=1,1,IF(WEEKDAY(BS46)=7,2,0))+COUNTIF(ClosedDays!$B$4:$B$32,IF(WEEKDAY(BS46)=1,BS46+1,IF(WEEKDAY(BS46)=7,BS46+2,BS46)))+COUNTIF(ClosedDays!$F$4:$F$32,IF(WEEKDAY(BS46)=1,BS46+1,IF(WEEKDAY(BS46)=7,BS46+2,BS46)))+COUNTIF(ClosedDays!$J$4:$J$32,IF(WEEKDAY(BS46)=1,BS46+1,IF(WEEKDAY(BS46)=7,BS46+2,BS46)))+COUNTIF(ClosedDays!$N$4:$N$32,IF(WEEKDAY(BS46)=1,BS46+1,IF(WEEKDAY(BS46)=7,BS46+2,BS46)))</f>
        <v>44473</v>
      </c>
      <c r="BU46" s="405">
        <f>BT46+IF(WEEKDAY(BT46)=1,1,IF(WEEKDAY(BT46)=7,2,0))+COUNTIF(ClosedDays!$B$4:$B$32,IF(WEEKDAY(BT46)=1,BT46+1,IF(WEEKDAY(BT46)=7,BT46+2,BT46)))+COUNTIF(ClosedDays!$F$4:$F$32,IF(WEEKDAY(BT46)=1,BT46+1,IF(WEEKDAY(BT46)=7,BT46+2,BT46)))+COUNTIF(ClosedDays!$J$4:$J$32,IF(WEEKDAY(BT46)=1,BT46+1,IF(WEEKDAY(BT46)=7,BT46+2,BT46)))+COUNTIF(ClosedDays!$N$4:$N$32,IF(WEEKDAY(BT46)=1,BT46+1,IF(WEEKDAY(BT46)=7,BT46+2,BT46)))</f>
        <v>44473</v>
      </c>
      <c r="BV46" s="405">
        <f>BU46+IF(WEEKDAY(BU46)=1,1,IF(WEEKDAY(BU46)=7,2,0))+COUNTIF(ClosedDays!$B$4:$B$32,IF(WEEKDAY(BU46)=1,BU46+1,IF(WEEKDAY(BU46)=7,BU46+2,BU46)))+COUNTIF(ClosedDays!$F$4:$F$32,IF(WEEKDAY(BU46)=1,BU46+1,IF(WEEKDAY(BU46)=7,BU46+2,BU46)))+COUNTIF(ClosedDays!$J$4:$J$32,IF(WEEKDAY(BU46)=1,BU46+1,IF(WEEKDAY(BU46)=7,BU46+2,BU46)))+COUNTIF(ClosedDays!$N$4:$N$32,IF(WEEKDAY(BU46)=1,BU46+1,IF(WEEKDAY(BU46)=7,BU46+2,BU46)))</f>
        <v>44473</v>
      </c>
      <c r="BW46" s="405">
        <f>BV46+IF(WEEKDAY(BV46)=1,1,IF(WEEKDAY(BV46)=7,2,0))+COUNTIF(ClosedDays!$B$4:$B$32,IF(WEEKDAY(BV46)=1,BV46+1,IF(WEEKDAY(BV46)=7,BV46+2,BV46)))+COUNTIF(ClosedDays!$F$4:$F$32,IF(WEEKDAY(BV46)=1,BV46+1,IF(WEEKDAY(BV46)=7,BV46+2,BV46)))+COUNTIF(ClosedDays!$J$4:$J$32,IF(WEEKDAY(BV46)=1,BV46+1,IF(WEEKDAY(BV46)=7,BV46+2,BV46)))+COUNTIF(ClosedDays!$N$4:$N$32,IF(WEEKDAY(BV46)=1,BV46+1,IF(WEEKDAY(BV46)=7,BV46+2,BV46)))</f>
        <v>44473</v>
      </c>
      <c r="BX46" s="405">
        <f>BW46+IF(WEEKDAY(BW46)=1,1,IF(WEEKDAY(BW46)=7,2,0))+COUNTIF(ClosedDays!$B$4:$B$32,IF(WEEKDAY(BW46)=1,BW46+1,IF(WEEKDAY(BW46)=7,BW46+2,BW46)))+COUNTIF(ClosedDays!$F$4:$F$32,IF(WEEKDAY(BW46)=1,BW46+1,IF(WEEKDAY(BW46)=7,BW46+2,BW46)))+COUNTIF(ClosedDays!$J$4:$J$32,IF(WEEKDAY(BW46)=1,BW46+1,IF(WEEKDAY(BW46)=7,BW46+2,BW46)))+COUNTIF(ClosedDays!$N$4:$N$32,IF(WEEKDAY(BW46)=1,BW46+1,IF(WEEKDAY(BW46)=7,BW46+2,BW46)))</f>
        <v>44473</v>
      </c>
      <c r="BY46" s="405">
        <f>BX46+IF(WEEKDAY(BX46)=1,1,IF(WEEKDAY(BX46)=7,2,0))+COUNTIF(ClosedDays!$B$4:$B$32,IF(WEEKDAY(BX46)=1,BX46+1,IF(WEEKDAY(BX46)=7,BX46+2,BX46)))+COUNTIF(ClosedDays!$F$4:$F$32,IF(WEEKDAY(BX46)=1,BX46+1,IF(WEEKDAY(BX46)=7,BX46+2,BX46)))+COUNTIF(ClosedDays!$J$4:$J$32,IF(WEEKDAY(BX46)=1,BX46+1,IF(WEEKDAY(BX46)=7,BX46+2,BX46)))+COUNTIF(ClosedDays!$N$4:$N$32,IF(WEEKDAY(BX46)=1,BX46+1,IF(WEEKDAY(BX46)=7,BX46+2,BX46)))</f>
        <v>44473</v>
      </c>
      <c r="BZ46" s="405">
        <f>BY46+IF(WEEKDAY(BY46)=1,1,IF(WEEKDAY(BY46)=7,2,0))+COUNTIF(ClosedDays!$B$4:$B$32,IF(WEEKDAY(BY46)=1,BY46+1,IF(WEEKDAY(BY46)=7,BY46+2,BY46)))+COUNTIF(ClosedDays!$F$4:$F$32,IF(WEEKDAY(BY46)=1,BY46+1,IF(WEEKDAY(BY46)=7,BY46+2,BY46)))+COUNTIF(ClosedDays!$J$4:$J$32,IF(WEEKDAY(BY46)=1,BY46+1,IF(WEEKDAY(BY46)=7,BY46+2,BY46)))+COUNTIF(ClosedDays!$N$4:$N$32,IF(WEEKDAY(BY46)=1,BY46+1,IF(WEEKDAY(BY46)=7,BY46+2,BY46)))</f>
        <v>44473</v>
      </c>
      <c r="CA46" s="405">
        <f>BZ46+IF(WEEKDAY(BZ46)=1,1,IF(WEEKDAY(BZ46)=7,2,0))+COUNTIF(ClosedDays!$B$4:$B$32,IF(WEEKDAY(BZ46)=1,BZ46+1,IF(WEEKDAY(BZ46)=7,BZ46+2,BZ46)))+COUNTIF(ClosedDays!$F$4:$F$32,IF(WEEKDAY(BZ46)=1,BZ46+1,IF(WEEKDAY(BZ46)=7,BZ46+2,BZ46)))+COUNTIF(ClosedDays!$J$4:$J$32,IF(WEEKDAY(BZ46)=1,BZ46+1,IF(WEEKDAY(BZ46)=7,BZ46+2,BZ46)))+COUNTIF(ClosedDays!$N$4:$N$32,IF(WEEKDAY(BZ46)=1,BZ46+1,IF(WEEKDAY(BZ46)=7,BZ46+2,BZ46)))</f>
        <v>44473</v>
      </c>
      <c r="CB46" s="405">
        <f>CA46+IF(WEEKDAY(CA46)=1,1,IF(WEEKDAY(CA46)=7,2,0))+COUNTIF(ClosedDays!$B$4:$B$32,IF(WEEKDAY(CA46)=1,CA46+1,IF(WEEKDAY(CA46)=7,CA46+2,CA46)))+COUNTIF(ClosedDays!$F$4:$F$32,IF(WEEKDAY(CA46)=1,CA46+1,IF(WEEKDAY(CA46)=7,CA46+2,CA46)))+COUNTIF(ClosedDays!$J$4:$J$32,IF(WEEKDAY(CA46)=1,CA46+1,IF(WEEKDAY(CA46)=7,CA46+2,CA46)))+COUNTIF(ClosedDays!$N$4:$N$32,IF(WEEKDAY(CA46)=1,CA46+1,IF(WEEKDAY(CA46)=7,CA46+2,CA46)))</f>
        <v>44473</v>
      </c>
      <c r="CC46" s="405">
        <f>CB46+IF(WEEKDAY(CB46)=1,1,IF(WEEKDAY(CB46)=7,2,0))+COUNTIF(ClosedDays!$B$4:$B$32,IF(WEEKDAY(CB46)=1,CB46+1,IF(WEEKDAY(CB46)=7,CB46+2,CB46)))+COUNTIF(ClosedDays!$F$4:$F$32,IF(WEEKDAY(CB46)=1,CB46+1,IF(WEEKDAY(CB46)=7,CB46+2,CB46)))+COUNTIF(ClosedDays!$J$4:$J$32,IF(WEEKDAY(CB46)=1,CB46+1,IF(WEEKDAY(CB46)=7,CB46+2,CB46)))+COUNTIF(ClosedDays!$N$4:$N$32,IF(WEEKDAY(CB46)=1,CB46+1,IF(WEEKDAY(CB46)=7,CB46+2,CB46)))</f>
        <v>44473</v>
      </c>
      <c r="CD46" s="405">
        <f>CC46+IF(WEEKDAY(CC46)=1,1,IF(WEEKDAY(CC46)=7,2,0))+COUNTIF(ClosedDays!$B$4:$B$32,IF(WEEKDAY(CC46)=1,CC46+1,IF(WEEKDAY(CC46)=7,CC46+2,CC46)))+COUNTIF(ClosedDays!$F$4:$F$32,IF(WEEKDAY(CC46)=1,CC46+1,IF(WEEKDAY(CC46)=7,CC46+2,CC46)))+COUNTIF(ClosedDays!$J$4:$J$32,IF(WEEKDAY(CC46)=1,CC46+1,IF(WEEKDAY(CC46)=7,CC46+2,CC46)))+COUNTIF(ClosedDays!$N$4:$N$32,IF(WEEKDAY(CC46)=1,CC46+1,IF(WEEKDAY(CC46)=7,CC46+2,CC46)))</f>
        <v>44473</v>
      </c>
      <c r="CE46" s="405">
        <f>CD46+IF(WEEKDAY(CD46)=1,1,IF(WEEKDAY(CD46)=7,2,0))+COUNTIF(ClosedDays!$B$4:$B$32,IF(WEEKDAY(CD46)=1,CD46+1,IF(WEEKDAY(CD46)=7,CD46+2,CD46)))+COUNTIF(ClosedDays!$F$4:$F$32,IF(WEEKDAY(CD46)=1,CD46+1,IF(WEEKDAY(CD46)=7,CD46+2,CD46)))+COUNTIF(ClosedDays!$J$4:$J$32,IF(WEEKDAY(CD46)=1,CD46+1,IF(WEEKDAY(CD46)=7,CD46+2,CD46)))+COUNTIF(ClosedDays!$N$4:$N$32,IF(WEEKDAY(CD46)=1,CD46+1,IF(WEEKDAY(CD46)=7,CD46+2,CD46)))</f>
        <v>44473</v>
      </c>
      <c r="CF46" s="405">
        <f>CE46+IF(WEEKDAY(CE46)=1,1,IF(WEEKDAY(CE46)=7,2,0))+COUNTIF(ClosedDays!$B$4:$B$32,IF(WEEKDAY(CE46)=1,CE46+1,IF(WEEKDAY(CE46)=7,CE46+2,CE46)))+COUNTIF(ClosedDays!$F$4:$F$32,IF(WEEKDAY(CE46)=1,CE46+1,IF(WEEKDAY(CE46)=7,CE46+2,CE46)))+COUNTIF(ClosedDays!$J$4:$J$32,IF(WEEKDAY(CE46)=1,CE46+1,IF(WEEKDAY(CE46)=7,CE46+2,CE46)))+COUNTIF(ClosedDays!$N$4:$N$32,IF(WEEKDAY(CE46)=1,CE46+1,IF(WEEKDAY(CE46)=7,CE46+2,CE46)))</f>
        <v>44473</v>
      </c>
      <c r="CG46" s="405">
        <f>CF46+IF(WEEKDAY(CF46)=1,1,IF(WEEKDAY(CF46)=7,2,0))+COUNTIF(ClosedDays!$B$4:$B$32,IF(WEEKDAY(CF46)=1,CF46+1,IF(WEEKDAY(CF46)=7,CF46+2,CF46)))+COUNTIF(ClosedDays!$F$4:$F$32,IF(WEEKDAY(CF46)=1,CF46+1,IF(WEEKDAY(CF46)=7,CF46+2,CF46)))+COUNTIF(ClosedDays!$J$4:$J$32,IF(WEEKDAY(CF46)=1,CF46+1,IF(WEEKDAY(CF46)=7,CF46+2,CF46)))+COUNTIF(ClosedDays!$N$4:$N$32,IF(WEEKDAY(CF46)=1,CF46+1,IF(WEEKDAY(CF46)=7,CF46+2,CF46)))</f>
        <v>44473</v>
      </c>
      <c r="CH46" s="405">
        <f t="shared" si="17"/>
        <v>44473</v>
      </c>
      <c r="CI46" s="446">
        <f>IF(AND($D46&lt;='Outline Info'!$H$33,CH46&gt;='Outline Info'!$H$33,$CJ$4=1,$AC46&gt;10,$AC46&lt;9997),1,0)</f>
        <v>0</v>
      </c>
      <c r="CJ46" s="405">
        <f>IF(CI46=1,CH46+'Outline Info'!$I$33-'Outline Info'!$H$33+1,CH46)</f>
        <v>44473</v>
      </c>
      <c r="CK46" s="405">
        <f>CJ46+IF(WEEKDAY(CJ46)=1,1,IF(WEEKDAY(CJ46)=7,2,0))+COUNTIF(ClosedDays!$B$4:$B$32,IF(WEEKDAY(CJ46)=1,CJ46+1,IF(WEEKDAY(CJ46)=7,CJ46+2,CJ46)))+COUNTIF(ClosedDays!$F$4:$F$32,IF(WEEKDAY(CJ46)=1,CJ46+1,IF(WEEKDAY(CJ46)=7,CJ46+2,CJ46)))+COUNTIF(ClosedDays!$J$4:$J$32,IF(WEEKDAY(CJ46)=1,CJ46+1,IF(WEEKDAY(CJ46)=7,CJ46+2,CJ46)))+COUNTIF(ClosedDays!$N$4:$N$32,IF(WEEKDAY(CJ46)=1,CJ46+1,IF(WEEKDAY(CJ46)=7,CJ46+2,CJ46)))</f>
        <v>44473</v>
      </c>
      <c r="CL46" s="405">
        <f>CK46+IF(WEEKDAY(CK46)=1,1,IF(WEEKDAY(CK46)=7,2,0))+COUNTIF(ClosedDays!$B$4:$B$32,IF(WEEKDAY(CK46)=1,CK46+1,IF(WEEKDAY(CK46)=7,CK46+2,CK46)))+COUNTIF(ClosedDays!$F$4:$F$32,IF(WEEKDAY(CK46)=1,CK46+1,IF(WEEKDAY(CK46)=7,CK46+2,CK46)))+COUNTIF(ClosedDays!$J$4:$J$32,IF(WEEKDAY(CK46)=1,CK46+1,IF(WEEKDAY(CK46)=7,CK46+2,CK46)))+COUNTIF(ClosedDays!$N$4:$N$32,IF(WEEKDAY(CK46)=1,CK46+1,IF(WEEKDAY(CK46)=7,CK46+2,CK46)))</f>
        <v>44473</v>
      </c>
      <c r="CM46" s="405">
        <f>CL46+IF(WEEKDAY(CL46)=1,1,IF(WEEKDAY(CL46)=7,2,0))+COUNTIF(ClosedDays!$B$4:$B$32,IF(WEEKDAY(CL46)=1,CL46+1,IF(WEEKDAY(CL46)=7,CL46+2,CL46)))+COUNTIF(ClosedDays!$F$4:$F$32,IF(WEEKDAY(CL46)=1,CL46+1,IF(WEEKDAY(CL46)=7,CL46+2,CL46)))+COUNTIF(ClosedDays!$J$4:$J$32,IF(WEEKDAY(CL46)=1,CL46+1,IF(WEEKDAY(CL46)=7,CL46+2,CL46)))+COUNTIF(ClosedDays!$N$4:$N$32,IF(WEEKDAY(CL46)=1,CL46+1,IF(WEEKDAY(CL46)=7,CL46+2,CL46)))</f>
        <v>44473</v>
      </c>
      <c r="CN46" s="405">
        <f>CM46+IF(WEEKDAY(CM46)=1,1,IF(WEEKDAY(CM46)=7,2,0))+COUNTIF(ClosedDays!$B$4:$B$32,IF(WEEKDAY(CM46)=1,CM46+1,IF(WEEKDAY(CM46)=7,CM46+2,CM46)))+COUNTIF(ClosedDays!$F$4:$F$32,IF(WEEKDAY(CM46)=1,CM46+1,IF(WEEKDAY(CM46)=7,CM46+2,CM46)))+COUNTIF(ClosedDays!$J$4:$J$32,IF(WEEKDAY(CM46)=1,CM46+1,IF(WEEKDAY(CM46)=7,CM46+2,CM46)))+COUNTIF(ClosedDays!$N$4:$N$32,IF(WEEKDAY(CM46)=1,CM46+1,IF(WEEKDAY(CM46)=7,CM46+2,CM46)))</f>
        <v>44473</v>
      </c>
      <c r="CO46" s="405">
        <f>CN46+IF(WEEKDAY(CN46)=1,1,IF(WEEKDAY(CN46)=7,2,0))+COUNTIF(ClosedDays!$B$4:$B$32,IF(WEEKDAY(CN46)=1,CN46+1,IF(WEEKDAY(CN46)=7,CN46+2,CN46)))+COUNTIF(ClosedDays!$F$4:$F$32,IF(WEEKDAY(CN46)=1,CN46+1,IF(WEEKDAY(CN46)=7,CN46+2,CN46)))+COUNTIF(ClosedDays!$J$4:$J$32,IF(WEEKDAY(CN46)=1,CN46+1,IF(WEEKDAY(CN46)=7,CN46+2,CN46)))+COUNTIF(ClosedDays!$N$4:$N$32,IF(WEEKDAY(CN46)=1,CN46+1,IF(WEEKDAY(CN46)=7,CN46+2,CN46)))</f>
        <v>44473</v>
      </c>
      <c r="CP46" s="405">
        <f>CO46+IF(WEEKDAY(CO46)=1,1,IF(WEEKDAY(CO46)=7,2,0))+COUNTIF(ClosedDays!$B$4:$B$32,IF(WEEKDAY(CO46)=1,CO46+1,IF(WEEKDAY(CO46)=7,CO46+2,CO46)))+COUNTIF(ClosedDays!$F$4:$F$32,IF(WEEKDAY(CO46)=1,CO46+1,IF(WEEKDAY(CO46)=7,CO46+2,CO46)))+COUNTIF(ClosedDays!$J$4:$J$32,IF(WEEKDAY(CO46)=1,CO46+1,IF(WEEKDAY(CO46)=7,CO46+2,CO46)))+COUNTIF(ClosedDays!$N$4:$N$32,IF(WEEKDAY(CO46)=1,CO46+1,IF(WEEKDAY(CO46)=7,CO46+2,CO46)))</f>
        <v>44473</v>
      </c>
      <c r="CQ46" s="405">
        <f>CP46+IF(WEEKDAY(CP46)=1,1,IF(WEEKDAY(CP46)=7,2,0))+COUNTIF(ClosedDays!$B$4:$B$32,IF(WEEKDAY(CP46)=1,CP46+1,IF(WEEKDAY(CP46)=7,CP46+2,CP46)))+COUNTIF(ClosedDays!$F$4:$F$32,IF(WEEKDAY(CP46)=1,CP46+1,IF(WEEKDAY(CP46)=7,CP46+2,CP46)))+COUNTIF(ClosedDays!$J$4:$J$32,IF(WEEKDAY(CP46)=1,CP46+1,IF(WEEKDAY(CP46)=7,CP46+2,CP46)))+COUNTIF(ClosedDays!$N$4:$N$32,IF(WEEKDAY(CP46)=1,CP46+1,IF(WEEKDAY(CP46)=7,CP46+2,CP46)))</f>
        <v>44473</v>
      </c>
      <c r="CR46" s="405">
        <f>CQ46+IF(WEEKDAY(CQ46)=1,1,IF(WEEKDAY(CQ46)=7,2,0))+COUNTIF(ClosedDays!$B$4:$B$32,IF(WEEKDAY(CQ46)=1,CQ46+1,IF(WEEKDAY(CQ46)=7,CQ46+2,CQ46)))+COUNTIF(ClosedDays!$F$4:$F$32,IF(WEEKDAY(CQ46)=1,CQ46+1,IF(WEEKDAY(CQ46)=7,CQ46+2,CQ46)))+COUNTIF(ClosedDays!$J$4:$J$32,IF(WEEKDAY(CQ46)=1,CQ46+1,IF(WEEKDAY(CQ46)=7,CQ46+2,CQ46)))+COUNTIF(ClosedDays!$N$4:$N$32,IF(WEEKDAY(CQ46)=1,CQ46+1,IF(WEEKDAY(CQ46)=7,CQ46+2,CQ46)))</f>
        <v>44473</v>
      </c>
      <c r="CS46" s="405">
        <f>CR46+IF(WEEKDAY(CR46)=1,1,IF(WEEKDAY(CR46)=7,2,0))+COUNTIF(ClosedDays!$B$4:$B$32,IF(WEEKDAY(CR46)=1,CR46+1,IF(WEEKDAY(CR46)=7,CR46+2,CR46)))+COUNTIF(ClosedDays!$F$4:$F$32,IF(WEEKDAY(CR46)=1,CR46+1,IF(WEEKDAY(CR46)=7,CR46+2,CR46)))+COUNTIF(ClosedDays!$J$4:$J$32,IF(WEEKDAY(CR46)=1,CR46+1,IF(WEEKDAY(CR46)=7,CR46+2,CR46)))+COUNTIF(ClosedDays!$N$4:$N$32,IF(WEEKDAY(CR46)=1,CR46+1,IF(WEEKDAY(CR46)=7,CR46+2,CR46)))</f>
        <v>44473</v>
      </c>
      <c r="CT46" s="405">
        <f>CS46+IF(WEEKDAY(CS46)=1,1,IF(WEEKDAY(CS46)=7,2,0))+COUNTIF(ClosedDays!$B$4:$B$32,IF(WEEKDAY(CS46)=1,CS46+1,IF(WEEKDAY(CS46)=7,CS46+2,CS46)))+COUNTIF(ClosedDays!$F$4:$F$32,IF(WEEKDAY(CS46)=1,CS46+1,IF(WEEKDAY(CS46)=7,CS46+2,CS46)))+COUNTIF(ClosedDays!$J$4:$J$32,IF(WEEKDAY(CS46)=1,CS46+1,IF(WEEKDAY(CS46)=7,CS46+2,CS46)))+COUNTIF(ClosedDays!$N$4:$N$32,IF(WEEKDAY(CS46)=1,CS46+1,IF(WEEKDAY(CS46)=7,CS46+2,CS46)))</f>
        <v>44473</v>
      </c>
      <c r="CU46" s="405">
        <f>CT46+IF(WEEKDAY(CT46)=1,1,IF(WEEKDAY(CT46)=7,2,0))+COUNTIF(ClosedDays!$B$4:$B$32,IF(WEEKDAY(CT46)=1,CT46+1,IF(WEEKDAY(CT46)=7,CT46+2,CT46)))+COUNTIF(ClosedDays!$F$4:$F$32,IF(WEEKDAY(CT46)=1,CT46+1,IF(WEEKDAY(CT46)=7,CT46+2,CT46)))+COUNTIF(ClosedDays!$J$4:$J$32,IF(WEEKDAY(CT46)=1,CT46+1,IF(WEEKDAY(CT46)=7,CT46+2,CT46)))+COUNTIF(ClosedDays!$N$4:$N$32,IF(WEEKDAY(CT46)=1,CT46+1,IF(WEEKDAY(CT46)=7,CT46+2,CT46)))</f>
        <v>44473</v>
      </c>
      <c r="CV46" s="405">
        <f>CU46+IF(WEEKDAY(CU46)=1,1,IF(WEEKDAY(CU46)=7,2,0))+COUNTIF(ClosedDays!$B$4:$B$32,IF(WEEKDAY(CU46)=1,CU46+1,IF(WEEKDAY(CU46)=7,CU46+2,CU46)))+COUNTIF(ClosedDays!$F$4:$F$32,IF(WEEKDAY(CU46)=1,CU46+1,IF(WEEKDAY(CU46)=7,CU46+2,CU46)))+COUNTIF(ClosedDays!$J$4:$J$32,IF(WEEKDAY(CU46)=1,CU46+1,IF(WEEKDAY(CU46)=7,CU46+2,CU46)))+COUNTIF(ClosedDays!$N$4:$N$32,IF(WEEKDAY(CU46)=1,CU46+1,IF(WEEKDAY(CU46)=7,CU46+2,CU46)))</f>
        <v>44473</v>
      </c>
      <c r="CW46" s="405">
        <f>CV46+IF(WEEKDAY(CV46)=1,1,IF(WEEKDAY(CV46)=7,2,0))+COUNTIF(ClosedDays!$B$4:$B$32,IF(WEEKDAY(CV46)=1,CV46+1,IF(WEEKDAY(CV46)=7,CV46+2,CV46)))+COUNTIF(ClosedDays!$F$4:$F$32,IF(WEEKDAY(CV46)=1,CV46+1,IF(WEEKDAY(CV46)=7,CV46+2,CV46)))+COUNTIF(ClosedDays!$J$4:$J$32,IF(WEEKDAY(CV46)=1,CV46+1,IF(WEEKDAY(CV46)=7,CV46+2,CV46)))+COUNTIF(ClosedDays!$N$4:$N$32,IF(WEEKDAY(CV46)=1,CV46+1,IF(WEEKDAY(CV46)=7,CV46+2,CV46)))</f>
        <v>44473</v>
      </c>
      <c r="CX46" s="405">
        <f>CW46+IF(WEEKDAY(CW46)=1,1,IF(WEEKDAY(CW46)=7,2,0))+COUNTIF(ClosedDays!$B$4:$B$32,IF(WEEKDAY(CW46)=1,CW46+1,IF(WEEKDAY(CW46)=7,CW46+2,CW46)))+COUNTIF(ClosedDays!$F$4:$F$32,IF(WEEKDAY(CW46)=1,CW46+1,IF(WEEKDAY(CW46)=7,CW46+2,CW46)))+COUNTIF(ClosedDays!$J$4:$J$32,IF(WEEKDAY(CW46)=1,CW46+1,IF(WEEKDAY(CW46)=7,CW46+2,CW46)))+COUNTIF(ClosedDays!$N$4:$N$32,IF(WEEKDAY(CW46)=1,CW46+1,IF(WEEKDAY(CW46)=7,CW46+2,CW46)))</f>
        <v>44473</v>
      </c>
      <c r="CY46" s="405">
        <f t="shared" si="18"/>
        <v>44473</v>
      </c>
      <c r="CZ46" s="446">
        <f>IF(AND($D46&lt;='Outline Info'!$E$33,CY46&gt;='Outline Info'!$E$33,$AC46&gt;10,$AC46&lt;9997),1,0)</f>
        <v>0</v>
      </c>
      <c r="DA46" s="405">
        <f>IF(AND($D46&lt;='Outline Info'!$E$33,CY46&gt;='Outline Info'!$E$33),CY46+'Outline Info'!$F$33-'Outline Info'!$E$33+1,CY46)</f>
        <v>44474</v>
      </c>
      <c r="DB46" s="405">
        <f>DA46+IF(WEEKDAY(DA46)=1,1,IF(WEEKDAY(DA46)=7,2,0))+COUNTIF(ClosedDays!$B$4:$B$32,IF(WEEKDAY(DA46)=1,DA46+1,IF(WEEKDAY(DA46)=7,DA46+2,DA46)))+COUNTIF(ClosedDays!$F$4:$F$32,IF(WEEKDAY(DA46)=1,DA46+1,IF(WEEKDAY(DA46)=7,DA46+2,DA46)))+COUNTIF(ClosedDays!$J$4:$J$32,IF(WEEKDAY(DA46)=1,DA46+1,IF(WEEKDAY(DA46)=7,DA46+2,DA46)))+COUNTIF(ClosedDays!$N$4:$N$32,IF(WEEKDAY(DA46)=1,DA46+1,IF(WEEKDAY(DA46)=7,DA46+2,DA46)))</f>
        <v>44474</v>
      </c>
      <c r="DC46" s="405">
        <f>DB46+IF(WEEKDAY(DB46)=1,1,IF(WEEKDAY(DB46)=7,2,0))+COUNTIF(ClosedDays!$B$4:$B$32,IF(WEEKDAY(DB46)=1,DB46+1,IF(WEEKDAY(DB46)=7,DB46+2,DB46)))+COUNTIF(ClosedDays!$F$4:$F$32,IF(WEEKDAY(DB46)=1,DB46+1,IF(WEEKDAY(DB46)=7,DB46+2,DB46)))+COUNTIF(ClosedDays!$J$4:$J$32,IF(WEEKDAY(DB46)=1,DB46+1,IF(WEEKDAY(DB46)=7,DB46+2,DB46)))+COUNTIF(ClosedDays!$N$4:$N$32,IF(WEEKDAY(DB46)=1,DB46+1,IF(WEEKDAY(DB46)=7,DB46+2,DB46)))</f>
        <v>44474</v>
      </c>
      <c r="DD46" s="405">
        <f>DC46+IF(WEEKDAY(DC46)=1,1,IF(WEEKDAY(DC46)=7,2,0))+COUNTIF(ClosedDays!$B$4:$B$32,IF(WEEKDAY(DC46)=1,DC46+1,IF(WEEKDAY(DC46)=7,DC46+2,DC46)))+COUNTIF(ClosedDays!$F$4:$F$32,IF(WEEKDAY(DC46)=1,DC46+1,IF(WEEKDAY(DC46)=7,DC46+2,DC46)))+COUNTIF(ClosedDays!$J$4:$J$32,IF(WEEKDAY(DC46)=1,DC46+1,IF(WEEKDAY(DC46)=7,DC46+2,DC46)))+COUNTIF(ClosedDays!$N$4:$N$32,IF(WEEKDAY(DC46)=1,DC46+1,IF(WEEKDAY(DC46)=7,DC46+2,DC46)))</f>
        <v>44474</v>
      </c>
      <c r="DE46" s="405">
        <f>DD46+IF(WEEKDAY(DD46)=1,1,IF(WEEKDAY(DD46)=7,2,0))+COUNTIF(ClosedDays!$B$4:$B$32,IF(WEEKDAY(DD46)=1,DD46+1,IF(WEEKDAY(DD46)=7,DD46+2,DD46)))+COUNTIF(ClosedDays!$F$4:$F$32,IF(WEEKDAY(DD46)=1,DD46+1,IF(WEEKDAY(DD46)=7,DD46+2,DD46)))+COUNTIF(ClosedDays!$J$4:$J$32,IF(WEEKDAY(DD46)=1,DD46+1,IF(WEEKDAY(DD46)=7,DD46+2,DD46)))+COUNTIF(ClosedDays!$N$4:$N$32,IF(WEEKDAY(DD46)=1,DD46+1,IF(WEEKDAY(DD46)=7,DD46+2,DD46)))</f>
        <v>44474</v>
      </c>
      <c r="DF46" s="405">
        <f>DE46+IF(WEEKDAY(DE46)=1,1,IF(WEEKDAY(DE46)=7,2,0))+COUNTIF(ClosedDays!$B$4:$B$32,IF(WEEKDAY(DE46)=1,DE46+1,IF(WEEKDAY(DE46)=7,DE46+2,DE46)))+COUNTIF(ClosedDays!$F$4:$F$32,IF(WEEKDAY(DE46)=1,DE46+1,IF(WEEKDAY(DE46)=7,DE46+2,DE46)))+COUNTIF(ClosedDays!$J$4:$J$32,IF(WEEKDAY(DE46)=1,DE46+1,IF(WEEKDAY(DE46)=7,DE46+2,DE46)))+COUNTIF(ClosedDays!$N$4:$N$32,IF(WEEKDAY(DE46)=1,DE46+1,IF(WEEKDAY(DE46)=7,DE46+2,DE46)))</f>
        <v>44474</v>
      </c>
      <c r="DG46" s="405">
        <f>DF46+IF(WEEKDAY(DF46)=1,1,IF(WEEKDAY(DF46)=7,2,0))+COUNTIF(ClosedDays!$B$4:$B$32,IF(WEEKDAY(DF46)=1,DF46+1,IF(WEEKDAY(DF46)=7,DF46+2,DF46)))+COUNTIF(ClosedDays!$F$4:$F$32,IF(WEEKDAY(DF46)=1,DF46+1,IF(WEEKDAY(DF46)=7,DF46+2,DF46)))+COUNTIF(ClosedDays!$J$4:$J$32,IF(WEEKDAY(DF46)=1,DF46+1,IF(WEEKDAY(DF46)=7,DF46+2,DF46)))+COUNTIF(ClosedDays!$N$4:$N$32,IF(WEEKDAY(DF46)=1,DF46+1,IF(WEEKDAY(DF46)=7,DF46+2,DF46)))</f>
        <v>44474</v>
      </c>
      <c r="DH46" s="405">
        <f>DG46+IF(WEEKDAY(DG46)=1,1,IF(WEEKDAY(DG46)=7,2,0))+COUNTIF(ClosedDays!$B$4:$B$32,IF(WEEKDAY(DG46)=1,DG46+1,IF(WEEKDAY(DG46)=7,DG46+2,DG46)))+COUNTIF(ClosedDays!$F$4:$F$32,IF(WEEKDAY(DG46)=1,DG46+1,IF(WEEKDAY(DG46)=7,DG46+2,DG46)))+COUNTIF(ClosedDays!$J$4:$J$32,IF(WEEKDAY(DG46)=1,DG46+1,IF(WEEKDAY(DG46)=7,DG46+2,DG46)))+COUNTIF(ClosedDays!$N$4:$N$32,IF(WEEKDAY(DG46)=1,DG46+1,IF(WEEKDAY(DG46)=7,DG46+2,DG46)))</f>
        <v>44474</v>
      </c>
      <c r="DI46" s="405">
        <f>DH46+IF(WEEKDAY(DH46)=1,1,IF(WEEKDAY(DH46)=7,2,0))+COUNTIF(ClosedDays!$B$4:$B$32,IF(WEEKDAY(DH46)=1,DH46+1,IF(WEEKDAY(DH46)=7,DH46+2,DH46)))+COUNTIF(ClosedDays!$F$4:$F$32,IF(WEEKDAY(DH46)=1,DH46+1,IF(WEEKDAY(DH46)=7,DH46+2,DH46)))+COUNTIF(ClosedDays!$J$4:$J$32,IF(WEEKDAY(DH46)=1,DH46+1,IF(WEEKDAY(DH46)=7,DH46+2,DH46)))+COUNTIF(ClosedDays!$N$4:$N$32,IF(WEEKDAY(DH46)=1,DH46+1,IF(WEEKDAY(DH46)=7,DH46+2,DH46)))</f>
        <v>44474</v>
      </c>
      <c r="DJ46" s="405">
        <f>DI46+IF(WEEKDAY(DI46)=1,1,IF(WEEKDAY(DI46)=7,2,0))+COUNTIF(ClosedDays!$B$4:$B$32,IF(WEEKDAY(DI46)=1,DI46+1,IF(WEEKDAY(DI46)=7,DI46+2,DI46)))+COUNTIF(ClosedDays!$F$4:$F$32,IF(WEEKDAY(DI46)=1,DI46+1,IF(WEEKDAY(DI46)=7,DI46+2,DI46)))+COUNTIF(ClosedDays!$J$4:$J$32,IF(WEEKDAY(DI46)=1,DI46+1,IF(WEEKDAY(DI46)=7,DI46+2,DI46)))+COUNTIF(ClosedDays!$N$4:$N$32,IF(WEEKDAY(DI46)=1,DI46+1,IF(WEEKDAY(DI46)=7,DI46+2,DI46)))</f>
        <v>44474</v>
      </c>
      <c r="DK46" s="405">
        <f>DJ46+IF(WEEKDAY(DJ46)=1,1,IF(WEEKDAY(DJ46)=7,2,0))+COUNTIF(ClosedDays!$B$4:$B$32,IF(WEEKDAY(DJ46)=1,DJ46+1,IF(WEEKDAY(DJ46)=7,DJ46+2,DJ46)))+COUNTIF(ClosedDays!$F$4:$F$32,IF(WEEKDAY(DJ46)=1,DJ46+1,IF(WEEKDAY(DJ46)=7,DJ46+2,DJ46)))+COUNTIF(ClosedDays!$J$4:$J$32,IF(WEEKDAY(DJ46)=1,DJ46+1,IF(WEEKDAY(DJ46)=7,DJ46+2,DJ46)))+COUNTIF(ClosedDays!$N$4:$N$32,IF(WEEKDAY(DJ46)=1,DJ46+1,IF(WEEKDAY(DJ46)=7,DJ46+2,DJ46)))</f>
        <v>44474</v>
      </c>
      <c r="DL46" s="405">
        <f>DK46+IF(WEEKDAY(DK46)=1,1,IF(WEEKDAY(DK46)=7,2,0))+COUNTIF(ClosedDays!$B$4:$B$32,IF(WEEKDAY(DK46)=1,DK46+1,IF(WEEKDAY(DK46)=7,DK46+2,DK46)))+COUNTIF(ClosedDays!$F$4:$F$32,IF(WEEKDAY(DK46)=1,DK46+1,IF(WEEKDAY(DK46)=7,DK46+2,DK46)))+COUNTIF(ClosedDays!$J$4:$J$32,IF(WEEKDAY(DK46)=1,DK46+1,IF(WEEKDAY(DK46)=7,DK46+2,DK46)))+COUNTIF(ClosedDays!$N$4:$N$32,IF(WEEKDAY(DK46)=1,DK46+1,IF(WEEKDAY(DK46)=7,DK46+2,DK46)))</f>
        <v>44474</v>
      </c>
      <c r="DM46" s="405">
        <f>DL46+IF(WEEKDAY(DL46)=1,1,IF(WEEKDAY(DL46)=7,2,0))+COUNTIF(ClosedDays!$B$4:$B$32,IF(WEEKDAY(DL46)=1,DL46+1,IF(WEEKDAY(DL46)=7,DL46+2,DL46)))+COUNTIF(ClosedDays!$F$4:$F$32,IF(WEEKDAY(DL46)=1,DL46+1,IF(WEEKDAY(DL46)=7,DL46+2,DL46)))+COUNTIF(ClosedDays!$J$4:$J$32,IF(WEEKDAY(DL46)=1,DL46+1,IF(WEEKDAY(DL46)=7,DL46+2,DL46)))+COUNTIF(ClosedDays!$N$4:$N$32,IF(WEEKDAY(DL46)=1,DL46+1,IF(WEEKDAY(DL46)=7,DL46+2,DL46)))</f>
        <v>44474</v>
      </c>
      <c r="DN46" s="405">
        <f>DM46+IF(WEEKDAY(DM46)=1,1,IF(WEEKDAY(DM46)=7,2,0))+COUNTIF(ClosedDays!$B$4:$B$32,IF(WEEKDAY(DM46)=1,DM46+1,IF(WEEKDAY(DM46)=7,DM46+2,DM46)))+COUNTIF(ClosedDays!$F$4:$F$32,IF(WEEKDAY(DM46)=1,DM46+1,IF(WEEKDAY(DM46)=7,DM46+2,DM46)))+COUNTIF(ClosedDays!$J$4:$J$32,IF(WEEKDAY(DM46)=1,DM46+1,IF(WEEKDAY(DM46)=7,DM46+2,DM46)))+COUNTIF(ClosedDays!$N$4:$N$32,IF(WEEKDAY(DM46)=1,DM46+1,IF(WEEKDAY(DM46)=7,DM46+2,DM46)))</f>
        <v>44474</v>
      </c>
      <c r="DO46" s="405">
        <f>DN46+IF(WEEKDAY(DN46)=1,1,IF(WEEKDAY(DN46)=7,2,0))+COUNTIF(ClosedDays!$B$4:$B$32,IF(WEEKDAY(DN46)=1,DN46+1,IF(WEEKDAY(DN46)=7,DN46+2,DN46)))+COUNTIF(ClosedDays!$F$4:$F$32,IF(WEEKDAY(DN46)=1,DN46+1,IF(WEEKDAY(DN46)=7,DN46+2,DN46)))+COUNTIF(ClosedDays!$J$4:$J$32,IF(WEEKDAY(DN46)=1,DN46+1,IF(WEEKDAY(DN46)=7,DN46+2,DN46)))+COUNTIF(ClosedDays!$N$4:$N$32,IF(WEEKDAY(DN46)=1,DN46+1,IF(WEEKDAY(DN46)=7,DN46+2,DN46)))</f>
        <v>44474</v>
      </c>
      <c r="DP46" s="405">
        <f t="shared" si="23"/>
        <v>44474</v>
      </c>
      <c r="DQ46" s="405">
        <f>IF(OR(AE46="*",AE46="X",AE46="x",AC46&gt;6),DP46,DQ41)</f>
        <v>44474</v>
      </c>
      <c r="DR46" s="2">
        <f t="shared" si="19"/>
        <v>1</v>
      </c>
      <c r="DS46" s="2">
        <f>IF(AND(DR46=1,COUNTIF(DS$7:DS41,1)&lt;12,VLOOKUP(COUNTIF(DS$7:DS41,1)+1,'Outline Info'!$A$21:$C$32,2)&lt;=I46),1,0)</f>
        <v>0</v>
      </c>
      <c r="DT46" s="4" t="str">
        <f>IF(DS46=1,IF(VLOOKUP(COUNTIF(DS$7:DS46,1),'Outline Info'!$A$21:$C$32,2)=0,"",VLOOKUP(COUNTIF(DS$7:DS46,1),'Outline Info'!$A$21:$C$32,2)),"")</f>
        <v/>
      </c>
      <c r="DU46" s="7">
        <f>IF(DS46=1,VLOOKUP(COUNTIF(DS$7:DS46,1),'Outline Info'!$A$21:$C$32,3),0)</f>
        <v>0</v>
      </c>
      <c r="DV46" s="6">
        <f>IF('Outline Info'!$B$8="Y",IF(B46="*",'Outline Info'!$B$19,IF(OR($A46="",B46="X",B46="x"),0,VLOOKUP($A46,'Course Table'!$A$2:$J$331,4,TRUE))),0)</f>
        <v>0</v>
      </c>
      <c r="DW46" s="7">
        <f t="shared" si="6"/>
        <v>0</v>
      </c>
      <c r="DX46" s="7">
        <f>IF('Outline Info'!$B$8="Y",$DV46,$DW46)</f>
        <v>0</v>
      </c>
      <c r="DY46" s="2"/>
      <c r="DZ46" s="2"/>
      <c r="EA46" s="2"/>
      <c r="EB46" s="2"/>
      <c r="EC46" s="2"/>
      <c r="ED46" s="2"/>
    </row>
    <row r="47" spans="1:134" ht="20.100000000000001" customHeight="1">
      <c r="A47" s="1276"/>
      <c r="B47" s="1277"/>
      <c r="C47" s="1277"/>
      <c r="D47" s="1277"/>
      <c r="E47" s="1277"/>
      <c r="F47" s="1277"/>
      <c r="G47" s="1277"/>
      <c r="H47" s="1277"/>
      <c r="I47" s="1277"/>
      <c r="J47" s="1277"/>
      <c r="K47" s="1277"/>
      <c r="L47" s="1277"/>
      <c r="M47" s="1277"/>
      <c r="N47" s="1277"/>
      <c r="O47" s="1277"/>
      <c r="P47" s="1277"/>
      <c r="Q47" s="1277"/>
      <c r="R47" s="1277"/>
      <c r="S47" s="1277"/>
      <c r="T47" s="1277"/>
      <c r="U47" s="1277"/>
      <c r="V47" s="1277"/>
      <c r="W47" s="1278"/>
      <c r="X47" s="8"/>
      <c r="Y47" s="86">
        <f>IF(OR(AE47="X",AE47="x",AE47="*",AC47=99999),0,IF(AC47&lt;50,0,IF($S$4-SUM($Y$7:$Y46)&gt;0,1,0)))</f>
        <v>0</v>
      </c>
      <c r="Z47" s="87">
        <f>IF(AC47&lt;99999,IF(AE47="*",AH47,IF(OR(AE47="x",AE47="X",AC47&lt;10),0,IF(AND(AC47&lt;&gt;9998,AC47&lt;&gt;9997),IF(AM47=1,(AH47+$AM$5)*(1+('Outline Info'!$B$16)),IF(AN47=1,(AH47+$AN$5)*(1+('Outline Info'!$B$16)),0)),AH47))),0)</f>
        <v>0</v>
      </c>
      <c r="AA47" s="88">
        <f>Z47/'Outline Info'!$C$11+Y47</f>
        <v>0</v>
      </c>
      <c r="AB47" s="88">
        <f>ROUND(AA47/'Outline Info'!$B$11*7,0)</f>
        <v>0</v>
      </c>
      <c r="AC47" s="450">
        <f>IF($AD47&lt;&gt;"",VLOOKUP($AD47,'Course Table'!$A$2:$J$331,10,TRUE),99999)</f>
        <v>99999</v>
      </c>
      <c r="AD47" s="451"/>
      <c r="AE47" s="394"/>
      <c r="AF47" s="451"/>
      <c r="AG47" s="451"/>
      <c r="AH47" s="451"/>
      <c r="AI47" s="394">
        <v>0</v>
      </c>
      <c r="AJ47" s="394">
        <v>0</v>
      </c>
      <c r="AK47" s="394">
        <f t="shared" si="10"/>
        <v>0</v>
      </c>
      <c r="AL47" s="394">
        <f t="shared" si="11"/>
        <v>0</v>
      </c>
      <c r="AM47" s="394">
        <f t="shared" si="12"/>
        <v>0</v>
      </c>
      <c r="AN47" s="394">
        <f t="shared" si="13"/>
        <v>0</v>
      </c>
      <c r="AO47" s="394">
        <f>IF(AN47=1,SUMPRODUCT($AJ$7:$AJ47,$AN$7:$AN47),0)</f>
        <v>0</v>
      </c>
      <c r="AP47" s="394">
        <f t="shared" si="14"/>
        <v>0</v>
      </c>
      <c r="AQ47" s="394">
        <f t="shared" si="14"/>
        <v>0</v>
      </c>
      <c r="AR47" s="394">
        <f t="shared" si="14"/>
        <v>0</v>
      </c>
      <c r="AS47" s="394">
        <f t="shared" si="14"/>
        <v>0</v>
      </c>
      <c r="AT47" s="394">
        <f t="shared" si="15"/>
        <v>0</v>
      </c>
      <c r="AU47" s="394">
        <f t="shared" si="15"/>
        <v>0</v>
      </c>
      <c r="AV47" s="394">
        <f t="shared" si="15"/>
        <v>0</v>
      </c>
      <c r="AW47" s="394">
        <f t="shared" si="15"/>
        <v>0</v>
      </c>
      <c r="AX47" s="394">
        <f t="shared" si="1"/>
        <v>0</v>
      </c>
      <c r="AY47" s="394">
        <f t="shared" si="2"/>
        <v>0</v>
      </c>
      <c r="AZ47" s="394">
        <f t="shared" si="3"/>
        <v>0</v>
      </c>
      <c r="BA47" s="394">
        <f t="shared" si="4"/>
        <v>0</v>
      </c>
      <c r="BB47" s="405">
        <f t="shared" si="22"/>
        <v>44474</v>
      </c>
      <c r="BC47" s="405">
        <f>BB47+IF(WEEKDAY(BB47)=1,1,IF(WEEKDAY(BB47)=7,2,0))+COUNTIF(ClosedDays!$B$4:$B$32,IF(WEEKDAY(BB47)=1,BB47+1,IF(WEEKDAY(BB47)=7,BB47+2,BB47)))+COUNTIF(ClosedDays!$F$4:$F$32,IF(WEEKDAY(BB47)=1,BB47+1,IF(WEEKDAY(BB47)=7,BB47+2,BB47)))+COUNTIF(ClosedDays!$J$4:$J$32,IF(WEEKDAY(BB47)=1,BB47+1,IF(WEEKDAY(BB47)=7,BB47+2,BB47)))+COUNTIF(ClosedDays!$N$4:$N$32,IF(WEEKDAY(BB47)=1,BB47+1,IF(WEEKDAY(BB47)=7,BB47+2,BB47)))</f>
        <v>44474</v>
      </c>
      <c r="BD47" s="405">
        <f>BC47+IF(WEEKDAY(BC47)=1,1,IF(WEEKDAY(BC47)=7,2,0))+COUNTIF(ClosedDays!$B$4:$B$32,IF(WEEKDAY(BC47)=1,BC47+1,IF(WEEKDAY(BC47)=7,BC47+2,BC47)))+COUNTIF(ClosedDays!$F$4:$F$32,IF(WEEKDAY(BC47)=1,BC47+1,IF(WEEKDAY(BC47)=7,BC47+2,BC47)))+COUNTIF(ClosedDays!$J$4:$J$32,IF(WEEKDAY(BC47)=1,BC47+1,IF(WEEKDAY(BC47)=7,BC47+2,BC47)))+COUNTIF(ClosedDays!$N$4:$N$32,IF(WEEKDAY(BC47)=1,BC47+1,IF(WEEKDAY(BC47)=7,BC47+2,BC47)))</f>
        <v>44474</v>
      </c>
      <c r="BE47" s="405">
        <f>BD47+IF(WEEKDAY(BD47)=1,1,IF(WEEKDAY(BD47)=7,2,0))+COUNTIF(ClosedDays!$B$4:$B$32,IF(WEEKDAY(BD47)=1,BD47+1,IF(WEEKDAY(BD47)=7,BD47+2,BD47)))+COUNTIF(ClosedDays!$F$4:$F$32,IF(WEEKDAY(BD47)=1,BD47+1,IF(WEEKDAY(BD47)=7,BD47+2,BD47)))+COUNTIF(ClosedDays!$J$4:$J$32,IF(WEEKDAY(BD47)=1,BD47+1,IF(WEEKDAY(BD47)=7,BD47+2,BD47)))+COUNTIF(ClosedDays!$N$4:$N$32,IF(WEEKDAY(BD47)=1,BD47+1,IF(WEEKDAY(BD47)=7,BD47+2,BD47)))</f>
        <v>44474</v>
      </c>
      <c r="BF47" s="405">
        <f>BE47+IF(WEEKDAY(BE47)=1,1,IF(WEEKDAY(BE47)=7,2,0))+COUNTIF(ClosedDays!$B$4:$B$32,IF(WEEKDAY(BE47)=1,BE47+1,IF(WEEKDAY(BE47)=7,BE47+2,BE47)))+COUNTIF(ClosedDays!$F$4:$F$32,IF(WEEKDAY(BE47)=1,BE47+1,IF(WEEKDAY(BE47)=7,BE47+2,BE47)))+COUNTIF(ClosedDays!$J$4:$J$32,IF(WEEKDAY(BE47)=1,BE47+1,IF(WEEKDAY(BE47)=7,BE47+2,BE47)))+COUNTIF(ClosedDays!$N$4:$N$32,IF(WEEKDAY(BE47)=1,BE47+1,IF(WEEKDAY(BE47)=7,BE47+2,BE47)))</f>
        <v>44474</v>
      </c>
      <c r="BG47" s="405">
        <f>BF47+IF(WEEKDAY(BF47)=1,1,IF(WEEKDAY(BF47)=7,2,0))+COUNTIF(ClosedDays!$B$4:$B$32,IF(WEEKDAY(BF47)=1,BF47+1,IF(WEEKDAY(BF47)=7,BF47+2,BF47)))+COUNTIF(ClosedDays!$F$4:$F$32,IF(WEEKDAY(BF47)=1,BF47+1,IF(WEEKDAY(BF47)=7,BF47+2,BF47)))+COUNTIF(ClosedDays!$J$4:$J$32,IF(WEEKDAY(BF47)=1,BF47+1,IF(WEEKDAY(BF47)=7,BF47+2,BF47)))+COUNTIF(ClosedDays!$N$4:$N$32,IF(WEEKDAY(BF47)=1,BF47+1,IF(WEEKDAY(BF47)=7,BF47+2,BF47)))</f>
        <v>44474</v>
      </c>
      <c r="BH47" s="405">
        <f>BG47+IF(WEEKDAY(BG47)=1,1,IF(WEEKDAY(BG47)=7,2,0))+COUNTIF(ClosedDays!$B$4:$B$32,IF(WEEKDAY(BG47)=1,BG47+1,IF(WEEKDAY(BG47)=7,BG47+2,BG47)))+COUNTIF(ClosedDays!$F$4:$F$32,IF(WEEKDAY(BG47)=1,BG47+1,IF(WEEKDAY(BG47)=7,BG47+2,BG47)))+COUNTIF(ClosedDays!$J$4:$J$32,IF(WEEKDAY(BG47)=1,BG47+1,IF(WEEKDAY(BG47)=7,BG47+2,BG47)))+COUNTIF(ClosedDays!$N$4:$N$32,IF(WEEKDAY(BG47)=1,BG47+1,IF(WEEKDAY(BG47)=7,BG47+2,BG47)))</f>
        <v>44474</v>
      </c>
      <c r="BI47" s="405">
        <f>BH47+IF(WEEKDAY(BH47)=1,1,IF(WEEKDAY(BH47)=7,2,0))+COUNTIF(ClosedDays!$B$4:$B$32,IF(WEEKDAY(BH47)=1,BH47+1,IF(WEEKDAY(BH47)=7,BH47+2,BH47)))+COUNTIF(ClosedDays!$F$4:$F$32,IF(WEEKDAY(BH47)=1,BH47+1,IF(WEEKDAY(BH47)=7,BH47+2,BH47)))+COUNTIF(ClosedDays!$J$4:$J$32,IF(WEEKDAY(BH47)=1,BH47+1,IF(WEEKDAY(BH47)=7,BH47+2,BH47)))+COUNTIF(ClosedDays!$N$4:$N$32,IF(WEEKDAY(BH47)=1,BH47+1,IF(WEEKDAY(BH47)=7,BH47+2,BH47)))</f>
        <v>44474</v>
      </c>
      <c r="BJ47" s="405">
        <f>BI47+IF(WEEKDAY(BI47)=1,1,IF(WEEKDAY(BI47)=7,2,0))+COUNTIF(ClosedDays!$B$4:$B$32,IF(WEEKDAY(BI47)=1,BI47+1,IF(WEEKDAY(BI47)=7,BI47+2,BI47)))+COUNTIF(ClosedDays!$F$4:$F$32,IF(WEEKDAY(BI47)=1,BI47+1,IF(WEEKDAY(BI47)=7,BI47+2,BI47)))+COUNTIF(ClosedDays!$J$4:$J$32,IF(WEEKDAY(BI47)=1,BI47+1,IF(WEEKDAY(BI47)=7,BI47+2,BI47)))+COUNTIF(ClosedDays!$N$4:$N$32,IF(WEEKDAY(BI47)=1,BI47+1,IF(WEEKDAY(BI47)=7,BI47+2,BI47)))</f>
        <v>44474</v>
      </c>
      <c r="BK47" s="405">
        <f>BJ47+IF(WEEKDAY(BJ47)=1,1,IF(WEEKDAY(BJ47)=7,2,0))+COUNTIF(ClosedDays!$B$4:$B$32,IF(WEEKDAY(BJ47)=1,BJ47+1,IF(WEEKDAY(BJ47)=7,BJ47+2,BJ47)))+COUNTIF(ClosedDays!$F$4:$F$32,IF(WEEKDAY(BJ47)=1,BJ47+1,IF(WEEKDAY(BJ47)=7,BJ47+2,BJ47)))+COUNTIF(ClosedDays!$J$4:$J$32,IF(WEEKDAY(BJ47)=1,BJ47+1,IF(WEEKDAY(BJ47)=7,BJ47+2,BJ47)))+COUNTIF(ClosedDays!$N$4:$N$32,IF(WEEKDAY(BJ47)=1,BJ47+1,IF(WEEKDAY(BJ47)=7,BJ47+2,BJ47)))</f>
        <v>44474</v>
      </c>
      <c r="BL47" s="405">
        <f>BK47+IF(WEEKDAY(BK47)=1,1,IF(WEEKDAY(BK47)=7,2,0))+COUNTIF(ClosedDays!$B$4:$B$32,IF(WEEKDAY(BK47)=1,BK47+1,IF(WEEKDAY(BK47)=7,BK47+2,BK47)))+COUNTIF(ClosedDays!$F$4:$F$32,IF(WEEKDAY(BK47)=1,BK47+1,IF(WEEKDAY(BK47)=7,BK47+2,BK47)))+COUNTIF(ClosedDays!$J$4:$J$32,IF(WEEKDAY(BK47)=1,BK47+1,IF(WEEKDAY(BK47)=7,BK47+2,BK47)))+COUNTIF(ClosedDays!$N$4:$N$32,IF(WEEKDAY(BK47)=1,BK47+1,IF(WEEKDAY(BK47)=7,BK47+2,BK47)))</f>
        <v>44474</v>
      </c>
      <c r="BM47" s="405">
        <f>BL47+IF(WEEKDAY(BL47)=1,1,IF(WEEKDAY(BL47)=7,2,0))+COUNTIF(ClosedDays!$B$4:$B$32,IF(WEEKDAY(BL47)=1,BL47+1,IF(WEEKDAY(BL47)=7,BL47+2,BL47)))+COUNTIF(ClosedDays!$F$4:$F$32,IF(WEEKDAY(BL47)=1,BL47+1,IF(WEEKDAY(BL47)=7,BL47+2,BL47)))+COUNTIF(ClosedDays!$J$4:$J$32,IF(WEEKDAY(BL47)=1,BL47+1,IF(WEEKDAY(BL47)=7,BL47+2,BL47)))+COUNTIF(ClosedDays!$N$4:$N$32,IF(WEEKDAY(BL47)=1,BL47+1,IF(WEEKDAY(BL47)=7,BL47+2,BL47)))</f>
        <v>44474</v>
      </c>
      <c r="BN47" s="405">
        <f>BM47+IF(WEEKDAY(BM47)=1,1,IF(WEEKDAY(BM47)=7,2,0))+COUNTIF(ClosedDays!$B$4:$B$32,IF(WEEKDAY(BM47)=1,BM47+1,IF(WEEKDAY(BM47)=7,BM47+2,BM47)))+COUNTIF(ClosedDays!$F$4:$F$32,IF(WEEKDAY(BM47)=1,BM47+1,IF(WEEKDAY(BM47)=7,BM47+2,BM47)))+COUNTIF(ClosedDays!$J$4:$J$32,IF(WEEKDAY(BM47)=1,BM47+1,IF(WEEKDAY(BM47)=7,BM47+2,BM47)))+COUNTIF(ClosedDays!$N$4:$N$32,IF(WEEKDAY(BM47)=1,BM47+1,IF(WEEKDAY(BM47)=7,BM47+2,BM47)))</f>
        <v>44474</v>
      </c>
      <c r="BO47" s="405">
        <f>BN47+IF(WEEKDAY(BN47)=1,1,IF(WEEKDAY(BN47)=7,2,0))+COUNTIF(ClosedDays!$B$4:$B$32,IF(WEEKDAY(BN47)=1,BN47+1,IF(WEEKDAY(BN47)=7,BN47+2,BN47)))+COUNTIF(ClosedDays!$F$4:$F$32,IF(WEEKDAY(BN47)=1,BN47+1,IF(WEEKDAY(BN47)=7,BN47+2,BN47)))+COUNTIF(ClosedDays!$J$4:$J$32,IF(WEEKDAY(BN47)=1,BN47+1,IF(WEEKDAY(BN47)=7,BN47+2,BN47)))+COUNTIF(ClosedDays!$N$4:$N$32,IF(WEEKDAY(BN47)=1,BN47+1,IF(WEEKDAY(BN47)=7,BN47+2,BN47)))</f>
        <v>44474</v>
      </c>
      <c r="BP47" s="405">
        <f>BO47+IF(WEEKDAY(BO47)=1,1,IF(WEEKDAY(BO47)=7,2,0))+COUNTIF(ClosedDays!$B$4:$B$32,IF(WEEKDAY(BO47)=1,BO47+1,IF(WEEKDAY(BO47)=7,BO47+2,BO47)))+COUNTIF(ClosedDays!$F$4:$F$32,IF(WEEKDAY(BO47)=1,BO47+1,IF(WEEKDAY(BO47)=7,BO47+2,BO47)))+COUNTIF(ClosedDays!$J$4:$J$32,IF(WEEKDAY(BO47)=1,BO47+1,IF(WEEKDAY(BO47)=7,BO47+2,BO47)))+COUNTIF(ClosedDays!$N$4:$N$32,IF(WEEKDAY(BO47)=1,BO47+1,IF(WEEKDAY(BO47)=7,BO47+2,BO47)))</f>
        <v>44474</v>
      </c>
      <c r="BQ47" s="405">
        <f t="shared" si="16"/>
        <v>44474</v>
      </c>
      <c r="BR47" s="446">
        <f>IF(AND($D47&lt;='Outline Info'!$H$31,BQ47&gt;='Outline Info'!$H$31,$BS$4=1,$AC47&gt;10,$AC47&lt;9997),1,0)</f>
        <v>0</v>
      </c>
      <c r="BS47" s="405">
        <f>IF(BR47=1,BQ47+'Outline Info'!$I$31-'Outline Info'!$H$31+1,BQ47)</f>
        <v>44474</v>
      </c>
      <c r="BT47" s="405">
        <f>BS47+IF(WEEKDAY(BS47)=1,1,IF(WEEKDAY(BS47)=7,2,0))+COUNTIF(ClosedDays!$B$4:$B$32,IF(WEEKDAY(BS47)=1,BS47+1,IF(WEEKDAY(BS47)=7,BS47+2,BS47)))+COUNTIF(ClosedDays!$F$4:$F$32,IF(WEEKDAY(BS47)=1,BS47+1,IF(WEEKDAY(BS47)=7,BS47+2,BS47)))+COUNTIF(ClosedDays!$J$4:$J$32,IF(WEEKDAY(BS47)=1,BS47+1,IF(WEEKDAY(BS47)=7,BS47+2,BS47)))+COUNTIF(ClosedDays!$N$4:$N$32,IF(WEEKDAY(BS47)=1,BS47+1,IF(WEEKDAY(BS47)=7,BS47+2,BS47)))</f>
        <v>44474</v>
      </c>
      <c r="BU47" s="405">
        <f>BT47+IF(WEEKDAY(BT47)=1,1,IF(WEEKDAY(BT47)=7,2,0))+COUNTIF(ClosedDays!$B$4:$B$32,IF(WEEKDAY(BT47)=1,BT47+1,IF(WEEKDAY(BT47)=7,BT47+2,BT47)))+COUNTIF(ClosedDays!$F$4:$F$32,IF(WEEKDAY(BT47)=1,BT47+1,IF(WEEKDAY(BT47)=7,BT47+2,BT47)))+COUNTIF(ClosedDays!$J$4:$J$32,IF(WEEKDAY(BT47)=1,BT47+1,IF(WEEKDAY(BT47)=7,BT47+2,BT47)))+COUNTIF(ClosedDays!$N$4:$N$32,IF(WEEKDAY(BT47)=1,BT47+1,IF(WEEKDAY(BT47)=7,BT47+2,BT47)))</f>
        <v>44474</v>
      </c>
      <c r="BV47" s="405">
        <f>BU47+IF(WEEKDAY(BU47)=1,1,IF(WEEKDAY(BU47)=7,2,0))+COUNTIF(ClosedDays!$B$4:$B$32,IF(WEEKDAY(BU47)=1,BU47+1,IF(WEEKDAY(BU47)=7,BU47+2,BU47)))+COUNTIF(ClosedDays!$F$4:$F$32,IF(WEEKDAY(BU47)=1,BU47+1,IF(WEEKDAY(BU47)=7,BU47+2,BU47)))+COUNTIF(ClosedDays!$J$4:$J$32,IF(WEEKDAY(BU47)=1,BU47+1,IF(WEEKDAY(BU47)=7,BU47+2,BU47)))+COUNTIF(ClosedDays!$N$4:$N$32,IF(WEEKDAY(BU47)=1,BU47+1,IF(WEEKDAY(BU47)=7,BU47+2,BU47)))</f>
        <v>44474</v>
      </c>
      <c r="BW47" s="405">
        <f>BV47+IF(WEEKDAY(BV47)=1,1,IF(WEEKDAY(BV47)=7,2,0))+COUNTIF(ClosedDays!$B$4:$B$32,IF(WEEKDAY(BV47)=1,BV47+1,IF(WEEKDAY(BV47)=7,BV47+2,BV47)))+COUNTIF(ClosedDays!$F$4:$F$32,IF(WEEKDAY(BV47)=1,BV47+1,IF(WEEKDAY(BV47)=7,BV47+2,BV47)))+COUNTIF(ClosedDays!$J$4:$J$32,IF(WEEKDAY(BV47)=1,BV47+1,IF(WEEKDAY(BV47)=7,BV47+2,BV47)))+COUNTIF(ClosedDays!$N$4:$N$32,IF(WEEKDAY(BV47)=1,BV47+1,IF(WEEKDAY(BV47)=7,BV47+2,BV47)))</f>
        <v>44474</v>
      </c>
      <c r="BX47" s="405">
        <f>BW47+IF(WEEKDAY(BW47)=1,1,IF(WEEKDAY(BW47)=7,2,0))+COUNTIF(ClosedDays!$B$4:$B$32,IF(WEEKDAY(BW47)=1,BW47+1,IF(WEEKDAY(BW47)=7,BW47+2,BW47)))+COUNTIF(ClosedDays!$F$4:$F$32,IF(WEEKDAY(BW47)=1,BW47+1,IF(WEEKDAY(BW47)=7,BW47+2,BW47)))+COUNTIF(ClosedDays!$J$4:$J$32,IF(WEEKDAY(BW47)=1,BW47+1,IF(WEEKDAY(BW47)=7,BW47+2,BW47)))+COUNTIF(ClosedDays!$N$4:$N$32,IF(WEEKDAY(BW47)=1,BW47+1,IF(WEEKDAY(BW47)=7,BW47+2,BW47)))</f>
        <v>44474</v>
      </c>
      <c r="BY47" s="405">
        <f>BX47+IF(WEEKDAY(BX47)=1,1,IF(WEEKDAY(BX47)=7,2,0))+COUNTIF(ClosedDays!$B$4:$B$32,IF(WEEKDAY(BX47)=1,BX47+1,IF(WEEKDAY(BX47)=7,BX47+2,BX47)))+COUNTIF(ClosedDays!$F$4:$F$32,IF(WEEKDAY(BX47)=1,BX47+1,IF(WEEKDAY(BX47)=7,BX47+2,BX47)))+COUNTIF(ClosedDays!$J$4:$J$32,IF(WEEKDAY(BX47)=1,BX47+1,IF(WEEKDAY(BX47)=7,BX47+2,BX47)))+COUNTIF(ClosedDays!$N$4:$N$32,IF(WEEKDAY(BX47)=1,BX47+1,IF(WEEKDAY(BX47)=7,BX47+2,BX47)))</f>
        <v>44474</v>
      </c>
      <c r="BZ47" s="405">
        <f>BY47+IF(WEEKDAY(BY47)=1,1,IF(WEEKDAY(BY47)=7,2,0))+COUNTIF(ClosedDays!$B$4:$B$32,IF(WEEKDAY(BY47)=1,BY47+1,IF(WEEKDAY(BY47)=7,BY47+2,BY47)))+COUNTIF(ClosedDays!$F$4:$F$32,IF(WEEKDAY(BY47)=1,BY47+1,IF(WEEKDAY(BY47)=7,BY47+2,BY47)))+COUNTIF(ClosedDays!$J$4:$J$32,IF(WEEKDAY(BY47)=1,BY47+1,IF(WEEKDAY(BY47)=7,BY47+2,BY47)))+COUNTIF(ClosedDays!$N$4:$N$32,IF(WEEKDAY(BY47)=1,BY47+1,IF(WEEKDAY(BY47)=7,BY47+2,BY47)))</f>
        <v>44474</v>
      </c>
      <c r="CA47" s="405">
        <f>BZ47+IF(WEEKDAY(BZ47)=1,1,IF(WEEKDAY(BZ47)=7,2,0))+COUNTIF(ClosedDays!$B$4:$B$32,IF(WEEKDAY(BZ47)=1,BZ47+1,IF(WEEKDAY(BZ47)=7,BZ47+2,BZ47)))+COUNTIF(ClosedDays!$F$4:$F$32,IF(WEEKDAY(BZ47)=1,BZ47+1,IF(WEEKDAY(BZ47)=7,BZ47+2,BZ47)))+COUNTIF(ClosedDays!$J$4:$J$32,IF(WEEKDAY(BZ47)=1,BZ47+1,IF(WEEKDAY(BZ47)=7,BZ47+2,BZ47)))+COUNTIF(ClosedDays!$N$4:$N$32,IF(WEEKDAY(BZ47)=1,BZ47+1,IF(WEEKDAY(BZ47)=7,BZ47+2,BZ47)))</f>
        <v>44474</v>
      </c>
      <c r="CB47" s="405">
        <f>CA47+IF(WEEKDAY(CA47)=1,1,IF(WEEKDAY(CA47)=7,2,0))+COUNTIF(ClosedDays!$B$4:$B$32,IF(WEEKDAY(CA47)=1,CA47+1,IF(WEEKDAY(CA47)=7,CA47+2,CA47)))+COUNTIF(ClosedDays!$F$4:$F$32,IF(WEEKDAY(CA47)=1,CA47+1,IF(WEEKDAY(CA47)=7,CA47+2,CA47)))+COUNTIF(ClosedDays!$J$4:$J$32,IF(WEEKDAY(CA47)=1,CA47+1,IF(WEEKDAY(CA47)=7,CA47+2,CA47)))+COUNTIF(ClosedDays!$N$4:$N$32,IF(WEEKDAY(CA47)=1,CA47+1,IF(WEEKDAY(CA47)=7,CA47+2,CA47)))</f>
        <v>44474</v>
      </c>
      <c r="CC47" s="405">
        <f>CB47+IF(WEEKDAY(CB47)=1,1,IF(WEEKDAY(CB47)=7,2,0))+COUNTIF(ClosedDays!$B$4:$B$32,IF(WEEKDAY(CB47)=1,CB47+1,IF(WEEKDAY(CB47)=7,CB47+2,CB47)))+COUNTIF(ClosedDays!$F$4:$F$32,IF(WEEKDAY(CB47)=1,CB47+1,IF(WEEKDAY(CB47)=7,CB47+2,CB47)))+COUNTIF(ClosedDays!$J$4:$J$32,IF(WEEKDAY(CB47)=1,CB47+1,IF(WEEKDAY(CB47)=7,CB47+2,CB47)))+COUNTIF(ClosedDays!$N$4:$N$32,IF(WEEKDAY(CB47)=1,CB47+1,IF(WEEKDAY(CB47)=7,CB47+2,CB47)))</f>
        <v>44474</v>
      </c>
      <c r="CD47" s="405">
        <f>CC47+IF(WEEKDAY(CC47)=1,1,IF(WEEKDAY(CC47)=7,2,0))+COUNTIF(ClosedDays!$B$4:$B$32,IF(WEEKDAY(CC47)=1,CC47+1,IF(WEEKDAY(CC47)=7,CC47+2,CC47)))+COUNTIF(ClosedDays!$F$4:$F$32,IF(WEEKDAY(CC47)=1,CC47+1,IF(WEEKDAY(CC47)=7,CC47+2,CC47)))+COUNTIF(ClosedDays!$J$4:$J$32,IF(WEEKDAY(CC47)=1,CC47+1,IF(WEEKDAY(CC47)=7,CC47+2,CC47)))+COUNTIF(ClosedDays!$N$4:$N$32,IF(WEEKDAY(CC47)=1,CC47+1,IF(WEEKDAY(CC47)=7,CC47+2,CC47)))</f>
        <v>44474</v>
      </c>
      <c r="CE47" s="405">
        <f>CD47+IF(WEEKDAY(CD47)=1,1,IF(WEEKDAY(CD47)=7,2,0))+COUNTIF(ClosedDays!$B$4:$B$32,IF(WEEKDAY(CD47)=1,CD47+1,IF(WEEKDAY(CD47)=7,CD47+2,CD47)))+COUNTIF(ClosedDays!$F$4:$F$32,IF(WEEKDAY(CD47)=1,CD47+1,IF(WEEKDAY(CD47)=7,CD47+2,CD47)))+COUNTIF(ClosedDays!$J$4:$J$32,IF(WEEKDAY(CD47)=1,CD47+1,IF(WEEKDAY(CD47)=7,CD47+2,CD47)))+COUNTIF(ClosedDays!$N$4:$N$32,IF(WEEKDAY(CD47)=1,CD47+1,IF(WEEKDAY(CD47)=7,CD47+2,CD47)))</f>
        <v>44474</v>
      </c>
      <c r="CF47" s="405">
        <f>CE47+IF(WEEKDAY(CE47)=1,1,IF(WEEKDAY(CE47)=7,2,0))+COUNTIF(ClosedDays!$B$4:$B$32,IF(WEEKDAY(CE47)=1,CE47+1,IF(WEEKDAY(CE47)=7,CE47+2,CE47)))+COUNTIF(ClosedDays!$F$4:$F$32,IF(WEEKDAY(CE47)=1,CE47+1,IF(WEEKDAY(CE47)=7,CE47+2,CE47)))+COUNTIF(ClosedDays!$J$4:$J$32,IF(WEEKDAY(CE47)=1,CE47+1,IF(WEEKDAY(CE47)=7,CE47+2,CE47)))+COUNTIF(ClosedDays!$N$4:$N$32,IF(WEEKDAY(CE47)=1,CE47+1,IF(WEEKDAY(CE47)=7,CE47+2,CE47)))</f>
        <v>44474</v>
      </c>
      <c r="CG47" s="405">
        <f>CF47+IF(WEEKDAY(CF47)=1,1,IF(WEEKDAY(CF47)=7,2,0))+COUNTIF(ClosedDays!$B$4:$B$32,IF(WEEKDAY(CF47)=1,CF47+1,IF(WEEKDAY(CF47)=7,CF47+2,CF47)))+COUNTIF(ClosedDays!$F$4:$F$32,IF(WEEKDAY(CF47)=1,CF47+1,IF(WEEKDAY(CF47)=7,CF47+2,CF47)))+COUNTIF(ClosedDays!$J$4:$J$32,IF(WEEKDAY(CF47)=1,CF47+1,IF(WEEKDAY(CF47)=7,CF47+2,CF47)))+COUNTIF(ClosedDays!$N$4:$N$32,IF(WEEKDAY(CF47)=1,CF47+1,IF(WEEKDAY(CF47)=7,CF47+2,CF47)))</f>
        <v>44474</v>
      </c>
      <c r="CH47" s="405">
        <f t="shared" si="17"/>
        <v>44474</v>
      </c>
      <c r="CI47" s="446">
        <f>IF(AND($D47&lt;='Outline Info'!$H$33,CH47&gt;='Outline Info'!$H$33,$CJ$4=1,$AC47&gt;10,$AC47&lt;9997),1,0)</f>
        <v>0</v>
      </c>
      <c r="CJ47" s="405">
        <f>IF(CI47=1,CH47+'Outline Info'!$I$33-'Outline Info'!$H$33+1,CH47)</f>
        <v>44474</v>
      </c>
      <c r="CK47" s="405">
        <f>CJ47+IF(WEEKDAY(CJ47)=1,1,IF(WEEKDAY(CJ47)=7,2,0))+COUNTIF(ClosedDays!$B$4:$B$32,IF(WEEKDAY(CJ47)=1,CJ47+1,IF(WEEKDAY(CJ47)=7,CJ47+2,CJ47)))+COUNTIF(ClosedDays!$F$4:$F$32,IF(WEEKDAY(CJ47)=1,CJ47+1,IF(WEEKDAY(CJ47)=7,CJ47+2,CJ47)))+COUNTIF(ClosedDays!$J$4:$J$32,IF(WEEKDAY(CJ47)=1,CJ47+1,IF(WEEKDAY(CJ47)=7,CJ47+2,CJ47)))+COUNTIF(ClosedDays!$N$4:$N$32,IF(WEEKDAY(CJ47)=1,CJ47+1,IF(WEEKDAY(CJ47)=7,CJ47+2,CJ47)))</f>
        <v>44474</v>
      </c>
      <c r="CL47" s="405">
        <f>CK47+IF(WEEKDAY(CK47)=1,1,IF(WEEKDAY(CK47)=7,2,0))+COUNTIF(ClosedDays!$B$4:$B$32,IF(WEEKDAY(CK47)=1,CK47+1,IF(WEEKDAY(CK47)=7,CK47+2,CK47)))+COUNTIF(ClosedDays!$F$4:$F$32,IF(WEEKDAY(CK47)=1,CK47+1,IF(WEEKDAY(CK47)=7,CK47+2,CK47)))+COUNTIF(ClosedDays!$J$4:$J$32,IF(WEEKDAY(CK47)=1,CK47+1,IF(WEEKDAY(CK47)=7,CK47+2,CK47)))+COUNTIF(ClosedDays!$N$4:$N$32,IF(WEEKDAY(CK47)=1,CK47+1,IF(WEEKDAY(CK47)=7,CK47+2,CK47)))</f>
        <v>44474</v>
      </c>
      <c r="CM47" s="405">
        <f>CL47+IF(WEEKDAY(CL47)=1,1,IF(WEEKDAY(CL47)=7,2,0))+COUNTIF(ClosedDays!$B$4:$B$32,IF(WEEKDAY(CL47)=1,CL47+1,IF(WEEKDAY(CL47)=7,CL47+2,CL47)))+COUNTIF(ClosedDays!$F$4:$F$32,IF(WEEKDAY(CL47)=1,CL47+1,IF(WEEKDAY(CL47)=7,CL47+2,CL47)))+COUNTIF(ClosedDays!$J$4:$J$32,IF(WEEKDAY(CL47)=1,CL47+1,IF(WEEKDAY(CL47)=7,CL47+2,CL47)))+COUNTIF(ClosedDays!$N$4:$N$32,IF(WEEKDAY(CL47)=1,CL47+1,IF(WEEKDAY(CL47)=7,CL47+2,CL47)))</f>
        <v>44474</v>
      </c>
      <c r="CN47" s="405">
        <f>CM47+IF(WEEKDAY(CM47)=1,1,IF(WEEKDAY(CM47)=7,2,0))+COUNTIF(ClosedDays!$B$4:$B$32,IF(WEEKDAY(CM47)=1,CM47+1,IF(WEEKDAY(CM47)=7,CM47+2,CM47)))+COUNTIF(ClosedDays!$F$4:$F$32,IF(WEEKDAY(CM47)=1,CM47+1,IF(WEEKDAY(CM47)=7,CM47+2,CM47)))+COUNTIF(ClosedDays!$J$4:$J$32,IF(WEEKDAY(CM47)=1,CM47+1,IF(WEEKDAY(CM47)=7,CM47+2,CM47)))+COUNTIF(ClosedDays!$N$4:$N$32,IF(WEEKDAY(CM47)=1,CM47+1,IF(WEEKDAY(CM47)=7,CM47+2,CM47)))</f>
        <v>44474</v>
      </c>
      <c r="CO47" s="405">
        <f>CN47+IF(WEEKDAY(CN47)=1,1,IF(WEEKDAY(CN47)=7,2,0))+COUNTIF(ClosedDays!$B$4:$B$32,IF(WEEKDAY(CN47)=1,CN47+1,IF(WEEKDAY(CN47)=7,CN47+2,CN47)))+COUNTIF(ClosedDays!$F$4:$F$32,IF(WEEKDAY(CN47)=1,CN47+1,IF(WEEKDAY(CN47)=7,CN47+2,CN47)))+COUNTIF(ClosedDays!$J$4:$J$32,IF(WEEKDAY(CN47)=1,CN47+1,IF(WEEKDAY(CN47)=7,CN47+2,CN47)))+COUNTIF(ClosedDays!$N$4:$N$32,IF(WEEKDAY(CN47)=1,CN47+1,IF(WEEKDAY(CN47)=7,CN47+2,CN47)))</f>
        <v>44474</v>
      </c>
      <c r="CP47" s="405">
        <f>CO47+IF(WEEKDAY(CO47)=1,1,IF(WEEKDAY(CO47)=7,2,0))+COUNTIF(ClosedDays!$B$4:$B$32,IF(WEEKDAY(CO47)=1,CO47+1,IF(WEEKDAY(CO47)=7,CO47+2,CO47)))+COUNTIF(ClosedDays!$F$4:$F$32,IF(WEEKDAY(CO47)=1,CO47+1,IF(WEEKDAY(CO47)=7,CO47+2,CO47)))+COUNTIF(ClosedDays!$J$4:$J$32,IF(WEEKDAY(CO47)=1,CO47+1,IF(WEEKDAY(CO47)=7,CO47+2,CO47)))+COUNTIF(ClosedDays!$N$4:$N$32,IF(WEEKDAY(CO47)=1,CO47+1,IF(WEEKDAY(CO47)=7,CO47+2,CO47)))</f>
        <v>44474</v>
      </c>
      <c r="CQ47" s="405">
        <f>CP47+IF(WEEKDAY(CP47)=1,1,IF(WEEKDAY(CP47)=7,2,0))+COUNTIF(ClosedDays!$B$4:$B$32,IF(WEEKDAY(CP47)=1,CP47+1,IF(WEEKDAY(CP47)=7,CP47+2,CP47)))+COUNTIF(ClosedDays!$F$4:$F$32,IF(WEEKDAY(CP47)=1,CP47+1,IF(WEEKDAY(CP47)=7,CP47+2,CP47)))+COUNTIF(ClosedDays!$J$4:$J$32,IF(WEEKDAY(CP47)=1,CP47+1,IF(WEEKDAY(CP47)=7,CP47+2,CP47)))+COUNTIF(ClosedDays!$N$4:$N$32,IF(WEEKDAY(CP47)=1,CP47+1,IF(WEEKDAY(CP47)=7,CP47+2,CP47)))</f>
        <v>44474</v>
      </c>
      <c r="CR47" s="405">
        <f>CQ47+IF(WEEKDAY(CQ47)=1,1,IF(WEEKDAY(CQ47)=7,2,0))+COUNTIF(ClosedDays!$B$4:$B$32,IF(WEEKDAY(CQ47)=1,CQ47+1,IF(WEEKDAY(CQ47)=7,CQ47+2,CQ47)))+COUNTIF(ClosedDays!$F$4:$F$32,IF(WEEKDAY(CQ47)=1,CQ47+1,IF(WEEKDAY(CQ47)=7,CQ47+2,CQ47)))+COUNTIF(ClosedDays!$J$4:$J$32,IF(WEEKDAY(CQ47)=1,CQ47+1,IF(WEEKDAY(CQ47)=7,CQ47+2,CQ47)))+COUNTIF(ClosedDays!$N$4:$N$32,IF(WEEKDAY(CQ47)=1,CQ47+1,IF(WEEKDAY(CQ47)=7,CQ47+2,CQ47)))</f>
        <v>44474</v>
      </c>
      <c r="CS47" s="405">
        <f>CR47+IF(WEEKDAY(CR47)=1,1,IF(WEEKDAY(CR47)=7,2,0))+COUNTIF(ClosedDays!$B$4:$B$32,IF(WEEKDAY(CR47)=1,CR47+1,IF(WEEKDAY(CR47)=7,CR47+2,CR47)))+COUNTIF(ClosedDays!$F$4:$F$32,IF(WEEKDAY(CR47)=1,CR47+1,IF(WEEKDAY(CR47)=7,CR47+2,CR47)))+COUNTIF(ClosedDays!$J$4:$J$32,IF(WEEKDAY(CR47)=1,CR47+1,IF(WEEKDAY(CR47)=7,CR47+2,CR47)))+COUNTIF(ClosedDays!$N$4:$N$32,IF(WEEKDAY(CR47)=1,CR47+1,IF(WEEKDAY(CR47)=7,CR47+2,CR47)))</f>
        <v>44474</v>
      </c>
      <c r="CT47" s="405">
        <f>CS47+IF(WEEKDAY(CS47)=1,1,IF(WEEKDAY(CS47)=7,2,0))+COUNTIF(ClosedDays!$B$4:$B$32,IF(WEEKDAY(CS47)=1,CS47+1,IF(WEEKDAY(CS47)=7,CS47+2,CS47)))+COUNTIF(ClosedDays!$F$4:$F$32,IF(WEEKDAY(CS47)=1,CS47+1,IF(WEEKDAY(CS47)=7,CS47+2,CS47)))+COUNTIF(ClosedDays!$J$4:$J$32,IF(WEEKDAY(CS47)=1,CS47+1,IF(WEEKDAY(CS47)=7,CS47+2,CS47)))+COUNTIF(ClosedDays!$N$4:$N$32,IF(WEEKDAY(CS47)=1,CS47+1,IF(WEEKDAY(CS47)=7,CS47+2,CS47)))</f>
        <v>44474</v>
      </c>
      <c r="CU47" s="405">
        <f>CT47+IF(WEEKDAY(CT47)=1,1,IF(WEEKDAY(CT47)=7,2,0))+COUNTIF(ClosedDays!$B$4:$B$32,IF(WEEKDAY(CT47)=1,CT47+1,IF(WEEKDAY(CT47)=7,CT47+2,CT47)))+COUNTIF(ClosedDays!$F$4:$F$32,IF(WEEKDAY(CT47)=1,CT47+1,IF(WEEKDAY(CT47)=7,CT47+2,CT47)))+COUNTIF(ClosedDays!$J$4:$J$32,IF(WEEKDAY(CT47)=1,CT47+1,IF(WEEKDAY(CT47)=7,CT47+2,CT47)))+COUNTIF(ClosedDays!$N$4:$N$32,IF(WEEKDAY(CT47)=1,CT47+1,IF(WEEKDAY(CT47)=7,CT47+2,CT47)))</f>
        <v>44474</v>
      </c>
      <c r="CV47" s="405">
        <f>CU47+IF(WEEKDAY(CU47)=1,1,IF(WEEKDAY(CU47)=7,2,0))+COUNTIF(ClosedDays!$B$4:$B$32,IF(WEEKDAY(CU47)=1,CU47+1,IF(WEEKDAY(CU47)=7,CU47+2,CU47)))+COUNTIF(ClosedDays!$F$4:$F$32,IF(WEEKDAY(CU47)=1,CU47+1,IF(WEEKDAY(CU47)=7,CU47+2,CU47)))+COUNTIF(ClosedDays!$J$4:$J$32,IF(WEEKDAY(CU47)=1,CU47+1,IF(WEEKDAY(CU47)=7,CU47+2,CU47)))+COUNTIF(ClosedDays!$N$4:$N$32,IF(WEEKDAY(CU47)=1,CU47+1,IF(WEEKDAY(CU47)=7,CU47+2,CU47)))</f>
        <v>44474</v>
      </c>
      <c r="CW47" s="405">
        <f>CV47+IF(WEEKDAY(CV47)=1,1,IF(WEEKDAY(CV47)=7,2,0))+COUNTIF(ClosedDays!$B$4:$B$32,IF(WEEKDAY(CV47)=1,CV47+1,IF(WEEKDAY(CV47)=7,CV47+2,CV47)))+COUNTIF(ClosedDays!$F$4:$F$32,IF(WEEKDAY(CV47)=1,CV47+1,IF(WEEKDAY(CV47)=7,CV47+2,CV47)))+COUNTIF(ClosedDays!$J$4:$J$32,IF(WEEKDAY(CV47)=1,CV47+1,IF(WEEKDAY(CV47)=7,CV47+2,CV47)))+COUNTIF(ClosedDays!$N$4:$N$32,IF(WEEKDAY(CV47)=1,CV47+1,IF(WEEKDAY(CV47)=7,CV47+2,CV47)))</f>
        <v>44474</v>
      </c>
      <c r="CX47" s="405">
        <f>CW47+IF(WEEKDAY(CW47)=1,1,IF(WEEKDAY(CW47)=7,2,0))+COUNTIF(ClosedDays!$B$4:$B$32,IF(WEEKDAY(CW47)=1,CW47+1,IF(WEEKDAY(CW47)=7,CW47+2,CW47)))+COUNTIF(ClosedDays!$F$4:$F$32,IF(WEEKDAY(CW47)=1,CW47+1,IF(WEEKDAY(CW47)=7,CW47+2,CW47)))+COUNTIF(ClosedDays!$J$4:$J$32,IF(WEEKDAY(CW47)=1,CW47+1,IF(WEEKDAY(CW47)=7,CW47+2,CW47)))+COUNTIF(ClosedDays!$N$4:$N$32,IF(WEEKDAY(CW47)=1,CW47+1,IF(WEEKDAY(CW47)=7,CW47+2,CW47)))</f>
        <v>44474</v>
      </c>
      <c r="CY47" s="405">
        <f t="shared" si="18"/>
        <v>44474</v>
      </c>
      <c r="CZ47" s="446">
        <f>IF(AND($D47&lt;='Outline Info'!$E$33,CY47&gt;='Outline Info'!$E$33,$AC47&gt;10,$AC47&lt;9997),1,0)</f>
        <v>0</v>
      </c>
      <c r="DA47" s="405">
        <f>IF(AND($D47&lt;='Outline Info'!$E$33,CY47&gt;='Outline Info'!$E$33),CY47+'Outline Info'!$F$33-'Outline Info'!$E$33+1,CY47)</f>
        <v>44475</v>
      </c>
      <c r="DB47" s="405">
        <f>DA47+IF(WEEKDAY(DA47)=1,1,IF(WEEKDAY(DA47)=7,2,0))+COUNTIF(ClosedDays!$B$4:$B$32,IF(WEEKDAY(DA47)=1,DA47+1,IF(WEEKDAY(DA47)=7,DA47+2,DA47)))+COUNTIF(ClosedDays!$F$4:$F$32,IF(WEEKDAY(DA47)=1,DA47+1,IF(WEEKDAY(DA47)=7,DA47+2,DA47)))+COUNTIF(ClosedDays!$J$4:$J$32,IF(WEEKDAY(DA47)=1,DA47+1,IF(WEEKDAY(DA47)=7,DA47+2,DA47)))+COUNTIF(ClosedDays!$N$4:$N$32,IF(WEEKDAY(DA47)=1,DA47+1,IF(WEEKDAY(DA47)=7,DA47+2,DA47)))</f>
        <v>44475</v>
      </c>
      <c r="DC47" s="405">
        <f>DB47+IF(WEEKDAY(DB47)=1,1,IF(WEEKDAY(DB47)=7,2,0))+COUNTIF(ClosedDays!$B$4:$B$32,IF(WEEKDAY(DB47)=1,DB47+1,IF(WEEKDAY(DB47)=7,DB47+2,DB47)))+COUNTIF(ClosedDays!$F$4:$F$32,IF(WEEKDAY(DB47)=1,DB47+1,IF(WEEKDAY(DB47)=7,DB47+2,DB47)))+COUNTIF(ClosedDays!$J$4:$J$32,IF(WEEKDAY(DB47)=1,DB47+1,IF(WEEKDAY(DB47)=7,DB47+2,DB47)))+COUNTIF(ClosedDays!$N$4:$N$32,IF(WEEKDAY(DB47)=1,DB47+1,IF(WEEKDAY(DB47)=7,DB47+2,DB47)))</f>
        <v>44475</v>
      </c>
      <c r="DD47" s="405">
        <f>DC47+IF(WEEKDAY(DC47)=1,1,IF(WEEKDAY(DC47)=7,2,0))+COUNTIF(ClosedDays!$B$4:$B$32,IF(WEEKDAY(DC47)=1,DC47+1,IF(WEEKDAY(DC47)=7,DC47+2,DC47)))+COUNTIF(ClosedDays!$F$4:$F$32,IF(WEEKDAY(DC47)=1,DC47+1,IF(WEEKDAY(DC47)=7,DC47+2,DC47)))+COUNTIF(ClosedDays!$J$4:$J$32,IF(WEEKDAY(DC47)=1,DC47+1,IF(WEEKDAY(DC47)=7,DC47+2,DC47)))+COUNTIF(ClosedDays!$N$4:$N$32,IF(WEEKDAY(DC47)=1,DC47+1,IF(WEEKDAY(DC47)=7,DC47+2,DC47)))</f>
        <v>44475</v>
      </c>
      <c r="DE47" s="405">
        <f>DD47+IF(WEEKDAY(DD47)=1,1,IF(WEEKDAY(DD47)=7,2,0))+COUNTIF(ClosedDays!$B$4:$B$32,IF(WEEKDAY(DD47)=1,DD47+1,IF(WEEKDAY(DD47)=7,DD47+2,DD47)))+COUNTIF(ClosedDays!$F$4:$F$32,IF(WEEKDAY(DD47)=1,DD47+1,IF(WEEKDAY(DD47)=7,DD47+2,DD47)))+COUNTIF(ClosedDays!$J$4:$J$32,IF(WEEKDAY(DD47)=1,DD47+1,IF(WEEKDAY(DD47)=7,DD47+2,DD47)))+COUNTIF(ClosedDays!$N$4:$N$32,IF(WEEKDAY(DD47)=1,DD47+1,IF(WEEKDAY(DD47)=7,DD47+2,DD47)))</f>
        <v>44475</v>
      </c>
      <c r="DF47" s="405">
        <f>DE47+IF(WEEKDAY(DE47)=1,1,IF(WEEKDAY(DE47)=7,2,0))+COUNTIF(ClosedDays!$B$4:$B$32,IF(WEEKDAY(DE47)=1,DE47+1,IF(WEEKDAY(DE47)=7,DE47+2,DE47)))+COUNTIF(ClosedDays!$F$4:$F$32,IF(WEEKDAY(DE47)=1,DE47+1,IF(WEEKDAY(DE47)=7,DE47+2,DE47)))+COUNTIF(ClosedDays!$J$4:$J$32,IF(WEEKDAY(DE47)=1,DE47+1,IF(WEEKDAY(DE47)=7,DE47+2,DE47)))+COUNTIF(ClosedDays!$N$4:$N$32,IF(WEEKDAY(DE47)=1,DE47+1,IF(WEEKDAY(DE47)=7,DE47+2,DE47)))</f>
        <v>44475</v>
      </c>
      <c r="DG47" s="405">
        <f>DF47+IF(WEEKDAY(DF47)=1,1,IF(WEEKDAY(DF47)=7,2,0))+COUNTIF(ClosedDays!$B$4:$B$32,IF(WEEKDAY(DF47)=1,DF47+1,IF(WEEKDAY(DF47)=7,DF47+2,DF47)))+COUNTIF(ClosedDays!$F$4:$F$32,IF(WEEKDAY(DF47)=1,DF47+1,IF(WEEKDAY(DF47)=7,DF47+2,DF47)))+COUNTIF(ClosedDays!$J$4:$J$32,IF(WEEKDAY(DF47)=1,DF47+1,IF(WEEKDAY(DF47)=7,DF47+2,DF47)))+COUNTIF(ClosedDays!$N$4:$N$32,IF(WEEKDAY(DF47)=1,DF47+1,IF(WEEKDAY(DF47)=7,DF47+2,DF47)))</f>
        <v>44475</v>
      </c>
      <c r="DH47" s="405">
        <f>DG47+IF(WEEKDAY(DG47)=1,1,IF(WEEKDAY(DG47)=7,2,0))+COUNTIF(ClosedDays!$B$4:$B$32,IF(WEEKDAY(DG47)=1,DG47+1,IF(WEEKDAY(DG47)=7,DG47+2,DG47)))+COUNTIF(ClosedDays!$F$4:$F$32,IF(WEEKDAY(DG47)=1,DG47+1,IF(WEEKDAY(DG47)=7,DG47+2,DG47)))+COUNTIF(ClosedDays!$J$4:$J$32,IF(WEEKDAY(DG47)=1,DG47+1,IF(WEEKDAY(DG47)=7,DG47+2,DG47)))+COUNTIF(ClosedDays!$N$4:$N$32,IF(WEEKDAY(DG47)=1,DG47+1,IF(WEEKDAY(DG47)=7,DG47+2,DG47)))</f>
        <v>44475</v>
      </c>
      <c r="DI47" s="405">
        <f>DH47+IF(WEEKDAY(DH47)=1,1,IF(WEEKDAY(DH47)=7,2,0))+COUNTIF(ClosedDays!$B$4:$B$32,IF(WEEKDAY(DH47)=1,DH47+1,IF(WEEKDAY(DH47)=7,DH47+2,DH47)))+COUNTIF(ClosedDays!$F$4:$F$32,IF(WEEKDAY(DH47)=1,DH47+1,IF(WEEKDAY(DH47)=7,DH47+2,DH47)))+COUNTIF(ClosedDays!$J$4:$J$32,IF(WEEKDAY(DH47)=1,DH47+1,IF(WEEKDAY(DH47)=7,DH47+2,DH47)))+COUNTIF(ClosedDays!$N$4:$N$32,IF(WEEKDAY(DH47)=1,DH47+1,IF(WEEKDAY(DH47)=7,DH47+2,DH47)))</f>
        <v>44475</v>
      </c>
      <c r="DJ47" s="405">
        <f>DI47+IF(WEEKDAY(DI47)=1,1,IF(WEEKDAY(DI47)=7,2,0))+COUNTIF(ClosedDays!$B$4:$B$32,IF(WEEKDAY(DI47)=1,DI47+1,IF(WEEKDAY(DI47)=7,DI47+2,DI47)))+COUNTIF(ClosedDays!$F$4:$F$32,IF(WEEKDAY(DI47)=1,DI47+1,IF(WEEKDAY(DI47)=7,DI47+2,DI47)))+COUNTIF(ClosedDays!$J$4:$J$32,IF(WEEKDAY(DI47)=1,DI47+1,IF(WEEKDAY(DI47)=7,DI47+2,DI47)))+COUNTIF(ClosedDays!$N$4:$N$32,IF(WEEKDAY(DI47)=1,DI47+1,IF(WEEKDAY(DI47)=7,DI47+2,DI47)))</f>
        <v>44475</v>
      </c>
      <c r="DK47" s="405">
        <f>DJ47+IF(WEEKDAY(DJ47)=1,1,IF(WEEKDAY(DJ47)=7,2,0))+COUNTIF(ClosedDays!$B$4:$B$32,IF(WEEKDAY(DJ47)=1,DJ47+1,IF(WEEKDAY(DJ47)=7,DJ47+2,DJ47)))+COUNTIF(ClosedDays!$F$4:$F$32,IF(WEEKDAY(DJ47)=1,DJ47+1,IF(WEEKDAY(DJ47)=7,DJ47+2,DJ47)))+COUNTIF(ClosedDays!$J$4:$J$32,IF(WEEKDAY(DJ47)=1,DJ47+1,IF(WEEKDAY(DJ47)=7,DJ47+2,DJ47)))+COUNTIF(ClosedDays!$N$4:$N$32,IF(WEEKDAY(DJ47)=1,DJ47+1,IF(WEEKDAY(DJ47)=7,DJ47+2,DJ47)))</f>
        <v>44475</v>
      </c>
      <c r="DL47" s="405">
        <f>DK47+IF(WEEKDAY(DK47)=1,1,IF(WEEKDAY(DK47)=7,2,0))+COUNTIF(ClosedDays!$B$4:$B$32,IF(WEEKDAY(DK47)=1,DK47+1,IF(WEEKDAY(DK47)=7,DK47+2,DK47)))+COUNTIF(ClosedDays!$F$4:$F$32,IF(WEEKDAY(DK47)=1,DK47+1,IF(WEEKDAY(DK47)=7,DK47+2,DK47)))+COUNTIF(ClosedDays!$J$4:$J$32,IF(WEEKDAY(DK47)=1,DK47+1,IF(WEEKDAY(DK47)=7,DK47+2,DK47)))+COUNTIF(ClosedDays!$N$4:$N$32,IF(WEEKDAY(DK47)=1,DK47+1,IF(WEEKDAY(DK47)=7,DK47+2,DK47)))</f>
        <v>44475</v>
      </c>
      <c r="DM47" s="405">
        <f>DL47+IF(WEEKDAY(DL47)=1,1,IF(WEEKDAY(DL47)=7,2,0))+COUNTIF(ClosedDays!$B$4:$B$32,IF(WEEKDAY(DL47)=1,DL47+1,IF(WEEKDAY(DL47)=7,DL47+2,DL47)))+COUNTIF(ClosedDays!$F$4:$F$32,IF(WEEKDAY(DL47)=1,DL47+1,IF(WEEKDAY(DL47)=7,DL47+2,DL47)))+COUNTIF(ClosedDays!$J$4:$J$32,IF(WEEKDAY(DL47)=1,DL47+1,IF(WEEKDAY(DL47)=7,DL47+2,DL47)))+COUNTIF(ClosedDays!$N$4:$N$32,IF(WEEKDAY(DL47)=1,DL47+1,IF(WEEKDAY(DL47)=7,DL47+2,DL47)))</f>
        <v>44475</v>
      </c>
      <c r="DN47" s="405">
        <f>DM47+IF(WEEKDAY(DM47)=1,1,IF(WEEKDAY(DM47)=7,2,0))+COUNTIF(ClosedDays!$B$4:$B$32,IF(WEEKDAY(DM47)=1,DM47+1,IF(WEEKDAY(DM47)=7,DM47+2,DM47)))+COUNTIF(ClosedDays!$F$4:$F$32,IF(WEEKDAY(DM47)=1,DM47+1,IF(WEEKDAY(DM47)=7,DM47+2,DM47)))+COUNTIF(ClosedDays!$J$4:$J$32,IF(WEEKDAY(DM47)=1,DM47+1,IF(WEEKDAY(DM47)=7,DM47+2,DM47)))+COUNTIF(ClosedDays!$N$4:$N$32,IF(WEEKDAY(DM47)=1,DM47+1,IF(WEEKDAY(DM47)=7,DM47+2,DM47)))</f>
        <v>44475</v>
      </c>
      <c r="DO47" s="405">
        <f>DN47+IF(WEEKDAY(DN47)=1,1,IF(WEEKDAY(DN47)=7,2,0))+COUNTIF(ClosedDays!$B$4:$B$32,IF(WEEKDAY(DN47)=1,DN47+1,IF(WEEKDAY(DN47)=7,DN47+2,DN47)))+COUNTIF(ClosedDays!$F$4:$F$32,IF(WEEKDAY(DN47)=1,DN47+1,IF(WEEKDAY(DN47)=7,DN47+2,DN47)))+COUNTIF(ClosedDays!$J$4:$J$32,IF(WEEKDAY(DN47)=1,DN47+1,IF(WEEKDAY(DN47)=7,DN47+2,DN47)))+COUNTIF(ClosedDays!$N$4:$N$32,IF(WEEKDAY(DN47)=1,DN47+1,IF(WEEKDAY(DN47)=7,DN47+2,DN47)))</f>
        <v>44475</v>
      </c>
      <c r="DP47" s="405">
        <f t="shared" si="23"/>
        <v>44475</v>
      </c>
      <c r="DQ47" s="405">
        <f t="shared" si="20"/>
        <v>44475</v>
      </c>
      <c r="DR47" s="2">
        <f t="shared" si="19"/>
        <v>1</v>
      </c>
      <c r="DS47" s="2">
        <f>IF(AND(DR47=1,COUNTIF(DS$7:DS46,1)&lt;12,VLOOKUP(COUNTIF(DS$7:DS46,1)+1,'Outline Info'!$A$21:$C$32,2)&lt;=I47),1,0)</f>
        <v>0</v>
      </c>
      <c r="DT47" s="4" t="str">
        <f>IF(DS47=1,IF(VLOOKUP(COUNTIF(DS$7:DS47,1),'Outline Info'!$A$21:$C$32,2)=0,"",VLOOKUP(COUNTIF(DS$7:DS47,1),'Outline Info'!$A$21:$C$32,2)),"")</f>
        <v/>
      </c>
      <c r="DU47" s="7">
        <f>IF(DS47=1,VLOOKUP(COUNTIF(DS$7:DS47,1),'Outline Info'!$A$21:$C$32,3),0)</f>
        <v>0</v>
      </c>
      <c r="DV47" s="6">
        <f>IF('Outline Info'!$B$8="Y",IF(B47="*",'Outline Info'!$B$19,IF(OR($A47="",B47="X",B47="x"),0,VLOOKUP($A47,'Course Table'!$A$2:$J$331,4,TRUE))),0)</f>
        <v>0</v>
      </c>
      <c r="DW47" s="7">
        <f t="shared" si="6"/>
        <v>0</v>
      </c>
      <c r="DX47" s="7">
        <f>IF('Outline Info'!$B$8="Y",$DV47,$DW47)</f>
        <v>0</v>
      </c>
      <c r="DY47" s="2"/>
      <c r="DZ47" s="2"/>
      <c r="EA47" s="2"/>
      <c r="EB47" s="2"/>
      <c r="EC47" s="2"/>
      <c r="ED47" s="2"/>
    </row>
    <row r="48" spans="1:134">
      <c r="A48" s="1276"/>
      <c r="B48" s="1277"/>
      <c r="C48" s="1277"/>
      <c r="D48" s="1277"/>
      <c r="E48" s="1277"/>
      <c r="F48" s="1277"/>
      <c r="G48" s="1277"/>
      <c r="H48" s="1277"/>
      <c r="I48" s="1277"/>
      <c r="J48" s="1277"/>
      <c r="K48" s="1277"/>
      <c r="L48" s="1277"/>
      <c r="M48" s="1277"/>
      <c r="N48" s="1277"/>
      <c r="O48" s="1277"/>
      <c r="P48" s="1277"/>
      <c r="Q48" s="1277"/>
      <c r="R48" s="1277"/>
      <c r="S48" s="1277"/>
      <c r="T48" s="1277"/>
      <c r="U48" s="1277"/>
      <c r="V48" s="1277"/>
      <c r="W48" s="1278"/>
      <c r="X48" s="2"/>
      <c r="Y48" s="2"/>
      <c r="Z48" s="2"/>
      <c r="AA48" s="2"/>
      <c r="AB48" s="2"/>
      <c r="AC48" s="2"/>
      <c r="AD48" s="2"/>
      <c r="AE48" s="2"/>
      <c r="AF48" s="2"/>
      <c r="AG48" s="2"/>
      <c r="AH48" s="2"/>
      <c r="AI48" s="2">
        <v>0</v>
      </c>
      <c r="AJ48" s="2">
        <v>0</v>
      </c>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row>
    <row r="49" spans="1:134">
      <c r="A49" s="1276"/>
      <c r="B49" s="1277"/>
      <c r="C49" s="1277"/>
      <c r="D49" s="1277"/>
      <c r="E49" s="1277"/>
      <c r="F49" s="1277"/>
      <c r="G49" s="1277"/>
      <c r="H49" s="1277"/>
      <c r="I49" s="1277"/>
      <c r="J49" s="1277"/>
      <c r="K49" s="1277"/>
      <c r="L49" s="1277"/>
      <c r="M49" s="1277"/>
      <c r="N49" s="1277"/>
      <c r="O49" s="1277"/>
      <c r="P49" s="1277"/>
      <c r="Q49" s="1277"/>
      <c r="R49" s="1277"/>
      <c r="S49" s="1277"/>
      <c r="T49" s="1277"/>
      <c r="U49" s="1277"/>
      <c r="V49" s="1277"/>
      <c r="W49" s="1278"/>
      <c r="X49" s="2"/>
      <c r="Y49" s="2"/>
      <c r="Z49" s="2"/>
      <c r="AA49" s="2"/>
      <c r="AB49" s="2"/>
      <c r="AC49" s="2"/>
      <c r="AD49" s="2"/>
      <c r="AE49" s="2"/>
      <c r="AF49" s="2"/>
      <c r="AG49" s="2"/>
      <c r="AH49" s="2"/>
      <c r="AI49" s="2">
        <v>0</v>
      </c>
      <c r="AJ49" s="2">
        <v>0</v>
      </c>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row>
    <row r="50" spans="1:134">
      <c r="A50" s="199"/>
      <c r="B50" s="200"/>
      <c r="C50" s="200"/>
      <c r="D50" s="200"/>
      <c r="E50" s="200"/>
      <c r="F50" s="200"/>
      <c r="G50" s="200"/>
      <c r="H50" s="200"/>
      <c r="I50" s="200"/>
      <c r="J50" s="200"/>
      <c r="K50" s="200"/>
      <c r="L50" s="200"/>
      <c r="M50" s="200"/>
      <c r="N50" s="200"/>
      <c r="O50" s="200"/>
      <c r="P50" s="200"/>
      <c r="Q50" s="200"/>
      <c r="R50" s="200"/>
      <c r="S50" s="200"/>
      <c r="T50" s="200"/>
      <c r="U50" s="200"/>
      <c r="V50" s="200"/>
      <c r="W50" s="201"/>
      <c r="X50" s="2"/>
      <c r="Y50" s="2"/>
      <c r="Z50" s="2"/>
      <c r="AA50" s="2"/>
      <c r="AB50" s="2"/>
      <c r="AC50" s="2"/>
      <c r="AD50" s="2"/>
      <c r="AE50" s="2"/>
      <c r="AF50" s="2"/>
      <c r="AG50" s="2"/>
      <c r="AH50" s="2"/>
      <c r="AI50" s="2">
        <v>0</v>
      </c>
      <c r="AJ50" s="2">
        <v>0</v>
      </c>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row>
    <row r="51" spans="1:134">
      <c r="A51" s="1291" t="s">
        <v>816</v>
      </c>
      <c r="B51" s="1271"/>
      <c r="C51" s="1271"/>
      <c r="D51" s="1271" t="s">
        <v>816</v>
      </c>
      <c r="E51" s="1271"/>
      <c r="F51" s="1271"/>
      <c r="G51" s="1271"/>
      <c r="H51" s="1271"/>
      <c r="I51" s="1271"/>
      <c r="J51" s="1271"/>
      <c r="K51" s="1271"/>
      <c r="L51" s="200"/>
      <c r="M51" s="200"/>
      <c r="N51" s="200"/>
      <c r="O51" s="200"/>
      <c r="P51" s="200"/>
      <c r="Q51" s="1271" t="s">
        <v>816</v>
      </c>
      <c r="R51" s="1271"/>
      <c r="S51" s="1271"/>
      <c r="T51" s="1271"/>
      <c r="U51" s="1271"/>
      <c r="V51" s="1271"/>
      <c r="W51" s="1272"/>
      <c r="X51" s="2"/>
      <c r="Y51" s="2"/>
      <c r="Z51" s="2"/>
      <c r="AA51" s="2"/>
      <c r="AB51" s="2"/>
      <c r="AC51" s="2"/>
      <c r="AD51" s="2"/>
      <c r="AE51" s="2"/>
      <c r="AF51" s="2"/>
      <c r="AG51" s="2"/>
      <c r="AH51" s="2"/>
      <c r="AI51" s="2">
        <v>0</v>
      </c>
      <c r="AJ51" s="2">
        <v>0</v>
      </c>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row>
    <row r="52" spans="1:134" ht="16.2" thickBot="1">
      <c r="A52" s="1288" t="str">
        <f>IF('Franchise Info'!$B$3=1, CONCATENATE('Franchise Info'!I14,", ",'Franchise Info'!J14),IF('Franchise Info'!$B$3=2, CONCATENATE('Franchise Info'!I15,", ",'Franchise Info'!J15),IF('Franchise Info'!$B$3=3, CONCATENATE('Franchise Info'!I16,", ",'Franchise Info'!J16),"Learning Coach")))</f>
        <v>MaryEllen Olynuk, Admissions Coordinator</v>
      </c>
      <c r="B52" s="1289"/>
      <c r="C52" s="1289"/>
      <c r="D52" s="1289" t="str">
        <f>IF('Franchise Info'!$B$3=1,"Joanne Edwards, Head Learning Coach",IF('Franchise Info'!$B$3=2, "Kamaljit Toor, Head Learning Coach",IF('Franchise Info'!$B$3=3," Rod Templeton, Head Learning Coach","Learning Coach")))</f>
        <v>Kamaljit Toor, Head Learning Coach</v>
      </c>
      <c r="E52" s="1289"/>
      <c r="F52" s="1289"/>
      <c r="G52" s="1289"/>
      <c r="H52" s="1289"/>
      <c r="I52" s="1289"/>
      <c r="J52" s="1289"/>
      <c r="K52" s="1289"/>
      <c r="L52" s="466"/>
      <c r="M52" s="466"/>
      <c r="N52" s="466"/>
      <c r="O52" s="466"/>
      <c r="P52" s="466"/>
      <c r="Q52" s="1289" t="str">
        <f>CONCATENATE('Outline Info'!$B$2," ",'Outline Info'!$B$3,", ","Student")</f>
        <v xml:space="preserve"> , Student</v>
      </c>
      <c r="R52" s="1289"/>
      <c r="S52" s="1289"/>
      <c r="T52" s="1289"/>
      <c r="U52" s="1289"/>
      <c r="V52" s="1289"/>
      <c r="W52" s="1290"/>
      <c r="X52" s="2"/>
      <c r="Y52" s="2"/>
      <c r="Z52" s="2"/>
      <c r="AA52" s="2"/>
      <c r="AB52" s="2"/>
      <c r="AC52" s="2"/>
      <c r="AD52" s="2"/>
      <c r="AE52" s="2"/>
      <c r="AF52" s="2"/>
      <c r="AG52" s="2"/>
      <c r="AH52" s="2"/>
      <c r="AI52" s="2">
        <v>0</v>
      </c>
      <c r="AJ52" s="2">
        <v>0</v>
      </c>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row>
    <row r="53" spans="1:134" s="400" customFormat="1" ht="24.6" thickBot="1">
      <c r="A53" s="1279" t="str">
        <f>CONCATENATE("Hours per Week : ",'Outline Info'!$B$10," hours             Days per Week : ",'Outline Info'!$B$11," days")</f>
        <v>Hours per Week : 20 hours             Days per Week : 5 days</v>
      </c>
      <c r="B53" s="1280"/>
      <c r="C53" s="1280"/>
      <c r="D53" s="1280"/>
      <c r="E53" s="1280"/>
      <c r="F53" s="1280"/>
      <c r="G53" s="1280"/>
      <c r="H53" s="1280"/>
      <c r="I53" s="1280"/>
      <c r="J53" s="1280"/>
      <c r="K53" s="1280"/>
      <c r="L53" s="1280"/>
      <c r="M53" s="1280"/>
      <c r="N53" s="1280"/>
      <c r="O53" s="1280"/>
      <c r="P53" s="1280"/>
      <c r="Q53" s="1280"/>
      <c r="R53" s="1280"/>
      <c r="S53" s="1280"/>
      <c r="T53" s="1280"/>
      <c r="U53" s="1280"/>
      <c r="V53" s="1280"/>
      <c r="W53" s="1281"/>
      <c r="X53" s="394"/>
      <c r="Y53" s="394"/>
      <c r="Z53" s="394"/>
      <c r="AA53" s="394"/>
      <c r="AB53" s="394"/>
      <c r="AC53" s="394"/>
      <c r="AD53" s="394"/>
      <c r="AE53" s="394"/>
      <c r="AF53" s="394"/>
      <c r="AG53" s="394"/>
      <c r="AH53" s="394"/>
      <c r="AI53" s="394">
        <v>0</v>
      </c>
      <c r="AJ53" s="394">
        <v>0</v>
      </c>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394"/>
      <c r="BG53" s="394"/>
      <c r="BH53" s="394"/>
      <c r="BI53" s="394"/>
      <c r="BJ53" s="394"/>
      <c r="BK53" s="394"/>
      <c r="BL53" s="394"/>
      <c r="BM53" s="394"/>
      <c r="BN53" s="394"/>
      <c r="BO53" s="394"/>
      <c r="BP53" s="394"/>
      <c r="BQ53" s="394"/>
      <c r="BR53" s="394"/>
      <c r="BS53" s="394"/>
      <c r="BT53" s="394"/>
      <c r="BU53" s="394"/>
      <c r="BV53" s="394"/>
      <c r="BW53" s="394"/>
      <c r="BX53" s="394"/>
      <c r="BY53" s="394"/>
      <c r="BZ53" s="394"/>
      <c r="CA53" s="394"/>
      <c r="CB53" s="394"/>
      <c r="CC53" s="394"/>
      <c r="CD53" s="394"/>
      <c r="CE53" s="394"/>
      <c r="CF53" s="394"/>
      <c r="CG53" s="394"/>
      <c r="CH53" s="394"/>
      <c r="CI53" s="394"/>
      <c r="CJ53" s="394"/>
      <c r="CK53" s="394"/>
      <c r="CL53" s="394"/>
      <c r="CM53" s="394"/>
      <c r="CN53" s="394"/>
      <c r="CO53" s="394"/>
      <c r="CP53" s="394"/>
      <c r="CQ53" s="394"/>
      <c r="CR53" s="394"/>
      <c r="CS53" s="394"/>
      <c r="CT53" s="394"/>
      <c r="CU53" s="394"/>
      <c r="CV53" s="394"/>
      <c r="CW53" s="394"/>
      <c r="CX53" s="394"/>
      <c r="CY53" s="394"/>
      <c r="CZ53" s="394"/>
      <c r="DA53" s="394"/>
      <c r="DB53" s="394"/>
      <c r="DC53" s="394"/>
      <c r="DD53" s="394"/>
      <c r="DE53" s="394"/>
      <c r="DF53" s="394"/>
      <c r="DG53" s="394"/>
      <c r="DH53" s="394"/>
      <c r="DI53" s="394"/>
      <c r="DJ53" s="394"/>
      <c r="DK53" s="394"/>
      <c r="DL53" s="394"/>
      <c r="DM53" s="394"/>
      <c r="DN53" s="394"/>
      <c r="DO53" s="394"/>
      <c r="DP53" s="394"/>
      <c r="DQ53" s="394"/>
      <c r="DR53" s="394"/>
      <c r="DS53" s="394"/>
      <c r="DT53" s="394"/>
      <c r="DU53" s="394"/>
      <c r="DV53" s="394"/>
      <c r="DW53" s="394"/>
      <c r="DX53" s="394"/>
      <c r="DY53" s="394"/>
      <c r="DZ53" s="394"/>
      <c r="EA53" s="394"/>
      <c r="EB53" s="394"/>
      <c r="EC53" s="394"/>
      <c r="ED53" s="394"/>
    </row>
    <row r="54" spans="1:134">
      <c r="A54" s="198"/>
      <c r="B54" s="198"/>
      <c r="C54" s="198"/>
      <c r="D54" s="198"/>
      <c r="E54" s="198"/>
      <c r="F54" s="198"/>
      <c r="G54" s="198"/>
      <c r="H54" s="198"/>
      <c r="I54" s="198"/>
      <c r="J54" s="198"/>
      <c r="K54" s="198"/>
      <c r="L54" s="198"/>
      <c r="M54" s="198"/>
      <c r="N54" s="198"/>
      <c r="O54" s="198"/>
      <c r="P54" s="198"/>
      <c r="Q54" s="198"/>
      <c r="R54" s="198"/>
      <c r="S54" s="198"/>
      <c r="T54" s="198"/>
      <c r="U54" s="198"/>
      <c r="V54" s="198"/>
      <c r="W54" s="198"/>
      <c r="X54" s="2"/>
      <c r="Y54" s="2"/>
      <c r="Z54" s="2"/>
      <c r="AA54" s="2"/>
      <c r="AB54" s="2"/>
      <c r="AC54" s="2"/>
      <c r="AD54" s="2"/>
      <c r="AE54" s="2"/>
      <c r="AF54" s="2" t="s">
        <v>1545</v>
      </c>
      <c r="AG54" s="2" t="s">
        <v>1545</v>
      </c>
      <c r="AH54" s="2" t="s">
        <v>1545</v>
      </c>
      <c r="AI54" s="2">
        <v>0</v>
      </c>
      <c r="AJ54" s="2">
        <v>0</v>
      </c>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row>
    <row r="55" spans="1:134">
      <c r="A55" s="2"/>
      <c r="B55" s="2"/>
      <c r="C55" s="2"/>
      <c r="D55" s="2"/>
      <c r="E55" s="2"/>
      <c r="F55" s="2"/>
      <c r="G55" s="2"/>
      <c r="H55" s="2"/>
      <c r="I55" s="2"/>
      <c r="J55" s="2"/>
      <c r="K55" s="5"/>
      <c r="L55" s="2"/>
      <c r="M55" s="2"/>
      <c r="N55" s="2"/>
      <c r="O55" s="2"/>
      <c r="P55" s="2"/>
      <c r="Q55" s="2"/>
      <c r="R55" s="2"/>
      <c r="S55" s="2"/>
      <c r="T55" s="2"/>
      <c r="U55" s="2"/>
      <c r="V55" s="2"/>
      <c r="W55" s="2"/>
      <c r="X55" s="2"/>
      <c r="Y55" s="2"/>
      <c r="Z55" s="2"/>
      <c r="AA55" s="2"/>
      <c r="AB55" s="2"/>
      <c r="AC55" s="2"/>
      <c r="AD55" s="2"/>
      <c r="AE55" s="2"/>
      <c r="AF55" s="2" t="s">
        <v>1545</v>
      </c>
      <c r="AG55" s="2" t="s">
        <v>1545</v>
      </c>
      <c r="AH55" s="2" t="s">
        <v>1545</v>
      </c>
      <c r="AI55" s="2">
        <v>0</v>
      </c>
      <c r="AJ55" s="2">
        <v>0</v>
      </c>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row>
    <row r="56" spans="1:134">
      <c r="A56" s="2"/>
      <c r="B56" s="2"/>
      <c r="C56" s="2"/>
      <c r="D56" s="2"/>
      <c r="E56" s="2"/>
      <c r="F56" s="2"/>
      <c r="G56" s="2"/>
      <c r="H56" s="2"/>
      <c r="I56" s="2"/>
      <c r="J56" s="2"/>
      <c r="K56" s="5"/>
      <c r="L56" s="2"/>
      <c r="M56" s="2"/>
      <c r="N56" s="2"/>
      <c r="O56" s="2"/>
      <c r="P56" s="2"/>
      <c r="Q56" s="2"/>
      <c r="R56" s="2"/>
      <c r="S56" s="2"/>
      <c r="T56" s="2"/>
      <c r="U56" s="2"/>
      <c r="V56" s="2"/>
      <c r="W56" s="2"/>
      <c r="X56" s="2"/>
      <c r="Y56" s="2"/>
      <c r="Z56" s="2"/>
      <c r="AA56" s="2"/>
      <c r="AB56" s="2"/>
      <c r="AC56" s="2"/>
      <c r="AD56" s="2"/>
      <c r="AE56" s="2"/>
      <c r="AF56" s="2" t="s">
        <v>1545</v>
      </c>
      <c r="AG56" s="2" t="s">
        <v>1545</v>
      </c>
      <c r="AH56" s="2" t="s">
        <v>1545</v>
      </c>
      <c r="AI56" s="2">
        <v>0</v>
      </c>
      <c r="AJ56" s="2">
        <v>0</v>
      </c>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row>
    <row r="57" spans="1:134">
      <c r="AF57" s="3" t="s">
        <v>1545</v>
      </c>
      <c r="AG57" s="3" t="s">
        <v>1545</v>
      </c>
      <c r="AH57" s="3" t="s">
        <v>1545</v>
      </c>
      <c r="AI57" s="3">
        <v>0</v>
      </c>
      <c r="AJ57" s="3">
        <v>0</v>
      </c>
    </row>
  </sheetData>
  <sortState xmlns:xlrd2="http://schemas.microsoft.com/office/spreadsheetml/2017/richdata2" ref="AC7:AJ53">
    <sortCondition ref="AE7"/>
    <sortCondition ref="AC7"/>
  </sortState>
  <mergeCells count="102">
    <mergeCell ref="DZ5:EA5"/>
    <mergeCell ref="E10:F10"/>
    <mergeCell ref="E11:F11"/>
    <mergeCell ref="E12:F12"/>
    <mergeCell ref="E13:F13"/>
    <mergeCell ref="E14:F14"/>
    <mergeCell ref="E15:F15"/>
    <mergeCell ref="E45:F45"/>
    <mergeCell ref="G45:H45"/>
    <mergeCell ref="E42:F42"/>
    <mergeCell ref="G42:H42"/>
    <mergeCell ref="E43:F43"/>
    <mergeCell ref="G43:H43"/>
    <mergeCell ref="E44:F44"/>
    <mergeCell ref="G44:H44"/>
    <mergeCell ref="E16:F16"/>
    <mergeCell ref="E17:F17"/>
    <mergeCell ref="E18:F18"/>
    <mergeCell ref="E19:F19"/>
    <mergeCell ref="E20:F20"/>
    <mergeCell ref="E21:F21"/>
    <mergeCell ref="E22:F22"/>
    <mergeCell ref="E23:F23"/>
    <mergeCell ref="E24:F24"/>
    <mergeCell ref="DV5:DX5"/>
    <mergeCell ref="B4:I4"/>
    <mergeCell ref="J4:R4"/>
    <mergeCell ref="V4:W4"/>
    <mergeCell ref="E25:F25"/>
    <mergeCell ref="E6:F6"/>
    <mergeCell ref="G6:H6"/>
    <mergeCell ref="E7:F7"/>
    <mergeCell ref="G7:H7"/>
    <mergeCell ref="T6:V6"/>
    <mergeCell ref="E8:F8"/>
    <mergeCell ref="E9:F9"/>
    <mergeCell ref="G8:H8"/>
    <mergeCell ref="G9:H9"/>
    <mergeCell ref="G10:H10"/>
    <mergeCell ref="G11:H11"/>
    <mergeCell ref="G12:H12"/>
    <mergeCell ref="G13:H13"/>
    <mergeCell ref="G14:H14"/>
    <mergeCell ref="G15:H15"/>
    <mergeCell ref="G16:H16"/>
    <mergeCell ref="G17:H17"/>
    <mergeCell ref="G18:H18"/>
    <mergeCell ref="G19:H19"/>
    <mergeCell ref="G21:H21"/>
    <mergeCell ref="G22:H22"/>
    <mergeCell ref="G23:H23"/>
    <mergeCell ref="E26:F26"/>
    <mergeCell ref="E27:F27"/>
    <mergeCell ref="E28:F28"/>
    <mergeCell ref="E29:F29"/>
    <mergeCell ref="E40:F40"/>
    <mergeCell ref="E41:F41"/>
    <mergeCell ref="G38:H38"/>
    <mergeCell ref="G39:H39"/>
    <mergeCell ref="E30:F30"/>
    <mergeCell ref="G28:H28"/>
    <mergeCell ref="G29:H29"/>
    <mergeCell ref="G24:H24"/>
    <mergeCell ref="G25:H25"/>
    <mergeCell ref="G26:H26"/>
    <mergeCell ref="G27:H27"/>
    <mergeCell ref="E32:F32"/>
    <mergeCell ref="E33:F33"/>
    <mergeCell ref="E34:F34"/>
    <mergeCell ref="Q1:W1"/>
    <mergeCell ref="V2:W2"/>
    <mergeCell ref="B3:H3"/>
    <mergeCell ref="J3:S3"/>
    <mergeCell ref="V3:W3"/>
    <mergeCell ref="D2:S2"/>
    <mergeCell ref="B5:S5"/>
    <mergeCell ref="V5:W5"/>
    <mergeCell ref="G20:H20"/>
    <mergeCell ref="D51:K51"/>
    <mergeCell ref="Q51:W51"/>
    <mergeCell ref="A46:W49"/>
    <mergeCell ref="A53:W53"/>
    <mergeCell ref="G30:H30"/>
    <mergeCell ref="G31:H31"/>
    <mergeCell ref="G40:H40"/>
    <mergeCell ref="G41:H41"/>
    <mergeCell ref="G32:H32"/>
    <mergeCell ref="G33:H33"/>
    <mergeCell ref="G34:H34"/>
    <mergeCell ref="G35:H35"/>
    <mergeCell ref="G36:H36"/>
    <mergeCell ref="G37:H37"/>
    <mergeCell ref="E35:F35"/>
    <mergeCell ref="E36:F36"/>
    <mergeCell ref="E37:F37"/>
    <mergeCell ref="E38:F38"/>
    <mergeCell ref="E39:F39"/>
    <mergeCell ref="A52:C52"/>
    <mergeCell ref="D52:K52"/>
    <mergeCell ref="Q52:W52"/>
    <mergeCell ref="A51:C51"/>
    <mergeCell ref="E31:F31"/>
  </mergeCells>
  <phoneticPr fontId="117" type="noConversion"/>
  <conditionalFormatting sqref="BQ3:BR5 BS3:BS4 BT3:CG6 DA3:DA4 BC3:BP6 DB3:DO6 CH3:CI5 CJ3:CJ4 CK3:CX6 CY3:CZ5">
    <cfRule type="expression" dxfId="72" priority="10" stopIfTrue="1">
      <formula>$B3="X"</formula>
    </cfRule>
    <cfRule type="expression" dxfId="71" priority="11" stopIfTrue="1">
      <formula>$B3="x"</formula>
    </cfRule>
  </conditionalFormatting>
  <conditionalFormatting sqref="G7:G41 T7:U45 G8:H45 I7:J45 D7:D45">
    <cfRule type="expression" dxfId="70" priority="7" stopIfTrue="1">
      <formula>$B7="X"</formula>
    </cfRule>
    <cfRule type="expression" dxfId="69" priority="8" stopIfTrue="1">
      <formula>$B7="x"</formula>
    </cfRule>
    <cfRule type="expression" dxfId="68" priority="9" stopIfTrue="1">
      <formula>$AC7&gt;99998</formula>
    </cfRule>
  </conditionalFormatting>
  <conditionalFormatting sqref="DU7:DU47">
    <cfRule type="expression" dxfId="67" priority="4" stopIfTrue="1">
      <formula>$B7="X"</formula>
    </cfRule>
    <cfRule type="expression" dxfId="66" priority="5" stopIfTrue="1">
      <formula>$B7="x"</formula>
    </cfRule>
    <cfRule type="expression" dxfId="65" priority="6" stopIfTrue="1">
      <formula>DX7&gt;99998</formula>
    </cfRule>
  </conditionalFormatting>
  <conditionalFormatting sqref="W7:W45">
    <cfRule type="expression" dxfId="64" priority="2" stopIfTrue="1">
      <formula>$A$7=""</formula>
    </cfRule>
    <cfRule type="cellIs" dxfId="63" priority="3" stopIfTrue="1" operator="between">
      <formula>0.99</formula>
      <formula>-0.99</formula>
    </cfRule>
  </conditionalFormatting>
  <conditionalFormatting sqref="I7:I45 D7:D45">
    <cfRule type="expression" dxfId="62" priority="1" stopIfTrue="1">
      <formula>OR($A7="BSE-COOP(BSE-BC)",$A7="BAC-COOP(BAC-BC)",$A7="THPATI",$A7="JOBSRCHBLM",$A7="SFA00E1",$A7="CPR00E1",IF(IFERROR(FIND("HCCP1BC_",$A7),FALSE)=1,TRUE,FALSE),IF(IFERROR(FIND("LAB",$A7),FALSE)=1,TRUE,FALSE),IF(IFERROR(FIND("BOOKS",$A7),FALSE)=1,TRUE,FALSE),IF(IFERROR(SEARCH("EXAM",$A7),FALSE)=3,TRUE,FALSE),IF(IFERROR(FIND("SR(",$A7),FALSE)=1,TRUE,FALSE))</formula>
    </cfRule>
  </conditionalFormatting>
  <dataValidations count="1">
    <dataValidation type="whole" allowBlank="1" showInputMessage="1" showErrorMessage="1" errorTitle="Adjustment Days" error="Must be between Zero and total number of FULL courses in program" prompt="Enter number of days required to adjust Course End Date closer to Program End Date" sqref="S4" xr:uid="{00000000-0002-0000-0C00-000000000000}">
      <formula1>0</formula1>
      <formula2>AL6+AN6</formula2>
    </dataValidation>
  </dataValidations>
  <pageMargins left="0.5" right="0.45" top="0.6" bottom="0.42" header="0.118110236220472" footer="0"/>
  <pageSetup scale="69" orientation="portrait" r:id="rId1"/>
  <headerFooter alignWithMargins="0"/>
  <ignoredErrors>
    <ignoredError sqref="W8:W45" formulaRange="1"/>
    <ignoredError sqref="T7:T45" unlockedFormula="1"/>
    <ignoredError sqref="B7:B45" formula="1"/>
  </ignoredError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tabColor rgb="FFE31DB9"/>
  </sheetPr>
  <dimension ref="B1:AH51"/>
  <sheetViews>
    <sheetView showGridLines="0" view="pageLayout" topLeftCell="A13"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12" width="9.33203125" style="467" customWidth="1"/>
    <col min="13" max="13" width="4.109375" style="467"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4" ht="16.2">
      <c r="H1" s="341" t="str">
        <f>LEFT('Franchise Info'!$B$4,FIND(", ",'Franchise Info'!$B$4)-1)</f>
        <v>201 - 20621 Logan Ave</v>
      </c>
    </row>
    <row r="2" spans="3:14" ht="16.2">
      <c r="H2" s="341" t="str">
        <f>MID('Franchise Info'!$B$4,FIND(", ",'Franchise Info'!$B$4)+2,50)</f>
        <v>Langley, BC, V3A 7R3</v>
      </c>
    </row>
    <row r="3" spans="3:14" ht="16.2">
      <c r="H3" s="341" t="str">
        <f>CONCATENATE("Telephone:"," ",REPLACE(LEFT('Franchise Info'!$B$7,22),1,8,""))</f>
        <v>Telephone: (604) 532-4040</v>
      </c>
    </row>
    <row r="4" spans="3:14" ht="16.2">
      <c r="H4" s="341" t="str">
        <f>CONCATENATE("Facsimile:"," ",RIGHT('Franchise Info'!$B$7,14))</f>
        <v>Facsimile: (604) 532-4001</v>
      </c>
    </row>
    <row r="5" spans="3:14" ht="16.2">
      <c r="H5" s="1330" t="str">
        <f>MID('Franchise Info'!$B$7,FIND("E-Mail",'Franchise Info'!$B$7),60)</f>
        <v xml:space="preserve">E-Mail : admin.langley@aolccbc.com                          </v>
      </c>
      <c r="I5" s="1330"/>
      <c r="J5" s="1330"/>
      <c r="K5" s="1330"/>
      <c r="L5" s="1330"/>
    </row>
    <row r="6" spans="3:14" ht="13.8">
      <c r="C6" s="1336" t="s">
        <v>585</v>
      </c>
      <c r="D6" s="1336"/>
      <c r="E6" s="1336"/>
      <c r="F6" s="1336"/>
      <c r="G6" s="1336"/>
      <c r="H6" s="1336"/>
      <c r="I6" s="1336"/>
      <c r="J6" s="1336"/>
      <c r="K6" s="1336"/>
      <c r="L6" s="1336"/>
    </row>
    <row r="7" spans="3:14" ht="19.5" customHeight="1">
      <c r="C7" s="1336"/>
      <c r="D7" s="1336"/>
      <c r="E7" s="1336"/>
      <c r="F7" s="1336"/>
      <c r="G7" s="1336"/>
      <c r="H7" s="1336"/>
      <c r="I7" s="1336"/>
      <c r="J7" s="1336"/>
      <c r="K7" s="1336"/>
      <c r="L7" s="1336"/>
    </row>
    <row r="8" spans="3:14" ht="13.5" customHeight="1">
      <c r="H8" s="1334" t="str">
        <f>IF('Outline Admin'!A5=0,"",'Outline Admin'!A5)</f>
        <v/>
      </c>
      <c r="I8" s="1334"/>
      <c r="J8" s="1334"/>
      <c r="K8" s="1334"/>
    </row>
    <row r="9" spans="3:14" ht="15.75" customHeight="1">
      <c r="C9" s="1332" t="s">
        <v>1425</v>
      </c>
      <c r="D9" s="1332"/>
      <c r="E9" s="1331" t="str">
        <f>CONCATENATE('Outline Info'!$B$2," ",'Outline Info'!$B$3)</f>
        <v xml:space="preserve"> </v>
      </c>
      <c r="F9" s="1331"/>
      <c r="G9" s="341" t="s">
        <v>586</v>
      </c>
      <c r="H9" s="1335"/>
      <c r="I9" s="1335"/>
      <c r="J9" s="1335"/>
      <c r="K9" s="1335"/>
      <c r="L9" s="238"/>
    </row>
    <row r="10" spans="3:14" ht="12.75" customHeight="1"/>
    <row r="11" spans="3:14" ht="15.75" customHeight="1">
      <c r="C11" s="1333" t="s">
        <v>587</v>
      </c>
      <c r="D11" s="1333"/>
      <c r="E11" s="1333"/>
      <c r="F11" s="1333"/>
      <c r="G11" s="1333"/>
      <c r="H11" s="1333"/>
      <c r="I11" s="1333"/>
      <c r="J11" s="1333"/>
      <c r="K11" s="1333"/>
      <c r="L11" s="517"/>
    </row>
    <row r="12" spans="3:14" ht="15.75" customHeight="1">
      <c r="C12" s="530">
        <f>'Outline Info'!B10</f>
        <v>20</v>
      </c>
      <c r="D12" s="1327" t="s">
        <v>589</v>
      </c>
      <c r="E12" s="1327"/>
      <c r="F12" s="1327"/>
      <c r="G12" s="1327"/>
      <c r="H12" s="1327"/>
      <c r="I12" s="1327"/>
      <c r="J12" s="1327"/>
      <c r="K12" s="1327"/>
      <c r="L12" s="1327"/>
    </row>
    <row r="13" spans="3:14" ht="12.75" customHeight="1">
      <c r="C13" s="1329" t="s">
        <v>588</v>
      </c>
      <c r="D13" s="1329"/>
      <c r="E13" s="1329"/>
      <c r="F13" s="1329"/>
      <c r="G13" s="1329"/>
      <c r="H13" s="1329"/>
      <c r="I13" s="1329"/>
      <c r="J13" s="1329"/>
      <c r="K13" s="1329"/>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3:14" ht="12.75" customHeight="1">
      <c r="C14" s="531"/>
      <c r="D14" s="531"/>
      <c r="E14" s="531"/>
      <c r="F14" s="531"/>
      <c r="G14" s="531"/>
      <c r="H14" s="531"/>
      <c r="I14" s="531"/>
      <c r="J14" s="531"/>
      <c r="K14" s="531"/>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3:14" ht="12.75" customHeight="1">
      <c r="C15" s="1329" t="s">
        <v>808</v>
      </c>
      <c r="D15" s="1329"/>
      <c r="E15" s="1329"/>
      <c r="F15" s="1329"/>
      <c r="G15" s="1329"/>
      <c r="H15" s="1329"/>
      <c r="I15" s="1329"/>
      <c r="J15" s="1329"/>
      <c r="K15" s="1329"/>
      <c r="L15" s="1329"/>
    </row>
    <row r="16" spans="3:14" ht="15.75" customHeight="1">
      <c r="C16" s="1329"/>
      <c r="D16" s="1329"/>
      <c r="E16" s="1329"/>
      <c r="F16" s="1329"/>
      <c r="G16" s="1329"/>
      <c r="H16" s="1329"/>
      <c r="I16" s="1329"/>
      <c r="J16" s="1329"/>
      <c r="K16" s="1329"/>
      <c r="L16" s="1329"/>
    </row>
    <row r="17" spans="3:34" ht="12.75" customHeight="1">
      <c r="C17" s="1329"/>
      <c r="D17" s="1329"/>
      <c r="E17" s="1329"/>
      <c r="F17" s="1329"/>
      <c r="G17" s="1329"/>
      <c r="H17" s="1329"/>
      <c r="I17" s="1329"/>
      <c r="J17" s="1329"/>
      <c r="K17" s="1329"/>
      <c r="L17" s="1329"/>
    </row>
    <row r="18" spans="3:34" ht="15.75" customHeight="1">
      <c r="C18" s="1329"/>
      <c r="D18" s="1329"/>
      <c r="E18" s="1329"/>
      <c r="F18" s="1329"/>
      <c r="G18" s="1329"/>
      <c r="H18" s="1329"/>
      <c r="I18" s="1329"/>
      <c r="J18" s="1329"/>
      <c r="K18" s="1329"/>
      <c r="L18" s="1329"/>
    </row>
    <row r="19" spans="3:34" ht="12.75" customHeight="1">
      <c r="C19" s="1329"/>
      <c r="D19" s="1329"/>
      <c r="E19" s="1329"/>
      <c r="F19" s="1329"/>
      <c r="G19" s="1329"/>
      <c r="H19" s="1329"/>
      <c r="I19" s="1329"/>
      <c r="J19" s="1329"/>
      <c r="K19" s="1329"/>
      <c r="L19" s="1329"/>
    </row>
    <row r="20" spans="3:34" ht="12.75" customHeight="1">
      <c r="C20" s="1329"/>
      <c r="D20" s="1329"/>
      <c r="E20" s="1329"/>
      <c r="F20" s="1329"/>
      <c r="G20" s="1329"/>
      <c r="H20" s="1329"/>
      <c r="I20" s="1329"/>
      <c r="J20" s="1329"/>
      <c r="K20" s="1329"/>
      <c r="L20" s="1329"/>
    </row>
    <row r="21" spans="3:34" ht="12.75" customHeight="1">
      <c r="C21" s="1329"/>
      <c r="D21" s="1329"/>
      <c r="E21" s="1329"/>
      <c r="F21" s="1329"/>
      <c r="G21" s="1329"/>
      <c r="H21" s="1329"/>
      <c r="I21" s="1329"/>
      <c r="J21" s="1329"/>
      <c r="K21" s="1329"/>
      <c r="L21" s="1329"/>
    </row>
    <row r="22" spans="3:34" ht="12.75" customHeight="1">
      <c r="C22" s="1329"/>
      <c r="D22" s="1329"/>
      <c r="E22" s="1329"/>
      <c r="F22" s="1329"/>
      <c r="G22" s="1329"/>
      <c r="H22" s="1329"/>
      <c r="I22" s="1329"/>
      <c r="J22" s="1329"/>
      <c r="K22" s="1329"/>
      <c r="L22" s="1329"/>
    </row>
    <row r="23" spans="3:34" ht="12.75" customHeight="1">
      <c r="C23" s="1329"/>
      <c r="D23" s="1329"/>
      <c r="E23" s="1329"/>
      <c r="F23" s="1329"/>
      <c r="G23" s="1329"/>
      <c r="H23" s="1329"/>
      <c r="I23" s="1329"/>
      <c r="J23" s="1329"/>
      <c r="K23" s="1329"/>
      <c r="L23" s="1329"/>
    </row>
    <row r="24" spans="3:34" ht="12.75" customHeight="1">
      <c r="C24" s="1329"/>
      <c r="D24" s="1329"/>
      <c r="E24" s="1329"/>
      <c r="F24" s="1329"/>
      <c r="G24" s="1329"/>
      <c r="H24" s="1329"/>
      <c r="I24" s="1329"/>
      <c r="J24" s="1329"/>
      <c r="K24" s="1329"/>
      <c r="L24" s="1329"/>
    </row>
    <row r="25" spans="3:34" ht="12.75" customHeight="1">
      <c r="C25" s="1329"/>
      <c r="D25" s="1329"/>
      <c r="E25" s="1329"/>
      <c r="F25" s="1329"/>
      <c r="G25" s="1329"/>
      <c r="H25" s="1329"/>
      <c r="I25" s="1329"/>
      <c r="J25" s="1329"/>
      <c r="K25" s="1329"/>
      <c r="L25" s="1329"/>
      <c r="Y25" s="497"/>
      <c r="Z25" s="497"/>
      <c r="AA25" s="497"/>
      <c r="AB25" s="497"/>
      <c r="AC25" s="497"/>
      <c r="AD25" s="497"/>
      <c r="AF25" s="497"/>
      <c r="AG25" s="497"/>
      <c r="AH25" s="497"/>
    </row>
    <row r="26" spans="3:34" ht="12.75" customHeight="1">
      <c r="C26" s="1329"/>
      <c r="D26" s="1329"/>
      <c r="E26" s="1329"/>
      <c r="F26" s="1329"/>
      <c r="G26" s="1329"/>
      <c r="H26" s="1329"/>
      <c r="I26" s="1329"/>
      <c r="J26" s="1329"/>
      <c r="K26" s="1329"/>
      <c r="L26" s="1329"/>
      <c r="Y26" s="497"/>
      <c r="Z26" s="497"/>
      <c r="AA26" s="497"/>
      <c r="AB26" s="497"/>
      <c r="AC26" s="497"/>
      <c r="AD26" s="497"/>
      <c r="AF26" s="497"/>
      <c r="AG26" s="497"/>
      <c r="AH26" s="497"/>
    </row>
    <row r="27" spans="3:34" ht="16.5" customHeight="1">
      <c r="C27" s="1329"/>
      <c r="D27" s="1329"/>
      <c r="E27" s="1329"/>
      <c r="F27" s="1329"/>
      <c r="G27" s="1329"/>
      <c r="H27" s="1329"/>
      <c r="I27" s="1329"/>
      <c r="J27" s="1329"/>
      <c r="K27" s="1329"/>
      <c r="L27" s="1329"/>
    </row>
    <row r="28" spans="3:34" ht="16.5" customHeight="1">
      <c r="C28" s="533"/>
      <c r="D28" s="533"/>
      <c r="E28" s="533"/>
      <c r="F28" s="533"/>
      <c r="G28" s="533"/>
      <c r="H28" s="533"/>
      <c r="I28" s="533"/>
      <c r="J28" s="533"/>
      <c r="K28" s="533"/>
      <c r="L28" s="533"/>
    </row>
    <row r="29" spans="3:34" ht="16.2">
      <c r="C29" s="532" t="s">
        <v>1017</v>
      </c>
      <c r="D29" s="532"/>
      <c r="E29" s="532"/>
      <c r="F29" s="532"/>
      <c r="G29" s="532"/>
      <c r="H29" s="532"/>
      <c r="I29" s="532"/>
      <c r="J29" s="532"/>
      <c r="K29" s="532"/>
      <c r="Y29" s="497"/>
      <c r="Z29" s="497"/>
      <c r="AA29" s="497"/>
      <c r="AB29" s="497"/>
      <c r="AC29" s="497"/>
      <c r="AD29" s="497"/>
      <c r="AF29" s="497"/>
      <c r="AG29" s="497"/>
      <c r="AH29" s="497"/>
    </row>
    <row r="30" spans="3:34" ht="16.2">
      <c r="C30" s="532" t="s">
        <v>1019</v>
      </c>
      <c r="D30" s="533"/>
      <c r="E30" s="533"/>
      <c r="F30" s="533"/>
      <c r="G30" s="533"/>
      <c r="H30" s="533"/>
      <c r="I30" s="533"/>
      <c r="J30" s="533"/>
      <c r="K30" s="533"/>
      <c r="Y30" s="497"/>
      <c r="Z30" s="497"/>
      <c r="AA30" s="497"/>
      <c r="AB30" s="497"/>
      <c r="AC30" s="497"/>
      <c r="AD30" s="497"/>
      <c r="AF30" s="497"/>
      <c r="AG30" s="497"/>
      <c r="AH30" s="497"/>
    </row>
    <row r="31" spans="3:34" ht="16.2">
      <c r="C31" s="532" t="s">
        <v>1018</v>
      </c>
      <c r="D31" s="533"/>
      <c r="E31" s="533"/>
      <c r="F31" s="533"/>
      <c r="G31" s="533"/>
      <c r="H31" s="533"/>
      <c r="I31" s="533"/>
      <c r="J31" s="533"/>
      <c r="K31" s="533"/>
    </row>
    <row r="32" spans="3:34" ht="16.2">
      <c r="C32" s="1337" t="s">
        <v>600</v>
      </c>
      <c r="D32" s="1337"/>
      <c r="E32" s="1337"/>
      <c r="F32" s="1337"/>
      <c r="G32" s="534">
        <f>'Outline Info'!$B$10</f>
        <v>20</v>
      </c>
      <c r="H32" s="1328" t="s">
        <v>590</v>
      </c>
      <c r="I32" s="1328"/>
      <c r="J32" s="1328"/>
      <c r="K32" s="1328"/>
      <c r="L32" s="1328"/>
    </row>
    <row r="33" spans="2:34" ht="16.2">
      <c r="C33" s="532" t="s">
        <v>591</v>
      </c>
      <c r="D33" s="533"/>
      <c r="E33" s="533"/>
      <c r="F33" s="533"/>
      <c r="G33" s="533"/>
      <c r="H33" s="533"/>
      <c r="I33" s="533"/>
      <c r="J33" s="533"/>
      <c r="K33" s="533"/>
    </row>
    <row r="34" spans="2:34" ht="15.75" customHeight="1">
      <c r="C34" s="1329" t="s">
        <v>1016</v>
      </c>
      <c r="D34" s="1329"/>
      <c r="E34" s="1329"/>
      <c r="F34" s="1329"/>
      <c r="G34" s="1329"/>
      <c r="H34" s="1329"/>
      <c r="I34" s="1329"/>
      <c r="J34" s="1329"/>
      <c r="K34" s="1329"/>
      <c r="L34" s="1329"/>
    </row>
    <row r="35" spans="2:34" ht="15.75" customHeight="1">
      <c r="C35" s="1329"/>
      <c r="D35" s="1329"/>
      <c r="E35" s="1329"/>
      <c r="F35" s="1329"/>
      <c r="G35" s="1329"/>
      <c r="H35" s="1329"/>
      <c r="I35" s="1329"/>
      <c r="J35" s="1329"/>
      <c r="K35" s="1329"/>
      <c r="L35" s="1329"/>
    </row>
    <row r="36" spans="2:34" ht="15.75" customHeight="1">
      <c r="C36" s="1329"/>
      <c r="D36" s="1329"/>
      <c r="E36" s="1329"/>
      <c r="F36" s="1329"/>
      <c r="G36" s="1329"/>
      <c r="H36" s="1329"/>
      <c r="I36" s="1329"/>
      <c r="J36" s="1329"/>
      <c r="K36" s="1329"/>
      <c r="L36" s="1329"/>
    </row>
    <row r="37" spans="2:34" ht="12.75" customHeight="1">
      <c r="C37" s="1329"/>
      <c r="D37" s="1329"/>
      <c r="E37" s="1329"/>
      <c r="F37" s="1329"/>
      <c r="G37" s="1329"/>
      <c r="H37" s="1329"/>
      <c r="I37" s="1329"/>
      <c r="J37" s="1329"/>
      <c r="K37" s="1329"/>
      <c r="L37" s="1329"/>
    </row>
    <row r="38" spans="2:34" ht="16.2">
      <c r="B38" s="527"/>
      <c r="C38" s="1329"/>
      <c r="D38" s="1329"/>
      <c r="E38" s="1329"/>
      <c r="F38" s="1329"/>
      <c r="G38" s="1329"/>
      <c r="H38" s="1329"/>
      <c r="I38" s="1329"/>
      <c r="J38" s="1329"/>
      <c r="K38" s="1329"/>
      <c r="L38" s="1329"/>
    </row>
    <row r="39" spans="2:34" ht="15.75" customHeight="1">
      <c r="B39" s="527"/>
      <c r="C39" s="1329"/>
      <c r="D39" s="1329"/>
      <c r="E39" s="1329"/>
      <c r="F39" s="1329"/>
      <c r="G39" s="1329"/>
      <c r="H39" s="1329"/>
      <c r="I39" s="1329"/>
      <c r="J39" s="1329"/>
      <c r="K39" s="1329"/>
      <c r="L39" s="1329"/>
    </row>
    <row r="40" spans="2:34" ht="12.75" customHeight="1">
      <c r="B40" s="238"/>
      <c r="C40" s="1329"/>
      <c r="D40" s="1329"/>
      <c r="E40" s="1329"/>
      <c r="F40" s="1329"/>
      <c r="G40" s="1329"/>
      <c r="H40" s="1329"/>
      <c r="I40" s="1329"/>
      <c r="J40" s="1329"/>
      <c r="K40" s="1329"/>
      <c r="L40" s="1329"/>
    </row>
    <row r="41" spans="2:34" ht="16.2">
      <c r="B41" s="527"/>
      <c r="C41" s="1329"/>
      <c r="D41" s="1329"/>
      <c r="E41" s="1329"/>
      <c r="F41" s="1329"/>
      <c r="G41" s="1329"/>
      <c r="H41" s="1329"/>
      <c r="I41" s="1329"/>
      <c r="J41" s="1329"/>
      <c r="K41" s="1329"/>
      <c r="L41" s="1329"/>
    </row>
    <row r="42" spans="2:34" ht="16.2">
      <c r="B42" s="341"/>
      <c r="C42" s="497"/>
      <c r="D42" s="497"/>
      <c r="E42" s="497"/>
      <c r="H42" s="497"/>
      <c r="I42" s="497"/>
      <c r="J42" s="497"/>
      <c r="Y42" s="497"/>
      <c r="Z42" s="497"/>
      <c r="AA42" s="497"/>
      <c r="AB42" s="497"/>
      <c r="AC42" s="497"/>
      <c r="AD42" s="497"/>
      <c r="AF42" s="497"/>
      <c r="AG42" s="497"/>
      <c r="AH42" s="497"/>
    </row>
    <row r="43" spans="2:34" ht="16.2">
      <c r="B43" s="341"/>
      <c r="C43" s="512"/>
      <c r="D43" s="497"/>
      <c r="E43" s="497"/>
      <c r="H43" s="497"/>
      <c r="I43" s="497"/>
      <c r="J43" s="497"/>
      <c r="Y43" s="497"/>
      <c r="Z43" s="497"/>
      <c r="AA43" s="497"/>
      <c r="AB43" s="497"/>
      <c r="AC43" s="497"/>
      <c r="AD43" s="497"/>
      <c r="AF43" s="497"/>
      <c r="AG43" s="497"/>
      <c r="AH43" s="497"/>
    </row>
    <row r="44" spans="2:34" ht="16.2">
      <c r="B44" s="341"/>
      <c r="C44" s="513" t="s">
        <v>538</v>
      </c>
      <c r="D44" s="514"/>
      <c r="E44" s="514"/>
      <c r="H44" s="513" t="s">
        <v>494</v>
      </c>
      <c r="I44" s="514"/>
      <c r="J44" s="514"/>
    </row>
    <row r="45" spans="2:34" ht="9" customHeight="1">
      <c r="B45" s="341"/>
      <c r="C45" s="341"/>
    </row>
    <row r="46" spans="2:34" ht="9" customHeight="1">
      <c r="B46" s="341"/>
      <c r="C46" s="341"/>
    </row>
    <row r="47" spans="2:34" ht="16.2">
      <c r="B47" s="341" t="s">
        <v>540</v>
      </c>
      <c r="D47" s="341" t="s">
        <v>541</v>
      </c>
    </row>
    <row r="48" spans="2:34" ht="16.2">
      <c r="B48" s="341"/>
      <c r="D48" s="341" t="s">
        <v>539</v>
      </c>
    </row>
    <row r="49" spans="2:3" ht="16.2" hidden="1">
      <c r="B49" s="341"/>
      <c r="C49" s="341"/>
    </row>
    <row r="50" spans="2:3" ht="16.2" hidden="1">
      <c r="B50" s="341"/>
      <c r="C50" s="341"/>
    </row>
    <row r="51" spans="2:3" ht="16.2" hidden="1">
      <c r="B51" s="341"/>
      <c r="C51" s="341"/>
    </row>
  </sheetData>
  <mergeCells count="12">
    <mergeCell ref="D12:L12"/>
    <mergeCell ref="H32:L32"/>
    <mergeCell ref="C34:L41"/>
    <mergeCell ref="H5:L5"/>
    <mergeCell ref="E9:F9"/>
    <mergeCell ref="C9:D9"/>
    <mergeCell ref="C11:K11"/>
    <mergeCell ref="H8:K9"/>
    <mergeCell ref="C6:L7"/>
    <mergeCell ref="C32:F32"/>
    <mergeCell ref="C13:K13"/>
    <mergeCell ref="C15:L27"/>
  </mergeCells>
  <phoneticPr fontId="117" type="noConversion"/>
  <pageMargins left="0.5" right="0.5" top="0.33" bottom="0.13" header="0.44" footer="0.5"/>
  <pageSetup scale="97"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rgb="FFA0F4F4"/>
  </sheetPr>
  <dimension ref="A1:AH48"/>
  <sheetViews>
    <sheetView showGridLines="0" view="pageLayout" zoomScaleNormal="100" workbookViewId="0">
      <selection activeCell="AC1" sqref="AC1:AZ1048576"/>
    </sheetView>
  </sheetViews>
  <sheetFormatPr defaultColWidth="0" defaultRowHeight="0" customHeight="1" zeroHeight="1"/>
  <cols>
    <col min="1" max="1" width="4.109375" style="823" customWidth="1"/>
    <col min="2" max="2" width="2" style="823" customWidth="1"/>
    <col min="3" max="5" width="9.33203125" style="823" customWidth="1"/>
    <col min="6" max="6" width="13.33203125" style="823" customWidth="1"/>
    <col min="7" max="7" width="9.33203125" style="823" customWidth="1"/>
    <col min="8" max="8" width="11.77734375" style="823" customWidth="1"/>
    <col min="9" max="12" width="9.33203125" style="823" customWidth="1"/>
    <col min="13" max="13" width="4.109375" style="823" hidden="1" customWidth="1"/>
    <col min="14" max="14" width="2" style="823" hidden="1" customWidth="1"/>
    <col min="15" max="15" width="14.6640625" style="823" hidden="1" customWidth="1"/>
    <col min="16" max="16" width="9.77734375" style="823" hidden="1" customWidth="1"/>
    <col min="17" max="17" width="0" style="823" hidden="1" customWidth="1"/>
    <col min="18" max="18" width="13.33203125" style="823" hidden="1" customWidth="1"/>
    <col min="19" max="16384" width="0" style="823" hidden="1"/>
  </cols>
  <sheetData>
    <row r="1" spans="1:14" ht="16.2">
      <c r="H1" s="341" t="str">
        <f>LEFT('Franchise Info'!$B$4,FIND(", ",'Franchise Info'!$B$4)-1)</f>
        <v>201 - 20621 Logan Ave</v>
      </c>
    </row>
    <row r="2" spans="1:14" ht="16.2">
      <c r="H2" s="341" t="str">
        <f>MID('Franchise Info'!$B$4,FIND(", ",'Franchise Info'!$B$4)+2,50)</f>
        <v>Langley, BC, V3A 7R3</v>
      </c>
    </row>
    <row r="3" spans="1:14" ht="16.2">
      <c r="H3" s="341" t="str">
        <f>CONCATENATE("Telephone:"," ",REPLACE(LEFT('Franchise Info'!$B$7,22),1,8,""))</f>
        <v>Telephone: (604) 532-4040</v>
      </c>
    </row>
    <row r="4" spans="1:14" ht="16.2">
      <c r="H4" s="341" t="str">
        <f>CONCATENATE("Facsimile:"," ",RIGHT('Franchise Info'!$B$7,14))</f>
        <v>Facsimile: (604) 532-4001</v>
      </c>
    </row>
    <row r="5" spans="1:14" ht="16.2">
      <c r="H5" s="1330" t="str">
        <f>MID('Franchise Info'!$B$7,FIND("E-Mail",'Franchise Info'!$B$7),60)</f>
        <v xml:space="preserve">E-Mail : admin.langley@aolccbc.com                          </v>
      </c>
      <c r="I5" s="1330"/>
      <c r="J5" s="1330"/>
      <c r="K5" s="1330"/>
      <c r="L5" s="1330"/>
    </row>
    <row r="6" spans="1:14" ht="22.95" customHeight="1" thickBot="1">
      <c r="C6" s="827" t="s">
        <v>1250</v>
      </c>
      <c r="D6" s="831"/>
      <c r="E6" s="831"/>
      <c r="F6" s="831"/>
      <c r="G6" s="831"/>
      <c r="H6" s="831"/>
      <c r="I6"/>
      <c r="J6" s="1344">
        <v>42644</v>
      </c>
      <c r="K6" s="1344"/>
    </row>
    <row r="7" spans="1:14" ht="15">
      <c r="C7" s="830" t="s">
        <v>1251</v>
      </c>
      <c r="H7"/>
      <c r="I7"/>
      <c r="J7" s="826" t="s">
        <v>1252</v>
      </c>
      <c r="K7" s="992"/>
    </row>
    <row r="8" spans="1:14" ht="19.95" customHeight="1" thickBot="1">
      <c r="C8" s="827" t="s">
        <v>1814</v>
      </c>
      <c r="D8" s="831"/>
      <c r="E8" s="831"/>
      <c r="F8" s="831"/>
      <c r="G8" s="831"/>
      <c r="H8" s="831"/>
      <c r="I8"/>
      <c r="J8" s="1344">
        <v>44440</v>
      </c>
      <c r="K8" s="1344"/>
    </row>
    <row r="9" spans="1:14" ht="15.75" customHeight="1">
      <c r="B9" s="544"/>
      <c r="C9" s="826" t="s">
        <v>1813</v>
      </c>
      <c r="D9" s="555"/>
      <c r="E9" s="824"/>
      <c r="F9" s="555"/>
      <c r="G9" s="555"/>
      <c r="H9"/>
      <c r="I9"/>
      <c r="J9" s="826" t="s">
        <v>1253</v>
      </c>
      <c r="K9" s="555"/>
      <c r="L9" s="238"/>
    </row>
    <row r="10" spans="1:14" s="828" customFormat="1" ht="19.95" customHeight="1">
      <c r="B10" s="556"/>
      <c r="C10" s="1343" t="s">
        <v>1264</v>
      </c>
      <c r="D10" s="1343"/>
      <c r="E10" s="1343"/>
      <c r="F10" s="1343"/>
      <c r="G10" s="1343"/>
      <c r="H10" s="1343"/>
      <c r="I10" s="1343"/>
      <c r="J10" s="1343"/>
      <c r="K10" s="1343"/>
      <c r="L10" s="1343"/>
    </row>
    <row r="11" spans="1:14" s="833" customFormat="1" ht="16.350000000000001" customHeight="1">
      <c r="B11" s="558"/>
      <c r="C11" s="1343"/>
      <c r="D11" s="1343"/>
      <c r="E11" s="1343"/>
      <c r="F11" s="1343"/>
      <c r="G11" s="1343"/>
      <c r="H11" s="1343"/>
      <c r="I11" s="1343"/>
      <c r="J11" s="1343"/>
      <c r="K11" s="1343"/>
      <c r="L11" s="1343"/>
    </row>
    <row r="12" spans="1:14" s="833" customFormat="1" ht="16.350000000000001" customHeight="1">
      <c r="B12" s="558"/>
      <c r="C12" s="834"/>
      <c r="D12" s="558"/>
      <c r="E12" s="558"/>
      <c r="F12" s="558"/>
      <c r="G12" s="558"/>
      <c r="H12" s="558"/>
      <c r="I12" s="558"/>
      <c r="J12" s="558"/>
      <c r="K12" s="558"/>
    </row>
    <row r="13" spans="1:14" ht="16.350000000000001" customHeight="1">
      <c r="A13" s="829" t="s">
        <v>1254</v>
      </c>
      <c r="B13" s="543"/>
      <c r="C13" s="1342" t="s">
        <v>1762</v>
      </c>
      <c r="D13" s="1342"/>
      <c r="E13" s="1342"/>
      <c r="F13" s="1342"/>
      <c r="G13" s="1342"/>
      <c r="H13" s="1342"/>
      <c r="I13" s="1342"/>
      <c r="J13" s="1342"/>
      <c r="K13" s="1342"/>
      <c r="L13" s="1342"/>
      <c r="N13" s="823"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14" ht="16.350000000000001" customHeight="1">
      <c r="B14" s="543"/>
      <c r="C14" s="1342"/>
      <c r="D14" s="1342"/>
      <c r="E14" s="1342"/>
      <c r="F14" s="1342"/>
      <c r="G14" s="1342"/>
      <c r="H14" s="1342"/>
      <c r="I14" s="1342"/>
      <c r="J14" s="1342"/>
      <c r="K14" s="1342"/>
      <c r="L14" s="1342"/>
      <c r="N14" s="823"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14" ht="16.350000000000001" customHeight="1">
      <c r="B15" s="557"/>
      <c r="C15" s="1342"/>
      <c r="D15" s="1342"/>
      <c r="E15" s="1342"/>
      <c r="F15" s="1342"/>
      <c r="G15" s="1342"/>
      <c r="H15" s="1342"/>
      <c r="I15" s="1342"/>
      <c r="J15" s="1342"/>
      <c r="K15" s="1342"/>
      <c r="L15" s="1342"/>
    </row>
    <row r="16" spans="1:14" ht="16.350000000000001" customHeight="1">
      <c r="B16" s="557"/>
      <c r="C16" s="1342"/>
      <c r="D16" s="1342"/>
      <c r="E16" s="1342"/>
      <c r="F16" s="1342"/>
      <c r="G16" s="1342"/>
      <c r="H16" s="1342"/>
      <c r="I16" s="1342"/>
      <c r="J16" s="1342"/>
      <c r="K16" s="1342"/>
      <c r="L16" s="1342"/>
    </row>
    <row r="17" spans="1:34" ht="16.350000000000001" customHeight="1">
      <c r="B17" s="557"/>
      <c r="C17" s="1342"/>
      <c r="D17" s="1342"/>
      <c r="E17" s="1342"/>
      <c r="F17" s="1342"/>
      <c r="G17" s="1342"/>
      <c r="H17" s="1342"/>
      <c r="I17" s="1342"/>
      <c r="J17" s="1342"/>
      <c r="K17" s="1342"/>
      <c r="L17" s="1342"/>
    </row>
    <row r="18" spans="1:34" s="832" customFormat="1" ht="16.350000000000001" customHeight="1">
      <c r="B18" s="557"/>
      <c r="C18" s="1342"/>
      <c r="D18" s="1342"/>
      <c r="E18" s="1342"/>
      <c r="F18" s="1342"/>
      <c r="G18" s="1342"/>
      <c r="H18" s="1342"/>
      <c r="I18" s="1342"/>
      <c r="J18" s="1342"/>
      <c r="K18" s="1342"/>
      <c r="L18" s="1342"/>
    </row>
    <row r="19" spans="1:34" ht="16.350000000000001" customHeight="1">
      <c r="A19" s="829" t="s">
        <v>1255</v>
      </c>
      <c r="B19" s="557"/>
      <c r="C19" s="1340" t="s">
        <v>1763</v>
      </c>
      <c r="D19" s="1340"/>
      <c r="E19" s="1340"/>
      <c r="F19" s="1340"/>
      <c r="G19" s="1340"/>
      <c r="H19" s="1340"/>
      <c r="I19" s="1340"/>
      <c r="J19" s="1340"/>
      <c r="K19" s="1340"/>
      <c r="L19" s="1340"/>
    </row>
    <row r="20" spans="1:34" ht="16.350000000000001" customHeight="1">
      <c r="B20" s="543"/>
      <c r="C20" s="1340"/>
      <c r="D20" s="1340"/>
      <c r="E20" s="1340"/>
      <c r="F20" s="1340"/>
      <c r="G20" s="1340"/>
      <c r="H20" s="1340"/>
      <c r="I20" s="1340"/>
      <c r="J20" s="1340"/>
      <c r="K20" s="1340"/>
      <c r="L20" s="1340"/>
    </row>
    <row r="21" spans="1:34" ht="16.350000000000001" customHeight="1">
      <c r="B21" s="557"/>
      <c r="C21" s="1340"/>
      <c r="D21" s="1340"/>
      <c r="E21" s="1340"/>
      <c r="F21" s="1340"/>
      <c r="G21" s="1340"/>
      <c r="H21" s="1340"/>
      <c r="I21" s="1340"/>
      <c r="J21" s="1340"/>
      <c r="K21" s="1340"/>
      <c r="L21" s="1340"/>
    </row>
    <row r="22" spans="1:34" ht="16.350000000000001" customHeight="1">
      <c r="B22" s="557"/>
      <c r="C22" s="1340"/>
      <c r="D22" s="1340"/>
      <c r="E22" s="1340"/>
      <c r="F22" s="1340"/>
      <c r="G22" s="1340"/>
      <c r="H22" s="1340"/>
      <c r="I22" s="1340"/>
      <c r="J22" s="1340"/>
      <c r="K22" s="1340"/>
      <c r="L22" s="1340"/>
    </row>
    <row r="23" spans="1:34" ht="16.350000000000001" customHeight="1">
      <c r="A23" s="829" t="s">
        <v>1256</v>
      </c>
      <c r="B23" s="557"/>
      <c r="C23" s="1341" t="s">
        <v>1764</v>
      </c>
      <c r="D23" s="1341"/>
      <c r="E23" s="1341"/>
      <c r="F23" s="1341"/>
      <c r="G23" s="1341"/>
      <c r="H23" s="1341"/>
      <c r="I23" s="1341"/>
      <c r="J23" s="1341"/>
      <c r="K23" s="1341"/>
      <c r="L23" s="1341"/>
    </row>
    <row r="24" spans="1:34" ht="16.350000000000001" customHeight="1">
      <c r="B24" s="557"/>
      <c r="C24" s="1341"/>
      <c r="D24" s="1341"/>
      <c r="E24" s="1341"/>
      <c r="F24" s="1341"/>
      <c r="G24" s="1341"/>
      <c r="H24" s="1341"/>
      <c r="I24" s="1341"/>
      <c r="J24" s="1341"/>
      <c r="K24" s="1341"/>
      <c r="L24" s="1341"/>
    </row>
    <row r="25" spans="1:34" ht="16.350000000000001" customHeight="1">
      <c r="B25" s="557"/>
      <c r="C25" s="1341"/>
      <c r="D25" s="1341"/>
      <c r="E25" s="1341"/>
      <c r="F25" s="1341"/>
      <c r="G25" s="1341"/>
      <c r="H25" s="1341"/>
      <c r="I25" s="1341"/>
      <c r="J25" s="1341"/>
      <c r="K25" s="1341"/>
      <c r="L25" s="1341"/>
      <c r="Y25" s="497"/>
      <c r="Z25" s="497"/>
      <c r="AA25" s="497"/>
      <c r="AB25" s="497"/>
      <c r="AC25" s="497"/>
      <c r="AD25" s="497"/>
      <c r="AF25" s="497"/>
      <c r="AG25" s="497"/>
      <c r="AH25" s="497"/>
    </row>
    <row r="26" spans="1:34" ht="16.350000000000001" customHeight="1">
      <c r="B26" s="543"/>
      <c r="C26" s="1341"/>
      <c r="D26" s="1341"/>
      <c r="E26" s="1341"/>
      <c r="F26" s="1341"/>
      <c r="G26" s="1341"/>
      <c r="H26" s="1341"/>
      <c r="I26" s="1341"/>
      <c r="J26" s="1341"/>
      <c r="K26" s="1341"/>
      <c r="L26" s="1341"/>
      <c r="Y26" s="497"/>
      <c r="Z26" s="497"/>
      <c r="AA26" s="497"/>
      <c r="AB26" s="497"/>
      <c r="AC26" s="497"/>
      <c r="AD26" s="497"/>
      <c r="AF26" s="497"/>
      <c r="AG26" s="497"/>
      <c r="AH26" s="497"/>
    </row>
    <row r="27" spans="1:34" ht="16.350000000000001" customHeight="1">
      <c r="A27" s="829" t="s">
        <v>1257</v>
      </c>
      <c r="B27" s="543"/>
      <c r="C27" s="1338" t="s">
        <v>1765</v>
      </c>
      <c r="D27" s="1338"/>
      <c r="E27" s="1338"/>
      <c r="F27" s="1338"/>
      <c r="G27" s="1338"/>
      <c r="H27" s="1338"/>
      <c r="I27" s="1338"/>
      <c r="J27" s="1338"/>
      <c r="K27" s="1338"/>
      <c r="L27" s="1338"/>
    </row>
    <row r="28" spans="1:34" ht="16.350000000000001" customHeight="1">
      <c r="B28" s="543"/>
      <c r="C28" s="1338"/>
      <c r="D28" s="1338"/>
      <c r="E28" s="1338"/>
      <c r="F28" s="1338"/>
      <c r="G28" s="1338"/>
      <c r="H28" s="1338"/>
      <c r="I28" s="1338"/>
      <c r="J28" s="1338"/>
      <c r="K28" s="1338"/>
      <c r="L28" s="1338"/>
      <c r="Y28" s="497"/>
      <c r="Z28" s="497"/>
      <c r="AA28" s="497"/>
      <c r="AB28" s="497"/>
      <c r="AC28" s="497"/>
      <c r="AD28" s="497"/>
      <c r="AF28" s="497"/>
      <c r="AG28" s="497"/>
      <c r="AH28" s="497"/>
    </row>
    <row r="29" spans="1:34" ht="16.350000000000001" customHeight="1">
      <c r="B29" s="543"/>
      <c r="C29" s="1338"/>
      <c r="D29" s="1338"/>
      <c r="E29" s="1338"/>
      <c r="F29" s="1338"/>
      <c r="G29" s="1338"/>
      <c r="H29" s="1338"/>
      <c r="I29" s="1338"/>
      <c r="J29" s="1338"/>
      <c r="K29" s="1338"/>
      <c r="L29" s="1338"/>
      <c r="Y29" s="497"/>
      <c r="Z29" s="497"/>
      <c r="AA29" s="497"/>
      <c r="AB29" s="497"/>
      <c r="AC29" s="497"/>
      <c r="AD29" s="497"/>
      <c r="AF29" s="497"/>
      <c r="AG29" s="497"/>
      <c r="AH29" s="497"/>
    </row>
    <row r="30" spans="1:34" ht="16.350000000000001" customHeight="1">
      <c r="A30" s="829"/>
      <c r="B30" s="543"/>
      <c r="C30" s="1339" t="s">
        <v>1261</v>
      </c>
      <c r="D30" s="1339"/>
      <c r="E30" s="1339"/>
      <c r="F30" s="1339"/>
      <c r="G30" s="1339"/>
      <c r="H30" s="1339"/>
      <c r="I30" s="1339"/>
      <c r="J30" s="1339"/>
      <c r="K30" s="1339"/>
      <c r="L30" s="1339"/>
    </row>
    <row r="31" spans="1:34" ht="16.350000000000001" customHeight="1">
      <c r="B31" s="543"/>
      <c r="C31" s="1339"/>
      <c r="D31" s="1339"/>
      <c r="E31" s="1339"/>
      <c r="F31" s="1339"/>
      <c r="G31" s="1339"/>
      <c r="H31" s="1339"/>
      <c r="I31" s="1339"/>
      <c r="J31" s="1339"/>
      <c r="K31" s="1339"/>
      <c r="L31" s="1339"/>
    </row>
    <row r="32" spans="1:34" ht="16.350000000000001" customHeight="1">
      <c r="B32" s="825"/>
      <c r="C32" s="1339"/>
      <c r="D32" s="1339"/>
      <c r="E32" s="1339"/>
      <c r="F32" s="1339"/>
      <c r="G32" s="1339"/>
      <c r="H32" s="1339"/>
      <c r="I32" s="1339"/>
      <c r="J32" s="1339"/>
      <c r="K32" s="1339"/>
      <c r="L32" s="1339"/>
    </row>
    <row r="33" spans="1:34" ht="16.350000000000001" customHeight="1">
      <c r="B33" s="543"/>
      <c r="C33" s="1339"/>
      <c r="D33" s="1339"/>
      <c r="E33" s="1339"/>
      <c r="F33" s="1339"/>
      <c r="G33" s="1339"/>
      <c r="H33" s="1339"/>
      <c r="I33" s="1339"/>
      <c r="J33" s="1339"/>
      <c r="K33" s="1339"/>
      <c r="L33" s="1339"/>
    </row>
    <row r="34" spans="1:34" ht="16.350000000000001" customHeight="1">
      <c r="B34" s="543"/>
      <c r="C34" s="1339"/>
      <c r="D34" s="1339"/>
      <c r="E34" s="1339"/>
      <c r="F34" s="1339"/>
      <c r="G34" s="1339"/>
      <c r="H34" s="1339"/>
      <c r="I34" s="1339"/>
      <c r="J34" s="1339"/>
      <c r="K34" s="1339"/>
      <c r="L34" s="1339"/>
    </row>
    <row r="35" spans="1:34" ht="16.350000000000001" customHeight="1">
      <c r="A35" s="829" t="s">
        <v>1258</v>
      </c>
      <c r="B35" s="543"/>
      <c r="C35" s="1340" t="s">
        <v>1815</v>
      </c>
      <c r="D35" s="1340"/>
      <c r="E35" s="1340"/>
      <c r="F35" s="1340"/>
      <c r="G35" s="1340"/>
      <c r="H35" s="1340"/>
      <c r="I35" s="1340"/>
      <c r="J35" s="1340"/>
      <c r="K35" s="1340"/>
      <c r="L35" s="1340"/>
    </row>
    <row r="36" spans="1:34" ht="16.350000000000001" customHeight="1">
      <c r="B36" s="543"/>
      <c r="C36" s="1340"/>
      <c r="D36" s="1340"/>
      <c r="E36" s="1340"/>
      <c r="F36" s="1340"/>
      <c r="G36" s="1340"/>
      <c r="H36" s="1340"/>
      <c r="I36" s="1340"/>
      <c r="J36" s="1340"/>
      <c r="K36" s="1340"/>
      <c r="L36" s="1340"/>
    </row>
    <row r="37" spans="1:34" ht="16.350000000000001" customHeight="1">
      <c r="B37" s="543"/>
      <c r="C37" s="1340"/>
      <c r="D37" s="1340"/>
      <c r="E37" s="1340"/>
      <c r="F37" s="1340"/>
      <c r="G37" s="1340"/>
      <c r="H37" s="1340"/>
      <c r="I37" s="1340"/>
      <c r="J37" s="1340"/>
      <c r="K37" s="1340"/>
      <c r="L37" s="1340"/>
    </row>
    <row r="38" spans="1:34" ht="16.350000000000001" customHeight="1">
      <c r="B38" s="543"/>
      <c r="C38" s="1340"/>
      <c r="D38" s="1340"/>
      <c r="E38" s="1340"/>
      <c r="F38" s="1340"/>
      <c r="G38" s="1340"/>
      <c r="H38" s="1340"/>
      <c r="I38" s="1340"/>
      <c r="J38" s="1340"/>
      <c r="K38" s="1340"/>
      <c r="L38" s="1340"/>
    </row>
    <row r="39" spans="1:34" ht="11.25" customHeight="1">
      <c r="B39" s="543"/>
      <c r="C39" s="1340"/>
      <c r="D39" s="1340"/>
      <c r="E39" s="1340"/>
      <c r="F39" s="1340"/>
      <c r="G39" s="1340"/>
      <c r="H39" s="1340"/>
      <c r="I39" s="1340"/>
      <c r="J39" s="1340"/>
      <c r="K39" s="1340"/>
      <c r="L39" s="1340"/>
    </row>
    <row r="40" spans="1:34" s="833" customFormat="1" ht="14.25" customHeight="1">
      <c r="B40" s="836"/>
      <c r="C40" s="835"/>
      <c r="D40" s="835" t="s">
        <v>1262</v>
      </c>
      <c r="E40" s="836"/>
      <c r="F40" s="836"/>
      <c r="G40" s="834"/>
      <c r="H40" s="836"/>
      <c r="I40" s="836"/>
      <c r="J40" s="836"/>
      <c r="K40" s="836"/>
    </row>
    <row r="41" spans="1:34" s="833" customFormat="1" ht="14.25" customHeight="1">
      <c r="B41" s="836"/>
      <c r="C41" s="837"/>
      <c r="D41" s="835" t="s">
        <v>1263</v>
      </c>
      <c r="E41" s="836"/>
      <c r="F41" s="836"/>
      <c r="G41" s="836"/>
      <c r="H41" s="836"/>
      <c r="I41" s="836"/>
      <c r="J41" s="836"/>
      <c r="K41" s="836"/>
      <c r="Y41" s="838"/>
      <c r="Z41" s="838"/>
      <c r="AA41" s="838"/>
      <c r="AB41" s="838"/>
      <c r="AC41" s="838"/>
      <c r="AD41" s="838"/>
      <c r="AF41" s="838"/>
      <c r="AG41" s="838"/>
      <c r="AH41" s="838"/>
    </row>
    <row r="42" spans="1:34" ht="16.350000000000001" customHeight="1">
      <c r="A42" s="829" t="s">
        <v>1259</v>
      </c>
      <c r="B42" s="544"/>
      <c r="C42" s="1342" t="s">
        <v>1816</v>
      </c>
      <c r="D42" s="1342"/>
      <c r="E42" s="1342"/>
      <c r="F42" s="1342"/>
      <c r="G42" s="1342"/>
      <c r="H42" s="1342"/>
      <c r="I42" s="1342"/>
      <c r="J42" s="1342"/>
      <c r="K42" s="1342"/>
      <c r="L42" s="1342"/>
      <c r="Y42" s="497"/>
      <c r="Z42" s="497"/>
      <c r="AA42" s="497"/>
      <c r="AB42" s="497"/>
      <c r="AC42" s="497"/>
      <c r="AD42" s="497"/>
      <c r="AF42" s="497"/>
      <c r="AG42" s="497"/>
      <c r="AH42" s="497"/>
    </row>
    <row r="43" spans="1:34" ht="16.350000000000001" customHeight="1">
      <c r="B43" s="341"/>
      <c r="C43" s="1342"/>
      <c r="D43" s="1342"/>
      <c r="E43" s="1342"/>
      <c r="F43" s="1342"/>
      <c r="G43" s="1342"/>
      <c r="H43" s="1342"/>
      <c r="I43" s="1342"/>
      <c r="J43" s="1342"/>
      <c r="K43" s="1342"/>
      <c r="L43" s="1342"/>
    </row>
    <row r="44" spans="1:34" ht="16.350000000000001" customHeight="1">
      <c r="B44" s="341"/>
      <c r="C44" s="1342"/>
      <c r="D44" s="1342"/>
      <c r="E44" s="1342"/>
      <c r="F44" s="1342"/>
      <c r="G44" s="1342"/>
      <c r="H44" s="1342"/>
      <c r="I44" s="1342"/>
      <c r="J44" s="1342"/>
      <c r="K44" s="1342"/>
      <c r="L44" s="1342"/>
    </row>
    <row r="45" spans="1:34" ht="16.350000000000001" customHeight="1">
      <c r="B45" s="341"/>
      <c r="C45" s="1342"/>
      <c r="D45" s="1342"/>
      <c r="E45" s="1342"/>
      <c r="F45" s="1342"/>
      <c r="G45" s="1342"/>
      <c r="H45" s="1342"/>
      <c r="I45" s="1342"/>
      <c r="J45" s="1342"/>
      <c r="K45" s="1342"/>
      <c r="L45" s="1342"/>
    </row>
    <row r="46" spans="1:34" ht="16.2">
      <c r="B46" s="341"/>
      <c r="C46" s="341"/>
    </row>
    <row r="47" spans="1:34" ht="16.2">
      <c r="B47" s="341"/>
      <c r="C47" s="575" t="s">
        <v>540</v>
      </c>
      <c r="D47" s="575" t="s">
        <v>541</v>
      </c>
      <c r="E47" s="575"/>
    </row>
    <row r="48" spans="1:34" ht="16.2">
      <c r="B48" s="341"/>
      <c r="C48" s="575"/>
      <c r="D48" s="575" t="s">
        <v>539</v>
      </c>
      <c r="E48" s="575"/>
    </row>
  </sheetData>
  <mergeCells count="11">
    <mergeCell ref="C19:L22"/>
    <mergeCell ref="H5:L5"/>
    <mergeCell ref="C13:L18"/>
    <mergeCell ref="C10:L11"/>
    <mergeCell ref="J6:K6"/>
    <mergeCell ref="J8:K8"/>
    <mergeCell ref="C27:L29"/>
    <mergeCell ref="C30:L34"/>
    <mergeCell ref="C35:L39"/>
    <mergeCell ref="C23:L26"/>
    <mergeCell ref="C42:L45"/>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1AC05-5FD1-4621-9427-6E12C7D23312}">
  <sheetPr codeName="Sheet42">
    <tabColor rgb="FFA0F4F4"/>
  </sheetPr>
  <dimension ref="A1:AH48"/>
  <sheetViews>
    <sheetView showGridLines="0" view="pageLayout" zoomScaleNormal="100" workbookViewId="0">
      <selection activeCell="AC1" sqref="AC1:AZ1048576"/>
    </sheetView>
  </sheetViews>
  <sheetFormatPr defaultColWidth="0" defaultRowHeight="0" customHeight="1" zeroHeight="1"/>
  <cols>
    <col min="1" max="1" width="4.109375" style="1000" customWidth="1"/>
    <col min="2" max="2" width="2" style="1000" customWidth="1"/>
    <col min="3" max="5" width="9.33203125" style="1000" customWidth="1"/>
    <col min="6" max="6" width="13.33203125" style="1000" customWidth="1"/>
    <col min="7" max="7" width="9.33203125" style="1000" customWidth="1"/>
    <col min="8" max="8" width="11.77734375" style="1000" customWidth="1"/>
    <col min="9" max="12" width="9.33203125" style="1000" customWidth="1"/>
    <col min="13" max="13" width="4.109375" style="1000" hidden="1" customWidth="1"/>
    <col min="14" max="14" width="2" style="1000" hidden="1" customWidth="1"/>
    <col min="15" max="15" width="14.6640625" style="1000" hidden="1" customWidth="1"/>
    <col min="16" max="16" width="9.77734375" style="1000" hidden="1" customWidth="1"/>
    <col min="17" max="17" width="0" style="1000" hidden="1" customWidth="1"/>
    <col min="18" max="18" width="13.33203125" style="1000" hidden="1" customWidth="1"/>
    <col min="19" max="16384" width="0" style="1000" hidden="1"/>
  </cols>
  <sheetData>
    <row r="1" spans="1:14" ht="16.2">
      <c r="H1" s="341" t="str">
        <f>LEFT('Franchise Info'!$B$4,FIND(", ",'Franchise Info'!$B$4)-1)</f>
        <v>201 - 20621 Logan Ave</v>
      </c>
    </row>
    <row r="2" spans="1:14" ht="16.2">
      <c r="H2" s="341" t="str">
        <f>MID('Franchise Info'!$B$4,FIND(", ",'Franchise Info'!$B$4)+2,50)</f>
        <v>Langley, BC, V3A 7R3</v>
      </c>
    </row>
    <row r="3" spans="1:14" ht="16.2">
      <c r="H3" s="341" t="str">
        <f>CONCATENATE("Telephone:"," ",REPLACE(LEFT('Franchise Info'!$B$7,22),1,8,""))</f>
        <v>Telephone: (604) 532-4040</v>
      </c>
    </row>
    <row r="4" spans="1:14" ht="16.2">
      <c r="H4" s="341" t="str">
        <f>CONCATENATE("Facsimile:"," ",RIGHT('Franchise Info'!$B$7,14))</f>
        <v>Facsimile: (604) 532-4001</v>
      </c>
    </row>
    <row r="5" spans="1:14" ht="16.2">
      <c r="H5" s="1330" t="str">
        <f>MID('Franchise Info'!$B$7,FIND("E-Mail",'Franchise Info'!$B$7),60)</f>
        <v xml:space="preserve">E-Mail : admin.langley@aolccbc.com                          </v>
      </c>
      <c r="I5" s="1330"/>
      <c r="J5" s="1330"/>
      <c r="K5" s="1330"/>
      <c r="L5" s="1330"/>
    </row>
    <row r="6" spans="1:14" ht="22.95" customHeight="1">
      <c r="C6" s="1345" t="s">
        <v>1809</v>
      </c>
      <c r="D6" s="1345"/>
      <c r="E6" s="1345"/>
      <c r="F6" s="1345"/>
      <c r="G6" s="1345"/>
      <c r="H6" s="1345"/>
      <c r="I6" s="1345"/>
      <c r="J6" s="1345"/>
      <c r="K6" s="1345"/>
      <c r="L6"/>
    </row>
    <row r="7" spans="1:14" ht="13.8">
      <c r="C7" s="1345"/>
      <c r="D7" s="1345"/>
      <c r="E7" s="1345"/>
      <c r="F7" s="1345"/>
      <c r="G7" s="1345"/>
      <c r="H7" s="1345"/>
      <c r="I7" s="1345"/>
      <c r="J7" s="1345"/>
      <c r="K7" s="1345"/>
      <c r="L7"/>
    </row>
    <row r="8" spans="1:14" ht="15" customHeight="1">
      <c r="C8" s="1333" t="s">
        <v>1847</v>
      </c>
      <c r="D8" s="1333"/>
      <c r="E8" s="1333"/>
      <c r="F8" s="1333"/>
      <c r="G8" s="1333"/>
      <c r="H8" s="1333"/>
      <c r="I8" s="1333"/>
      <c r="J8" s="1333"/>
      <c r="K8" s="1333"/>
      <c r="L8" s="1333"/>
    </row>
    <row r="9" spans="1:14" ht="15.75" customHeight="1">
      <c r="B9" s="544"/>
      <c r="C9" s="1333"/>
      <c r="D9" s="1333"/>
      <c r="E9" s="1333"/>
      <c r="F9" s="1333"/>
      <c r="G9" s="1333"/>
      <c r="H9" s="1333"/>
      <c r="I9" s="1333"/>
      <c r="J9" s="1333"/>
      <c r="K9" s="1333"/>
      <c r="L9" s="1333"/>
    </row>
    <row r="10" spans="1:14" s="828" customFormat="1" ht="19.95" customHeight="1">
      <c r="B10" s="556"/>
      <c r="C10" s="1333"/>
      <c r="D10" s="1333"/>
      <c r="E10" s="1333"/>
      <c r="F10" s="1333"/>
      <c r="G10" s="1333"/>
      <c r="H10" s="1333"/>
      <c r="I10" s="1333"/>
      <c r="J10" s="1333"/>
      <c r="K10" s="1333"/>
      <c r="L10" s="1333"/>
    </row>
    <row r="11" spans="1:14" s="833" customFormat="1" ht="16.350000000000001" customHeight="1">
      <c r="B11" s="558"/>
      <c r="C11" s="1333"/>
      <c r="D11" s="1333"/>
      <c r="E11" s="1333"/>
      <c r="F11" s="1333"/>
      <c r="G11" s="1333"/>
      <c r="H11" s="1333"/>
      <c r="I11" s="1333"/>
      <c r="J11" s="1333"/>
      <c r="K11" s="1333"/>
      <c r="L11" s="1333"/>
    </row>
    <row r="12" spans="1:14" s="833" customFormat="1" ht="16.350000000000001" customHeight="1">
      <c r="B12" s="558"/>
      <c r="C12" s="1333"/>
      <c r="D12" s="1333"/>
      <c r="E12" s="1333"/>
      <c r="F12" s="1333"/>
      <c r="G12" s="1333"/>
      <c r="H12" s="1333"/>
      <c r="I12" s="1333"/>
      <c r="J12" s="1333"/>
      <c r="K12" s="1333"/>
      <c r="L12" s="1333"/>
    </row>
    <row r="13" spans="1:14" ht="16.350000000000001" customHeight="1">
      <c r="A13" s="829"/>
      <c r="B13" s="543"/>
      <c r="C13" s="1333"/>
      <c r="D13" s="1333"/>
      <c r="E13" s="1333"/>
      <c r="F13" s="1333"/>
      <c r="G13" s="1333"/>
      <c r="H13" s="1333"/>
      <c r="I13" s="1333"/>
      <c r="J13" s="1333"/>
      <c r="K13" s="1333"/>
      <c r="L13" s="1333"/>
      <c r="N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14" ht="16.350000000000001" customHeight="1">
      <c r="B14" s="543"/>
      <c r="C14" s="1333"/>
      <c r="D14" s="1333"/>
      <c r="E14" s="1333"/>
      <c r="F14" s="1333"/>
      <c r="G14" s="1333"/>
      <c r="H14" s="1333"/>
      <c r="I14" s="1333"/>
      <c r="J14" s="1333"/>
      <c r="K14" s="1333"/>
      <c r="L14" s="1333"/>
      <c r="N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14" ht="16.350000000000001" customHeight="1">
      <c r="B15" s="557"/>
      <c r="C15" s="1333"/>
      <c r="D15" s="1333"/>
      <c r="E15" s="1333"/>
      <c r="F15" s="1333"/>
      <c r="G15" s="1333"/>
      <c r="H15" s="1333"/>
      <c r="I15" s="1333"/>
      <c r="J15" s="1333"/>
      <c r="K15" s="1333"/>
      <c r="L15" s="1333"/>
    </row>
    <row r="16" spans="1:14" ht="16.350000000000001" customHeight="1">
      <c r="A16" s="531"/>
      <c r="B16" s="531"/>
      <c r="C16" s="1333"/>
      <c r="D16" s="1333"/>
      <c r="E16" s="1333"/>
      <c r="F16" s="1333"/>
      <c r="G16" s="1333"/>
      <c r="H16" s="1333"/>
      <c r="I16" s="1333"/>
      <c r="J16" s="1333"/>
      <c r="K16" s="1333"/>
      <c r="L16" s="1333"/>
    </row>
    <row r="17" spans="1:34" ht="16.350000000000001" customHeight="1">
      <c r="A17" s="531"/>
      <c r="B17" s="531"/>
      <c r="C17" s="1333"/>
      <c r="D17" s="1333"/>
      <c r="E17" s="1333"/>
      <c r="F17" s="1333"/>
      <c r="G17" s="1333"/>
      <c r="H17" s="1333"/>
      <c r="I17" s="1333"/>
      <c r="J17" s="1333"/>
      <c r="K17" s="1333"/>
      <c r="L17" s="1333"/>
    </row>
    <row r="18" spans="1:34" ht="16.350000000000001" customHeight="1">
      <c r="A18" s="531"/>
      <c r="B18" s="531"/>
      <c r="C18" s="1333"/>
      <c r="D18" s="1333"/>
      <c r="E18" s="1333"/>
      <c r="F18" s="1333"/>
      <c r="G18" s="1333"/>
      <c r="H18" s="1333"/>
      <c r="I18" s="1333"/>
      <c r="J18" s="1333"/>
      <c r="K18" s="1333"/>
      <c r="L18" s="1333"/>
    </row>
    <row r="19" spans="1:34" ht="16.350000000000001" customHeight="1">
      <c r="A19" s="531"/>
      <c r="B19" s="531"/>
      <c r="C19" s="1333"/>
      <c r="D19" s="1333"/>
      <c r="E19" s="1333"/>
      <c r="F19" s="1333"/>
      <c r="G19" s="1333"/>
      <c r="H19" s="1333"/>
      <c r="I19" s="1333"/>
      <c r="J19" s="1333"/>
      <c r="K19" s="1333"/>
      <c r="L19" s="1333"/>
    </row>
    <row r="20" spans="1:34" ht="16.350000000000001" customHeight="1">
      <c r="A20" s="531"/>
      <c r="B20" s="531"/>
      <c r="C20" s="1333"/>
      <c r="D20" s="1333"/>
      <c r="E20" s="1333"/>
      <c r="F20" s="1333"/>
      <c r="G20" s="1333"/>
      <c r="H20" s="1333"/>
      <c r="I20" s="1333"/>
      <c r="J20" s="1333"/>
      <c r="K20" s="1333"/>
      <c r="L20" s="1333"/>
    </row>
    <row r="21" spans="1:34" ht="16.350000000000001" customHeight="1">
      <c r="A21" s="531"/>
      <c r="B21" s="531"/>
      <c r="C21" s="1333"/>
      <c r="D21" s="1333"/>
      <c r="E21" s="1333"/>
      <c r="F21" s="1333"/>
      <c r="G21" s="1333"/>
      <c r="H21" s="1333"/>
      <c r="I21" s="1333"/>
      <c r="J21" s="1333"/>
      <c r="K21" s="1333"/>
      <c r="L21" s="1333"/>
    </row>
    <row r="22" spans="1:34" ht="16.350000000000001" customHeight="1">
      <c r="A22" s="531"/>
      <c r="B22" s="531"/>
      <c r="C22" s="1333"/>
      <c r="D22" s="1333"/>
      <c r="E22" s="1333"/>
      <c r="F22" s="1333"/>
      <c r="G22" s="1333"/>
      <c r="H22" s="1333"/>
      <c r="I22" s="1333"/>
      <c r="J22" s="1333"/>
      <c r="K22" s="1333"/>
      <c r="L22" s="1333"/>
    </row>
    <row r="23" spans="1:34" ht="16.350000000000001" customHeight="1">
      <c r="A23" s="531"/>
      <c r="B23" s="531"/>
      <c r="C23" s="1333"/>
      <c r="D23" s="1333"/>
      <c r="E23" s="1333"/>
      <c r="F23" s="1333"/>
      <c r="G23" s="1333"/>
      <c r="H23" s="1333"/>
      <c r="I23" s="1333"/>
      <c r="J23" s="1333"/>
      <c r="K23" s="1333"/>
      <c r="L23" s="1333"/>
    </row>
    <row r="24" spans="1:34" ht="16.350000000000001" customHeight="1">
      <c r="A24" s="531"/>
      <c r="B24" s="531"/>
      <c r="C24" s="1333"/>
      <c r="D24" s="1333"/>
      <c r="E24" s="1333"/>
      <c r="F24" s="1333"/>
      <c r="G24" s="1333"/>
      <c r="H24" s="1333"/>
      <c r="I24" s="1333"/>
      <c r="J24" s="1333"/>
      <c r="K24" s="1333"/>
      <c r="L24" s="1333"/>
    </row>
    <row r="25" spans="1:34" ht="16.350000000000001" customHeight="1">
      <c r="A25" s="531"/>
      <c r="B25" s="531"/>
      <c r="C25" s="1333"/>
      <c r="D25" s="1333"/>
      <c r="E25" s="1333"/>
      <c r="F25" s="1333"/>
      <c r="G25" s="1333"/>
      <c r="H25" s="1333"/>
      <c r="I25" s="1333"/>
      <c r="J25" s="1333"/>
      <c r="K25" s="1333"/>
      <c r="L25" s="1333"/>
      <c r="Y25" s="497"/>
      <c r="Z25" s="497"/>
      <c r="AA25" s="497"/>
      <c r="AB25" s="497"/>
      <c r="AC25" s="497"/>
      <c r="AD25" s="497"/>
      <c r="AF25" s="497"/>
      <c r="AG25" s="497"/>
      <c r="AH25" s="497"/>
    </row>
    <row r="26" spans="1:34" ht="16.350000000000001" customHeight="1">
      <c r="A26" s="531"/>
      <c r="B26" s="531"/>
      <c r="C26" s="1333"/>
      <c r="D26" s="1333"/>
      <c r="E26" s="1333"/>
      <c r="F26" s="1333"/>
      <c r="G26" s="1333"/>
      <c r="H26" s="1333"/>
      <c r="I26" s="1333"/>
      <c r="J26" s="1333"/>
      <c r="K26" s="1333"/>
      <c r="L26" s="1333"/>
      <c r="Y26" s="497"/>
      <c r="Z26" s="497"/>
      <c r="AA26" s="497"/>
      <c r="AB26" s="497"/>
      <c r="AC26" s="497"/>
      <c r="AD26" s="497"/>
      <c r="AF26" s="497"/>
      <c r="AG26" s="497"/>
      <c r="AH26" s="497"/>
    </row>
    <row r="27" spans="1:34" ht="16.350000000000001" customHeight="1">
      <c r="A27" s="531"/>
      <c r="B27" s="531"/>
      <c r="C27" s="1333"/>
      <c r="D27" s="1333"/>
      <c r="E27" s="1333"/>
      <c r="F27" s="1333"/>
      <c r="G27" s="1333"/>
      <c r="H27" s="1333"/>
      <c r="I27" s="1333"/>
      <c r="J27" s="1333"/>
      <c r="K27" s="1333"/>
      <c r="L27" s="1333"/>
    </row>
    <row r="28" spans="1:34" ht="16.350000000000001" customHeight="1">
      <c r="A28" s="531"/>
      <c r="B28" s="531"/>
      <c r="C28" s="1333"/>
      <c r="D28" s="1333"/>
      <c r="E28" s="1333"/>
      <c r="F28" s="1333"/>
      <c r="G28" s="1333"/>
      <c r="H28" s="1333"/>
      <c r="I28" s="1333"/>
      <c r="J28" s="1333"/>
      <c r="K28" s="1333"/>
      <c r="L28" s="1333"/>
      <c r="Y28" s="497"/>
      <c r="Z28" s="497"/>
      <c r="AA28" s="497"/>
      <c r="AB28" s="497"/>
      <c r="AC28" s="497"/>
      <c r="AD28" s="497"/>
      <c r="AF28" s="497"/>
      <c r="AG28" s="497"/>
      <c r="AH28" s="497"/>
    </row>
    <row r="29" spans="1:34" ht="16.350000000000001" customHeight="1">
      <c r="A29" s="531"/>
      <c r="B29" s="531"/>
      <c r="C29" s="1333"/>
      <c r="D29" s="1333"/>
      <c r="E29" s="1333"/>
      <c r="F29" s="1333"/>
      <c r="G29" s="1333"/>
      <c r="H29" s="1333"/>
      <c r="I29" s="1333"/>
      <c r="J29" s="1333"/>
      <c r="K29" s="1333"/>
      <c r="L29" s="1333"/>
      <c r="Y29" s="497"/>
      <c r="Z29" s="497"/>
      <c r="AA29" s="497"/>
      <c r="AB29" s="497"/>
      <c r="AC29" s="497"/>
      <c r="AD29" s="497"/>
      <c r="AF29" s="497"/>
      <c r="AG29" s="497"/>
      <c r="AH29" s="497"/>
    </row>
    <row r="30" spans="1:34" ht="16.350000000000001" customHeight="1">
      <c r="A30" s="531"/>
      <c r="B30" s="531"/>
      <c r="C30" s="1333"/>
      <c r="D30" s="1333"/>
      <c r="E30" s="1333"/>
      <c r="F30" s="1333"/>
      <c r="G30" s="1333"/>
      <c r="H30" s="1333"/>
      <c r="I30" s="1333"/>
      <c r="J30" s="1333"/>
      <c r="K30" s="1333"/>
      <c r="L30" s="1333"/>
    </row>
    <row r="31" spans="1:34" ht="16.350000000000001" customHeight="1">
      <c r="A31" s="531"/>
      <c r="B31" s="531"/>
      <c r="C31" s="1333"/>
      <c r="D31" s="1333"/>
      <c r="E31" s="1333"/>
      <c r="F31" s="1333"/>
      <c r="G31" s="1333"/>
      <c r="H31" s="1333"/>
      <c r="I31" s="1333"/>
      <c r="J31" s="1333"/>
      <c r="K31" s="1333"/>
      <c r="L31" s="1333"/>
    </row>
    <row r="32" spans="1:34" ht="16.350000000000001" customHeight="1">
      <c r="A32" s="531"/>
      <c r="B32" s="531"/>
      <c r="C32" s="1333"/>
      <c r="D32" s="1333"/>
      <c r="E32" s="1333"/>
      <c r="F32" s="1333"/>
      <c r="G32" s="1333"/>
      <c r="H32" s="1333"/>
      <c r="I32" s="1333"/>
      <c r="J32" s="1333"/>
      <c r="K32" s="1333"/>
      <c r="L32" s="1333"/>
    </row>
    <row r="33" spans="1:34" ht="16.350000000000001" customHeight="1">
      <c r="A33" s="531"/>
      <c r="B33" s="531"/>
      <c r="C33" s="1333"/>
      <c r="D33" s="1333"/>
      <c r="E33" s="1333"/>
      <c r="F33" s="1333"/>
      <c r="G33" s="1333"/>
      <c r="H33" s="1333"/>
      <c r="I33" s="1333"/>
      <c r="J33" s="1333"/>
      <c r="K33" s="1333"/>
      <c r="L33" s="1333"/>
    </row>
    <row r="34" spans="1:34" ht="16.350000000000001" customHeight="1">
      <c r="A34" s="531"/>
      <c r="B34" s="531"/>
      <c r="C34" s="1333"/>
      <c r="D34" s="1333"/>
      <c r="E34" s="1333"/>
      <c r="F34" s="1333"/>
      <c r="G34" s="1333"/>
      <c r="H34" s="1333"/>
      <c r="I34" s="1333"/>
      <c r="J34" s="1333"/>
      <c r="K34" s="1333"/>
      <c r="L34" s="1333"/>
    </row>
    <row r="35" spans="1:34" ht="16.350000000000001" customHeight="1">
      <c r="A35" s="531"/>
      <c r="B35" s="531"/>
      <c r="C35" s="1333"/>
      <c r="D35" s="1333"/>
      <c r="E35" s="1333"/>
      <c r="F35" s="1333"/>
      <c r="G35" s="1333"/>
      <c r="H35" s="1333"/>
      <c r="I35" s="1333"/>
      <c r="J35" s="1333"/>
      <c r="K35" s="1333"/>
      <c r="L35" s="1333"/>
    </row>
    <row r="36" spans="1:34" ht="16.350000000000001" customHeight="1">
      <c r="A36" s="531"/>
      <c r="B36" s="531"/>
      <c r="C36" s="1333"/>
      <c r="D36" s="1333"/>
      <c r="E36" s="1333"/>
      <c r="F36" s="1333"/>
      <c r="G36" s="1333"/>
      <c r="H36" s="1333"/>
      <c r="I36" s="1333"/>
      <c r="J36" s="1333"/>
      <c r="K36" s="1333"/>
      <c r="L36" s="1333"/>
    </row>
    <row r="37" spans="1:34" ht="16.350000000000001" customHeight="1">
      <c r="A37" s="531"/>
      <c r="B37" s="531"/>
      <c r="C37" s="1333"/>
      <c r="D37" s="1333"/>
      <c r="E37" s="1333"/>
      <c r="F37" s="1333"/>
      <c r="G37" s="1333"/>
      <c r="H37" s="1333"/>
      <c r="I37" s="1333"/>
      <c r="J37" s="1333"/>
      <c r="K37" s="1333"/>
      <c r="L37" s="1333"/>
    </row>
    <row r="38" spans="1:34" ht="16.350000000000001" customHeight="1">
      <c r="A38" s="531"/>
      <c r="B38" s="531"/>
      <c r="C38" s="1333"/>
      <c r="D38" s="1333"/>
      <c r="E38" s="1333"/>
      <c r="F38" s="1333"/>
      <c r="G38" s="1333"/>
      <c r="H38" s="1333"/>
      <c r="I38" s="1333"/>
      <c r="J38" s="1333"/>
      <c r="K38" s="1333"/>
      <c r="L38" s="1333"/>
    </row>
    <row r="39" spans="1:34" ht="11.25" customHeight="1">
      <c r="A39" s="531"/>
      <c r="B39" s="531"/>
      <c r="C39" s="1333"/>
      <c r="D39" s="1333"/>
      <c r="E39" s="1333"/>
      <c r="F39" s="1333"/>
      <c r="G39" s="1333"/>
      <c r="H39" s="1333"/>
      <c r="I39" s="1333"/>
      <c r="J39" s="1333"/>
      <c r="K39" s="1333"/>
      <c r="L39" s="1333"/>
    </row>
    <row r="40" spans="1:34" s="833" customFormat="1" ht="14.25" customHeight="1">
      <c r="A40" s="531"/>
      <c r="B40" s="531"/>
      <c r="C40" s="1333"/>
      <c r="D40" s="1333"/>
      <c r="E40" s="1333"/>
      <c r="F40" s="1333"/>
      <c r="G40" s="1333"/>
      <c r="H40" s="1333"/>
      <c r="I40" s="1333"/>
      <c r="J40" s="1333"/>
      <c r="K40" s="1333"/>
      <c r="L40" s="1333"/>
    </row>
    <row r="41" spans="1:34" s="833" customFormat="1" ht="14.25" customHeight="1">
      <c r="A41" s="531"/>
      <c r="B41" s="531"/>
      <c r="C41" s="1333"/>
      <c r="D41" s="1333"/>
      <c r="E41" s="1333"/>
      <c r="F41" s="1333"/>
      <c r="G41" s="1333"/>
      <c r="H41" s="1333"/>
      <c r="I41" s="1333"/>
      <c r="J41" s="1333"/>
      <c r="K41" s="1333"/>
      <c r="L41" s="1333"/>
      <c r="Y41" s="838"/>
      <c r="Z41" s="838"/>
      <c r="AA41" s="838"/>
      <c r="AB41" s="838"/>
      <c r="AC41" s="838"/>
      <c r="AD41" s="838"/>
      <c r="AF41" s="838"/>
      <c r="AG41" s="838"/>
      <c r="AH41" s="838"/>
    </row>
    <row r="42" spans="1:34" ht="16.350000000000001" customHeight="1">
      <c r="A42" s="531"/>
      <c r="B42" s="531"/>
      <c r="C42" s="1333"/>
      <c r="D42" s="1333"/>
      <c r="E42" s="1333"/>
      <c r="F42" s="1333"/>
      <c r="G42" s="1333"/>
      <c r="H42" s="1333"/>
      <c r="I42" s="1333"/>
      <c r="J42" s="1333"/>
      <c r="K42" s="1333"/>
      <c r="L42" s="1333"/>
      <c r="Y42" s="497"/>
      <c r="Z42" s="497"/>
      <c r="AA42" s="497"/>
      <c r="AB42" s="497"/>
      <c r="AC42" s="497"/>
      <c r="AD42" s="497"/>
      <c r="AF42" s="497"/>
      <c r="AG42" s="497"/>
      <c r="AH42" s="497"/>
    </row>
    <row r="43" spans="1:34" ht="16.350000000000001" customHeight="1">
      <c r="A43" s="531"/>
      <c r="B43" s="531"/>
      <c r="C43" s="1333"/>
      <c r="D43" s="1333"/>
      <c r="E43" s="1333"/>
      <c r="F43" s="1333"/>
      <c r="G43" s="1333"/>
      <c r="H43" s="1333"/>
      <c r="I43" s="1333"/>
      <c r="J43" s="1333"/>
      <c r="K43" s="1333"/>
      <c r="L43" s="1333"/>
    </row>
    <row r="44" spans="1:34" ht="16.350000000000001" customHeight="1">
      <c r="A44" s="531"/>
      <c r="B44" s="531"/>
      <c r="C44" s="1333"/>
      <c r="D44" s="1333"/>
      <c r="E44" s="1333"/>
      <c r="F44" s="1333"/>
      <c r="G44" s="1333"/>
      <c r="H44" s="1333"/>
      <c r="I44" s="1333"/>
      <c r="J44" s="1333"/>
      <c r="K44" s="1333"/>
      <c r="L44" s="1333"/>
    </row>
    <row r="45" spans="1:34" ht="16.350000000000001" customHeight="1">
      <c r="A45" s="531"/>
      <c r="B45" s="531"/>
      <c r="C45" s="1333"/>
      <c r="D45" s="1333"/>
      <c r="E45" s="1333"/>
      <c r="F45" s="1333"/>
      <c r="G45" s="1333"/>
      <c r="H45" s="1333"/>
      <c r="I45" s="1333"/>
      <c r="J45" s="1333"/>
      <c r="K45" s="1333"/>
      <c r="L45" s="1333"/>
    </row>
    <row r="46" spans="1:34" ht="16.2">
      <c r="A46" s="531"/>
      <c r="B46" s="531"/>
      <c r="C46" s="531"/>
      <c r="D46" s="531"/>
      <c r="E46" s="531"/>
      <c r="F46" s="531"/>
      <c r="G46" s="531"/>
      <c r="H46" s="531"/>
      <c r="I46" s="531"/>
      <c r="J46" s="531"/>
      <c r="K46" s="531"/>
      <c r="L46" s="531"/>
    </row>
    <row r="47" spans="1:34" ht="16.2">
      <c r="B47" s="341"/>
      <c r="C47" s="575" t="s">
        <v>540</v>
      </c>
      <c r="D47" s="575" t="s">
        <v>541</v>
      </c>
      <c r="E47" s="575"/>
    </row>
    <row r="48" spans="1:34" ht="16.2">
      <c r="B48" s="341"/>
      <c r="C48" s="575"/>
      <c r="D48" s="575" t="s">
        <v>539</v>
      </c>
      <c r="E48" s="575"/>
    </row>
  </sheetData>
  <mergeCells count="3">
    <mergeCell ref="C8:L45"/>
    <mergeCell ref="C6:K7"/>
    <mergeCell ref="H5:L5"/>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4CE1B-9A3C-4629-9AB8-8A5FD19D63E6}">
  <sheetPr codeName="Sheet43">
    <tabColor rgb="FFA0F4F4"/>
  </sheetPr>
  <dimension ref="A1:AZ48"/>
  <sheetViews>
    <sheetView showGridLines="0" view="pageLayout" topLeftCell="A25" zoomScaleNormal="100" workbookViewId="0">
      <selection activeCell="AC1" sqref="AC1:AZ1048576"/>
    </sheetView>
  </sheetViews>
  <sheetFormatPr defaultColWidth="0" defaultRowHeight="0" customHeight="1" zeroHeight="1"/>
  <cols>
    <col min="1" max="1" width="4.109375" style="1000" customWidth="1"/>
    <col min="2" max="2" width="2" style="1000" customWidth="1"/>
    <col min="3" max="5" width="9.33203125" style="1000" customWidth="1"/>
    <col min="6" max="6" width="13.33203125" style="1000" customWidth="1"/>
    <col min="7" max="7" width="9.33203125" style="1000" customWidth="1"/>
    <col min="8" max="8" width="11.77734375" style="1000" customWidth="1"/>
    <col min="9" max="9" width="9.33203125" style="1000" customWidth="1"/>
    <col min="10" max="10" width="2.88671875" style="1000" customWidth="1"/>
    <col min="11" max="11" width="9.33203125" style="1000" customWidth="1"/>
    <col min="12" max="12" width="8.88671875" style="1000" customWidth="1"/>
    <col min="13" max="13" width="4.109375" style="1000" customWidth="1"/>
    <col min="14" max="14" width="2" style="1000" customWidth="1"/>
    <col min="15" max="15" width="4.109375" style="1000" customWidth="1"/>
    <col min="16" max="16" width="2" style="1000" customWidth="1"/>
    <col min="17" max="19" width="9.33203125" style="1000" customWidth="1"/>
    <col min="20" max="20" width="13.33203125" style="1000" customWidth="1"/>
    <col min="21" max="21" width="9.33203125" style="1000" customWidth="1"/>
    <col min="22" max="22" width="11.77734375" style="1000" customWidth="1"/>
    <col min="23" max="23" width="9.33203125" style="1000" customWidth="1"/>
    <col min="24" max="24" width="2.88671875" style="1000" customWidth="1"/>
    <col min="25" max="25" width="9.33203125" style="1000" customWidth="1"/>
    <col min="26" max="26" width="8.88671875" style="1000" customWidth="1"/>
    <col min="27" max="27" width="4.109375" style="1000" customWidth="1"/>
    <col min="28" max="28" width="2" style="1000" customWidth="1"/>
    <col min="29" max="52" width="8.88671875" style="1000" hidden="1" customWidth="1"/>
    <col min="53" max="16384" width="0" style="1000" hidden="1"/>
  </cols>
  <sheetData>
    <row r="1" spans="1:28" ht="16.2">
      <c r="H1" s="341" t="str">
        <f>LEFT('Franchise Info'!$B$4,FIND(", ",'Franchise Info'!$B$4)-1)</f>
        <v>201 - 20621 Logan Ave</v>
      </c>
      <c r="V1" s="341" t="str">
        <f>LEFT('Franchise Info'!$B$4,FIND(", ",'Franchise Info'!$B$4)-1)</f>
        <v>201 - 20621 Logan Ave</v>
      </c>
    </row>
    <row r="2" spans="1:28" ht="16.2">
      <c r="H2" s="341" t="str">
        <f>MID('Franchise Info'!$B$4,FIND(", ",'Franchise Info'!$B$4)+2,50)</f>
        <v>Langley, BC, V3A 7R3</v>
      </c>
      <c r="V2" s="341" t="str">
        <f>MID('Franchise Info'!$B$4,FIND(", ",'Franchise Info'!$B$4)+2,50)</f>
        <v>Langley, BC, V3A 7R3</v>
      </c>
    </row>
    <row r="3" spans="1:28" ht="16.2">
      <c r="H3" s="341" t="str">
        <f>CONCATENATE("Telephone:"," ",REPLACE(LEFT('Franchise Info'!$B$7,22),1,8,""))</f>
        <v>Telephone: (604) 532-4040</v>
      </c>
      <c r="V3" s="341" t="str">
        <f>CONCATENATE("Telephone:"," ",REPLACE(LEFT('Franchise Info'!$B$7,22),1,8,""))</f>
        <v>Telephone: (604) 532-4040</v>
      </c>
    </row>
    <row r="4" spans="1:28" ht="16.2">
      <c r="H4" s="341" t="str">
        <f>CONCATENATE("Facsimile:"," ",RIGHT('Franchise Info'!$B$7,14))</f>
        <v>Facsimile: (604) 532-4001</v>
      </c>
      <c r="V4" s="341" t="str">
        <f>CONCATENATE("Facsimile:"," ",RIGHT('Franchise Info'!$B$7,14))</f>
        <v>Facsimile: (604) 532-4001</v>
      </c>
    </row>
    <row r="5" spans="1:28" ht="16.2">
      <c r="H5" s="1330" t="str">
        <f>MID('Franchise Info'!$B$7,FIND("E-Mail",'Franchise Info'!$B$7),60)</f>
        <v xml:space="preserve">E-Mail : admin.langley@aolccbc.com                          </v>
      </c>
      <c r="I5" s="1330"/>
      <c r="J5" s="1330"/>
      <c r="K5" s="1330"/>
      <c r="L5" s="1330"/>
      <c r="V5" s="1330" t="str">
        <f>MID('Franchise Info'!$B$7,FIND("E-Mail",'Franchise Info'!$B$7),60)</f>
        <v xml:space="preserve">E-Mail : admin.langley@aolccbc.com                          </v>
      </c>
      <c r="W5" s="1330"/>
      <c r="X5" s="1330"/>
      <c r="Y5" s="1330"/>
      <c r="Z5" s="1330"/>
    </row>
    <row r="6" spans="1:28" ht="22.95" customHeight="1" thickBot="1">
      <c r="C6" s="827" t="s">
        <v>1848</v>
      </c>
      <c r="D6" s="831"/>
      <c r="E6" s="831"/>
      <c r="F6" s="831"/>
      <c r="G6" s="831"/>
      <c r="H6" s="831"/>
      <c r="I6" s="831"/>
      <c r="J6" s="1013"/>
      <c r="K6" s="1344">
        <v>44426</v>
      </c>
      <c r="L6" s="1344"/>
      <c r="Q6" s="827" t="s">
        <v>1848</v>
      </c>
      <c r="R6" s="831"/>
      <c r="S6" s="831"/>
      <c r="T6" s="831"/>
      <c r="U6" s="831"/>
      <c r="V6" s="831"/>
      <c r="W6" s="831"/>
      <c r="X6" s="1013"/>
      <c r="Y6" s="1344">
        <v>44426</v>
      </c>
      <c r="Z6" s="1344"/>
    </row>
    <row r="7" spans="1:28" ht="15">
      <c r="C7" s="830" t="s">
        <v>1251</v>
      </c>
      <c r="H7"/>
      <c r="I7"/>
      <c r="J7" s="826"/>
      <c r="K7" s="826" t="s">
        <v>1252</v>
      </c>
      <c r="Q7" s="830" t="s">
        <v>1251</v>
      </c>
      <c r="V7"/>
      <c r="W7"/>
      <c r="X7" s="826"/>
      <c r="Y7" s="826" t="s">
        <v>1252</v>
      </c>
    </row>
    <row r="8" spans="1:28" ht="19.95" customHeight="1" thickBot="1">
      <c r="C8" s="827" t="s">
        <v>1814</v>
      </c>
      <c r="D8" s="831"/>
      <c r="E8" s="831"/>
      <c r="F8" s="831"/>
      <c r="G8" s="831"/>
      <c r="H8" s="831"/>
      <c r="I8"/>
      <c r="J8" s="1013"/>
      <c r="K8" s="1344">
        <v>44426</v>
      </c>
      <c r="L8" s="1344"/>
      <c r="Q8" s="827" t="s">
        <v>1814</v>
      </c>
      <c r="R8" s="831"/>
      <c r="S8" s="831"/>
      <c r="T8" s="831"/>
      <c r="U8" s="831"/>
      <c r="V8" s="831"/>
      <c r="W8"/>
      <c r="X8" s="1013"/>
      <c r="Y8" s="1344">
        <v>44426</v>
      </c>
      <c r="Z8" s="1344"/>
    </row>
    <row r="9" spans="1:28" ht="15.75" customHeight="1">
      <c r="B9" s="544"/>
      <c r="C9" s="826" t="s">
        <v>1813</v>
      </c>
      <c r="D9" s="555"/>
      <c r="E9" s="824"/>
      <c r="F9" s="555"/>
      <c r="G9" s="555"/>
      <c r="H9"/>
      <c r="I9"/>
      <c r="J9" s="826"/>
      <c r="K9" s="826" t="s">
        <v>1253</v>
      </c>
      <c r="L9" s="238"/>
      <c r="P9" s="544"/>
      <c r="Q9" s="826" t="s">
        <v>1813</v>
      </c>
      <c r="R9" s="555"/>
      <c r="S9" s="824"/>
      <c r="T9" s="555"/>
      <c r="U9" s="555"/>
      <c r="V9"/>
      <c r="W9"/>
      <c r="X9" s="826"/>
      <c r="Y9" s="826" t="s">
        <v>1253</v>
      </c>
      <c r="Z9" s="238"/>
    </row>
    <row r="10" spans="1:28" s="828" customFormat="1" ht="19.95" customHeight="1">
      <c r="B10" s="556"/>
      <c r="C10" s="1016"/>
      <c r="D10" s="1012"/>
      <c r="E10" s="1012"/>
      <c r="F10" s="1012"/>
      <c r="G10" s="1012"/>
      <c r="H10" s="1012"/>
      <c r="I10" s="1012"/>
      <c r="J10" s="1012"/>
      <c r="K10" s="1012"/>
      <c r="L10" s="1012"/>
      <c r="P10" s="556"/>
      <c r="Q10" s="1012"/>
      <c r="R10" s="1012"/>
      <c r="S10" s="1012"/>
      <c r="T10" s="1012"/>
      <c r="U10" s="1012"/>
      <c r="V10" s="1012"/>
      <c r="W10" s="1012"/>
      <c r="X10" s="1012"/>
      <c r="Y10" s="1012"/>
      <c r="Z10" s="1012"/>
    </row>
    <row r="11" spans="1:28" s="833" customFormat="1" ht="18.3" customHeight="1">
      <c r="B11" s="558"/>
      <c r="C11" s="1014" t="s">
        <v>1849</v>
      </c>
      <c r="D11" s="1012"/>
      <c r="E11" s="1012"/>
      <c r="F11" s="1012"/>
      <c r="G11" s="1012"/>
      <c r="H11" s="1012"/>
      <c r="I11" s="1012"/>
      <c r="J11" s="1012"/>
      <c r="K11" s="1012"/>
      <c r="L11" s="1012"/>
      <c r="P11" s="558"/>
      <c r="Q11" s="1015" t="s">
        <v>1855</v>
      </c>
      <c r="R11" s="1012"/>
      <c r="S11" s="1012"/>
      <c r="T11" s="1012"/>
      <c r="U11" s="1012"/>
      <c r="V11" s="1012"/>
      <c r="W11" s="1012"/>
      <c r="X11" s="1012"/>
      <c r="Y11" s="1012"/>
      <c r="Z11" s="1012"/>
    </row>
    <row r="12" spans="1:28" s="833" customFormat="1" ht="16.350000000000001" customHeight="1">
      <c r="B12" s="558"/>
      <c r="C12" s="1346" t="s">
        <v>1850</v>
      </c>
      <c r="D12" s="1346"/>
      <c r="E12" s="1346"/>
      <c r="F12" s="1346"/>
      <c r="G12" s="1346"/>
      <c r="H12" s="1346"/>
      <c r="I12" s="1346"/>
      <c r="J12" s="1346"/>
      <c r="K12" s="1346"/>
      <c r="L12" s="1346"/>
      <c r="P12" s="558"/>
      <c r="Q12" s="1346" t="s">
        <v>1856</v>
      </c>
      <c r="R12" s="1346"/>
      <c r="S12" s="1346"/>
      <c r="T12" s="1346"/>
      <c r="U12" s="1346"/>
      <c r="V12" s="1346"/>
      <c r="W12" s="1346"/>
      <c r="X12" s="1346"/>
      <c r="Y12" s="1346"/>
      <c r="Z12" s="1346"/>
      <c r="AA12" s="1346"/>
    </row>
    <row r="13" spans="1:28" ht="16.350000000000001" customHeight="1">
      <c r="A13" s="829"/>
      <c r="B13" s="543"/>
      <c r="C13" s="1346"/>
      <c r="D13" s="1346"/>
      <c r="E13" s="1346"/>
      <c r="F13" s="1346"/>
      <c r="G13" s="1346"/>
      <c r="H13" s="1346"/>
      <c r="I13" s="1346"/>
      <c r="J13" s="1346"/>
      <c r="K13" s="1346"/>
      <c r="L13" s="1346"/>
      <c r="N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c r="O13" s="829"/>
      <c r="P13" s="543"/>
      <c r="Q13" s="1346"/>
      <c r="R13" s="1346"/>
      <c r="S13" s="1346"/>
      <c r="T13" s="1346"/>
      <c r="U13" s="1346"/>
      <c r="V13" s="1346"/>
      <c r="W13" s="1346"/>
      <c r="X13" s="1346"/>
      <c r="Y13" s="1346"/>
      <c r="Z13" s="1346"/>
      <c r="AA13" s="1346"/>
      <c r="AB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28" ht="16.350000000000001" customHeight="1">
      <c r="B14" s="543"/>
      <c r="C14" s="1346"/>
      <c r="D14" s="1346"/>
      <c r="E14" s="1346"/>
      <c r="F14" s="1346"/>
      <c r="G14" s="1346"/>
      <c r="H14" s="1346"/>
      <c r="I14" s="1346"/>
      <c r="J14" s="1346"/>
      <c r="K14" s="1346"/>
      <c r="L14" s="1346"/>
      <c r="N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c r="P14" s="543"/>
      <c r="Q14" s="1346"/>
      <c r="R14" s="1346"/>
      <c r="S14" s="1346"/>
      <c r="T14" s="1346"/>
      <c r="U14" s="1346"/>
      <c r="V14" s="1346"/>
      <c r="W14" s="1346"/>
      <c r="X14" s="1346"/>
      <c r="Y14" s="1346"/>
      <c r="Z14" s="1346"/>
      <c r="AA14" s="1346"/>
      <c r="AB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28" ht="16.350000000000001" customHeight="1">
      <c r="B15" s="557"/>
      <c r="C15" s="1346"/>
      <c r="D15" s="1346"/>
      <c r="E15" s="1346"/>
      <c r="F15" s="1346"/>
      <c r="G15" s="1346"/>
      <c r="H15" s="1346"/>
      <c r="I15" s="1346"/>
      <c r="J15" s="1346"/>
      <c r="K15" s="1346"/>
      <c r="L15" s="1346"/>
      <c r="P15" s="557"/>
      <c r="Q15" s="1346"/>
      <c r="R15" s="1346"/>
      <c r="S15" s="1346"/>
      <c r="T15" s="1346"/>
      <c r="U15" s="1346"/>
      <c r="V15" s="1346"/>
      <c r="W15" s="1346"/>
      <c r="X15" s="1346"/>
      <c r="Y15" s="1346"/>
      <c r="Z15" s="1346"/>
      <c r="AA15" s="1346"/>
    </row>
    <row r="16" spans="1:28" ht="16.350000000000001" customHeight="1">
      <c r="B16" s="557"/>
      <c r="C16" s="1346"/>
      <c r="D16" s="1346"/>
      <c r="E16" s="1346"/>
      <c r="F16" s="1346"/>
      <c r="G16" s="1346"/>
      <c r="H16" s="1346"/>
      <c r="I16" s="1346"/>
      <c r="J16" s="1346"/>
      <c r="K16" s="1346"/>
      <c r="L16" s="1346"/>
      <c r="P16" s="557"/>
      <c r="Q16" s="1346"/>
      <c r="R16" s="1346"/>
      <c r="S16" s="1346"/>
      <c r="T16" s="1346"/>
      <c r="U16" s="1346"/>
      <c r="V16" s="1346"/>
      <c r="W16" s="1346"/>
      <c r="X16" s="1346"/>
      <c r="Y16" s="1346"/>
      <c r="Z16" s="1346"/>
      <c r="AA16" s="1346"/>
    </row>
    <row r="17" spans="1:34" ht="16.350000000000001" customHeight="1">
      <c r="B17" s="557"/>
      <c r="C17" s="1346"/>
      <c r="D17" s="1346"/>
      <c r="E17" s="1346"/>
      <c r="F17" s="1346"/>
      <c r="G17" s="1346"/>
      <c r="H17" s="1346"/>
      <c r="I17" s="1346"/>
      <c r="J17" s="1346"/>
      <c r="K17" s="1346"/>
      <c r="L17" s="1346"/>
      <c r="P17" s="557"/>
      <c r="Q17" s="1346"/>
      <c r="R17" s="1346"/>
      <c r="S17" s="1346"/>
      <c r="T17" s="1346"/>
      <c r="U17" s="1346"/>
      <c r="V17" s="1346"/>
      <c r="W17" s="1346"/>
      <c r="X17" s="1346"/>
      <c r="Y17" s="1346"/>
      <c r="Z17" s="1346"/>
      <c r="AA17" s="1346"/>
    </row>
    <row r="18" spans="1:34" ht="16.350000000000001" customHeight="1">
      <c r="B18" s="557"/>
      <c r="C18" s="1346"/>
      <c r="D18" s="1346"/>
      <c r="E18" s="1346"/>
      <c r="F18" s="1346"/>
      <c r="G18" s="1346"/>
      <c r="H18" s="1346"/>
      <c r="I18" s="1346"/>
      <c r="J18" s="1346"/>
      <c r="K18" s="1346"/>
      <c r="L18" s="1346"/>
      <c r="P18" s="557"/>
      <c r="Q18" s="1346"/>
      <c r="R18" s="1346"/>
      <c r="S18" s="1346"/>
      <c r="T18" s="1346"/>
      <c r="U18" s="1346"/>
      <c r="V18" s="1346"/>
      <c r="W18" s="1346"/>
      <c r="X18" s="1346"/>
      <c r="Y18" s="1346"/>
      <c r="Z18" s="1346"/>
      <c r="AA18" s="1346"/>
    </row>
    <row r="19" spans="1:34" ht="16.350000000000001" customHeight="1">
      <c r="A19" s="829"/>
      <c r="B19" s="557"/>
      <c r="C19" s="1346"/>
      <c r="D19" s="1346"/>
      <c r="E19" s="1346"/>
      <c r="F19" s="1346"/>
      <c r="G19" s="1346"/>
      <c r="H19" s="1346"/>
      <c r="I19" s="1346"/>
      <c r="J19" s="1346"/>
      <c r="K19" s="1346"/>
      <c r="L19" s="1346"/>
      <c r="O19" s="829"/>
      <c r="P19" s="557"/>
      <c r="Q19" s="1346"/>
      <c r="R19" s="1346"/>
      <c r="S19" s="1346"/>
      <c r="T19" s="1346"/>
      <c r="U19" s="1346"/>
      <c r="V19" s="1346"/>
      <c r="W19" s="1346"/>
      <c r="X19" s="1346"/>
      <c r="Y19" s="1346"/>
      <c r="Z19" s="1346"/>
      <c r="AA19" s="1346"/>
    </row>
    <row r="20" spans="1:34" ht="16.350000000000001" customHeight="1">
      <c r="B20" s="543"/>
      <c r="C20" s="1346"/>
      <c r="D20" s="1346"/>
      <c r="E20" s="1346"/>
      <c r="F20" s="1346"/>
      <c r="G20" s="1346"/>
      <c r="H20" s="1346"/>
      <c r="I20" s="1346"/>
      <c r="J20" s="1346"/>
      <c r="K20" s="1346"/>
      <c r="L20" s="1346"/>
      <c r="P20" s="543"/>
      <c r="Q20" s="1346"/>
      <c r="R20" s="1346"/>
      <c r="S20" s="1346"/>
      <c r="T20" s="1346"/>
      <c r="U20" s="1346"/>
      <c r="V20" s="1346"/>
      <c r="W20" s="1346"/>
      <c r="X20" s="1346"/>
      <c r="Y20" s="1346"/>
      <c r="Z20" s="1346"/>
      <c r="AA20" s="1346"/>
    </row>
    <row r="21" spans="1:34" ht="16.350000000000001" customHeight="1">
      <c r="B21" s="557"/>
      <c r="C21" s="1346"/>
      <c r="D21" s="1346"/>
      <c r="E21" s="1346"/>
      <c r="F21" s="1346"/>
      <c r="G21" s="1346"/>
      <c r="H21" s="1346"/>
      <c r="I21" s="1346"/>
      <c r="J21" s="1346"/>
      <c r="K21" s="1346"/>
      <c r="L21" s="1346"/>
      <c r="P21" s="557"/>
      <c r="Q21" s="1346"/>
      <c r="R21" s="1346"/>
      <c r="S21" s="1346"/>
      <c r="T21" s="1346"/>
      <c r="U21" s="1346"/>
      <c r="V21" s="1346"/>
      <c r="W21" s="1346"/>
      <c r="X21" s="1346"/>
      <c r="Y21" s="1346"/>
      <c r="Z21" s="1346"/>
      <c r="AA21" s="1346"/>
    </row>
    <row r="22" spans="1:34" ht="16.350000000000001" customHeight="1">
      <c r="B22" s="557"/>
      <c r="C22" s="1346"/>
      <c r="D22" s="1346"/>
      <c r="E22" s="1346"/>
      <c r="F22" s="1346"/>
      <c r="G22" s="1346"/>
      <c r="H22" s="1346"/>
      <c r="I22" s="1346"/>
      <c r="J22" s="1346"/>
      <c r="K22" s="1346"/>
      <c r="L22" s="1346"/>
      <c r="P22" s="557"/>
      <c r="Q22" s="1346"/>
      <c r="R22" s="1346"/>
      <c r="S22" s="1346"/>
      <c r="T22" s="1346"/>
      <c r="U22" s="1346"/>
      <c r="V22" s="1346"/>
      <c r="W22" s="1346"/>
      <c r="X22" s="1346"/>
      <c r="Y22" s="1346"/>
      <c r="Z22" s="1346"/>
      <c r="AA22" s="1346"/>
    </row>
    <row r="23" spans="1:34" ht="16.350000000000001" customHeight="1">
      <c r="A23" s="829"/>
      <c r="B23" s="557"/>
      <c r="C23" s="1346"/>
      <c r="D23" s="1346"/>
      <c r="E23" s="1346"/>
      <c r="F23" s="1346"/>
      <c r="G23" s="1346"/>
      <c r="H23" s="1346"/>
      <c r="I23" s="1346"/>
      <c r="J23" s="1346"/>
      <c r="K23" s="1346"/>
      <c r="L23" s="1346"/>
      <c r="O23" s="829"/>
      <c r="P23" s="557"/>
      <c r="Q23" s="1346"/>
      <c r="R23" s="1346"/>
      <c r="S23" s="1346"/>
      <c r="T23" s="1346"/>
      <c r="U23" s="1346"/>
      <c r="V23" s="1346"/>
      <c r="W23" s="1346"/>
      <c r="X23" s="1346"/>
      <c r="Y23" s="1346"/>
      <c r="Z23" s="1346"/>
      <c r="AA23" s="1346"/>
    </row>
    <row r="24" spans="1:34" ht="16.350000000000001" customHeight="1">
      <c r="B24" s="557"/>
      <c r="C24" s="1011"/>
      <c r="D24" s="1011"/>
      <c r="E24" s="1011"/>
      <c r="F24" s="1011"/>
      <c r="G24" s="1011"/>
      <c r="H24" s="1011"/>
      <c r="I24" s="1011"/>
      <c r="J24" s="1011"/>
      <c r="K24" s="1011"/>
      <c r="L24" s="1011"/>
      <c r="P24" s="557"/>
      <c r="Q24" s="1346"/>
      <c r="R24" s="1346"/>
      <c r="S24" s="1346"/>
      <c r="T24" s="1346"/>
      <c r="U24" s="1346"/>
      <c r="V24" s="1346"/>
      <c r="W24" s="1346"/>
      <c r="X24" s="1346"/>
      <c r="Y24" s="1346"/>
      <c r="Z24" s="1346"/>
      <c r="AA24" s="1346"/>
    </row>
    <row r="25" spans="1:34" ht="18.3" customHeight="1">
      <c r="B25" s="557"/>
      <c r="C25" s="1015" t="s">
        <v>1851</v>
      </c>
      <c r="D25" s="1011"/>
      <c r="E25" s="1011"/>
      <c r="F25" s="1011"/>
      <c r="G25" s="1011"/>
      <c r="H25" s="1011"/>
      <c r="I25" s="1011"/>
      <c r="J25" s="1011"/>
      <c r="K25" s="1011"/>
      <c r="L25" s="1011"/>
      <c r="P25" s="557"/>
      <c r="Q25" s="1346"/>
      <c r="R25" s="1346"/>
      <c r="S25" s="1346"/>
      <c r="T25" s="1346"/>
      <c r="U25" s="1346"/>
      <c r="V25" s="1346"/>
      <c r="W25" s="1346"/>
      <c r="X25" s="1346"/>
      <c r="Y25" s="1346"/>
      <c r="Z25" s="1346"/>
      <c r="AA25" s="1346"/>
      <c r="AC25" s="497"/>
      <c r="AD25" s="497"/>
      <c r="AF25" s="497"/>
      <c r="AG25" s="497"/>
      <c r="AH25" s="497"/>
    </row>
    <row r="26" spans="1:34" ht="16.350000000000001" customHeight="1">
      <c r="B26" s="543"/>
      <c r="C26" s="1346" t="s">
        <v>1852</v>
      </c>
      <c r="D26" s="1346"/>
      <c r="E26" s="1346"/>
      <c r="F26" s="1346"/>
      <c r="G26" s="1346"/>
      <c r="H26" s="1346"/>
      <c r="I26" s="1346"/>
      <c r="J26" s="1346"/>
      <c r="K26" s="1346"/>
      <c r="L26" s="1346"/>
      <c r="P26" s="543"/>
      <c r="Q26" s="1346"/>
      <c r="R26" s="1346"/>
      <c r="S26" s="1346"/>
      <c r="T26" s="1346"/>
      <c r="U26" s="1346"/>
      <c r="V26" s="1346"/>
      <c r="W26" s="1346"/>
      <c r="X26" s="1346"/>
      <c r="Y26" s="1346"/>
      <c r="Z26" s="1346"/>
      <c r="AA26" s="1346"/>
      <c r="AC26" s="497"/>
      <c r="AD26" s="497"/>
      <c r="AF26" s="497"/>
      <c r="AG26" s="497"/>
      <c r="AH26" s="497"/>
    </row>
    <row r="27" spans="1:34" ht="16.350000000000001" customHeight="1">
      <c r="A27" s="829"/>
      <c r="B27" s="543"/>
      <c r="C27" s="1346"/>
      <c r="D27" s="1346"/>
      <c r="E27" s="1346"/>
      <c r="F27" s="1346"/>
      <c r="G27" s="1346"/>
      <c r="H27" s="1346"/>
      <c r="I27" s="1346"/>
      <c r="J27" s="1346"/>
      <c r="K27" s="1346"/>
      <c r="L27" s="1346"/>
      <c r="O27" s="829"/>
      <c r="P27" s="543"/>
      <c r="Q27" s="1346"/>
      <c r="R27" s="1346"/>
      <c r="S27" s="1346"/>
      <c r="T27" s="1346"/>
      <c r="U27" s="1346"/>
      <c r="V27" s="1346"/>
      <c r="W27" s="1346"/>
      <c r="X27" s="1346"/>
      <c r="Y27" s="1346"/>
      <c r="Z27" s="1346"/>
      <c r="AA27" s="1346"/>
    </row>
    <row r="28" spans="1:34" ht="16.350000000000001" customHeight="1">
      <c r="B28" s="543"/>
      <c r="C28" s="1346"/>
      <c r="D28" s="1346"/>
      <c r="E28" s="1346"/>
      <c r="F28" s="1346"/>
      <c r="G28" s="1346"/>
      <c r="H28" s="1346"/>
      <c r="I28" s="1346"/>
      <c r="J28" s="1346"/>
      <c r="K28" s="1346"/>
      <c r="L28" s="1346"/>
      <c r="P28" s="543"/>
      <c r="Q28" s="1346"/>
      <c r="R28" s="1346"/>
      <c r="S28" s="1346"/>
      <c r="T28" s="1346"/>
      <c r="U28" s="1346"/>
      <c r="V28" s="1346"/>
      <c r="W28" s="1346"/>
      <c r="X28" s="1346"/>
      <c r="Y28" s="1346"/>
      <c r="Z28" s="1346"/>
      <c r="AA28" s="1346"/>
      <c r="AC28" s="497"/>
      <c r="AD28" s="497"/>
      <c r="AF28" s="497"/>
      <c r="AG28" s="497"/>
      <c r="AH28" s="497"/>
    </row>
    <row r="29" spans="1:34" ht="16.350000000000001" customHeight="1">
      <c r="B29" s="543"/>
      <c r="C29" s="1346"/>
      <c r="D29" s="1346"/>
      <c r="E29" s="1346"/>
      <c r="F29" s="1346"/>
      <c r="G29" s="1346"/>
      <c r="H29" s="1346"/>
      <c r="I29" s="1346"/>
      <c r="J29" s="1346"/>
      <c r="K29" s="1346"/>
      <c r="L29" s="1346"/>
      <c r="P29" s="543"/>
      <c r="Q29" s="1346"/>
      <c r="R29" s="1346"/>
      <c r="S29" s="1346"/>
      <c r="T29" s="1346"/>
      <c r="U29" s="1346"/>
      <c r="V29" s="1346"/>
      <c r="W29" s="1346"/>
      <c r="X29" s="1346"/>
      <c r="Y29" s="1346"/>
      <c r="Z29" s="1346"/>
      <c r="AA29" s="1346"/>
      <c r="AC29" s="497"/>
      <c r="AD29" s="497"/>
      <c r="AF29" s="497"/>
      <c r="AG29" s="497"/>
      <c r="AH29" s="497"/>
    </row>
    <row r="30" spans="1:34" ht="16.350000000000001" customHeight="1">
      <c r="A30" s="829"/>
      <c r="B30" s="543"/>
      <c r="C30" s="1346"/>
      <c r="D30" s="1346"/>
      <c r="E30" s="1346"/>
      <c r="F30" s="1346"/>
      <c r="G30" s="1346"/>
      <c r="H30" s="1346"/>
      <c r="I30" s="1346"/>
      <c r="J30" s="1346"/>
      <c r="K30" s="1346"/>
      <c r="L30" s="1346"/>
      <c r="O30" s="829"/>
      <c r="P30" s="543"/>
      <c r="Q30" s="1346"/>
      <c r="R30" s="1346"/>
      <c r="S30" s="1346"/>
      <c r="T30" s="1346"/>
      <c r="U30" s="1346"/>
      <c r="V30" s="1346"/>
      <c r="W30" s="1346"/>
      <c r="X30" s="1346"/>
      <c r="Y30" s="1346"/>
      <c r="Z30" s="1346"/>
      <c r="AA30" s="1346"/>
    </row>
    <row r="31" spans="1:34" ht="16.350000000000001" customHeight="1">
      <c r="B31" s="543"/>
      <c r="C31" s="1346"/>
      <c r="D31" s="1346"/>
      <c r="E31" s="1346"/>
      <c r="F31" s="1346"/>
      <c r="G31" s="1346"/>
      <c r="H31" s="1346"/>
      <c r="I31" s="1346"/>
      <c r="J31" s="1346"/>
      <c r="K31" s="1346"/>
      <c r="L31" s="1346"/>
      <c r="P31" s="543"/>
      <c r="Q31" s="1346"/>
      <c r="R31" s="1346"/>
      <c r="S31" s="1346"/>
      <c r="T31" s="1346"/>
      <c r="U31" s="1346"/>
      <c r="V31" s="1346"/>
      <c r="W31" s="1346"/>
      <c r="X31" s="1346"/>
      <c r="Y31" s="1346"/>
      <c r="Z31" s="1346"/>
      <c r="AA31" s="1346"/>
    </row>
    <row r="32" spans="1:34" ht="16.350000000000001" customHeight="1">
      <c r="B32" s="825"/>
      <c r="C32" s="1346"/>
      <c r="D32" s="1346"/>
      <c r="E32" s="1346"/>
      <c r="F32" s="1346"/>
      <c r="G32" s="1346"/>
      <c r="H32" s="1346"/>
      <c r="I32" s="1346"/>
      <c r="J32" s="1346"/>
      <c r="K32" s="1346"/>
      <c r="L32" s="1346"/>
      <c r="P32" s="825"/>
      <c r="Q32" s="1346"/>
      <c r="R32" s="1346"/>
      <c r="S32" s="1346"/>
      <c r="T32" s="1346"/>
      <c r="U32" s="1346"/>
      <c r="V32" s="1346"/>
      <c r="W32" s="1346"/>
      <c r="X32" s="1346"/>
      <c r="Y32" s="1346"/>
      <c r="Z32" s="1346"/>
      <c r="AA32" s="1346"/>
    </row>
    <row r="33" spans="1:34" ht="16.350000000000001" customHeight="1">
      <c r="B33" s="543"/>
      <c r="C33" s="1346"/>
      <c r="D33" s="1346"/>
      <c r="E33" s="1346"/>
      <c r="F33" s="1346"/>
      <c r="G33" s="1346"/>
      <c r="H33" s="1346"/>
      <c r="I33" s="1346"/>
      <c r="J33" s="1346"/>
      <c r="K33" s="1346"/>
      <c r="L33" s="1346"/>
      <c r="P33" s="543"/>
      <c r="Q33" s="1346"/>
      <c r="R33" s="1346"/>
      <c r="S33" s="1346"/>
      <c r="T33" s="1346"/>
      <c r="U33" s="1346"/>
      <c r="V33" s="1346"/>
      <c r="W33" s="1346"/>
      <c r="X33" s="1346"/>
      <c r="Y33" s="1346"/>
      <c r="Z33" s="1346"/>
      <c r="AA33" s="1346"/>
    </row>
    <row r="34" spans="1:34" ht="16.350000000000001" customHeight="1">
      <c r="B34" s="543"/>
      <c r="C34" s="1346"/>
      <c r="D34" s="1346"/>
      <c r="E34" s="1346"/>
      <c r="F34" s="1346"/>
      <c r="G34" s="1346"/>
      <c r="H34" s="1346"/>
      <c r="I34" s="1346"/>
      <c r="J34" s="1346"/>
      <c r="K34" s="1346"/>
      <c r="L34" s="1346"/>
      <c r="P34" s="543"/>
      <c r="Q34" s="1346"/>
      <c r="R34" s="1346"/>
      <c r="S34" s="1346"/>
      <c r="T34" s="1346"/>
      <c r="U34" s="1346"/>
      <c r="V34" s="1346"/>
      <c r="W34" s="1346"/>
      <c r="X34" s="1346"/>
      <c r="Y34" s="1346"/>
      <c r="Z34" s="1346"/>
      <c r="AA34" s="1346"/>
    </row>
    <row r="35" spans="1:34" ht="16.350000000000001" customHeight="1">
      <c r="A35" s="829"/>
      <c r="B35" s="543"/>
      <c r="C35" s="1346"/>
      <c r="D35" s="1346"/>
      <c r="E35" s="1346"/>
      <c r="F35" s="1346"/>
      <c r="G35" s="1346"/>
      <c r="H35" s="1346"/>
      <c r="I35" s="1346"/>
      <c r="J35" s="1346"/>
      <c r="K35" s="1346"/>
      <c r="L35" s="1346"/>
      <c r="O35" s="829"/>
      <c r="P35" s="543"/>
      <c r="Q35" s="1346"/>
      <c r="R35" s="1346"/>
      <c r="S35" s="1346"/>
      <c r="T35" s="1346"/>
      <c r="U35" s="1346"/>
      <c r="V35" s="1346"/>
      <c r="W35" s="1346"/>
      <c r="X35" s="1346"/>
      <c r="Y35" s="1346"/>
      <c r="Z35" s="1346"/>
      <c r="AA35" s="1346"/>
    </row>
    <row r="36" spans="1:34" ht="16.350000000000001" customHeight="1">
      <c r="B36" s="543"/>
      <c r="C36" s="1346"/>
      <c r="D36" s="1346"/>
      <c r="E36" s="1346"/>
      <c r="F36" s="1346"/>
      <c r="G36" s="1346"/>
      <c r="H36" s="1346"/>
      <c r="I36" s="1346"/>
      <c r="J36" s="1346"/>
      <c r="K36" s="1346"/>
      <c r="L36" s="1346"/>
      <c r="P36" s="543"/>
      <c r="Q36" s="1346"/>
      <c r="R36" s="1346"/>
      <c r="S36" s="1346"/>
      <c r="T36" s="1346"/>
      <c r="U36" s="1346"/>
      <c r="V36" s="1346"/>
      <c r="W36" s="1346"/>
      <c r="X36" s="1346"/>
      <c r="Y36" s="1346"/>
      <c r="Z36" s="1346"/>
      <c r="AA36" s="1346"/>
    </row>
    <row r="37" spans="1:34" ht="16.350000000000001" customHeight="1">
      <c r="B37" s="543"/>
      <c r="C37" s="1346"/>
      <c r="D37" s="1346"/>
      <c r="E37" s="1346"/>
      <c r="F37" s="1346"/>
      <c r="G37" s="1346"/>
      <c r="H37" s="1346"/>
      <c r="I37" s="1346"/>
      <c r="J37" s="1346"/>
      <c r="K37" s="1346"/>
      <c r="L37" s="1346"/>
      <c r="P37" s="543"/>
      <c r="Q37" s="1346"/>
      <c r="R37" s="1346"/>
      <c r="S37" s="1346"/>
      <c r="T37" s="1346"/>
      <c r="U37" s="1346"/>
      <c r="V37" s="1346"/>
      <c r="W37" s="1346"/>
      <c r="X37" s="1346"/>
      <c r="Y37" s="1346"/>
      <c r="Z37" s="1346"/>
      <c r="AA37" s="1346"/>
    </row>
    <row r="38" spans="1:34" ht="16.350000000000001" customHeight="1">
      <c r="B38" s="543"/>
      <c r="C38" s="1346"/>
      <c r="D38" s="1346"/>
      <c r="E38" s="1346"/>
      <c r="F38" s="1346"/>
      <c r="G38" s="1346"/>
      <c r="H38" s="1346"/>
      <c r="I38" s="1346"/>
      <c r="J38" s="1346"/>
      <c r="K38" s="1346"/>
      <c r="L38" s="1346"/>
      <c r="P38" s="543"/>
      <c r="Q38" s="1346"/>
      <c r="R38" s="1346"/>
      <c r="S38" s="1346"/>
      <c r="T38" s="1346"/>
      <c r="U38" s="1346"/>
      <c r="V38" s="1346"/>
      <c r="W38" s="1346"/>
      <c r="X38" s="1346"/>
      <c r="Y38" s="1346"/>
      <c r="Z38" s="1346"/>
      <c r="AA38" s="1346"/>
    </row>
    <row r="39" spans="1:34" ht="11.25" customHeight="1">
      <c r="B39" s="543"/>
      <c r="C39" s="1346"/>
      <c r="D39" s="1346"/>
      <c r="E39" s="1346"/>
      <c r="F39" s="1346"/>
      <c r="G39" s="1346"/>
      <c r="H39" s="1346"/>
      <c r="I39" s="1346"/>
      <c r="J39" s="1346"/>
      <c r="K39" s="1346"/>
      <c r="L39" s="1346"/>
      <c r="P39" s="543"/>
      <c r="Q39" s="1346"/>
      <c r="R39" s="1346"/>
      <c r="S39" s="1346"/>
      <c r="T39" s="1346"/>
      <c r="U39" s="1346"/>
      <c r="V39" s="1346"/>
      <c r="W39" s="1346"/>
      <c r="X39" s="1346"/>
      <c r="Y39" s="1346"/>
      <c r="Z39" s="1346"/>
      <c r="AA39" s="1346"/>
    </row>
    <row r="40" spans="1:34" s="833" customFormat="1" ht="14.25" customHeight="1">
      <c r="B40" s="836"/>
      <c r="C40" s="1346"/>
      <c r="D40" s="1346"/>
      <c r="E40" s="1346"/>
      <c r="F40" s="1346"/>
      <c r="G40" s="1346"/>
      <c r="H40" s="1346"/>
      <c r="I40" s="1346"/>
      <c r="J40" s="1346"/>
      <c r="K40" s="1346"/>
      <c r="L40" s="1346"/>
      <c r="P40" s="836"/>
      <c r="Q40" s="1346"/>
      <c r="R40" s="1346"/>
      <c r="S40" s="1346"/>
      <c r="T40" s="1346"/>
      <c r="U40" s="1346"/>
      <c r="V40" s="1346"/>
      <c r="W40" s="1346"/>
      <c r="X40" s="1346"/>
      <c r="Y40" s="1346"/>
      <c r="Z40" s="1346"/>
      <c r="AA40" s="1346"/>
    </row>
    <row r="41" spans="1:34" s="833" customFormat="1" ht="14.25" customHeight="1">
      <c r="B41" s="836"/>
      <c r="C41" s="1346"/>
      <c r="D41" s="1346"/>
      <c r="E41" s="1346"/>
      <c r="F41" s="1346"/>
      <c r="G41" s="1346"/>
      <c r="H41" s="1346"/>
      <c r="I41" s="1346"/>
      <c r="J41" s="1346"/>
      <c r="K41" s="1346"/>
      <c r="L41" s="1346"/>
      <c r="P41" s="836"/>
      <c r="Q41" s="1346"/>
      <c r="R41" s="1346"/>
      <c r="S41" s="1346"/>
      <c r="T41" s="1346"/>
      <c r="U41" s="1346"/>
      <c r="V41" s="1346"/>
      <c r="W41" s="1346"/>
      <c r="X41" s="1346"/>
      <c r="Y41" s="1346"/>
      <c r="Z41" s="1346"/>
      <c r="AA41" s="1346"/>
      <c r="AC41" s="838"/>
      <c r="AD41" s="838"/>
      <c r="AF41" s="838"/>
      <c r="AG41" s="838"/>
      <c r="AH41" s="838"/>
    </row>
    <row r="42" spans="1:34" ht="16.350000000000001" customHeight="1">
      <c r="A42" s="829"/>
      <c r="B42" s="544"/>
      <c r="C42" s="1346"/>
      <c r="D42" s="1346"/>
      <c r="E42" s="1346"/>
      <c r="F42" s="1346"/>
      <c r="G42" s="1346"/>
      <c r="H42" s="1346"/>
      <c r="I42" s="1346"/>
      <c r="J42" s="1346"/>
      <c r="K42" s="1346"/>
      <c r="L42" s="1346"/>
      <c r="O42" s="829"/>
      <c r="P42" s="544"/>
      <c r="Q42" s="1346"/>
      <c r="R42" s="1346"/>
      <c r="S42" s="1346"/>
      <c r="T42" s="1346"/>
      <c r="U42" s="1346"/>
      <c r="V42" s="1346"/>
      <c r="W42" s="1346"/>
      <c r="X42" s="1346"/>
      <c r="Y42" s="1346"/>
      <c r="Z42" s="1346"/>
      <c r="AA42" s="1346"/>
      <c r="AC42" s="497"/>
      <c r="AD42" s="497"/>
      <c r="AF42" s="497"/>
      <c r="AG42" s="497"/>
      <c r="AH42" s="497"/>
    </row>
    <row r="43" spans="1:34" ht="16.350000000000001" customHeight="1">
      <c r="B43" s="341"/>
      <c r="C43" s="1346"/>
      <c r="D43" s="1346"/>
      <c r="E43" s="1346"/>
      <c r="F43" s="1346"/>
      <c r="G43" s="1346"/>
      <c r="H43" s="1346"/>
      <c r="I43" s="1346"/>
      <c r="J43" s="1346"/>
      <c r="K43" s="1346"/>
      <c r="L43" s="1346"/>
      <c r="P43" s="341"/>
      <c r="Q43" s="1346"/>
      <c r="R43" s="1346"/>
      <c r="S43" s="1346"/>
      <c r="T43" s="1346"/>
      <c r="U43" s="1346"/>
      <c r="V43" s="1346"/>
      <c r="W43" s="1346"/>
      <c r="X43" s="1346"/>
      <c r="Y43" s="1346"/>
      <c r="Z43" s="1346"/>
      <c r="AA43" s="1346"/>
    </row>
    <row r="44" spans="1:34" ht="16.350000000000001" customHeight="1">
      <c r="B44" s="341"/>
      <c r="C44" s="1346"/>
      <c r="D44" s="1346"/>
      <c r="E44" s="1346"/>
      <c r="F44" s="1346"/>
      <c r="G44" s="1346"/>
      <c r="H44" s="1346"/>
      <c r="I44" s="1346"/>
      <c r="J44" s="1346"/>
      <c r="K44" s="1346"/>
      <c r="L44" s="1346"/>
      <c r="P44" s="341"/>
      <c r="Q44" s="1346"/>
      <c r="R44" s="1346"/>
      <c r="S44" s="1346"/>
      <c r="T44" s="1346"/>
      <c r="U44" s="1346"/>
      <c r="V44" s="1346"/>
      <c r="W44" s="1346"/>
      <c r="X44" s="1346"/>
      <c r="Y44" s="1346"/>
      <c r="Z44" s="1346"/>
      <c r="AA44" s="1346"/>
    </row>
    <row r="45" spans="1:34" ht="16.350000000000001" customHeight="1">
      <c r="B45" s="341"/>
      <c r="C45" s="1346"/>
      <c r="D45" s="1346"/>
      <c r="E45" s="1346"/>
      <c r="F45" s="1346"/>
      <c r="G45" s="1346"/>
      <c r="H45" s="1346"/>
      <c r="I45" s="1346"/>
      <c r="J45" s="1346"/>
      <c r="K45" s="1346"/>
      <c r="L45" s="1346"/>
      <c r="P45" s="341"/>
      <c r="Q45" s="558"/>
      <c r="R45" s="558"/>
      <c r="S45" s="558"/>
      <c r="T45" s="558"/>
      <c r="U45" s="558"/>
      <c r="V45" s="558"/>
      <c r="W45" s="558"/>
      <c r="X45" s="558"/>
      <c r="Y45" s="558"/>
      <c r="Z45" s="558"/>
    </row>
    <row r="46" spans="1:34" ht="16.2">
      <c r="B46" s="341"/>
      <c r="C46" s="1346"/>
      <c r="D46" s="1346"/>
      <c r="E46" s="1346"/>
      <c r="F46" s="1346"/>
      <c r="G46" s="1346"/>
      <c r="H46" s="1346"/>
      <c r="I46" s="1346"/>
      <c r="J46" s="1346"/>
      <c r="K46" s="1346"/>
      <c r="L46" s="1346"/>
      <c r="P46" s="341"/>
      <c r="Q46" s="558"/>
      <c r="R46" s="558"/>
      <c r="S46" s="558"/>
      <c r="T46" s="558"/>
      <c r="U46" s="558"/>
      <c r="V46" s="558"/>
      <c r="W46" s="558"/>
      <c r="X46" s="558"/>
      <c r="Y46" s="558"/>
      <c r="Z46" s="558"/>
    </row>
    <row r="47" spans="1:34" ht="16.2">
      <c r="B47" s="341"/>
      <c r="C47" s="575"/>
      <c r="D47" s="575"/>
      <c r="E47" s="575"/>
      <c r="P47" s="341"/>
      <c r="Q47" s="575"/>
      <c r="R47" s="575"/>
      <c r="S47" s="575"/>
    </row>
    <row r="48" spans="1:34" ht="16.2">
      <c r="B48" s="341"/>
      <c r="C48" s="575" t="s">
        <v>540</v>
      </c>
      <c r="D48" s="575" t="s">
        <v>541</v>
      </c>
      <c r="E48" s="575"/>
      <c r="F48" s="575" t="s">
        <v>539</v>
      </c>
      <c r="M48" s="1000" t="s">
        <v>1853</v>
      </c>
      <c r="P48" s="341"/>
      <c r="Q48" s="575" t="s">
        <v>540</v>
      </c>
      <c r="R48" s="575" t="s">
        <v>541</v>
      </c>
      <c r="S48" s="575"/>
      <c r="T48" s="575" t="s">
        <v>539</v>
      </c>
      <c r="AA48" s="1000" t="s">
        <v>1854</v>
      </c>
    </row>
  </sheetData>
  <mergeCells count="9">
    <mergeCell ref="V5:Z5"/>
    <mergeCell ref="Y6:Z6"/>
    <mergeCell ref="Y8:Z8"/>
    <mergeCell ref="Q12:AA44"/>
    <mergeCell ref="C26:L46"/>
    <mergeCell ref="K6:L6"/>
    <mergeCell ref="K8:L8"/>
    <mergeCell ref="H5:L5"/>
    <mergeCell ref="C12:L23"/>
  </mergeCells>
  <phoneticPr fontId="117" type="noConversion"/>
  <pageMargins left="0.5" right="0.5" top="0.33" bottom="0.13" header="0.44" footer="0.5"/>
  <pageSetup scale="97" orientation="portrait" r:id="rId1"/>
  <colBreaks count="1" manualBreakCount="1">
    <brk id="14" max="80"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rgb="FFA0F4F4"/>
  </sheetPr>
  <dimension ref="A1:AG52"/>
  <sheetViews>
    <sheetView showGridLines="0" view="pageLayout" topLeftCell="A34" zoomScaleNormal="100" workbookViewId="0">
      <selection activeCell="AC1" sqref="AC1:AZ1048576"/>
    </sheetView>
  </sheetViews>
  <sheetFormatPr defaultColWidth="0" defaultRowHeight="0" customHeight="1" zeroHeight="1"/>
  <cols>
    <col min="1" max="1" width="1.109375" style="183" customWidth="1"/>
    <col min="2" max="2" width="9.33203125" style="183" customWidth="1"/>
    <col min="3" max="3" width="4.6640625" style="183" customWidth="1"/>
    <col min="4" max="4" width="10.33203125" style="183" customWidth="1"/>
    <col min="5" max="5" width="5.6640625" style="183" customWidth="1"/>
    <col min="6" max="6" width="5.109375" style="183" customWidth="1"/>
    <col min="7" max="7" width="16" style="183" customWidth="1"/>
    <col min="8" max="8" width="13.77734375" style="183" customWidth="1"/>
    <col min="9" max="11" width="9.33203125" style="183" customWidth="1"/>
    <col min="12" max="12" width="9.33203125" customWidth="1"/>
  </cols>
  <sheetData>
    <row r="1" spans="1:14" ht="15.6">
      <c r="A1" s="185"/>
      <c r="B1" s="185"/>
      <c r="C1" s="185"/>
      <c r="D1" s="185"/>
      <c r="E1" s="185"/>
      <c r="F1" s="185"/>
      <c r="G1" s="185"/>
      <c r="H1" s="181"/>
      <c r="I1" s="181"/>
      <c r="J1" s="181"/>
      <c r="K1" s="181"/>
    </row>
    <row r="2" spans="1:14" ht="15.6">
      <c r="A2" s="185"/>
      <c r="B2" s="185"/>
      <c r="C2" s="185"/>
      <c r="D2" s="185"/>
      <c r="E2" s="185"/>
      <c r="F2" s="185"/>
      <c r="G2" s="185"/>
      <c r="H2" s="181"/>
      <c r="I2" s="181"/>
      <c r="J2" s="181"/>
      <c r="K2" s="181"/>
    </row>
    <row r="3" spans="1:14" ht="15.6">
      <c r="A3" s="185"/>
      <c r="B3" s="185"/>
      <c r="C3" s="185"/>
      <c r="D3" s="185"/>
      <c r="E3" s="185"/>
      <c r="F3" s="185"/>
      <c r="G3" s="185"/>
      <c r="H3" s="181"/>
      <c r="I3" s="181"/>
      <c r="J3" s="181"/>
      <c r="K3" s="181"/>
    </row>
    <row r="4" spans="1:14" ht="15.6">
      <c r="A4" s="185"/>
      <c r="B4" s="185"/>
      <c r="C4" s="185"/>
      <c r="D4" s="185"/>
      <c r="E4" s="185"/>
      <c r="F4" s="185"/>
      <c r="G4" s="185"/>
      <c r="H4" s="181"/>
      <c r="I4" s="181"/>
      <c r="J4" s="181"/>
      <c r="K4" s="181"/>
    </row>
    <row r="5" spans="1:14" ht="15.6">
      <c r="A5" s="185"/>
      <c r="B5" s="185"/>
      <c r="C5" s="185"/>
      <c r="D5" s="185"/>
      <c r="E5" s="185"/>
      <c r="F5" s="185"/>
      <c r="G5" s="185"/>
      <c r="H5" s="181"/>
      <c r="I5" s="181"/>
      <c r="J5" s="181"/>
      <c r="K5" s="181"/>
    </row>
    <row r="6" spans="1:14" ht="15.6">
      <c r="A6" s="185"/>
      <c r="B6" s="1348"/>
      <c r="C6" s="1348"/>
      <c r="D6" s="1348"/>
      <c r="E6" s="1347"/>
      <c r="F6" s="1347"/>
      <c r="G6" s="1347"/>
      <c r="H6" s="181"/>
      <c r="I6" s="181"/>
      <c r="J6" s="181"/>
      <c r="K6" s="181"/>
    </row>
    <row r="7" spans="1:14" ht="18" customHeight="1">
      <c r="A7" s="185"/>
      <c r="B7" s="185"/>
      <c r="C7" s="185"/>
      <c r="D7" s="185"/>
      <c r="E7" s="185"/>
      <c r="F7" s="185"/>
      <c r="G7" s="185"/>
      <c r="H7" s="181"/>
      <c r="I7" s="181"/>
      <c r="J7" s="181"/>
      <c r="K7" s="181"/>
    </row>
    <row r="8" spans="1:14" ht="12.75" customHeight="1">
      <c r="A8" s="185"/>
      <c r="B8" s="185"/>
      <c r="C8" s="185"/>
      <c r="D8" s="185"/>
      <c r="E8" s="185"/>
      <c r="F8" s="185"/>
      <c r="G8" s="185"/>
      <c r="H8" s="181"/>
      <c r="I8" s="181"/>
      <c r="J8" s="181"/>
      <c r="K8" s="181"/>
    </row>
    <row r="9" spans="1:14" ht="15.75" customHeight="1">
      <c r="A9" s="185"/>
      <c r="B9" s="185"/>
      <c r="C9" s="185"/>
      <c r="D9" s="185"/>
      <c r="E9" s="185"/>
      <c r="F9" s="185"/>
      <c r="G9" s="185"/>
      <c r="H9" s="181"/>
      <c r="I9" s="181"/>
      <c r="J9" s="181"/>
      <c r="K9" s="181"/>
    </row>
    <row r="10" spans="1:14" ht="15.75" customHeight="1">
      <c r="A10" s="185"/>
      <c r="B10" s="185"/>
      <c r="C10" s="185"/>
      <c r="D10" s="185"/>
      <c r="E10" s="185"/>
      <c r="F10" s="185"/>
      <c r="G10" s="185"/>
      <c r="H10" s="181"/>
      <c r="I10" s="181"/>
      <c r="J10" s="181"/>
      <c r="K10" s="181"/>
    </row>
    <row r="11" spans="1:14" ht="15.6">
      <c r="A11" s="185"/>
      <c r="B11" s="185"/>
      <c r="C11" s="185"/>
      <c r="D11" s="185"/>
      <c r="E11" s="185"/>
      <c r="F11" s="185"/>
      <c r="G11" s="185"/>
      <c r="H11" s="181"/>
      <c r="I11" s="181"/>
      <c r="J11" s="181"/>
      <c r="K11" s="181"/>
    </row>
    <row r="12" spans="1:14" ht="18" customHeight="1">
      <c r="A12" s="185"/>
      <c r="B12" s="185"/>
      <c r="C12" s="185"/>
      <c r="D12" s="185"/>
      <c r="E12" s="185"/>
      <c r="F12" s="185"/>
      <c r="G12" s="185"/>
      <c r="H12" s="181"/>
      <c r="I12" s="181"/>
      <c r="J12" s="181"/>
      <c r="K12" s="181"/>
    </row>
    <row r="13" spans="1:14" ht="12.75" customHeight="1">
      <c r="A13" s="185"/>
      <c r="B13" s="185"/>
      <c r="C13" s="185"/>
      <c r="D13" s="185"/>
      <c r="E13" s="185"/>
      <c r="F13" s="185"/>
      <c r="G13" s="185"/>
      <c r="H13" s="181"/>
      <c r="I13" s="181"/>
      <c r="J13" s="181"/>
      <c r="K13" s="181"/>
      <c r="N13"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2.75" customHeight="1">
      <c r="A14" s="185"/>
      <c r="B14" s="185"/>
      <c r="C14" s="185"/>
      <c r="D14" s="707" t="s">
        <v>1211</v>
      </c>
      <c r="E14" s="185"/>
      <c r="F14" s="185"/>
      <c r="G14" s="185"/>
      <c r="H14" s="181"/>
      <c r="I14" s="181"/>
      <c r="J14" s="181"/>
      <c r="K14" s="181"/>
      <c r="N14"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2.75" customHeight="1">
      <c r="A15" s="185"/>
      <c r="B15" s="185"/>
      <c r="C15" s="185"/>
      <c r="D15" s="708" t="s">
        <v>1212</v>
      </c>
      <c r="E15" s="185"/>
      <c r="F15" s="185"/>
      <c r="G15" s="185"/>
      <c r="H15" s="181"/>
      <c r="I15" s="181"/>
      <c r="J15" s="181"/>
      <c r="K15" s="181"/>
    </row>
    <row r="16" spans="1:14" ht="12.75" customHeight="1">
      <c r="A16" s="185"/>
      <c r="B16" s="185"/>
      <c r="C16" s="185"/>
      <c r="D16" s="708" t="s">
        <v>774</v>
      </c>
      <c r="E16" s="185"/>
      <c r="F16" s="185"/>
      <c r="G16" s="185"/>
      <c r="H16" s="181"/>
      <c r="I16" s="181"/>
      <c r="J16" s="181"/>
      <c r="K16" s="181"/>
    </row>
    <row r="17" spans="1:33" ht="16.2">
      <c r="A17" s="185"/>
      <c r="B17" s="185"/>
      <c r="C17" s="185"/>
      <c r="D17" s="954" t="s">
        <v>1671</v>
      </c>
      <c r="E17" s="185"/>
      <c r="F17" s="185"/>
      <c r="G17" s="185"/>
      <c r="H17" s="181"/>
      <c r="I17" s="181"/>
      <c r="J17" s="181"/>
      <c r="K17" s="181"/>
    </row>
    <row r="18" spans="1:33" ht="18" customHeight="1">
      <c r="A18" s="185"/>
      <c r="B18" s="185"/>
      <c r="C18" s="185"/>
      <c r="D18" s="185"/>
      <c r="E18" s="185"/>
      <c r="F18" s="185"/>
      <c r="G18" s="185"/>
      <c r="H18" s="181"/>
      <c r="I18" s="181"/>
      <c r="J18" s="181"/>
      <c r="K18" s="181"/>
    </row>
    <row r="19" spans="1:33" ht="12.75" customHeight="1">
      <c r="A19" s="185"/>
      <c r="B19" s="185"/>
      <c r="C19" s="185"/>
      <c r="D19" s="188"/>
      <c r="E19" s="185"/>
      <c r="F19" s="185"/>
      <c r="G19" s="185"/>
      <c r="H19" s="181"/>
      <c r="I19" s="181"/>
      <c r="J19" s="181"/>
      <c r="K19" s="181"/>
    </row>
    <row r="20" spans="1:33" ht="12.75" customHeight="1">
      <c r="A20" s="185"/>
      <c r="B20" s="185"/>
      <c r="C20" s="1351"/>
      <c r="D20" s="1351"/>
      <c r="E20" s="1351"/>
      <c r="F20" s="185"/>
      <c r="G20" s="185"/>
      <c r="H20" s="182"/>
      <c r="I20" s="181"/>
      <c r="J20" s="181"/>
      <c r="K20" s="181"/>
    </row>
    <row r="21" spans="1:33" ht="12.75" customHeight="1">
      <c r="A21" s="185"/>
      <c r="B21" s="185"/>
      <c r="C21" s="1351"/>
      <c r="D21" s="1351"/>
      <c r="E21" s="1351"/>
      <c r="F21" s="185"/>
      <c r="G21" s="185"/>
      <c r="H21" s="181"/>
      <c r="I21" s="181"/>
      <c r="J21" s="181"/>
      <c r="K21" s="181"/>
    </row>
    <row r="22" spans="1:33" ht="12.75" customHeight="1">
      <c r="A22" s="185"/>
      <c r="B22" s="186"/>
      <c r="C22" s="1351"/>
      <c r="D22" s="1351"/>
      <c r="E22" s="1351"/>
      <c r="F22" s="185"/>
      <c r="G22" s="185"/>
      <c r="H22" s="181"/>
      <c r="I22" s="181"/>
      <c r="J22" s="181"/>
      <c r="K22" s="181"/>
    </row>
    <row r="23" spans="1:33" ht="12.75" customHeight="1">
      <c r="A23" s="185"/>
      <c r="B23" s="185"/>
      <c r="C23" s="185"/>
      <c r="D23" s="185"/>
      <c r="E23" s="185"/>
      <c r="F23" s="185"/>
      <c r="G23" s="185"/>
      <c r="H23" s="181"/>
      <c r="I23" s="181"/>
      <c r="J23" s="181"/>
      <c r="K23" s="181"/>
      <c r="X23" s="85"/>
      <c r="Y23" s="85"/>
      <c r="Z23" s="85"/>
      <c r="AA23" s="85"/>
      <c r="AB23" s="85"/>
      <c r="AC23" s="85"/>
      <c r="AE23" s="85"/>
      <c r="AF23" s="85"/>
      <c r="AG23" s="85"/>
    </row>
    <row r="24" spans="1:33" ht="12.75" customHeight="1">
      <c r="A24" s="185"/>
      <c r="B24" s="989" t="s">
        <v>1794</v>
      </c>
      <c r="C24" s="185"/>
      <c r="D24" s="185"/>
      <c r="E24" s="185"/>
      <c r="F24" s="185"/>
      <c r="G24" s="185"/>
      <c r="H24" s="181"/>
      <c r="I24" s="181"/>
      <c r="J24" s="181"/>
      <c r="K24" s="181"/>
      <c r="X24" s="85"/>
      <c r="Y24" s="85"/>
      <c r="Z24" s="85"/>
      <c r="AA24" s="85"/>
      <c r="AB24" s="85"/>
      <c r="AC24" s="85"/>
      <c r="AE24" s="85"/>
      <c r="AF24" s="85"/>
      <c r="AG24" s="85"/>
    </row>
    <row r="25" spans="1:33" ht="16.2">
      <c r="A25" s="185"/>
      <c r="B25" s="709" t="s">
        <v>1795</v>
      </c>
      <c r="C25" s="185"/>
      <c r="D25" s="185"/>
      <c r="E25" s="185"/>
      <c r="F25" s="185"/>
      <c r="G25" s="185"/>
      <c r="H25" s="181"/>
      <c r="I25" s="181"/>
      <c r="J25" s="181"/>
      <c r="K25" s="181"/>
    </row>
    <row r="26" spans="1:33" ht="16.2">
      <c r="A26" s="185"/>
      <c r="B26" s="709" t="s">
        <v>1796</v>
      </c>
      <c r="C26" s="185"/>
      <c r="D26" s="185"/>
      <c r="E26" s="185"/>
      <c r="F26" s="185"/>
      <c r="G26" s="185"/>
      <c r="H26" s="181"/>
      <c r="I26" s="181"/>
      <c r="J26" s="181"/>
      <c r="K26" s="181"/>
    </row>
    <row r="27" spans="1:33" ht="16.2">
      <c r="A27" s="185"/>
      <c r="B27" s="709" t="s">
        <v>1797</v>
      </c>
      <c r="C27" s="185"/>
      <c r="D27" s="185"/>
      <c r="E27" s="185"/>
      <c r="F27" s="185"/>
      <c r="G27" s="185"/>
      <c r="H27" s="181"/>
      <c r="I27" s="181"/>
      <c r="J27" s="181"/>
      <c r="K27" s="181"/>
      <c r="X27" s="85"/>
      <c r="Y27" s="85"/>
      <c r="Z27" s="85"/>
      <c r="AA27" s="85"/>
      <c r="AB27" s="85"/>
      <c r="AC27" s="85"/>
      <c r="AE27" s="85"/>
      <c r="AF27" s="85"/>
      <c r="AG27" s="85"/>
    </row>
    <row r="28" spans="1:33" ht="16.2">
      <c r="A28" s="185"/>
      <c r="B28" s="709" t="s">
        <v>1205</v>
      </c>
      <c r="C28" s="185"/>
      <c r="D28" s="185"/>
      <c r="E28" s="185"/>
      <c r="F28" s="185"/>
      <c r="G28" s="185"/>
      <c r="H28" s="181"/>
      <c r="I28" s="181"/>
      <c r="J28" s="181"/>
      <c r="K28" s="181"/>
      <c r="X28" s="85"/>
      <c r="Y28" s="85"/>
      <c r="Z28" s="85"/>
      <c r="AA28" s="85"/>
      <c r="AB28" s="85"/>
      <c r="AC28" s="85"/>
      <c r="AE28" s="85"/>
      <c r="AF28" s="85"/>
      <c r="AG28" s="85"/>
    </row>
    <row r="29" spans="1:33" ht="16.2">
      <c r="A29" s="185"/>
      <c r="B29" s="709" t="s">
        <v>1213</v>
      </c>
      <c r="C29" s="185"/>
      <c r="D29" s="185"/>
      <c r="E29" s="185"/>
      <c r="F29" s="185"/>
      <c r="G29" s="185"/>
      <c r="H29" s="181"/>
      <c r="I29" s="181"/>
      <c r="J29" s="181"/>
      <c r="K29" s="181"/>
    </row>
    <row r="30" spans="1:33" ht="16.2">
      <c r="A30" s="185"/>
      <c r="B30" s="709" t="s">
        <v>1214</v>
      </c>
      <c r="C30" s="185"/>
      <c r="D30" s="185"/>
      <c r="E30" s="185"/>
      <c r="F30" s="185"/>
      <c r="G30" s="185"/>
      <c r="H30" s="181"/>
      <c r="I30" s="181"/>
      <c r="J30" s="181"/>
      <c r="K30" s="181"/>
    </row>
    <row r="31" spans="1:33" ht="16.2">
      <c r="A31" s="185"/>
      <c r="B31" s="709" t="s">
        <v>1215</v>
      </c>
      <c r="C31" s="185"/>
      <c r="D31" s="185"/>
      <c r="E31" s="185"/>
      <c r="F31" s="185"/>
      <c r="G31" s="185"/>
      <c r="H31" s="181"/>
      <c r="I31" s="181"/>
      <c r="J31" s="181"/>
      <c r="K31" s="181"/>
    </row>
    <row r="32" spans="1:33" ht="12.75" customHeight="1">
      <c r="A32" s="185"/>
      <c r="B32" s="710" t="s">
        <v>773</v>
      </c>
      <c r="C32" s="185"/>
      <c r="D32" s="185"/>
      <c r="E32" s="185"/>
      <c r="F32" s="185"/>
      <c r="G32" s="185"/>
      <c r="H32" s="181"/>
      <c r="I32" s="181"/>
      <c r="J32" s="181"/>
      <c r="K32" s="181"/>
    </row>
    <row r="33" spans="1:33" ht="12.75" customHeight="1">
      <c r="A33" s="185"/>
      <c r="B33" s="187"/>
      <c r="C33" s="185"/>
      <c r="D33" s="185"/>
      <c r="E33" s="185"/>
      <c r="F33" s="185"/>
      <c r="G33" s="185"/>
      <c r="H33" s="181"/>
      <c r="I33" s="181"/>
      <c r="J33" s="181"/>
      <c r="K33" s="181"/>
    </row>
    <row r="34" spans="1:33" ht="15.6">
      <c r="A34" s="184"/>
      <c r="B34" s="184"/>
      <c r="C34" s="184"/>
      <c r="D34" s="184"/>
      <c r="E34" s="184"/>
      <c r="F34" s="184"/>
      <c r="G34" s="184"/>
      <c r="H34" s="184"/>
      <c r="I34" s="184"/>
      <c r="J34" s="184"/>
      <c r="K34" s="184"/>
    </row>
    <row r="35" spans="1:33" ht="15.6"/>
    <row r="36" spans="1:33" ht="16.2">
      <c r="A36" s="181"/>
      <c r="B36" s="1350" t="s">
        <v>1216</v>
      </c>
      <c r="C36" s="1350"/>
      <c r="D36" s="1350"/>
      <c r="E36" s="1350"/>
      <c r="F36" s="1350"/>
      <c r="G36" s="1350"/>
      <c r="H36" s="527"/>
      <c r="I36" s="341"/>
      <c r="J36" s="527"/>
      <c r="K36" s="527"/>
    </row>
    <row r="37" spans="1:33" ht="12.75" customHeight="1">
      <c r="A37" s="181"/>
      <c r="B37" s="1350"/>
      <c r="C37" s="1350"/>
      <c r="D37" s="1350"/>
      <c r="E37" s="1350"/>
      <c r="F37" s="1350"/>
      <c r="G37" s="1350"/>
      <c r="H37" s="527"/>
      <c r="I37" s="527" t="s">
        <v>476</v>
      </c>
      <c r="J37" s="511"/>
      <c r="K37" s="511"/>
    </row>
    <row r="38" spans="1:33" ht="16.2">
      <c r="A38" s="181"/>
      <c r="B38" s="527" t="s">
        <v>771</v>
      </c>
      <c r="C38" s="511"/>
      <c r="D38" s="511"/>
      <c r="E38" s="511"/>
      <c r="F38" s="511"/>
      <c r="G38" s="511"/>
      <c r="H38" s="511"/>
      <c r="I38" s="511"/>
      <c r="J38" s="511"/>
      <c r="K38" s="511"/>
    </row>
    <row r="39" spans="1:33" ht="16.2">
      <c r="A39" s="181"/>
      <c r="B39" s="527" t="s">
        <v>770</v>
      </c>
      <c r="C39" s="511"/>
      <c r="D39" s="511"/>
      <c r="E39" s="511"/>
      <c r="F39" s="511"/>
      <c r="G39" s="511"/>
      <c r="H39" s="511"/>
      <c r="I39" s="511"/>
      <c r="J39" s="511"/>
      <c r="K39" s="511"/>
    </row>
    <row r="40" spans="1:33" ht="16.2">
      <c r="A40" s="181"/>
      <c r="B40" s="527" t="s">
        <v>769</v>
      </c>
      <c r="C40" s="511"/>
      <c r="D40" s="511"/>
      <c r="E40" s="511"/>
      <c r="F40" s="511"/>
      <c r="G40" s="511"/>
      <c r="H40" s="511"/>
      <c r="I40" s="511"/>
      <c r="J40" s="511"/>
      <c r="K40" s="511"/>
      <c r="X40" s="85"/>
      <c r="Y40" s="85"/>
      <c r="Z40" s="85"/>
      <c r="AA40" s="85"/>
      <c r="AB40" s="85"/>
      <c r="AC40" s="85"/>
      <c r="AE40" s="85"/>
      <c r="AF40" s="85"/>
      <c r="AG40" s="85"/>
    </row>
    <row r="41" spans="1:33" ht="16.2">
      <c r="A41" s="181"/>
      <c r="B41" s="527" t="s">
        <v>1217</v>
      </c>
      <c r="C41" s="527"/>
      <c r="D41" s="527"/>
      <c r="E41" s="527"/>
      <c r="F41" s="511"/>
      <c r="G41" s="511"/>
      <c r="H41" s="511"/>
      <c r="I41" s="511"/>
      <c r="J41" s="511"/>
      <c r="K41" s="511"/>
      <c r="X41" s="85"/>
      <c r="Y41" s="85"/>
      <c r="Z41" s="85"/>
      <c r="AA41" s="85"/>
      <c r="AB41" s="85"/>
      <c r="AC41" s="85"/>
      <c r="AE41" s="85"/>
      <c r="AF41" s="85"/>
      <c r="AG41" s="85"/>
    </row>
    <row r="42" spans="1:33" ht="21.6" customHeight="1">
      <c r="A42" s="181"/>
      <c r="B42" s="527" t="s">
        <v>772</v>
      </c>
      <c r="C42" s="527"/>
      <c r="D42" s="527" t="s">
        <v>1219</v>
      </c>
      <c r="E42" s="527" t="s">
        <v>1220</v>
      </c>
      <c r="F42" s="527"/>
      <c r="G42" s="511"/>
      <c r="H42" s="527" t="s">
        <v>1221</v>
      </c>
      <c r="I42" s="527" t="s">
        <v>1222</v>
      </c>
      <c r="J42" s="511"/>
      <c r="K42" s="511"/>
    </row>
    <row r="43" spans="1:33" ht="13.2" customHeight="1">
      <c r="A43" s="181"/>
      <c r="B43" s="711"/>
      <c r="C43" s="527"/>
      <c r="D43" s="527"/>
      <c r="E43" s="527"/>
      <c r="F43" s="527"/>
      <c r="G43" s="527"/>
      <c r="H43" s="527"/>
      <c r="I43" s="527"/>
      <c r="J43" s="527"/>
      <c r="K43" s="527"/>
    </row>
    <row r="44" spans="1:33" ht="13.2" customHeight="1">
      <c r="A44" s="181"/>
      <c r="B44" s="1350" t="s">
        <v>1218</v>
      </c>
      <c r="C44" s="1350"/>
      <c r="D44" s="1350"/>
      <c r="E44" s="1350"/>
      <c r="F44" s="1350"/>
      <c r="G44" s="1349" t="s">
        <v>1798</v>
      </c>
      <c r="H44" s="1349"/>
      <c r="I44" s="1349"/>
      <c r="J44" s="1349"/>
      <c r="K44" s="1349"/>
    </row>
    <row r="45" spans="1:33" ht="13.2" customHeight="1">
      <c r="A45" s="181"/>
      <c r="B45" s="1350"/>
      <c r="C45" s="1350"/>
      <c r="D45" s="1350"/>
      <c r="E45" s="1350"/>
      <c r="F45" s="1350"/>
      <c r="G45" s="1349"/>
      <c r="H45" s="1349"/>
      <c r="I45" s="1349"/>
      <c r="J45" s="1349"/>
      <c r="K45" s="1349"/>
    </row>
    <row r="46" spans="1:33" ht="13.2" customHeight="1">
      <c r="A46" s="181"/>
      <c r="B46" s="527" t="s">
        <v>771</v>
      </c>
      <c r="C46" s="511"/>
      <c r="D46" s="511"/>
      <c r="E46" s="511"/>
      <c r="F46" s="511"/>
      <c r="G46" s="511"/>
      <c r="H46" s="511"/>
      <c r="I46" s="511"/>
      <c r="J46" s="511"/>
      <c r="K46" s="511"/>
    </row>
    <row r="47" spans="1:33" ht="16.2">
      <c r="A47" s="181"/>
      <c r="B47" s="527" t="s">
        <v>770</v>
      </c>
      <c r="C47" s="511"/>
      <c r="D47" s="511"/>
      <c r="E47" s="511"/>
      <c r="F47" s="511"/>
      <c r="G47" s="511"/>
      <c r="H47" s="511"/>
      <c r="I47" s="511"/>
      <c r="J47" s="511"/>
      <c r="K47" s="511"/>
    </row>
    <row r="48" spans="1:33" ht="16.2">
      <c r="A48" s="181"/>
      <c r="B48" s="527" t="s">
        <v>769</v>
      </c>
      <c r="C48" s="511"/>
      <c r="D48" s="511"/>
      <c r="E48" s="511"/>
      <c r="F48" s="511"/>
      <c r="G48" s="511"/>
      <c r="H48" s="511"/>
      <c r="I48" s="511"/>
      <c r="J48" s="511"/>
      <c r="K48" s="511"/>
    </row>
    <row r="49" spans="2:11" ht="16.2">
      <c r="B49" s="527"/>
      <c r="C49" s="527"/>
      <c r="D49" s="527"/>
      <c r="E49" s="527"/>
      <c r="F49" s="527"/>
      <c r="G49" s="527"/>
      <c r="H49" s="527"/>
      <c r="I49" s="527"/>
      <c r="J49" s="527"/>
      <c r="K49" s="527"/>
    </row>
    <row r="50" spans="2:11" ht="12.75" customHeight="1"/>
    <row r="51" spans="2:11" ht="12.75" customHeight="1"/>
    <row r="52" spans="2:11" ht="12.75" customHeight="1"/>
  </sheetData>
  <mergeCells count="6">
    <mergeCell ref="E6:G6"/>
    <mergeCell ref="B6:D6"/>
    <mergeCell ref="G44:K45"/>
    <mergeCell ref="B44:F45"/>
    <mergeCell ref="B36:G37"/>
    <mergeCell ref="C20:E22"/>
  </mergeCells>
  <phoneticPr fontId="117" type="noConversion"/>
  <printOptions horizontalCentered="1"/>
  <pageMargins left="0.5" right="0.5" top="0.33" bottom="0.13" header="0.44" footer="0.5"/>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rgb="FFE31DB9"/>
  </sheetPr>
  <dimension ref="A1:AH51"/>
  <sheetViews>
    <sheetView showGridLines="0" view="pageLayout" zoomScaleNormal="100" workbookViewId="0">
      <selection activeCell="AC1" sqref="AC1:AZ1048576"/>
    </sheetView>
  </sheetViews>
  <sheetFormatPr defaultColWidth="0" defaultRowHeight="13.8" zeroHeight="1"/>
  <cols>
    <col min="1" max="1" width="4.109375" style="467" customWidth="1"/>
    <col min="2" max="2" width="2" style="467" customWidth="1"/>
    <col min="3" max="5" width="9.33203125" style="467" customWidth="1"/>
    <col min="6" max="6" width="13.33203125" style="467" customWidth="1"/>
    <col min="7" max="12" width="9.33203125" style="467" customWidth="1"/>
    <col min="13" max="13" width="4.109375" style="467" customWidth="1"/>
    <col min="14" max="14" width="2" style="467" customWidth="1"/>
    <col min="15" max="15" width="14.6640625" style="467" bestFit="1" customWidth="1"/>
    <col min="16" max="16" width="9.77734375" style="467" bestFit="1" customWidth="1"/>
    <col min="17" max="17" width="11.109375" style="467" customWidth="1"/>
    <col min="18" max="18" width="13.33203125" style="467" customWidth="1"/>
    <col min="19" max="19" width="7.44140625" style="467" customWidth="1"/>
    <col min="20" max="24" width="9.33203125" style="467" customWidth="1"/>
    <col min="25" max="16384" width="0" style="467" hidden="1"/>
  </cols>
  <sheetData>
    <row r="1" spans="1:23" ht="16.2">
      <c r="H1" s="341" t="str">
        <f>LEFT('Franchise Info'!$B$4,FIND(", ",'Franchise Info'!$B$4)-1)</f>
        <v>201 - 20621 Logan Ave</v>
      </c>
      <c r="S1" s="341" t="str">
        <f>LEFT('Franchise Info'!$B$4,FIND(", ",'Franchise Info'!$B$4)-1)</f>
        <v>201 - 20621 Logan Ave</v>
      </c>
    </row>
    <row r="2" spans="1:23" ht="16.2">
      <c r="H2" s="341" t="str">
        <f>MID('Franchise Info'!$B$4,FIND(", ",'Franchise Info'!$B$4)+2,50)</f>
        <v>Langley, BC, V3A 7R3</v>
      </c>
      <c r="S2" s="341" t="str">
        <f>MID('Franchise Info'!$B$4,FIND(", ",'Franchise Info'!$B$4)+2,50)</f>
        <v>Langley, BC, V3A 7R3</v>
      </c>
    </row>
    <row r="3" spans="1:23" ht="16.2">
      <c r="H3" s="341" t="str">
        <f>CONCATENATE("Telephone:"," ",REPLACE(LEFT('Franchise Info'!$B$7,22),1,8,""))</f>
        <v>Telephone: (604) 532-4040</v>
      </c>
      <c r="S3" s="341" t="str">
        <f>CONCATENATE("Telephone:"," ",REPLACE(LEFT('Franchise Info'!$B$7,22),1,8,""))</f>
        <v>Telephone: (604) 532-4040</v>
      </c>
    </row>
    <row r="4" spans="1:23" ht="16.2">
      <c r="H4" s="341" t="str">
        <f>CONCATENATE("Facsimile:"," ",RIGHT('Franchise Info'!$B$7,14))</f>
        <v>Facsimile: (604) 532-4001</v>
      </c>
      <c r="S4" s="341" t="str">
        <f>CONCATENATE("Facsimile:"," ",RIGHT('Franchise Info'!$B$7,14))</f>
        <v>Facsimile: (604) 532-4001</v>
      </c>
    </row>
    <row r="5" spans="1:23" ht="16.2">
      <c r="H5" s="341" t="str">
        <f>MID('Franchise Info'!$B$7,FIND("E-Mail",'Franchise Info'!$B$7),60)</f>
        <v xml:space="preserve">E-Mail : admin.langley@aolccbc.com                          </v>
      </c>
      <c r="S5" s="341" t="str">
        <f>MID('Franchise Info'!$B$7,FIND("E-Mail",'Franchise Info'!$B$7),60)</f>
        <v xml:space="preserve">E-Mail : admin.langley@aolccbc.com                          </v>
      </c>
    </row>
    <row r="6" spans="1:23"/>
    <row r="7" spans="1:23" ht="19.5" customHeight="1">
      <c r="G7" s="528" t="s">
        <v>575</v>
      </c>
      <c r="N7" s="1354" t="s">
        <v>580</v>
      </c>
      <c r="O7" s="1354"/>
      <c r="P7" s="1354"/>
      <c r="Q7" s="1354"/>
      <c r="R7" s="1354"/>
      <c r="S7" s="1354"/>
      <c r="T7" s="1354"/>
      <c r="U7" s="1354"/>
      <c r="V7" s="1354"/>
      <c r="W7" s="1354"/>
    </row>
    <row r="8" spans="1:23" ht="13.5" customHeight="1" thickBot="1">
      <c r="N8" s="1354"/>
      <c r="O8" s="1354"/>
      <c r="P8" s="1354"/>
      <c r="Q8" s="1354"/>
      <c r="R8" s="1354"/>
      <c r="S8" s="1354"/>
      <c r="T8" s="1354"/>
      <c r="U8" s="1354"/>
      <c r="V8" s="1354"/>
      <c r="W8" s="1354"/>
    </row>
    <row r="9" spans="1:23" ht="15.75" customHeight="1" thickTop="1">
      <c r="B9" s="341"/>
      <c r="C9" s="1357" t="s">
        <v>1191</v>
      </c>
      <c r="D9" s="1358"/>
      <c r="E9" s="1358"/>
      <c r="F9" s="1358"/>
      <c r="G9" s="1358"/>
      <c r="H9" s="1358"/>
      <c r="I9" s="1358"/>
      <c r="J9" s="1358"/>
      <c r="K9" s="1359"/>
      <c r="N9" s="516"/>
      <c r="O9" s="516"/>
      <c r="P9" s="516"/>
      <c r="Q9" s="516"/>
      <c r="R9" s="516"/>
      <c r="S9" s="516"/>
      <c r="T9" s="516"/>
      <c r="U9" s="516"/>
      <c r="V9" s="516"/>
      <c r="W9" s="516"/>
    </row>
    <row r="10" spans="1:23" ht="12.75" customHeight="1">
      <c r="C10" s="1360"/>
      <c r="D10" s="1361"/>
      <c r="E10" s="1361"/>
      <c r="F10" s="1361"/>
      <c r="G10" s="1361"/>
      <c r="H10" s="1361"/>
      <c r="I10" s="1361"/>
      <c r="J10" s="1361"/>
      <c r="K10" s="1362"/>
      <c r="N10" s="516"/>
      <c r="O10" s="1367" t="s">
        <v>1194</v>
      </c>
      <c r="P10" s="1367"/>
      <c r="Q10" s="1367"/>
      <c r="R10" s="1367"/>
      <c r="S10" s="1367"/>
      <c r="T10" s="1367"/>
      <c r="U10" s="1367"/>
      <c r="V10" s="1367"/>
      <c r="W10" s="1367"/>
    </row>
    <row r="11" spans="1:23" ht="15.75" customHeight="1">
      <c r="A11" s="510"/>
      <c r="B11" s="517"/>
      <c r="C11" s="1360"/>
      <c r="D11" s="1361"/>
      <c r="E11" s="1361"/>
      <c r="F11" s="1361"/>
      <c r="G11" s="1361"/>
      <c r="H11" s="1361"/>
      <c r="I11" s="1361"/>
      <c r="J11" s="1361"/>
      <c r="K11" s="1362"/>
      <c r="M11" s="510" t="s">
        <v>545</v>
      </c>
      <c r="N11" s="516"/>
      <c r="O11" s="1367"/>
      <c r="P11" s="1367"/>
      <c r="Q11" s="1367"/>
      <c r="R11" s="1367"/>
      <c r="S11" s="1367"/>
      <c r="T11" s="1367"/>
      <c r="U11" s="1367"/>
      <c r="V11" s="1367"/>
      <c r="W11" s="1367"/>
    </row>
    <row r="12" spans="1:23" ht="15.75" customHeight="1">
      <c r="A12" s="510"/>
      <c r="B12" s="517"/>
      <c r="C12" s="1360"/>
      <c r="D12" s="1361"/>
      <c r="E12" s="1361"/>
      <c r="F12" s="1361"/>
      <c r="G12" s="1361"/>
      <c r="H12" s="1361"/>
      <c r="I12" s="1361"/>
      <c r="J12" s="1361"/>
      <c r="K12" s="1362"/>
      <c r="M12" s="510" t="s">
        <v>547</v>
      </c>
      <c r="N12" s="516"/>
      <c r="O12" s="1367"/>
      <c r="P12" s="1367"/>
      <c r="Q12" s="1367"/>
      <c r="R12" s="1367"/>
      <c r="S12" s="1367"/>
      <c r="T12" s="1367"/>
      <c r="U12" s="1367"/>
      <c r="V12" s="1367"/>
      <c r="W12" s="1367"/>
    </row>
    <row r="13" spans="1:23" ht="16.2">
      <c r="A13" s="341"/>
      <c r="B13" s="517"/>
      <c r="C13" s="1360"/>
      <c r="D13" s="1361"/>
      <c r="E13" s="1361"/>
      <c r="F13" s="1361"/>
      <c r="G13" s="1361"/>
      <c r="H13" s="1361"/>
      <c r="I13" s="1361"/>
      <c r="J13" s="1361"/>
      <c r="K13" s="1362"/>
      <c r="M13" s="341"/>
      <c r="N13" s="516"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c r="O13" s="1367"/>
      <c r="P13" s="1367"/>
      <c r="Q13" s="1367"/>
      <c r="R13" s="1367"/>
      <c r="S13" s="1367"/>
      <c r="T13" s="1367"/>
      <c r="U13" s="1367"/>
      <c r="V13" s="1367"/>
      <c r="W13" s="1367"/>
    </row>
    <row r="14" spans="1:23" ht="16.8" thickBot="1">
      <c r="A14" s="341"/>
      <c r="B14" s="517"/>
      <c r="C14" s="1363"/>
      <c r="D14" s="1364"/>
      <c r="E14" s="1364"/>
      <c r="F14" s="1364"/>
      <c r="G14" s="1364"/>
      <c r="H14" s="1364"/>
      <c r="I14" s="1364"/>
      <c r="J14" s="1364"/>
      <c r="K14" s="1365"/>
      <c r="M14" s="341"/>
      <c r="N14" s="516"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c r="O14" s="1367"/>
      <c r="P14" s="1367"/>
      <c r="Q14" s="1367"/>
      <c r="R14" s="1367"/>
      <c r="S14" s="1367"/>
      <c r="T14" s="1367"/>
      <c r="U14" s="1367"/>
      <c r="V14" s="1367"/>
      <c r="W14" s="1367"/>
    </row>
    <row r="15" spans="1:23" ht="16.8" thickTop="1">
      <c r="A15" s="341"/>
      <c r="B15" s="517"/>
      <c r="C15" s="517"/>
      <c r="D15" s="517"/>
      <c r="E15" s="517"/>
      <c r="F15" s="517"/>
      <c r="G15" s="517"/>
      <c r="H15" s="517"/>
      <c r="I15" s="517"/>
      <c r="J15" s="517"/>
      <c r="K15" s="517"/>
      <c r="M15" s="341"/>
      <c r="N15" s="516"/>
      <c r="O15" s="518"/>
      <c r="P15" s="518"/>
      <c r="Q15" s="518"/>
      <c r="R15" s="518"/>
      <c r="S15" s="518"/>
      <c r="T15" s="518"/>
      <c r="U15" s="518"/>
      <c r="V15" s="518"/>
      <c r="W15" s="518"/>
    </row>
    <row r="16" spans="1:23" ht="15.75" customHeight="1">
      <c r="A16" s="341"/>
      <c r="C16" s="529" t="s">
        <v>576</v>
      </c>
      <c r="D16" s="517"/>
      <c r="E16" s="517"/>
      <c r="F16" s="517"/>
      <c r="G16" s="517"/>
      <c r="H16" s="517"/>
      <c r="I16" s="517"/>
      <c r="J16" s="517"/>
      <c r="K16" s="517"/>
      <c r="M16" s="341"/>
      <c r="N16" s="1354" t="s">
        <v>581</v>
      </c>
      <c r="O16" s="1354"/>
      <c r="P16" s="1354"/>
      <c r="Q16" s="1354"/>
      <c r="R16" s="1354"/>
      <c r="S16" s="1354"/>
      <c r="T16" s="1354"/>
      <c r="U16" s="1354"/>
      <c r="V16" s="1354"/>
      <c r="W16" s="1354"/>
    </row>
    <row r="17" spans="1:34" ht="16.2">
      <c r="A17" s="341"/>
      <c r="B17" s="517"/>
      <c r="C17" s="1327" t="s">
        <v>1204</v>
      </c>
      <c r="D17" s="1327"/>
      <c r="E17" s="1327"/>
      <c r="F17" s="1327"/>
      <c r="G17" s="1327"/>
      <c r="H17" s="1327"/>
      <c r="I17" s="1327"/>
      <c r="J17" s="1327"/>
      <c r="K17" s="1327"/>
      <c r="M17" s="341"/>
      <c r="N17" s="1354"/>
      <c r="O17" s="1354"/>
      <c r="P17" s="1354"/>
      <c r="Q17" s="1354"/>
      <c r="R17" s="1354"/>
      <c r="S17" s="1354"/>
      <c r="T17" s="1354"/>
      <c r="U17" s="1354"/>
      <c r="V17" s="1354"/>
      <c r="W17" s="1354"/>
    </row>
    <row r="18" spans="1:34" ht="15.75" customHeight="1">
      <c r="A18" s="341"/>
      <c r="B18" s="517"/>
      <c r="C18" s="1327"/>
      <c r="D18" s="1327"/>
      <c r="E18" s="1327"/>
      <c r="F18" s="1327"/>
      <c r="G18" s="1327"/>
      <c r="H18" s="1327"/>
      <c r="I18" s="1327"/>
      <c r="J18" s="1327"/>
      <c r="K18" s="1327"/>
      <c r="M18" s="341"/>
      <c r="N18" s="516"/>
      <c r="O18" s="516"/>
      <c r="P18" s="516"/>
      <c r="Q18" s="516"/>
      <c r="R18" s="516"/>
      <c r="S18" s="516"/>
      <c r="T18" s="516"/>
      <c r="U18" s="516"/>
      <c r="V18" s="516"/>
      <c r="W18" s="516"/>
    </row>
    <row r="19" spans="1:34" ht="16.2">
      <c r="A19" s="341"/>
      <c r="B19" s="517"/>
      <c r="C19" s="1327"/>
      <c r="D19" s="1327"/>
      <c r="E19" s="1327"/>
      <c r="F19" s="1327"/>
      <c r="G19" s="1327"/>
      <c r="H19" s="1327"/>
      <c r="I19" s="1327"/>
      <c r="J19" s="1327"/>
      <c r="K19" s="1327"/>
      <c r="M19" s="341"/>
      <c r="N19" s="519" t="s">
        <v>542</v>
      </c>
      <c r="O19" s="1355" t="str">
        <f>CONCATENATE('Outline Info'!B2," ",'Outline Info'!B3)</f>
        <v xml:space="preserve"> </v>
      </c>
      <c r="P19" s="1355"/>
      <c r="Q19" s="1355"/>
      <c r="R19" s="519" t="s">
        <v>582</v>
      </c>
      <c r="S19" s="341"/>
      <c r="T19" s="516"/>
      <c r="U19" s="516"/>
      <c r="V19" s="516"/>
      <c r="W19" s="516"/>
    </row>
    <row r="20" spans="1:34" ht="16.2">
      <c r="A20" s="341"/>
      <c r="B20" s="517"/>
      <c r="C20" s="1327"/>
      <c r="D20" s="1327"/>
      <c r="E20" s="1327"/>
      <c r="F20" s="1327"/>
      <c r="G20" s="1327"/>
      <c r="H20" s="1327"/>
      <c r="I20" s="1327"/>
      <c r="J20" s="1327"/>
      <c r="K20" s="1327"/>
      <c r="M20" s="341"/>
      <c r="N20" s="519"/>
      <c r="O20" s="516"/>
      <c r="P20" s="516"/>
      <c r="Q20" s="516"/>
      <c r="R20" s="516"/>
      <c r="S20" s="516"/>
      <c r="T20" s="516"/>
      <c r="U20" s="516"/>
      <c r="V20" s="516"/>
      <c r="W20" s="516"/>
    </row>
    <row r="21" spans="1:34" ht="16.2">
      <c r="A21" s="341"/>
      <c r="B21" s="517"/>
      <c r="C21" s="1327"/>
      <c r="D21" s="1327"/>
      <c r="E21" s="1327"/>
      <c r="F21" s="1327"/>
      <c r="G21" s="1327"/>
      <c r="H21" s="1327"/>
      <c r="I21" s="1327"/>
      <c r="J21" s="1327"/>
      <c r="K21" s="1327"/>
      <c r="M21" s="341"/>
      <c r="N21" s="520" t="str">
        <f>CONCATENATE("Dated at ",'Franchise Info'!B8,",  British Columbia this")</f>
        <v>Dated at Langley,  British Columbia this</v>
      </c>
      <c r="O21" s="520"/>
      <c r="P21" s="520"/>
      <c r="Q21" s="520"/>
      <c r="S21" s="521"/>
      <c r="T21" s="520" t="s">
        <v>599</v>
      </c>
      <c r="U21" s="521"/>
      <c r="V21" s="521"/>
      <c r="W21" s="520"/>
    </row>
    <row r="22" spans="1:34" ht="16.2">
      <c r="A22" s="341"/>
      <c r="B22" s="517"/>
      <c r="C22" s="341" t="s">
        <v>744</v>
      </c>
      <c r="D22" s="517"/>
      <c r="E22" s="517"/>
      <c r="F22" s="517"/>
      <c r="G22" s="517"/>
      <c r="H22" s="517"/>
      <c r="I22" s="517"/>
      <c r="J22" s="517"/>
      <c r="K22" s="517"/>
      <c r="M22" s="341"/>
    </row>
    <row r="23" spans="1:34" ht="16.2">
      <c r="A23" s="341"/>
      <c r="B23" s="517"/>
      <c r="C23" s="517"/>
      <c r="D23" s="1333" t="s">
        <v>1195</v>
      </c>
      <c r="E23" s="1333"/>
      <c r="F23" s="1333"/>
      <c r="G23" s="1333"/>
      <c r="H23" s="1333"/>
      <c r="I23" s="1333"/>
      <c r="J23" s="1333"/>
      <c r="K23" s="1333"/>
      <c r="M23" s="341"/>
      <c r="N23" s="516"/>
      <c r="O23" s="522"/>
      <c r="P23" s="516"/>
      <c r="Q23" s="516"/>
      <c r="R23" s="516"/>
      <c r="S23" s="516"/>
      <c r="T23" s="516"/>
      <c r="U23" s="523"/>
      <c r="V23" s="523"/>
      <c r="W23" s="523"/>
    </row>
    <row r="24" spans="1:34" ht="16.2">
      <c r="A24" s="341"/>
      <c r="B24" s="517"/>
      <c r="C24" s="517"/>
      <c r="D24" s="1333"/>
      <c r="E24" s="1333"/>
      <c r="F24" s="1333"/>
      <c r="G24" s="1333"/>
      <c r="H24" s="1333"/>
      <c r="I24" s="1333"/>
      <c r="J24" s="1333"/>
      <c r="K24" s="1333"/>
      <c r="M24" s="341"/>
      <c r="N24" s="519" t="s">
        <v>490</v>
      </c>
      <c r="O24" s="516"/>
      <c r="P24" s="1355" t="str">
        <f>CONCATENATE('Outline Info'!B2," ",'Outline Info'!B3)</f>
        <v xml:space="preserve"> </v>
      </c>
      <c r="Q24" s="1355"/>
      <c r="R24" s="1355"/>
      <c r="T24" s="524" t="s">
        <v>1197</v>
      </c>
      <c r="U24" s="525"/>
      <c r="V24" s="525"/>
      <c r="W24" s="525"/>
    </row>
    <row r="25" spans="1:34" ht="15.75" customHeight="1">
      <c r="A25" s="341"/>
      <c r="B25" s="517"/>
      <c r="C25" s="517"/>
      <c r="D25" s="341" t="s">
        <v>745</v>
      </c>
      <c r="E25" s="517"/>
      <c r="F25" s="517"/>
      <c r="G25" s="517"/>
      <c r="H25" s="517"/>
      <c r="I25" s="517"/>
      <c r="J25" s="517"/>
      <c r="K25" s="517"/>
      <c r="M25" s="341"/>
      <c r="N25" s="516"/>
      <c r="O25" s="516"/>
      <c r="P25" s="516"/>
      <c r="Q25" s="516"/>
      <c r="R25" s="516"/>
      <c r="S25" s="516"/>
      <c r="T25" s="516"/>
      <c r="U25" s="516"/>
      <c r="V25" s="516"/>
      <c r="W25" s="516"/>
      <c r="Y25" s="497"/>
      <c r="Z25" s="497"/>
      <c r="AA25" s="497"/>
      <c r="AB25" s="497"/>
      <c r="AC25" s="497"/>
      <c r="AD25" s="497"/>
      <c r="AF25" s="497"/>
      <c r="AG25" s="497"/>
      <c r="AH25" s="497"/>
    </row>
    <row r="26" spans="1:34" ht="16.2">
      <c r="A26" s="341"/>
      <c r="D26" s="1333" t="s">
        <v>1196</v>
      </c>
      <c r="E26" s="1333"/>
      <c r="F26" s="1333"/>
      <c r="G26" s="1333"/>
      <c r="H26" s="1333"/>
      <c r="I26" s="1333"/>
      <c r="J26" s="1333"/>
      <c r="K26" s="1333"/>
      <c r="M26" s="341"/>
      <c r="N26" s="516"/>
      <c r="O26" s="516"/>
      <c r="P26" s="516"/>
      <c r="Q26" s="516"/>
      <c r="R26" s="516"/>
      <c r="S26" s="516"/>
      <c r="T26" s="516"/>
      <c r="U26" s="516"/>
      <c r="V26" s="516"/>
      <c r="W26" s="516"/>
      <c r="Y26" s="497"/>
      <c r="Z26" s="497"/>
      <c r="AA26" s="497"/>
      <c r="AB26" s="497"/>
      <c r="AC26" s="497"/>
      <c r="AD26" s="497"/>
      <c r="AF26" s="497"/>
      <c r="AG26" s="497"/>
      <c r="AH26" s="497"/>
    </row>
    <row r="27" spans="1:34" ht="15.75" customHeight="1">
      <c r="A27" s="341"/>
      <c r="B27" s="517"/>
      <c r="C27" s="517"/>
      <c r="D27" s="1333"/>
      <c r="E27" s="1333"/>
      <c r="F27" s="1333"/>
      <c r="G27" s="1333"/>
      <c r="H27" s="1333"/>
      <c r="I27" s="1333"/>
      <c r="J27" s="1333"/>
      <c r="K27" s="1333"/>
      <c r="M27" s="341"/>
      <c r="N27" s="526" t="s">
        <v>583</v>
      </c>
      <c r="O27" s="1366" t="str">
        <f>CONCATENATE('Outline Info'!B2," ",'Outline Info'!B3)</f>
        <v xml:space="preserve"> </v>
      </c>
      <c r="P27" s="1366"/>
      <c r="Q27" s="1366"/>
      <c r="R27" s="1356" t="s">
        <v>584</v>
      </c>
      <c r="S27" s="1356"/>
      <c r="T27" s="1356"/>
      <c r="U27" s="1356"/>
      <c r="V27" s="1356"/>
      <c r="W27" s="1356"/>
    </row>
    <row r="28" spans="1:34" ht="0.45" customHeight="1">
      <c r="A28" s="341"/>
      <c r="B28" s="517"/>
      <c r="C28" s="517" t="s">
        <v>578</v>
      </c>
      <c r="D28" s="517"/>
      <c r="E28" s="517"/>
      <c r="F28" s="517"/>
      <c r="G28" s="517"/>
      <c r="H28" s="517"/>
      <c r="I28" s="517"/>
      <c r="J28" s="517"/>
      <c r="K28" s="517"/>
      <c r="M28" s="341"/>
      <c r="N28" s="526"/>
      <c r="O28" s="526"/>
      <c r="P28" s="526"/>
      <c r="Q28" s="526"/>
      <c r="R28" s="526"/>
      <c r="S28" s="526"/>
      <c r="T28" s="526"/>
      <c r="U28" s="526"/>
      <c r="V28" s="526"/>
      <c r="W28" s="526"/>
    </row>
    <row r="29" spans="1:34" ht="16.2">
      <c r="A29" s="341"/>
      <c r="B29" s="517"/>
      <c r="C29" s="517"/>
      <c r="D29" s="517"/>
      <c r="E29" s="517"/>
      <c r="F29" s="517"/>
      <c r="G29" s="517"/>
      <c r="H29" s="517"/>
      <c r="I29" s="517"/>
      <c r="J29" s="517"/>
      <c r="K29" s="517"/>
      <c r="M29" s="341"/>
      <c r="N29" s="1352" t="s">
        <v>1198</v>
      </c>
      <c r="O29" s="1352"/>
      <c r="P29" s="1352"/>
      <c r="Q29" s="1352"/>
      <c r="R29" s="1352"/>
      <c r="S29" s="1352"/>
      <c r="T29" s="1352"/>
      <c r="U29" s="1352"/>
      <c r="V29" s="1352"/>
      <c r="W29" s="1352"/>
      <c r="Y29" s="497"/>
      <c r="Z29" s="497"/>
      <c r="AA29" s="497"/>
      <c r="AB29" s="497"/>
      <c r="AC29" s="497"/>
      <c r="AD29" s="497"/>
      <c r="AF29" s="497"/>
      <c r="AG29" s="497"/>
      <c r="AH29" s="497"/>
    </row>
    <row r="30" spans="1:34" ht="12.75" customHeight="1">
      <c r="C30" s="529" t="s">
        <v>577</v>
      </c>
      <c r="D30" s="517"/>
      <c r="E30" s="517"/>
      <c r="F30" s="517"/>
      <c r="G30" s="517"/>
      <c r="H30" s="517"/>
      <c r="I30" s="517"/>
      <c r="J30" s="517"/>
      <c r="K30" s="517"/>
      <c r="N30" s="1352"/>
      <c r="O30" s="1352"/>
      <c r="P30" s="1352"/>
      <c r="Q30" s="1352"/>
      <c r="R30" s="1352"/>
      <c r="S30" s="1352"/>
      <c r="T30" s="1352"/>
      <c r="U30" s="1352"/>
      <c r="V30" s="1352"/>
      <c r="W30" s="1352"/>
      <c r="Y30" s="497"/>
      <c r="Z30" s="497"/>
      <c r="AA30" s="497"/>
      <c r="AB30" s="497"/>
      <c r="AC30" s="497"/>
      <c r="AD30" s="497"/>
      <c r="AF30" s="497"/>
      <c r="AG30" s="497"/>
      <c r="AH30" s="497"/>
    </row>
    <row r="31" spans="1:34" ht="15.75" customHeight="1">
      <c r="N31" s="1352"/>
      <c r="O31" s="1352"/>
      <c r="P31" s="1352"/>
      <c r="Q31" s="1352"/>
      <c r="R31" s="1352"/>
      <c r="S31" s="1352"/>
      <c r="T31" s="1352"/>
      <c r="U31" s="1352"/>
      <c r="V31" s="1352"/>
      <c r="W31" s="1352"/>
    </row>
    <row r="32" spans="1:34" ht="16.2">
      <c r="B32" s="527"/>
      <c r="C32" s="1353" t="s">
        <v>578</v>
      </c>
      <c r="D32" s="1353"/>
      <c r="E32" s="1353"/>
      <c r="F32" s="1353"/>
      <c r="G32" s="1353"/>
      <c r="H32" s="1353"/>
      <c r="I32" s="1353"/>
      <c r="J32" s="1353"/>
      <c r="K32" s="1353"/>
      <c r="L32" s="1353"/>
      <c r="N32" s="1352"/>
      <c r="O32" s="1352"/>
      <c r="P32" s="1352"/>
      <c r="Q32" s="1352"/>
      <c r="R32" s="1352"/>
      <c r="S32" s="1352"/>
      <c r="T32" s="1352"/>
      <c r="U32" s="1352"/>
      <c r="V32" s="1352"/>
      <c r="W32" s="1352"/>
    </row>
    <row r="33" spans="2:34" ht="15.75" customHeight="1">
      <c r="B33" s="527"/>
      <c r="C33" s="1353"/>
      <c r="D33" s="1353"/>
      <c r="E33" s="1353"/>
      <c r="F33" s="1353"/>
      <c r="G33" s="1353"/>
      <c r="H33" s="1353"/>
      <c r="I33" s="1353"/>
      <c r="J33" s="1353"/>
      <c r="K33" s="1353"/>
      <c r="L33" s="1353"/>
      <c r="N33" s="1352"/>
      <c r="O33" s="1352"/>
      <c r="P33" s="1352"/>
      <c r="Q33" s="1352"/>
      <c r="R33" s="1352"/>
      <c r="S33" s="1352"/>
      <c r="T33" s="1352"/>
      <c r="U33" s="1352"/>
      <c r="V33" s="1352"/>
      <c r="W33" s="1352"/>
    </row>
    <row r="34" spans="2:34" ht="15" customHeight="1">
      <c r="B34" s="527"/>
      <c r="D34" s="526"/>
      <c r="E34" s="526"/>
      <c r="F34" s="526"/>
      <c r="G34" s="526"/>
      <c r="H34" s="526"/>
      <c r="I34" s="526"/>
      <c r="J34" s="526"/>
      <c r="K34" s="526"/>
      <c r="N34" s="516"/>
      <c r="O34" s="516"/>
      <c r="P34" s="516"/>
      <c r="Q34" s="516"/>
      <c r="R34" s="516"/>
      <c r="S34" s="516"/>
      <c r="T34" s="516"/>
      <c r="U34" s="516"/>
      <c r="V34" s="516"/>
      <c r="W34" s="516"/>
    </row>
    <row r="35" spans="2:34" ht="15.75" customHeight="1">
      <c r="B35" s="527"/>
      <c r="C35" s="529" t="s">
        <v>579</v>
      </c>
      <c r="D35" s="526"/>
      <c r="E35" s="526"/>
      <c r="F35" s="526"/>
      <c r="G35" s="526"/>
      <c r="H35" s="526"/>
      <c r="I35" s="526"/>
      <c r="J35" s="526"/>
      <c r="K35" s="526"/>
      <c r="N35" s="516"/>
      <c r="O35" s="516"/>
      <c r="P35" s="516"/>
      <c r="Q35" s="516"/>
      <c r="R35" s="516"/>
      <c r="S35" s="516"/>
      <c r="T35" s="516"/>
      <c r="U35" s="516"/>
      <c r="V35" s="516"/>
      <c r="W35" s="516"/>
    </row>
    <row r="36" spans="2:34" ht="16.2">
      <c r="B36" s="527"/>
      <c r="D36" s="526"/>
      <c r="E36" s="526"/>
      <c r="F36" s="526"/>
      <c r="G36" s="526"/>
      <c r="H36" s="526"/>
      <c r="I36" s="526"/>
      <c r="J36" s="526"/>
      <c r="K36" s="526"/>
      <c r="N36" s="516"/>
      <c r="O36" s="516"/>
      <c r="P36" s="516"/>
      <c r="Q36" s="516"/>
      <c r="R36" s="516"/>
      <c r="S36" s="516"/>
      <c r="T36" s="516"/>
      <c r="U36" s="516"/>
      <c r="V36" s="516"/>
      <c r="W36" s="516"/>
    </row>
    <row r="37" spans="2:34" ht="16.2">
      <c r="B37" s="527"/>
      <c r="C37" s="693" t="s">
        <v>746</v>
      </c>
      <c r="D37" s="526"/>
      <c r="E37" s="526"/>
      <c r="F37" s="526"/>
      <c r="G37" s="526"/>
      <c r="H37" s="526"/>
      <c r="I37" s="526"/>
      <c r="J37" s="526"/>
      <c r="K37" s="526"/>
      <c r="N37" s="516"/>
      <c r="O37" s="516"/>
      <c r="P37" s="516"/>
      <c r="Q37" s="516"/>
      <c r="R37" s="516"/>
      <c r="S37" s="516"/>
      <c r="T37" s="516"/>
      <c r="U37" s="516"/>
      <c r="V37" s="516"/>
      <c r="W37" s="516"/>
    </row>
    <row r="38" spans="2:34" ht="16.2" customHeight="1">
      <c r="B38" s="527"/>
      <c r="C38" s="1353" t="s">
        <v>1193</v>
      </c>
      <c r="D38" s="1353"/>
      <c r="E38" s="1353"/>
      <c r="F38" s="1353"/>
      <c r="G38" s="1353"/>
      <c r="H38" s="1353"/>
      <c r="I38" s="1353"/>
      <c r="J38" s="1353"/>
      <c r="K38" s="1353"/>
      <c r="L38" s="1353"/>
      <c r="N38" s="516"/>
      <c r="O38" s="516"/>
      <c r="P38" s="516"/>
      <c r="Q38" s="516"/>
      <c r="R38" s="516"/>
      <c r="S38" s="516"/>
      <c r="T38" s="516"/>
      <c r="U38" s="516"/>
      <c r="V38" s="516"/>
      <c r="W38" s="516"/>
    </row>
    <row r="39" spans="2:34" ht="15.75" customHeight="1">
      <c r="B39" s="527"/>
      <c r="C39" s="1353"/>
      <c r="D39" s="1353"/>
      <c r="E39" s="1353"/>
      <c r="F39" s="1353"/>
      <c r="G39" s="1353"/>
      <c r="H39" s="1353"/>
      <c r="I39" s="1353"/>
      <c r="J39" s="1353"/>
      <c r="K39" s="1353"/>
      <c r="L39" s="1353"/>
      <c r="N39" s="516"/>
      <c r="O39" s="516"/>
      <c r="P39" s="516"/>
      <c r="Q39" s="516"/>
      <c r="R39" s="516"/>
      <c r="S39" s="516"/>
      <c r="T39" s="516"/>
      <c r="U39" s="516"/>
      <c r="V39" s="516"/>
      <c r="W39" s="516"/>
    </row>
    <row r="40" spans="2:34" ht="13.5" customHeight="1">
      <c r="B40" s="238"/>
      <c r="C40" s="1353" t="s">
        <v>1192</v>
      </c>
      <c r="D40" s="1353"/>
      <c r="E40" s="1353"/>
      <c r="F40" s="1353"/>
      <c r="G40" s="1353"/>
      <c r="H40" s="1353"/>
      <c r="I40" s="1353"/>
      <c r="J40" s="1353"/>
      <c r="K40" s="1353"/>
      <c r="L40" s="1353"/>
    </row>
    <row r="41" spans="2:34" ht="16.2">
      <c r="B41" s="527"/>
      <c r="C41" s="1353"/>
      <c r="D41" s="1353"/>
      <c r="E41" s="1353"/>
      <c r="F41" s="1353"/>
      <c r="G41" s="1353"/>
      <c r="H41" s="1353"/>
      <c r="I41" s="1353"/>
      <c r="J41" s="1353"/>
      <c r="K41" s="1353"/>
      <c r="L41" s="1353"/>
      <c r="N41" s="341"/>
      <c r="O41" s="341"/>
    </row>
    <row r="42" spans="2:34" ht="16.2">
      <c r="B42" s="341"/>
      <c r="N42" s="341"/>
      <c r="O42" s="512"/>
      <c r="P42" s="497"/>
      <c r="Q42" s="497"/>
      <c r="T42" s="497"/>
      <c r="U42" s="497"/>
      <c r="V42" s="497"/>
      <c r="Y42" s="497"/>
      <c r="Z42" s="497"/>
      <c r="AA42" s="497"/>
      <c r="AB42" s="497"/>
      <c r="AC42" s="497"/>
      <c r="AD42" s="497"/>
      <c r="AF42" s="497"/>
      <c r="AG42" s="497"/>
      <c r="AH42" s="497"/>
    </row>
    <row r="43" spans="2:34" ht="16.2">
      <c r="B43" s="341"/>
      <c r="D43" s="512"/>
      <c r="E43" s="497"/>
      <c r="F43" s="497"/>
      <c r="I43" s="497"/>
      <c r="J43" s="497"/>
      <c r="K43" s="497"/>
      <c r="N43" s="341"/>
      <c r="O43" s="512"/>
      <c r="P43" s="497"/>
      <c r="Q43" s="497"/>
      <c r="T43" s="497"/>
      <c r="U43" s="497"/>
      <c r="V43" s="497"/>
      <c r="Y43" s="497"/>
      <c r="Z43" s="497"/>
      <c r="AA43" s="497"/>
      <c r="AB43" s="497"/>
      <c r="AC43" s="497"/>
      <c r="AD43" s="497"/>
      <c r="AF43" s="497"/>
      <c r="AG43" s="497"/>
      <c r="AH43" s="497"/>
    </row>
    <row r="44" spans="2:34" ht="16.2">
      <c r="B44" s="341"/>
      <c r="D44" s="512"/>
      <c r="E44" s="497"/>
      <c r="F44" s="497"/>
      <c r="I44" s="497"/>
      <c r="J44" s="497"/>
      <c r="K44" s="497"/>
      <c r="N44" s="341"/>
      <c r="O44" s="513" t="s">
        <v>538</v>
      </c>
      <c r="P44" s="514"/>
      <c r="Q44" s="514"/>
      <c r="T44" s="513" t="s">
        <v>494</v>
      </c>
      <c r="U44" s="514"/>
      <c r="V44" s="514"/>
    </row>
    <row r="45" spans="2:34" ht="16.2">
      <c r="B45" s="341"/>
      <c r="C45" s="341"/>
      <c r="D45" s="513" t="s">
        <v>538</v>
      </c>
      <c r="E45" s="514"/>
      <c r="F45" s="514"/>
      <c r="I45" s="513" t="s">
        <v>494</v>
      </c>
      <c r="J45" s="514"/>
      <c r="K45" s="514"/>
      <c r="N45" s="341"/>
      <c r="O45" s="341"/>
    </row>
    <row r="46" spans="2:34" ht="9" customHeight="1">
      <c r="B46" s="341"/>
      <c r="C46" s="341"/>
      <c r="N46" s="341"/>
      <c r="O46" s="341"/>
    </row>
    <row r="47" spans="2:34" ht="16.2">
      <c r="B47" s="341"/>
      <c r="D47" s="341"/>
      <c r="N47" s="341" t="s">
        <v>540</v>
      </c>
      <c r="P47" s="341" t="s">
        <v>541</v>
      </c>
    </row>
    <row r="48" spans="2:34" ht="16.2">
      <c r="B48" s="341"/>
      <c r="D48" s="341"/>
      <c r="N48" s="341"/>
      <c r="P48" s="341" t="s">
        <v>539</v>
      </c>
    </row>
    <row r="49" spans="2:15" ht="16.2">
      <c r="B49" s="341"/>
      <c r="N49" s="341"/>
      <c r="O49" s="341"/>
    </row>
    <row r="50" spans="2:15" ht="16.2">
      <c r="B50" s="341"/>
      <c r="N50" s="341"/>
      <c r="O50" s="341"/>
    </row>
    <row r="51" spans="2:15" ht="16.2">
      <c r="B51" s="341"/>
      <c r="N51" s="341"/>
      <c r="O51" s="341"/>
    </row>
  </sheetData>
  <mergeCells count="15">
    <mergeCell ref="N29:W33"/>
    <mergeCell ref="C32:L33"/>
    <mergeCell ref="C40:L41"/>
    <mergeCell ref="C38:L39"/>
    <mergeCell ref="N7:W8"/>
    <mergeCell ref="N16:W17"/>
    <mergeCell ref="O19:Q19"/>
    <mergeCell ref="R27:W27"/>
    <mergeCell ref="C9:K14"/>
    <mergeCell ref="O27:Q27"/>
    <mergeCell ref="C17:K21"/>
    <mergeCell ref="O10:W14"/>
    <mergeCell ref="P24:R24"/>
    <mergeCell ref="D23:K24"/>
    <mergeCell ref="D26:K27"/>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8" tint="-0.249977111117893"/>
  </sheetPr>
  <dimension ref="A1:AH53"/>
  <sheetViews>
    <sheetView showGridLines="0" view="pageLayout" zoomScaleNormal="100" workbookViewId="0">
      <selection activeCell="AC1" sqref="AC1:AZ1048576"/>
    </sheetView>
  </sheetViews>
  <sheetFormatPr defaultColWidth="0" defaultRowHeight="13.8" zeroHeight="1"/>
  <cols>
    <col min="1" max="12" width="9.33203125" style="467" customWidth="1"/>
    <col min="13" max="16384" width="9.33203125" style="467" hidden="1"/>
  </cols>
  <sheetData>
    <row r="1" spans="1:11">
      <c r="J1" s="548" t="str">
        <f>CONCATENATE('Outline Info'!B2," ",'Outline Info'!B3)</f>
        <v xml:space="preserve"> </v>
      </c>
      <c r="K1" s="549"/>
    </row>
    <row r="2" spans="1:11" ht="18.600000000000001">
      <c r="B2" s="550"/>
      <c r="C2" s="550"/>
      <c r="D2" s="550"/>
      <c r="E2" s="550"/>
      <c r="G2" s="550"/>
      <c r="H2" s="550"/>
      <c r="I2" s="550"/>
      <c r="J2" s="551">
        <f>'Outline Info'!B7</f>
        <v>0</v>
      </c>
      <c r="K2" s="552"/>
    </row>
    <row r="3" spans="1:11" ht="15.75" customHeight="1">
      <c r="F3" s="554" t="s">
        <v>1427</v>
      </c>
    </row>
    <row r="4" spans="1:11" ht="12.75" customHeight="1"/>
    <row r="5" spans="1:11" ht="16.2">
      <c r="A5" s="1368" t="s">
        <v>1428</v>
      </c>
      <c r="B5" s="1368"/>
      <c r="C5" s="1368"/>
      <c r="D5" s="1368"/>
      <c r="E5" s="1368"/>
      <c r="F5" s="1368"/>
      <c r="G5" s="1368"/>
      <c r="H5" s="1368"/>
      <c r="I5" s="1368"/>
      <c r="J5" s="1368"/>
      <c r="K5" s="1368"/>
    </row>
    <row r="6" spans="1:11" ht="16.2">
      <c r="A6" s="1368" t="s">
        <v>1471</v>
      </c>
      <c r="B6" s="1368"/>
      <c r="C6" s="1368"/>
      <c r="D6" s="1368"/>
      <c r="E6" s="1368"/>
      <c r="F6" s="1368"/>
      <c r="G6" s="1368"/>
      <c r="H6" s="1368"/>
      <c r="I6" s="1368"/>
      <c r="J6" s="1368"/>
      <c r="K6" s="1368"/>
    </row>
    <row r="7" spans="1:11"/>
    <row r="8" spans="1:11" ht="16.2">
      <c r="F8" s="553"/>
    </row>
    <row r="9" spans="1:11"/>
    <row r="10" spans="1:11" ht="16.8">
      <c r="F10" s="1008" t="s">
        <v>1818</v>
      </c>
    </row>
    <row r="11" spans="1:11"/>
    <row r="12" spans="1:11" ht="16.2">
      <c r="F12" s="553"/>
    </row>
    <row r="13" spans="1:11"/>
    <row r="14" spans="1:11" ht="16.8">
      <c r="C14" s="341" t="s">
        <v>1819</v>
      </c>
      <c r="G14" s="1007" t="s">
        <v>1830</v>
      </c>
    </row>
    <row r="15" spans="1:11">
      <c r="G15" s="853"/>
    </row>
    <row r="16" spans="1:11" ht="16.8">
      <c r="C16" s="1007" t="s">
        <v>1820</v>
      </c>
      <c r="G16" s="1007" t="s">
        <v>1831</v>
      </c>
    </row>
    <row r="17" spans="3:34">
      <c r="G17" s="858"/>
    </row>
    <row r="18" spans="3:34" ht="16.8">
      <c r="C18" s="341" t="s">
        <v>1821</v>
      </c>
      <c r="G18" s="1007" t="s">
        <v>1832</v>
      </c>
    </row>
    <row r="19" spans="3:34">
      <c r="G19" s="858"/>
    </row>
    <row r="20" spans="3:34" ht="16.8">
      <c r="C20" s="341" t="s">
        <v>1822</v>
      </c>
      <c r="G20" s="1007" t="s">
        <v>1817</v>
      </c>
    </row>
    <row r="21" spans="3:34">
      <c r="G21" s="858"/>
    </row>
    <row r="22" spans="3:34" ht="16.8">
      <c r="C22" s="341" t="s">
        <v>1823</v>
      </c>
      <c r="G22" s="1007" t="s">
        <v>1833</v>
      </c>
    </row>
    <row r="23" spans="3:34">
      <c r="G23" s="858"/>
      <c r="Y23" s="497"/>
      <c r="Z23" s="497"/>
      <c r="AA23" s="497"/>
      <c r="AB23" s="497"/>
      <c r="AC23" s="497"/>
      <c r="AD23" s="497"/>
      <c r="AF23" s="497"/>
      <c r="AG23" s="497"/>
      <c r="AH23" s="497"/>
    </row>
    <row r="24" spans="3:34" ht="16.8">
      <c r="C24" s="341" t="s">
        <v>1824</v>
      </c>
      <c r="G24" s="1007" t="s">
        <v>1834</v>
      </c>
      <c r="Y24" s="497"/>
      <c r="Z24" s="497"/>
      <c r="AA24" s="497"/>
      <c r="AB24" s="497"/>
      <c r="AC24" s="497"/>
      <c r="AD24" s="497"/>
      <c r="AF24" s="497"/>
      <c r="AG24" s="497"/>
      <c r="AH24" s="497"/>
    </row>
    <row r="25" spans="3:34">
      <c r="G25" s="858"/>
    </row>
    <row r="26" spans="3:34" ht="16.8">
      <c r="C26" s="1007" t="s">
        <v>1825</v>
      </c>
      <c r="G26" s="1007" t="s">
        <v>1835</v>
      </c>
    </row>
    <row r="27" spans="3:34">
      <c r="G27" s="858"/>
      <c r="Y27" s="497"/>
      <c r="Z27" s="497"/>
      <c r="AA27" s="497"/>
      <c r="AB27" s="497"/>
      <c r="AC27" s="497"/>
      <c r="AD27" s="497"/>
      <c r="AF27" s="497"/>
      <c r="AG27" s="497"/>
      <c r="AH27" s="497"/>
    </row>
    <row r="28" spans="3:34" ht="16.8">
      <c r="C28" s="1007" t="s">
        <v>1826</v>
      </c>
      <c r="G28" s="1007" t="s">
        <v>1836</v>
      </c>
      <c r="Y28" s="497"/>
      <c r="Z28" s="497"/>
      <c r="AA28" s="497"/>
      <c r="AB28" s="497"/>
      <c r="AC28" s="497"/>
      <c r="AD28" s="497"/>
      <c r="AF28" s="497"/>
      <c r="AG28" s="497"/>
      <c r="AH28" s="497"/>
    </row>
    <row r="29" spans="3:34">
      <c r="G29" s="858"/>
    </row>
    <row r="30" spans="3:34" ht="16.8">
      <c r="C30" s="1007" t="s">
        <v>1827</v>
      </c>
      <c r="G30" s="1007" t="s">
        <v>1837</v>
      </c>
    </row>
    <row r="31" spans="3:34">
      <c r="G31" s="858"/>
    </row>
    <row r="32" spans="3:34" ht="16.8">
      <c r="C32" s="1007" t="s">
        <v>1828</v>
      </c>
      <c r="G32" s="1009" t="s">
        <v>1838</v>
      </c>
    </row>
    <row r="33" spans="2:34">
      <c r="G33" s="858"/>
    </row>
    <row r="34" spans="2:34" ht="16.8">
      <c r="C34" s="1007" t="s">
        <v>1829</v>
      </c>
      <c r="G34" s="341"/>
    </row>
    <row r="35" spans="2:34">
      <c r="G35" s="858"/>
    </row>
    <row r="36" spans="2:34" ht="16.2">
      <c r="C36" s="341"/>
      <c r="G36" s="341"/>
    </row>
    <row r="37" spans="2:34">
      <c r="G37" s="858"/>
    </row>
    <row r="38" spans="2:34" ht="16.2">
      <c r="C38" s="341"/>
      <c r="G38" s="341"/>
    </row>
    <row r="39" spans="2:34" ht="16.2">
      <c r="C39" s="520"/>
      <c r="E39" s="1369" t="s">
        <v>1839</v>
      </c>
      <c r="F39" s="1370"/>
      <c r="G39" s="1370"/>
    </row>
    <row r="40" spans="2:34" ht="16.2">
      <c r="C40" s="520"/>
      <c r="E40" s="1370"/>
      <c r="F40" s="1370"/>
      <c r="G40" s="1370"/>
      <c r="Y40" s="497"/>
      <c r="Z40" s="497"/>
      <c r="AA40" s="497"/>
      <c r="AB40" s="497"/>
      <c r="AC40" s="497"/>
      <c r="AD40" s="497"/>
      <c r="AF40" s="497"/>
      <c r="AG40" s="497"/>
      <c r="AH40" s="497"/>
    </row>
    <row r="41" spans="2:34" ht="16.2">
      <c r="G41" s="520"/>
      <c r="Y41" s="497"/>
      <c r="Z41" s="497"/>
      <c r="AA41" s="497"/>
      <c r="AB41" s="497"/>
      <c r="AC41" s="497"/>
      <c r="AD41" s="497"/>
      <c r="AF41" s="497"/>
      <c r="AG41" s="497"/>
      <c r="AH41" s="497"/>
    </row>
    <row r="42" spans="2:34" ht="13.5" customHeight="1">
      <c r="C42" s="341"/>
      <c r="G42" s="341"/>
    </row>
    <row r="43" spans="2:34"/>
    <row r="44" spans="2:34" ht="16.2">
      <c r="C44" s="341"/>
      <c r="G44" s="341"/>
    </row>
    <row r="45" spans="2:34"/>
    <row r="46" spans="2:34"/>
    <row r="47" spans="2:34" ht="16.2">
      <c r="B47" s="341" t="s">
        <v>535</v>
      </c>
    </row>
    <row r="48" spans="2:34"/>
    <row r="49" spans="2:2" ht="16.2">
      <c r="B49" s="341" t="s">
        <v>536</v>
      </c>
    </row>
    <row r="50" spans="2:2"/>
    <row r="51" spans="2:2"/>
    <row r="52" spans="2:2"/>
    <row r="53" spans="2:2"/>
  </sheetData>
  <mergeCells count="3">
    <mergeCell ref="A5:K5"/>
    <mergeCell ref="A6:K6"/>
    <mergeCell ref="E39:G40"/>
  </mergeCells>
  <phoneticPr fontId="117" type="noConversion"/>
  <pageMargins left="0.5" right="0.5" top="0.33" bottom="0.13" header="0.44" footer="0.5"/>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tabColor theme="8" tint="-0.249977111117893"/>
  </sheetPr>
  <dimension ref="A1:J53"/>
  <sheetViews>
    <sheetView view="pageLayout" zoomScale="110" zoomScaleNormal="100" zoomScalePageLayoutView="110" workbookViewId="0">
      <selection activeCell="AC1" sqref="AC1:AZ1048576"/>
    </sheetView>
  </sheetViews>
  <sheetFormatPr defaultRowHeight="13.2"/>
  <cols>
    <col min="29" max="52" width="0" hidden="1" customWidth="1"/>
  </cols>
  <sheetData>
    <row r="1" spans="1:10" ht="12.75" customHeight="1">
      <c r="A1" s="1371" t="str">
        <f>CONCATENATE("Hello ",'Outline Info'!B2,",")</f>
        <v>Hello ,</v>
      </c>
      <c r="B1" s="1371"/>
      <c r="C1" s="1371"/>
      <c r="D1" s="1371"/>
      <c r="E1" s="1371"/>
      <c r="F1" s="1371"/>
      <c r="G1" s="1371"/>
      <c r="H1" s="1371" t="s">
        <v>995</v>
      </c>
      <c r="I1" s="1371"/>
      <c r="J1" s="1371"/>
    </row>
    <row r="2" spans="1:10">
      <c r="A2" s="1371"/>
      <c r="B2" s="1371"/>
      <c r="C2" s="1371"/>
      <c r="D2" s="1371"/>
      <c r="E2" s="1371"/>
      <c r="F2" s="1371"/>
      <c r="G2" s="1371"/>
      <c r="H2" s="1371"/>
      <c r="I2" s="1371"/>
      <c r="J2" s="1371"/>
    </row>
    <row r="3" spans="1:10">
      <c r="A3" s="1371"/>
      <c r="B3" s="1371"/>
      <c r="C3" s="1371"/>
      <c r="D3" s="1371"/>
      <c r="E3" s="1371"/>
      <c r="F3" s="1371"/>
      <c r="G3" s="1371"/>
      <c r="H3" s="1371"/>
      <c r="I3" s="1371"/>
      <c r="J3" s="1371"/>
    </row>
    <row r="4" spans="1:10">
      <c r="A4" s="1371"/>
      <c r="B4" s="1371"/>
      <c r="C4" s="1371"/>
      <c r="D4" s="1371"/>
      <c r="E4" s="1371"/>
      <c r="F4" s="1371"/>
      <c r="G4" s="1371"/>
      <c r="H4" s="1371"/>
      <c r="I4" s="1371"/>
      <c r="J4" s="1371"/>
    </row>
    <row r="5" spans="1:10">
      <c r="A5" s="1371"/>
      <c r="B5" s="1371"/>
      <c r="C5" s="1371"/>
      <c r="D5" s="1371"/>
      <c r="E5" s="1371"/>
      <c r="F5" s="1371"/>
      <c r="G5" s="1371"/>
      <c r="H5" s="1371"/>
      <c r="I5" s="1371"/>
      <c r="J5" s="1371"/>
    </row>
    <row r="6" spans="1:10">
      <c r="A6" s="1371"/>
      <c r="B6" s="1371"/>
      <c r="C6" s="1371"/>
      <c r="D6" s="1371"/>
      <c r="E6" s="1371"/>
      <c r="F6" s="1371"/>
      <c r="G6" s="1371"/>
      <c r="H6" s="1371"/>
      <c r="I6" s="1371"/>
      <c r="J6" s="1371"/>
    </row>
    <row r="7" spans="1:10">
      <c r="A7" s="1371"/>
      <c r="B7" s="1371"/>
      <c r="C7" s="1371"/>
      <c r="D7" s="1371"/>
      <c r="E7" s="1371"/>
      <c r="F7" s="1371"/>
      <c r="G7" s="1371"/>
      <c r="H7" s="1371"/>
      <c r="I7" s="1371"/>
      <c r="J7" s="1371"/>
    </row>
    <row r="8" spans="1:10">
      <c r="A8" s="1371"/>
      <c r="B8" s="1371"/>
      <c r="C8" s="1371"/>
      <c r="D8" s="1371"/>
      <c r="E8" s="1371"/>
      <c r="F8" s="1371"/>
      <c r="G8" s="1371"/>
      <c r="H8" s="1371"/>
      <c r="I8" s="1371"/>
      <c r="J8" s="1371"/>
    </row>
    <row r="9" spans="1:10">
      <c r="A9" s="1371"/>
      <c r="B9" s="1371"/>
      <c r="C9" s="1371"/>
      <c r="D9" s="1371"/>
      <c r="E9" s="1371"/>
      <c r="F9" s="1371"/>
      <c r="G9" s="1371"/>
      <c r="H9" s="1371"/>
      <c r="I9" s="1371"/>
      <c r="J9" s="1371"/>
    </row>
    <row r="10" spans="1:10">
      <c r="A10" s="1371"/>
      <c r="B10" s="1371"/>
      <c r="C10" s="1371"/>
      <c r="D10" s="1371"/>
      <c r="E10" s="1371"/>
      <c r="F10" s="1371"/>
      <c r="G10" s="1371"/>
      <c r="H10" s="1371"/>
      <c r="I10" s="1371"/>
      <c r="J10" s="1371"/>
    </row>
    <row r="11" spans="1:10">
      <c r="A11" s="1371"/>
      <c r="B11" s="1371"/>
      <c r="C11" s="1371"/>
      <c r="D11" s="1371"/>
      <c r="E11" s="1371"/>
      <c r="F11" s="1371"/>
      <c r="G11" s="1371"/>
      <c r="H11" s="1371"/>
      <c r="I11" s="1371"/>
      <c r="J11" s="1371"/>
    </row>
    <row r="12" spans="1:10">
      <c r="A12" s="1371"/>
      <c r="B12" s="1371"/>
      <c r="C12" s="1371"/>
      <c r="D12" s="1371"/>
      <c r="E12" s="1371"/>
      <c r="F12" s="1371"/>
      <c r="G12" s="1371"/>
      <c r="H12" s="1371"/>
      <c r="I12" s="1371"/>
      <c r="J12" s="1371"/>
    </row>
    <row r="13" spans="1:10">
      <c r="A13" s="1371"/>
      <c r="B13" s="1371"/>
      <c r="C13" s="1371"/>
      <c r="D13" s="1371"/>
      <c r="E13" s="1371"/>
      <c r="F13" s="1371"/>
      <c r="G13" s="1371"/>
      <c r="H13" s="1371"/>
      <c r="I13" s="1371"/>
      <c r="J13" s="1371"/>
    </row>
    <row r="14" spans="1:10">
      <c r="A14" s="1371"/>
      <c r="B14" s="1371"/>
      <c r="C14" s="1371"/>
      <c r="D14" s="1371"/>
      <c r="E14" s="1371"/>
      <c r="F14" s="1371"/>
      <c r="G14" s="1371"/>
      <c r="H14" s="1371"/>
      <c r="I14" s="1371"/>
      <c r="J14" s="1371"/>
    </row>
    <row r="15" spans="1:10">
      <c r="A15" s="1371"/>
      <c r="B15" s="1371"/>
      <c r="C15" s="1371"/>
      <c r="D15" s="1371"/>
      <c r="E15" s="1371"/>
      <c r="F15" s="1371"/>
      <c r="G15" s="1371"/>
      <c r="H15" s="1371"/>
      <c r="I15" s="1371"/>
      <c r="J15" s="1371"/>
    </row>
    <row r="16" spans="1:10">
      <c r="A16" s="1371"/>
      <c r="B16" s="1371"/>
      <c r="C16" s="1371"/>
      <c r="D16" s="1371"/>
      <c r="E16" s="1371"/>
      <c r="F16" s="1371"/>
      <c r="G16" s="1371"/>
      <c r="H16" s="1371"/>
      <c r="I16" s="1371"/>
      <c r="J16" s="1371"/>
    </row>
    <row r="17" spans="1:10">
      <c r="A17" s="1371"/>
      <c r="B17" s="1371"/>
      <c r="C17" s="1371"/>
      <c r="D17" s="1371"/>
      <c r="E17" s="1371"/>
      <c r="F17" s="1371"/>
      <c r="G17" s="1371"/>
      <c r="H17" s="1371"/>
      <c r="I17" s="1371"/>
      <c r="J17" s="1371"/>
    </row>
    <row r="18" spans="1:10">
      <c r="A18" s="1371"/>
      <c r="B18" s="1371"/>
      <c r="C18" s="1371"/>
      <c r="D18" s="1371"/>
      <c r="E18" s="1371"/>
      <c r="F18" s="1371"/>
      <c r="G18" s="1371"/>
      <c r="H18" s="1371"/>
      <c r="I18" s="1371"/>
      <c r="J18" s="1371"/>
    </row>
    <row r="19" spans="1:10">
      <c r="A19" s="1371"/>
      <c r="B19" s="1371"/>
      <c r="C19" s="1371"/>
      <c r="D19" s="1371"/>
      <c r="E19" s="1371"/>
      <c r="F19" s="1371"/>
      <c r="G19" s="1371"/>
      <c r="H19" s="1371"/>
      <c r="I19" s="1371"/>
      <c r="J19" s="1371"/>
    </row>
    <row r="20" spans="1:10">
      <c r="A20" s="1371"/>
      <c r="B20" s="1371"/>
      <c r="C20" s="1371"/>
      <c r="D20" s="1371"/>
      <c r="E20" s="1371"/>
      <c r="F20" s="1371"/>
      <c r="G20" s="1371"/>
      <c r="H20" s="1371"/>
      <c r="I20" s="1371"/>
      <c r="J20" s="1371"/>
    </row>
    <row r="21" spans="1:10">
      <c r="A21" s="1371"/>
      <c r="B21" s="1371"/>
      <c r="C21" s="1371"/>
      <c r="D21" s="1371"/>
      <c r="E21" s="1371"/>
      <c r="F21" s="1371"/>
      <c r="G21" s="1371"/>
      <c r="H21" s="1371"/>
      <c r="I21" s="1371"/>
      <c r="J21" s="1371"/>
    </row>
    <row r="22" spans="1:10">
      <c r="A22" s="1371"/>
      <c r="B22" s="1371"/>
      <c r="C22" s="1371"/>
      <c r="D22" s="1371"/>
      <c r="E22" s="1371"/>
      <c r="F22" s="1371"/>
      <c r="G22" s="1371"/>
      <c r="H22" s="1371"/>
      <c r="I22" s="1371"/>
      <c r="J22" s="1371"/>
    </row>
    <row r="23" spans="1:10">
      <c r="A23" s="1371"/>
      <c r="B23" s="1371"/>
      <c r="C23" s="1371"/>
      <c r="D23" s="1371"/>
      <c r="E23" s="1371"/>
      <c r="F23" s="1371"/>
      <c r="G23" s="1371"/>
      <c r="H23" s="1371"/>
      <c r="I23" s="1371"/>
      <c r="J23" s="1371"/>
    </row>
    <row r="24" spans="1:10">
      <c r="A24" s="1371"/>
      <c r="B24" s="1371"/>
      <c r="C24" s="1371"/>
      <c r="D24" s="1371"/>
      <c r="E24" s="1371"/>
      <c r="F24" s="1371"/>
      <c r="G24" s="1371"/>
      <c r="H24" s="1371"/>
      <c r="I24" s="1371"/>
      <c r="J24" s="1371"/>
    </row>
    <row r="25" spans="1:10">
      <c r="A25" s="1371"/>
      <c r="B25" s="1371"/>
      <c r="C25" s="1371"/>
      <c r="D25" s="1371"/>
      <c r="E25" s="1371"/>
      <c r="F25" s="1371"/>
      <c r="G25" s="1371"/>
      <c r="H25" s="1371"/>
      <c r="I25" s="1371"/>
      <c r="J25" s="1371"/>
    </row>
    <row r="26" spans="1:10">
      <c r="A26" s="1371"/>
      <c r="B26" s="1371"/>
      <c r="C26" s="1371"/>
      <c r="D26" s="1371"/>
      <c r="E26" s="1371"/>
      <c r="F26" s="1371"/>
      <c r="G26" s="1371"/>
      <c r="H26" s="1371"/>
      <c r="I26" s="1371"/>
      <c r="J26" s="1371"/>
    </row>
    <row r="27" spans="1:10">
      <c r="A27" s="1371"/>
      <c r="B27" s="1371"/>
      <c r="C27" s="1371"/>
      <c r="D27" s="1371"/>
      <c r="E27" s="1371"/>
      <c r="F27" s="1371"/>
      <c r="G27" s="1371"/>
      <c r="H27" s="1371"/>
      <c r="I27" s="1371"/>
      <c r="J27" s="1371"/>
    </row>
    <row r="28" spans="1:10">
      <c r="A28" s="1371"/>
      <c r="B28" s="1371"/>
      <c r="C28" s="1371"/>
      <c r="D28" s="1371"/>
      <c r="E28" s="1371"/>
      <c r="F28" s="1371"/>
      <c r="G28" s="1371"/>
      <c r="H28" s="1371"/>
      <c r="I28" s="1371"/>
      <c r="J28" s="1371"/>
    </row>
    <row r="29" spans="1:10">
      <c r="A29" s="1371"/>
      <c r="B29" s="1371"/>
      <c r="C29" s="1371"/>
      <c r="D29" s="1371"/>
      <c r="E29" s="1371"/>
      <c r="F29" s="1371"/>
      <c r="G29" s="1371"/>
      <c r="H29" s="1371"/>
      <c r="I29" s="1371"/>
      <c r="J29" s="1371"/>
    </row>
    <row r="30" spans="1:10">
      <c r="A30" s="1371"/>
      <c r="B30" s="1371"/>
      <c r="C30" s="1371"/>
      <c r="D30" s="1371"/>
      <c r="E30" s="1371"/>
      <c r="F30" s="1371"/>
      <c r="G30" s="1371"/>
      <c r="H30" s="1371"/>
      <c r="I30" s="1371"/>
      <c r="J30" s="1371"/>
    </row>
    <row r="31" spans="1:10">
      <c r="A31" s="1371"/>
      <c r="B31" s="1371"/>
      <c r="C31" s="1371"/>
      <c r="D31" s="1371"/>
      <c r="E31" s="1371"/>
      <c r="F31" s="1371"/>
      <c r="G31" s="1371"/>
      <c r="H31" s="1371"/>
      <c r="I31" s="1371"/>
      <c r="J31" s="1371"/>
    </row>
    <row r="32" spans="1:10">
      <c r="A32" s="1371"/>
      <c r="B32" s="1371"/>
      <c r="C32" s="1371"/>
      <c r="D32" s="1371"/>
      <c r="E32" s="1371"/>
      <c r="F32" s="1371"/>
      <c r="G32" s="1371"/>
      <c r="H32" s="1371"/>
      <c r="I32" s="1371"/>
      <c r="J32" s="1371"/>
    </row>
    <row r="33" spans="1:10">
      <c r="A33" s="1371"/>
      <c r="B33" s="1371"/>
      <c r="C33" s="1371"/>
      <c r="D33" s="1371"/>
      <c r="E33" s="1371"/>
      <c r="F33" s="1371"/>
      <c r="G33" s="1371"/>
      <c r="H33" s="1371"/>
      <c r="I33" s="1371"/>
      <c r="J33" s="1371"/>
    </row>
    <row r="34" spans="1:10">
      <c r="A34" s="1371"/>
      <c r="B34" s="1371"/>
      <c r="C34" s="1371"/>
      <c r="D34" s="1371"/>
      <c r="E34" s="1371"/>
      <c r="F34" s="1371"/>
      <c r="G34" s="1371"/>
      <c r="H34" s="1371"/>
      <c r="I34" s="1371"/>
      <c r="J34" s="1371"/>
    </row>
    <row r="35" spans="1:10">
      <c r="A35" s="1371"/>
      <c r="B35" s="1371"/>
      <c r="C35" s="1371"/>
      <c r="D35" s="1371"/>
      <c r="E35" s="1371"/>
      <c r="F35" s="1371"/>
      <c r="G35" s="1371"/>
      <c r="H35" s="1371"/>
      <c r="I35" s="1371"/>
      <c r="J35" s="1371"/>
    </row>
    <row r="36" spans="1:10">
      <c r="A36" s="1371"/>
      <c r="B36" s="1371"/>
      <c r="C36" s="1371"/>
      <c r="D36" s="1371"/>
      <c r="E36" s="1371"/>
      <c r="F36" s="1371"/>
      <c r="G36" s="1371"/>
      <c r="H36" s="1371"/>
      <c r="I36" s="1371"/>
      <c r="J36" s="1371"/>
    </row>
    <row r="37" spans="1:10">
      <c r="A37" s="1371"/>
      <c r="B37" s="1371"/>
      <c r="C37" s="1371"/>
      <c r="D37" s="1371"/>
      <c r="E37" s="1371"/>
      <c r="F37" s="1371"/>
      <c r="G37" s="1371"/>
      <c r="H37" s="1371"/>
      <c r="I37" s="1371"/>
      <c r="J37" s="1371"/>
    </row>
    <row r="38" spans="1:10">
      <c r="A38" s="1371"/>
      <c r="B38" s="1371"/>
      <c r="C38" s="1371"/>
      <c r="D38" s="1371"/>
      <c r="E38" s="1371"/>
      <c r="F38" s="1371"/>
      <c r="G38" s="1371"/>
      <c r="H38" s="1371"/>
      <c r="I38" s="1371"/>
      <c r="J38" s="1371"/>
    </row>
    <row r="39" spans="1:10">
      <c r="A39" s="1371"/>
      <c r="B39" s="1371"/>
      <c r="C39" s="1371"/>
      <c r="D39" s="1371"/>
      <c r="E39" s="1371"/>
      <c r="F39" s="1371"/>
      <c r="G39" s="1371"/>
      <c r="H39" s="1371"/>
      <c r="I39" s="1371"/>
      <c r="J39" s="1371"/>
    </row>
    <row r="40" spans="1:10">
      <c r="A40" s="1371"/>
      <c r="B40" s="1371"/>
      <c r="C40" s="1371"/>
      <c r="D40" s="1371"/>
      <c r="E40" s="1371"/>
      <c r="F40" s="1371"/>
      <c r="G40" s="1371"/>
      <c r="H40" s="1371"/>
      <c r="I40" s="1371"/>
      <c r="J40" s="1371"/>
    </row>
    <row r="41" spans="1:10">
      <c r="A41" s="1371"/>
      <c r="B41" s="1371"/>
      <c r="C41" s="1371"/>
      <c r="D41" s="1371"/>
      <c r="E41" s="1371"/>
      <c r="F41" s="1371"/>
      <c r="G41" s="1371"/>
      <c r="H41" s="1371"/>
      <c r="I41" s="1371"/>
      <c r="J41" s="1371"/>
    </row>
    <row r="42" spans="1:10">
      <c r="A42" s="1371"/>
      <c r="B42" s="1371"/>
      <c r="C42" s="1371"/>
      <c r="D42" s="1371"/>
      <c r="E42" s="1371"/>
      <c r="F42" s="1371"/>
      <c r="G42" s="1371"/>
      <c r="H42" s="1371"/>
      <c r="I42" s="1371"/>
      <c r="J42" s="1371"/>
    </row>
    <row r="43" spans="1:10">
      <c r="A43" s="1371"/>
      <c r="B43" s="1371"/>
      <c r="C43" s="1371"/>
      <c r="D43" s="1371"/>
      <c r="E43" s="1371"/>
      <c r="F43" s="1371"/>
      <c r="G43" s="1371"/>
      <c r="H43" s="1371"/>
      <c r="I43" s="1371"/>
      <c r="J43" s="1371"/>
    </row>
    <row r="44" spans="1:10">
      <c r="A44" s="1371"/>
      <c r="B44" s="1371"/>
      <c r="C44" s="1371"/>
      <c r="D44" s="1371"/>
      <c r="E44" s="1371"/>
      <c r="F44" s="1371"/>
      <c r="G44" s="1371"/>
      <c r="H44" s="1371"/>
      <c r="I44" s="1371"/>
      <c r="J44" s="1371"/>
    </row>
    <row r="45" spans="1:10">
      <c r="A45" s="1371"/>
      <c r="B45" s="1371"/>
      <c r="C45" s="1371"/>
      <c r="D45" s="1371"/>
      <c r="E45" s="1371"/>
      <c r="F45" s="1371"/>
      <c r="G45" s="1371"/>
      <c r="H45" s="1371"/>
      <c r="I45" s="1371"/>
      <c r="J45" s="1371"/>
    </row>
    <row r="46" spans="1:10">
      <c r="A46" s="1371"/>
      <c r="B46" s="1371"/>
      <c r="C46" s="1371"/>
      <c r="D46" s="1371"/>
      <c r="E46" s="1371"/>
      <c r="F46" s="1371"/>
      <c r="G46" s="1371"/>
      <c r="H46" s="1371"/>
      <c r="I46" s="1371"/>
      <c r="J46" s="1371"/>
    </row>
    <row r="47" spans="1:10">
      <c r="A47" s="1371"/>
      <c r="B47" s="1371"/>
      <c r="C47" s="1371"/>
      <c r="D47" s="1371"/>
      <c r="E47" s="1371"/>
      <c r="F47" s="1371"/>
      <c r="G47" s="1371"/>
      <c r="H47" s="1371"/>
      <c r="I47" s="1371"/>
      <c r="J47" s="1371"/>
    </row>
    <row r="48" spans="1:10">
      <c r="A48" s="1371"/>
      <c r="B48" s="1371"/>
      <c r="C48" s="1371"/>
      <c r="D48" s="1371"/>
      <c r="E48" s="1371"/>
      <c r="F48" s="1371"/>
      <c r="G48" s="1371"/>
      <c r="H48" s="1371"/>
      <c r="I48" s="1371"/>
      <c r="J48" s="1371"/>
    </row>
    <row r="49" spans="1:10">
      <c r="A49" s="1371"/>
      <c r="B49" s="1371"/>
      <c r="C49" s="1371"/>
      <c r="D49" s="1371"/>
      <c r="E49" s="1371"/>
      <c r="F49" s="1371"/>
      <c r="G49" s="1371"/>
      <c r="H49" s="1371"/>
      <c r="I49" s="1371"/>
      <c r="J49" s="1371"/>
    </row>
    <row r="50" spans="1:10">
      <c r="A50" s="1371"/>
      <c r="B50" s="1371"/>
      <c r="C50" s="1371"/>
      <c r="D50" s="1371"/>
      <c r="E50" s="1371"/>
      <c r="F50" s="1371"/>
      <c r="G50" s="1371"/>
      <c r="H50" s="1371"/>
      <c r="I50" s="1371"/>
      <c r="J50" s="1371"/>
    </row>
    <row r="51" spans="1:10">
      <c r="A51" s="1371"/>
      <c r="B51" s="1371"/>
      <c r="C51" s="1371"/>
      <c r="D51" s="1371"/>
      <c r="E51" s="1371"/>
      <c r="F51" s="1371"/>
      <c r="G51" s="1371"/>
      <c r="H51" s="1371"/>
      <c r="I51" s="1371"/>
      <c r="J51" s="1371"/>
    </row>
    <row r="52" spans="1:10">
      <c r="A52" s="1371"/>
      <c r="B52" s="1371"/>
      <c r="C52" s="1371"/>
      <c r="D52" s="1371"/>
      <c r="E52" s="1371"/>
      <c r="F52" s="1371"/>
      <c r="G52" s="1371"/>
      <c r="H52" s="1371"/>
      <c r="I52" s="1371"/>
      <c r="J52" s="1371"/>
    </row>
    <row r="53" spans="1:10">
      <c r="A53" s="1371"/>
      <c r="B53" s="1371"/>
      <c r="C53" s="1371"/>
      <c r="D53" s="1371"/>
      <c r="E53" s="1371"/>
      <c r="F53" s="1371"/>
      <c r="G53" s="1371"/>
      <c r="H53" s="1371"/>
      <c r="I53" s="1371"/>
      <c r="J53" s="1371"/>
    </row>
  </sheetData>
  <mergeCells count="2">
    <mergeCell ref="A1:G53"/>
    <mergeCell ref="H1:J53"/>
  </mergeCells>
  <phoneticPr fontId="117" type="noConversion"/>
  <pageMargins left="0.7" right="0.45"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E31DB9"/>
  </sheetPr>
  <dimension ref="A1:AV55"/>
  <sheetViews>
    <sheetView view="pageLayout" topLeftCell="A16" zoomScale="85" zoomScaleNormal="100" zoomScaleSheetLayoutView="85" zoomScalePageLayoutView="85" workbookViewId="0">
      <selection activeCell="O29" sqref="O29"/>
    </sheetView>
  </sheetViews>
  <sheetFormatPr defaultColWidth="0" defaultRowHeight="14.4"/>
  <cols>
    <col min="1" max="1" width="11.109375" style="10" customWidth="1"/>
    <col min="2" max="2" width="13" style="10" customWidth="1"/>
    <col min="3" max="3" width="11.44140625" style="10" customWidth="1"/>
    <col min="4" max="4" width="2.33203125" style="10" customWidth="1"/>
    <col min="5" max="5" width="6.109375" style="10" customWidth="1"/>
    <col min="6" max="6" width="2.44140625" style="31" customWidth="1"/>
    <col min="7" max="7" width="9.33203125" style="10" customWidth="1"/>
    <col min="8" max="8" width="12.6640625" style="10" customWidth="1"/>
    <col min="9" max="9" width="2.44140625" style="10" customWidth="1"/>
    <col min="10" max="10" width="5.21875" style="10" customWidth="1"/>
    <col min="11" max="11" width="9.44140625" style="10" customWidth="1"/>
    <col min="12" max="12" width="6.77734375" style="10" customWidth="1"/>
    <col min="13" max="13" width="11.21875" style="10" customWidth="1"/>
    <col min="14" max="14" width="2" style="10" customWidth="1"/>
    <col min="15" max="15" width="5.21875" style="10" customWidth="1"/>
    <col min="16" max="16" width="12.6640625" style="10" customWidth="1"/>
    <col min="17" max="17" width="1.33203125" style="10" customWidth="1"/>
    <col min="18" max="21" width="12.109375" style="10" customWidth="1"/>
    <col min="22" max="22" width="14.33203125" style="10" customWidth="1"/>
    <col min="23" max="27" width="12.109375" style="10" customWidth="1"/>
    <col min="28" max="28" width="1.33203125" style="10" customWidth="1"/>
    <col min="29" max="29" width="0" style="10" hidden="1"/>
    <col min="30" max="32" width="13.44140625" style="10" customWidth="1"/>
    <col min="33" max="33" width="9.44140625" style="10" customWidth="1"/>
    <col min="34" max="34" width="0" style="10" hidden="1"/>
    <col min="35" max="37" width="13.44140625" style="10" customWidth="1"/>
    <col min="38" max="38" width="31.77734375" style="10" customWidth="1"/>
    <col min="39" max="39" width="0" style="10" hidden="1"/>
    <col min="40" max="40" width="7.109375" style="10" bestFit="1" customWidth="1"/>
    <col min="41" max="46" width="14.33203125" style="10" customWidth="1"/>
    <col min="47" max="47" width="19.6640625" style="10" customWidth="1"/>
    <col min="48" max="48" width="7" style="10" customWidth="1"/>
    <col min="49" max="16384" width="0" style="10" hidden="1"/>
  </cols>
  <sheetData>
    <row r="1" spans="1:48" ht="16.2" thickBot="1">
      <c r="O1" s="11" t="s">
        <v>444</v>
      </c>
      <c r="P1" s="38">
        <f>'Outline Info'!$B$7</f>
        <v>0</v>
      </c>
      <c r="Q1" s="70"/>
      <c r="Z1" s="11" t="s">
        <v>444</v>
      </c>
      <c r="AA1" s="38">
        <f>'Outline Info'!$B$7</f>
        <v>0</v>
      </c>
      <c r="AB1" s="148"/>
      <c r="AK1" s="11"/>
      <c r="AL1" s="148">
        <f>'Outline Info'!$B$7</f>
        <v>0</v>
      </c>
      <c r="AM1" s="148"/>
      <c r="AN1" s="20"/>
      <c r="AO1" s="20"/>
      <c r="AP1" s="20"/>
      <c r="AQ1" s="20"/>
      <c r="AR1" s="20"/>
      <c r="AS1" s="20"/>
      <c r="AT1" s="20"/>
      <c r="AU1" s="103">
        <f>'Outline Info'!$B$7</f>
        <v>0</v>
      </c>
    </row>
    <row r="2" spans="1:48" ht="16.2" thickBot="1">
      <c r="A2" s="44"/>
      <c r="B2" s="45"/>
      <c r="C2" s="45"/>
      <c r="D2" s="45"/>
      <c r="E2" s="45"/>
      <c r="F2" s="46"/>
      <c r="G2" s="47"/>
      <c r="H2" s="1212" t="s">
        <v>1039</v>
      </c>
      <c r="I2" s="1213"/>
      <c r="J2" s="1213"/>
      <c r="K2" s="1213"/>
      <c r="L2" s="1213"/>
      <c r="M2" s="1213"/>
      <c r="N2" s="1213"/>
      <c r="O2" s="1214"/>
      <c r="P2" s="48" t="str">
        <f>'Franchise Info'!$B$10</f>
        <v>3501</v>
      </c>
      <c r="Q2" s="71"/>
      <c r="R2" s="1377" t="s">
        <v>767</v>
      </c>
      <c r="S2" s="1378"/>
      <c r="T2" s="1378"/>
      <c r="U2" s="1378"/>
      <c r="V2" s="1378"/>
      <c r="W2" s="1378"/>
      <c r="X2" s="1378"/>
      <c r="Y2" s="1378"/>
      <c r="Z2" s="1378"/>
      <c r="AA2" s="1379"/>
      <c r="AB2" s="62"/>
      <c r="AC2" s="69"/>
      <c r="AD2" s="26" t="s">
        <v>633</v>
      </c>
      <c r="AE2" s="26"/>
      <c r="AF2" s="26"/>
      <c r="AG2" s="26"/>
      <c r="AH2" s="26"/>
      <c r="AI2" s="26"/>
      <c r="AJ2" s="26"/>
      <c r="AK2" s="26"/>
      <c r="AL2" s="26"/>
      <c r="AM2" s="113"/>
      <c r="AN2" s="113"/>
      <c r="AO2" s="1419" t="s">
        <v>446</v>
      </c>
      <c r="AP2" s="1419"/>
      <c r="AQ2" s="1419"/>
      <c r="AR2" s="1419"/>
      <c r="AS2" s="1419"/>
      <c r="AT2" s="1419"/>
      <c r="AU2" s="1419"/>
      <c r="AV2" s="113"/>
    </row>
    <row r="3" spans="1:48">
      <c r="A3" s="49"/>
      <c r="F3" s="42"/>
      <c r="G3" s="14"/>
      <c r="H3" s="1192" t="s">
        <v>1040</v>
      </c>
      <c r="I3" s="1193"/>
      <c r="J3" s="1193"/>
      <c r="K3" s="1193"/>
      <c r="L3" s="1193"/>
      <c r="M3" s="1193"/>
      <c r="N3" s="1193"/>
      <c r="O3" s="1193"/>
      <c r="P3" s="1194"/>
      <c r="Q3" s="72"/>
      <c r="R3" s="1420" t="s">
        <v>783</v>
      </c>
      <c r="S3" s="1421"/>
      <c r="T3" s="1421"/>
      <c r="U3" s="1421"/>
      <c r="V3" s="1421"/>
      <c r="W3" s="1421"/>
      <c r="X3" s="1421"/>
      <c r="Y3" s="1421"/>
      <c r="Z3" s="1421"/>
      <c r="AA3" s="1422"/>
      <c r="AM3" s="105"/>
      <c r="AN3" s="105"/>
      <c r="AO3" s="105"/>
      <c r="AP3" s="105"/>
      <c r="AQ3" s="105"/>
      <c r="AR3" s="105"/>
      <c r="AS3" s="105"/>
      <c r="AT3" s="105"/>
      <c r="AU3" s="105"/>
      <c r="AV3" s="105"/>
    </row>
    <row r="4" spans="1:48" ht="15.75" customHeight="1">
      <c r="A4" s="49"/>
      <c r="F4" s="42"/>
      <c r="G4" s="14"/>
      <c r="H4" s="1195"/>
      <c r="I4" s="1196"/>
      <c r="J4" s="1196"/>
      <c r="K4" s="1196"/>
      <c r="L4" s="1196"/>
      <c r="M4" s="1196"/>
      <c r="N4" s="1196"/>
      <c r="O4" s="1196"/>
      <c r="P4" s="1197"/>
      <c r="Q4" s="72"/>
      <c r="R4" s="1109"/>
      <c r="S4" s="1110"/>
      <c r="T4" s="1110"/>
      <c r="U4" s="1110"/>
      <c r="V4" s="1110"/>
      <c r="W4" s="1110"/>
      <c r="X4" s="1110"/>
      <c r="Y4" s="1110"/>
      <c r="Z4" s="1110"/>
      <c r="AA4" s="1111"/>
      <c r="AC4" s="21"/>
      <c r="AD4" s="104"/>
      <c r="AE4" s="104" t="s">
        <v>634</v>
      </c>
      <c r="AF4" s="105"/>
      <c r="AG4" s="105"/>
      <c r="AH4" s="105"/>
      <c r="AI4" s="105"/>
      <c r="AJ4" s="105"/>
      <c r="AK4" s="105"/>
      <c r="AL4" s="105"/>
      <c r="AM4" s="114"/>
      <c r="AN4" s="115" t="s">
        <v>603</v>
      </c>
      <c r="AO4" s="1417" t="s">
        <v>601</v>
      </c>
      <c r="AP4" s="1417"/>
      <c r="AQ4" s="1417"/>
      <c r="AR4" s="1417"/>
      <c r="AS4" s="1417"/>
      <c r="AT4" s="1417"/>
      <c r="AU4" s="1417"/>
      <c r="AV4" s="118"/>
    </row>
    <row r="5" spans="1:48">
      <c r="A5" s="1189" t="str">
        <f>CONCATENATE("Academy of Learning Career College",'Franchise Info'!$B$6)</f>
        <v>Academy of Learning Career College(o/b 0833888 B.C. Ltd.)</v>
      </c>
      <c r="B5" s="1190"/>
      <c r="C5" s="1190"/>
      <c r="D5" s="1190"/>
      <c r="E5" s="1190"/>
      <c r="F5" s="1190"/>
      <c r="G5" s="1191"/>
      <c r="H5" s="1215" t="s">
        <v>447</v>
      </c>
      <c r="I5" s="1216"/>
      <c r="J5" s="1216"/>
      <c r="K5" s="1216"/>
      <c r="L5" s="1216"/>
      <c r="M5" s="1216"/>
      <c r="N5" s="1216"/>
      <c r="O5" s="1216"/>
      <c r="P5" s="1217"/>
      <c r="Q5" s="71"/>
      <c r="R5" s="49" t="s">
        <v>477</v>
      </c>
      <c r="U5" s="10" t="s">
        <v>1181</v>
      </c>
      <c r="V5" s="667" t="s">
        <v>1104</v>
      </c>
      <c r="W5" s="667" t="s">
        <v>1182</v>
      </c>
      <c r="Y5" s="17"/>
      <c r="Z5" s="17"/>
      <c r="AA5" s="51"/>
      <c r="AD5" s="105"/>
      <c r="AE5" s="105"/>
      <c r="AF5" s="105"/>
      <c r="AG5" s="105"/>
      <c r="AH5" s="105"/>
      <c r="AI5" s="105"/>
      <c r="AJ5" s="105"/>
      <c r="AK5" s="105"/>
      <c r="AL5" s="105"/>
      <c r="AM5" s="114"/>
      <c r="AN5" s="116"/>
      <c r="AO5" s="1417"/>
      <c r="AP5" s="1417"/>
      <c r="AQ5" s="1417"/>
      <c r="AR5" s="1417"/>
      <c r="AS5" s="1417"/>
      <c r="AT5" s="1417"/>
      <c r="AU5" s="1417"/>
      <c r="AV5" s="118"/>
    </row>
    <row r="6" spans="1:48" ht="15.75" customHeight="1">
      <c r="A6" s="1189" t="str">
        <f>LEFT('Franchise Info'!$B$4,FIND(", ",'Franchise Info'!$B$4)-1)</f>
        <v>201 - 20621 Logan Ave</v>
      </c>
      <c r="B6" s="1190"/>
      <c r="C6" s="1190"/>
      <c r="D6" s="1190"/>
      <c r="E6" s="1190"/>
      <c r="F6" s="1190"/>
      <c r="G6" s="1191"/>
      <c r="H6" s="1218" t="s">
        <v>448</v>
      </c>
      <c r="I6" s="1219"/>
      <c r="J6" s="1219"/>
      <c r="K6" s="1219"/>
      <c r="L6" s="1219"/>
      <c r="M6" s="1219"/>
      <c r="N6" s="1219"/>
      <c r="O6" s="1219"/>
      <c r="P6" s="1220"/>
      <c r="Q6" s="71"/>
      <c r="R6" s="49" t="s">
        <v>481</v>
      </c>
      <c r="T6" s="170"/>
      <c r="U6" s="170"/>
      <c r="W6" s="11" t="s">
        <v>482</v>
      </c>
      <c r="X6" s="172"/>
      <c r="Y6" s="172"/>
      <c r="AA6" s="51"/>
      <c r="AC6" s="68"/>
      <c r="AD6" s="106" t="s">
        <v>603</v>
      </c>
      <c r="AE6" s="107" t="s">
        <v>635</v>
      </c>
      <c r="AF6" s="107"/>
      <c r="AG6" s="107"/>
      <c r="AH6" s="107"/>
      <c r="AI6" s="107"/>
      <c r="AJ6" s="107"/>
      <c r="AK6" s="107"/>
      <c r="AL6" s="107"/>
      <c r="AM6" s="114"/>
      <c r="AN6" s="115" t="s">
        <v>602</v>
      </c>
      <c r="AO6" s="1417" t="s">
        <v>788</v>
      </c>
      <c r="AP6" s="1417"/>
      <c r="AQ6" s="1417"/>
      <c r="AR6" s="1417"/>
      <c r="AS6" s="1417"/>
      <c r="AT6" s="1417"/>
      <c r="AU6" s="1417"/>
      <c r="AV6" s="121"/>
    </row>
    <row r="7" spans="1:48" ht="16.2" thickBot="1">
      <c r="A7" s="1189" t="str">
        <f>MID('Franchise Info'!$B$4,FIND(", ",'Franchise Info'!$B$4)+2,50)</f>
        <v>Langley, BC, V3A 7R3</v>
      </c>
      <c r="B7" s="1190"/>
      <c r="C7" s="1190"/>
      <c r="D7" s="1190"/>
      <c r="E7" s="1190"/>
      <c r="F7" s="1190"/>
      <c r="G7" s="1191"/>
      <c r="H7" s="13"/>
      <c r="P7" s="51"/>
      <c r="Q7" s="72"/>
      <c r="R7" s="49"/>
      <c r="T7" s="170"/>
      <c r="U7" s="170"/>
      <c r="X7" s="172"/>
      <c r="Y7" s="172"/>
      <c r="AA7" s="51"/>
      <c r="AC7" s="68"/>
      <c r="AD7" s="107"/>
      <c r="AE7" s="108" t="s">
        <v>636</v>
      </c>
      <c r="AF7" s="107" t="s">
        <v>631</v>
      </c>
      <c r="AG7" s="107"/>
      <c r="AH7" s="107"/>
      <c r="AI7" s="107"/>
      <c r="AJ7" s="107"/>
      <c r="AK7" s="107"/>
      <c r="AL7" s="107"/>
      <c r="AM7" s="114"/>
      <c r="AN7" s="116"/>
      <c r="AO7" s="1417"/>
      <c r="AP7" s="1417"/>
      <c r="AQ7" s="1417"/>
      <c r="AR7" s="1417"/>
      <c r="AS7" s="1417"/>
      <c r="AT7" s="1417"/>
      <c r="AU7" s="1417"/>
      <c r="AV7" s="121"/>
    </row>
    <row r="8" spans="1:48" ht="15.75" customHeight="1" thickBot="1">
      <c r="A8" s="1189" t="str">
        <f>CONCATENATE("Phone:"," ",REPLACE(LEFT('Franchise Info'!$B$7,22),1,8,""),"      Fax:",RIGHT('Franchise Info'!$B$7,14))</f>
        <v>Phone: (604) 532-4040      Fax:(604) 532-4001</v>
      </c>
      <c r="B8" s="1190"/>
      <c r="C8" s="1190"/>
      <c r="D8" s="1190"/>
      <c r="E8" s="1190"/>
      <c r="F8" s="1190"/>
      <c r="G8" s="1191"/>
      <c r="H8" s="13"/>
      <c r="P8" s="51"/>
      <c r="Q8" s="72"/>
      <c r="R8" s="1377" t="s">
        <v>768</v>
      </c>
      <c r="S8" s="1378"/>
      <c r="T8" s="1378"/>
      <c r="U8" s="1378"/>
      <c r="V8" s="1378"/>
      <c r="W8" s="1378"/>
      <c r="X8" s="1378"/>
      <c r="Y8" s="1378"/>
      <c r="Z8" s="1378"/>
      <c r="AA8" s="1379"/>
      <c r="AC8" s="35"/>
      <c r="AD8" s="107"/>
      <c r="AE8" s="107"/>
      <c r="AF8" s="107" t="s">
        <v>637</v>
      </c>
      <c r="AG8" s="107"/>
      <c r="AH8" s="107"/>
      <c r="AI8" s="107"/>
      <c r="AJ8" s="107"/>
      <c r="AK8" s="107"/>
      <c r="AL8" s="107"/>
      <c r="AM8" s="114"/>
      <c r="AN8" s="115" t="s">
        <v>604</v>
      </c>
      <c r="AO8" s="1417" t="s">
        <v>785</v>
      </c>
      <c r="AP8" s="1417"/>
      <c r="AQ8" s="1417"/>
      <c r="AR8" s="1417"/>
      <c r="AS8" s="1417"/>
      <c r="AT8" s="1417"/>
      <c r="AU8" s="1417"/>
      <c r="AV8" s="121"/>
    </row>
    <row r="9" spans="1:48" ht="15.75" customHeight="1" thickBot="1">
      <c r="A9" s="1189" t="str">
        <f>MID('Franchise Info'!$B$7,FIND("E-Mail",'Franchise Info'!$B$7),60)</f>
        <v xml:space="preserve">E-Mail : admin.langley@aolccbc.com                          </v>
      </c>
      <c r="B9" s="1190"/>
      <c r="C9" s="1190"/>
      <c r="D9" s="1190"/>
      <c r="E9" s="1190"/>
      <c r="F9" s="1190"/>
      <c r="G9" s="1191"/>
      <c r="H9" s="13"/>
      <c r="P9" s="51"/>
      <c r="Q9" s="72"/>
      <c r="R9" s="1380" t="s">
        <v>867</v>
      </c>
      <c r="S9" s="1381"/>
      <c r="T9" s="1381"/>
      <c r="U9" s="1381"/>
      <c r="V9" s="1381"/>
      <c r="W9" s="1381"/>
      <c r="X9" s="1381"/>
      <c r="Y9" s="1381"/>
      <c r="Z9" s="1381"/>
      <c r="AA9" s="1382"/>
      <c r="AC9" s="35"/>
      <c r="AD9" s="107"/>
      <c r="AE9" s="107"/>
      <c r="AF9" s="107" t="s">
        <v>798</v>
      </c>
      <c r="AG9" s="107"/>
      <c r="AH9" s="107"/>
      <c r="AI9" s="107"/>
      <c r="AJ9" s="107"/>
      <c r="AK9" s="107"/>
      <c r="AL9" s="107"/>
      <c r="AM9" s="114"/>
      <c r="AN9" s="115" t="s">
        <v>605</v>
      </c>
      <c r="AO9" s="117" t="s">
        <v>786</v>
      </c>
      <c r="AP9" s="117"/>
      <c r="AQ9" s="117"/>
      <c r="AR9" s="117"/>
      <c r="AS9" s="117"/>
      <c r="AT9" s="117"/>
      <c r="AU9" s="117"/>
      <c r="AV9" s="122"/>
    </row>
    <row r="10" spans="1:48" ht="16.2" thickBot="1">
      <c r="A10" s="1377" t="s">
        <v>452</v>
      </c>
      <c r="B10" s="1378"/>
      <c r="C10" s="1378"/>
      <c r="D10" s="1378"/>
      <c r="E10" s="1378"/>
      <c r="F10" s="1378"/>
      <c r="G10" s="1378"/>
      <c r="H10" s="1378"/>
      <c r="I10" s="1378"/>
      <c r="J10" s="1378"/>
      <c r="K10" s="1378"/>
      <c r="L10" s="1378"/>
      <c r="M10" s="1378"/>
      <c r="N10" s="1378"/>
      <c r="O10" s="1378"/>
      <c r="P10" s="1379"/>
      <c r="Q10" s="64"/>
      <c r="R10" s="1383"/>
      <c r="S10" s="1384"/>
      <c r="T10" s="1384"/>
      <c r="U10" s="1384"/>
      <c r="V10" s="1384"/>
      <c r="W10" s="1384"/>
      <c r="X10" s="1384"/>
      <c r="Y10" s="1384"/>
      <c r="Z10" s="1384"/>
      <c r="AA10" s="1385"/>
      <c r="AB10" s="62"/>
      <c r="AC10" s="35"/>
      <c r="AD10" s="107"/>
      <c r="AE10" s="107"/>
      <c r="AF10" s="107"/>
      <c r="AG10" s="107"/>
      <c r="AH10" s="107"/>
      <c r="AI10" s="107"/>
      <c r="AJ10" s="107"/>
      <c r="AK10" s="107"/>
      <c r="AL10" s="107"/>
      <c r="AM10" s="114"/>
      <c r="AN10" s="115" t="s">
        <v>606</v>
      </c>
      <c r="AO10" s="1417" t="s">
        <v>1203</v>
      </c>
      <c r="AP10" s="1417"/>
      <c r="AQ10" s="1417"/>
      <c r="AR10" s="1417"/>
      <c r="AS10" s="1417"/>
      <c r="AT10" s="1417"/>
      <c r="AU10" s="1417"/>
      <c r="AV10" s="122"/>
    </row>
    <row r="11" spans="1:48" ht="15" customHeight="1" thickBot="1">
      <c r="A11" s="1208">
        <f>'Student Info'!$B$3</f>
        <v>0</v>
      </c>
      <c r="B11" s="1203"/>
      <c r="C11" s="1203"/>
      <c r="D11" s="173"/>
      <c r="F11" s="163"/>
      <c r="K11" s="747">
        <f>'Student Info'!$B$5</f>
        <v>0</v>
      </c>
      <c r="L11" s="747"/>
      <c r="M11" s="748"/>
      <c r="N11" s="748"/>
      <c r="O11" s="748"/>
      <c r="P11" s="749"/>
      <c r="Q11" s="72"/>
      <c r="R11" s="1377" t="s">
        <v>467</v>
      </c>
      <c r="S11" s="1378"/>
      <c r="T11" s="1378"/>
      <c r="U11" s="1378"/>
      <c r="V11" s="1378"/>
      <c r="W11" s="1378"/>
      <c r="X11" s="1378"/>
      <c r="Y11" s="1378"/>
      <c r="Z11" s="1378"/>
      <c r="AA11" s="1379"/>
      <c r="AC11" s="35"/>
      <c r="AD11" s="106" t="s">
        <v>602</v>
      </c>
      <c r="AE11" s="107" t="s">
        <v>638</v>
      </c>
      <c r="AF11" s="107"/>
      <c r="AG11" s="107"/>
      <c r="AH11" s="107"/>
      <c r="AI11" s="107"/>
      <c r="AJ11" s="107"/>
      <c r="AK11" s="107"/>
      <c r="AL11" s="107"/>
      <c r="AM11" s="152"/>
      <c r="AN11" s="112"/>
      <c r="AO11" s="1417"/>
      <c r="AP11" s="1417"/>
      <c r="AQ11" s="1417"/>
      <c r="AR11" s="1417"/>
      <c r="AS11" s="1417"/>
      <c r="AT11" s="1417"/>
      <c r="AU11" s="1417"/>
      <c r="AV11" s="121"/>
    </row>
    <row r="12" spans="1:48" ht="18" customHeight="1">
      <c r="A12" s="49" t="s">
        <v>461</v>
      </c>
      <c r="F12" s="163"/>
      <c r="K12" s="10" t="s">
        <v>1041</v>
      </c>
      <c r="P12" s="51"/>
      <c r="Q12" s="72"/>
      <c r="R12" s="211" t="s">
        <v>868</v>
      </c>
      <c r="S12" s="212"/>
      <c r="T12" s="212"/>
      <c r="U12" s="212"/>
      <c r="V12" s="212"/>
      <c r="W12" s="212"/>
      <c r="X12" s="212"/>
      <c r="Y12" s="212"/>
      <c r="Z12" s="212"/>
      <c r="AA12" s="213"/>
      <c r="AB12" s="149"/>
      <c r="AC12" s="35"/>
      <c r="AD12" s="107"/>
      <c r="AE12" s="108" t="s">
        <v>636</v>
      </c>
      <c r="AF12" s="1414" t="s">
        <v>799</v>
      </c>
      <c r="AG12" s="1414"/>
      <c r="AH12" s="1414"/>
      <c r="AI12" s="1414"/>
      <c r="AJ12" s="1414"/>
      <c r="AK12" s="1414"/>
      <c r="AL12" s="1414"/>
      <c r="AM12" s="152"/>
      <c r="AN12" s="197" t="s">
        <v>607</v>
      </c>
      <c r="AO12" s="1418" t="s">
        <v>797</v>
      </c>
      <c r="AP12" s="1418"/>
      <c r="AQ12" s="1418"/>
      <c r="AR12" s="1418"/>
      <c r="AS12" s="1418"/>
      <c r="AT12" s="1418"/>
      <c r="AU12" s="1418"/>
      <c r="AV12" s="121"/>
    </row>
    <row r="13" spans="1:48" ht="15" customHeight="1">
      <c r="P13" s="51"/>
      <c r="Q13" s="72"/>
      <c r="R13" s="214" t="s">
        <v>869</v>
      </c>
      <c r="S13" s="75"/>
      <c r="T13" s="75"/>
      <c r="U13" s="75"/>
      <c r="V13" s="75"/>
      <c r="W13" s="75"/>
      <c r="X13" s="75"/>
      <c r="Y13" s="75"/>
      <c r="Z13" s="75"/>
      <c r="AA13" s="215"/>
      <c r="AB13" s="151"/>
      <c r="AC13" s="35"/>
      <c r="AD13" s="107"/>
      <c r="AE13" s="107"/>
      <c r="AF13" s="1414"/>
      <c r="AG13" s="1414"/>
      <c r="AH13" s="1414"/>
      <c r="AI13" s="1414"/>
      <c r="AJ13" s="1414"/>
      <c r="AK13" s="1414"/>
      <c r="AL13" s="1414"/>
      <c r="AM13" s="114"/>
      <c r="AN13" s="112"/>
      <c r="AO13" s="1418"/>
      <c r="AP13" s="1418"/>
      <c r="AQ13" s="1418"/>
      <c r="AR13" s="1418"/>
      <c r="AS13" s="1418"/>
      <c r="AT13" s="1418"/>
      <c r="AU13" s="1418"/>
      <c r="AV13" s="121"/>
    </row>
    <row r="14" spans="1:48" ht="15.6">
      <c r="A14" s="53">
        <f>'Outline Info'!$B$3</f>
        <v>0</v>
      </c>
      <c r="B14" s="17"/>
      <c r="C14" s="17"/>
      <c r="D14" s="17"/>
      <c r="E14" s="17"/>
      <c r="F14" s="705"/>
      <c r="G14" s="18">
        <f>'Outline Info'!$B$2</f>
        <v>0</v>
      </c>
      <c r="H14" s="17"/>
      <c r="I14" s="17"/>
      <c r="J14" s="842"/>
      <c r="K14" s="17"/>
      <c r="L14" s="842"/>
      <c r="M14" s="18">
        <f>'Student Info'!$B$4</f>
        <v>0</v>
      </c>
      <c r="N14" s="18"/>
      <c r="O14" s="17"/>
      <c r="P14" s="52"/>
      <c r="Q14" s="72"/>
      <c r="R14" s="216" t="s">
        <v>870</v>
      </c>
      <c r="S14" s="75"/>
      <c r="T14" s="75"/>
      <c r="U14" s="75"/>
      <c r="V14" s="75"/>
      <c r="W14" s="75"/>
      <c r="X14" s="75"/>
      <c r="Y14" s="75"/>
      <c r="Z14" s="75"/>
      <c r="AA14" s="215"/>
      <c r="AB14" s="151"/>
      <c r="AD14" s="107"/>
      <c r="AE14" s="107"/>
      <c r="AF14" s="1414"/>
      <c r="AG14" s="1414"/>
      <c r="AH14" s="1414"/>
      <c r="AI14" s="1414"/>
      <c r="AJ14" s="1414"/>
      <c r="AK14" s="1414"/>
      <c r="AL14" s="1414"/>
      <c r="AM14" s="114"/>
      <c r="AN14" s="116"/>
      <c r="AO14" s="1418"/>
      <c r="AP14" s="1418"/>
      <c r="AQ14" s="1418"/>
      <c r="AR14" s="1418"/>
      <c r="AS14" s="1418"/>
      <c r="AT14" s="1418"/>
      <c r="AU14" s="1418"/>
      <c r="AV14" s="121"/>
    </row>
    <row r="15" spans="1:48" ht="16.5" customHeight="1">
      <c r="A15" s="49" t="s">
        <v>468</v>
      </c>
      <c r="F15" s="163"/>
      <c r="G15" s="10" t="s">
        <v>755</v>
      </c>
      <c r="M15" s="10" t="s">
        <v>756</v>
      </c>
      <c r="P15" s="51"/>
      <c r="Q15" s="72"/>
      <c r="R15" s="217" t="s">
        <v>871</v>
      </c>
      <c r="S15" s="218"/>
      <c r="T15" s="218"/>
      <c r="U15" s="218"/>
      <c r="V15" s="218"/>
      <c r="W15" s="218"/>
      <c r="X15" s="218"/>
      <c r="Y15" s="218"/>
      <c r="Z15" s="218"/>
      <c r="AA15" s="219"/>
      <c r="AB15" s="67"/>
      <c r="AD15" s="107"/>
      <c r="AE15" s="107"/>
      <c r="AF15" s="1414"/>
      <c r="AG15" s="1414"/>
      <c r="AH15" s="1414"/>
      <c r="AI15" s="1414"/>
      <c r="AJ15" s="1414"/>
      <c r="AK15" s="1414"/>
      <c r="AL15" s="1414"/>
      <c r="AM15" s="114"/>
      <c r="AN15" s="115" t="s">
        <v>608</v>
      </c>
      <c r="AO15" s="116" t="s">
        <v>609</v>
      </c>
      <c r="AP15" s="114"/>
      <c r="AQ15" s="114"/>
      <c r="AR15" s="114"/>
      <c r="AS15" s="114"/>
      <c r="AT15" s="114"/>
      <c r="AU15" s="114"/>
      <c r="AV15" s="114"/>
    </row>
    <row r="16" spans="1:48" ht="15" customHeight="1">
      <c r="F16" s="706"/>
      <c r="P16" s="54"/>
      <c r="Q16" s="72"/>
      <c r="R16" s="220"/>
      <c r="S16" s="221" t="s">
        <v>872</v>
      </c>
      <c r="W16" s="221" t="s">
        <v>875</v>
      </c>
      <c r="AA16" s="51"/>
      <c r="AB16" s="151"/>
      <c r="AD16" s="106" t="s">
        <v>604</v>
      </c>
      <c r="AE16" s="107" t="s">
        <v>639</v>
      </c>
      <c r="AF16" s="109"/>
      <c r="AG16" s="109"/>
      <c r="AH16" s="109"/>
      <c r="AI16" s="109"/>
      <c r="AJ16" s="109"/>
      <c r="AK16" s="109"/>
      <c r="AL16" s="109"/>
      <c r="AM16" s="114"/>
      <c r="AN16" s="115" t="s">
        <v>610</v>
      </c>
      <c r="AO16" s="1373" t="s">
        <v>611</v>
      </c>
      <c r="AP16" s="1373"/>
      <c r="AQ16" s="1373"/>
      <c r="AR16" s="1373"/>
      <c r="AS16" s="1373"/>
      <c r="AT16" s="1373"/>
      <c r="AU16" s="1373"/>
      <c r="AV16" s="121"/>
    </row>
    <row r="17" spans="1:48" ht="15" customHeight="1">
      <c r="A17" s="53">
        <f>'Outline Info'!$B$4</f>
        <v>0</v>
      </c>
      <c r="B17" s="17"/>
      <c r="C17" s="17"/>
      <c r="D17" s="17"/>
      <c r="E17" s="17"/>
      <c r="F17" s="166"/>
      <c r="G17" s="17"/>
      <c r="H17" s="17"/>
      <c r="I17" s="17"/>
      <c r="J17" s="842"/>
      <c r="K17" s="17"/>
      <c r="L17" s="842"/>
      <c r="M17" s="17"/>
      <c r="N17" s="842"/>
      <c r="O17" s="1148"/>
      <c r="P17" s="1413"/>
      <c r="Q17" s="72"/>
      <c r="R17" s="220"/>
      <c r="S17" s="221" t="s">
        <v>873</v>
      </c>
      <c r="T17" s="82"/>
      <c r="U17" s="82"/>
      <c r="V17" s="82"/>
      <c r="W17" s="221" t="s">
        <v>876</v>
      </c>
      <c r="X17" s="82"/>
      <c r="Y17" s="82"/>
      <c r="Z17" s="82"/>
      <c r="AA17" s="210"/>
      <c r="AB17" s="151"/>
      <c r="AE17" s="108" t="s">
        <v>636</v>
      </c>
      <c r="AF17" s="107" t="s">
        <v>630</v>
      </c>
      <c r="AG17" s="107"/>
      <c r="AH17" s="107"/>
      <c r="AI17" s="107"/>
      <c r="AJ17" s="107"/>
      <c r="AK17" s="107"/>
      <c r="AL17" s="107"/>
      <c r="AM17" s="114"/>
      <c r="AN17" s="112"/>
      <c r="AO17" s="1373"/>
      <c r="AP17" s="1373"/>
      <c r="AQ17" s="1373"/>
      <c r="AR17" s="1373"/>
      <c r="AS17" s="1373"/>
      <c r="AT17" s="1373"/>
      <c r="AU17" s="1373"/>
      <c r="AV17" s="121"/>
    </row>
    <row r="18" spans="1:48" ht="15.75" customHeight="1">
      <c r="A18" s="49" t="s">
        <v>1231</v>
      </c>
      <c r="F18" s="163"/>
      <c r="O18" s="1172"/>
      <c r="P18" s="1173"/>
      <c r="Q18" s="72"/>
      <c r="R18" s="220"/>
      <c r="S18" s="221" t="s">
        <v>874</v>
      </c>
      <c r="T18" s="82"/>
      <c r="U18" s="82"/>
      <c r="V18" s="82"/>
      <c r="W18" s="221" t="s">
        <v>877</v>
      </c>
      <c r="X18" s="82"/>
      <c r="Y18" s="82"/>
      <c r="Z18" s="82"/>
      <c r="AA18" s="210"/>
      <c r="AB18" s="151"/>
      <c r="AD18" s="107"/>
      <c r="AE18" s="105"/>
      <c r="AF18" s="1392" t="s">
        <v>1618</v>
      </c>
      <c r="AG18" s="1392"/>
      <c r="AH18" s="1392"/>
      <c r="AI18" s="1392"/>
      <c r="AJ18" s="1392"/>
      <c r="AK18" s="1392"/>
      <c r="AL18" s="1392"/>
      <c r="AM18" s="114"/>
      <c r="AN18" s="115"/>
      <c r="AO18" s="1373"/>
      <c r="AP18" s="1373"/>
      <c r="AQ18" s="1373"/>
      <c r="AR18" s="1373"/>
      <c r="AS18" s="1373"/>
      <c r="AT18" s="1373"/>
      <c r="AU18" s="1373"/>
      <c r="AV18" s="121"/>
    </row>
    <row r="19" spans="1:48" ht="15" customHeight="1">
      <c r="A19" s="750"/>
      <c r="B19" s="26"/>
      <c r="C19" s="26"/>
      <c r="D19" s="26"/>
      <c r="E19" s="26"/>
      <c r="F19" s="26"/>
      <c r="G19" s="26"/>
      <c r="H19" s="26"/>
      <c r="I19" s="26"/>
      <c r="J19" s="26"/>
      <c r="K19" s="26"/>
      <c r="L19" s="26"/>
      <c r="O19" s="1221"/>
      <c r="P19" s="1222"/>
      <c r="Q19" s="73"/>
      <c r="R19" s="220"/>
      <c r="S19" s="221" t="s">
        <v>878</v>
      </c>
      <c r="T19" s="82"/>
      <c r="U19" s="82"/>
      <c r="V19" s="82"/>
      <c r="W19" s="221" t="s">
        <v>879</v>
      </c>
      <c r="X19" s="82"/>
      <c r="Y19" s="82"/>
      <c r="Z19" s="82"/>
      <c r="AA19" s="210"/>
      <c r="AB19" s="151"/>
      <c r="AD19" s="107"/>
      <c r="AE19" s="107"/>
      <c r="AF19" s="1392"/>
      <c r="AG19" s="1392"/>
      <c r="AH19" s="1392"/>
      <c r="AI19" s="1392"/>
      <c r="AJ19" s="1392"/>
      <c r="AK19" s="1392"/>
      <c r="AL19" s="1392"/>
      <c r="AM19" s="114"/>
      <c r="AN19" s="115" t="s">
        <v>612</v>
      </c>
      <c r="AO19" s="1373" t="s">
        <v>613</v>
      </c>
      <c r="AP19" s="1373"/>
      <c r="AQ19" s="1373"/>
      <c r="AR19" s="1373"/>
      <c r="AS19" s="1373"/>
      <c r="AT19" s="1373"/>
      <c r="AU19" s="1373"/>
      <c r="AV19" s="121"/>
    </row>
    <row r="20" spans="1:48" ht="15" customHeight="1">
      <c r="A20" s="17">
        <f>'Student Info'!$B$6</f>
        <v>0</v>
      </c>
      <c r="B20" s="702"/>
      <c r="C20" s="702"/>
      <c r="D20" s="702"/>
      <c r="E20" s="702"/>
      <c r="F20" s="702"/>
      <c r="G20" s="702"/>
      <c r="H20" s="702"/>
      <c r="I20" s="702"/>
      <c r="J20" s="702"/>
      <c r="K20" s="702"/>
      <c r="L20" s="702"/>
      <c r="M20" s="17"/>
      <c r="N20" s="842"/>
      <c r="O20" s="1219"/>
      <c r="P20" s="1220"/>
      <c r="Q20" s="72"/>
      <c r="R20" s="1374" t="s">
        <v>880</v>
      </c>
      <c r="S20" s="1375"/>
      <c r="T20" s="1375"/>
      <c r="U20" s="1375"/>
      <c r="V20" s="1375"/>
      <c r="W20" s="1375"/>
      <c r="X20" s="1375"/>
      <c r="Y20" s="1375"/>
      <c r="Z20" s="1375"/>
      <c r="AA20" s="1376"/>
      <c r="AB20" s="151"/>
      <c r="AD20" s="107"/>
      <c r="AE20" s="107"/>
      <c r="AF20" s="1392"/>
      <c r="AG20" s="1392"/>
      <c r="AH20" s="1392"/>
      <c r="AI20" s="1392"/>
      <c r="AJ20" s="1392"/>
      <c r="AK20" s="1392"/>
      <c r="AL20" s="1392"/>
      <c r="AM20" s="114"/>
      <c r="AN20" s="112"/>
      <c r="AO20" s="1373"/>
      <c r="AP20" s="1373"/>
      <c r="AQ20" s="1373"/>
      <c r="AR20" s="1373"/>
      <c r="AS20" s="1373"/>
      <c r="AT20" s="1373"/>
      <c r="AU20" s="1373"/>
      <c r="AV20" s="121"/>
    </row>
    <row r="21" spans="1:48" ht="15.75" customHeight="1">
      <c r="A21" s="10" t="s">
        <v>1232</v>
      </c>
      <c r="F21" s="163"/>
      <c r="O21" s="703"/>
      <c r="P21" s="704"/>
      <c r="Q21" s="64"/>
      <c r="R21" s="1374"/>
      <c r="S21" s="1375"/>
      <c r="T21" s="1375"/>
      <c r="U21" s="1375"/>
      <c r="V21" s="1375"/>
      <c r="W21" s="1375"/>
      <c r="X21" s="1375"/>
      <c r="Y21" s="1375"/>
      <c r="Z21" s="1375"/>
      <c r="AA21" s="1376"/>
      <c r="AB21" s="151"/>
      <c r="AD21" s="107"/>
      <c r="AE21" s="107"/>
      <c r="AF21" s="1392" t="s">
        <v>800</v>
      </c>
      <c r="AG21" s="1392"/>
      <c r="AH21" s="1392"/>
      <c r="AI21" s="1392"/>
      <c r="AJ21" s="1392"/>
      <c r="AK21" s="1392"/>
      <c r="AL21" s="1392"/>
      <c r="AM21" s="114"/>
      <c r="AN21" s="115"/>
      <c r="AO21" s="1373"/>
      <c r="AP21" s="1373"/>
      <c r="AQ21" s="1373"/>
      <c r="AR21" s="1373"/>
      <c r="AS21" s="1373"/>
      <c r="AT21" s="1373"/>
      <c r="AU21" s="1373"/>
      <c r="AV21" s="121"/>
    </row>
    <row r="22" spans="1:48" ht="15.6">
      <c r="O22" s="163"/>
      <c r="P22" s="164"/>
      <c r="Q22" s="71"/>
      <c r="R22" s="222"/>
      <c r="S22" s="72"/>
      <c r="T22" s="72"/>
      <c r="U22" s="72"/>
      <c r="V22" s="72"/>
      <c r="W22" s="72"/>
      <c r="X22" s="72"/>
      <c r="Y22" s="1415"/>
      <c r="Z22" s="1415"/>
      <c r="AA22" s="1416"/>
      <c r="AB22" s="151"/>
      <c r="AD22" s="107"/>
      <c r="AE22" s="107"/>
      <c r="AF22" s="1392"/>
      <c r="AG22" s="1392"/>
      <c r="AH22" s="1392"/>
      <c r="AI22" s="1392"/>
      <c r="AJ22" s="1392"/>
      <c r="AK22" s="1392"/>
      <c r="AL22" s="1392"/>
      <c r="AM22" s="114"/>
      <c r="AN22" s="115" t="s">
        <v>614</v>
      </c>
      <c r="AO22" s="1386" t="s">
        <v>615</v>
      </c>
      <c r="AP22" s="1386"/>
      <c r="AQ22" s="1386"/>
      <c r="AR22" s="1386"/>
      <c r="AS22" s="1386"/>
      <c r="AT22" s="1386"/>
      <c r="AU22" s="1386"/>
      <c r="AV22" s="121"/>
    </row>
    <row r="23" spans="1:48" ht="15.75" customHeight="1">
      <c r="A23" s="1176">
        <f>'Outline Info'!$B$5</f>
        <v>0</v>
      </c>
      <c r="B23" s="1177"/>
      <c r="E23" s="1177">
        <f>'Student Info'!$B$7</f>
        <v>0</v>
      </c>
      <c r="F23" s="1177"/>
      <c r="G23" s="1177"/>
      <c r="H23" s="1177"/>
      <c r="I23" s="20"/>
      <c r="J23" s="20"/>
      <c r="M23" s="1203">
        <f>'Student Info'!$B$8</f>
        <v>0</v>
      </c>
      <c r="N23" s="1203"/>
      <c r="O23" s="1203"/>
      <c r="P23" s="1204"/>
      <c r="Q23" s="72"/>
      <c r="R23" s="92"/>
      <c r="S23" s="93"/>
      <c r="T23" s="93"/>
      <c r="U23" s="93"/>
      <c r="V23" s="93"/>
      <c r="W23" s="93"/>
      <c r="X23" s="82"/>
      <c r="Y23" s="93"/>
      <c r="Z23" s="93"/>
      <c r="AA23" s="94"/>
      <c r="AB23" s="147"/>
      <c r="AD23" s="107"/>
      <c r="AE23" s="105"/>
      <c r="AF23" s="1392"/>
      <c r="AG23" s="1392"/>
      <c r="AH23" s="1392"/>
      <c r="AI23" s="1392"/>
      <c r="AJ23" s="1392"/>
      <c r="AK23" s="1392"/>
      <c r="AL23" s="1392"/>
      <c r="AM23" s="114"/>
      <c r="AN23" s="116"/>
      <c r="AO23" s="1386"/>
      <c r="AP23" s="1386"/>
      <c r="AQ23" s="1386"/>
      <c r="AR23" s="1386"/>
      <c r="AS23" s="1386"/>
      <c r="AT23" s="1386"/>
      <c r="AU23" s="1386"/>
      <c r="AV23" s="121"/>
    </row>
    <row r="24" spans="1:48" ht="15.75" customHeight="1">
      <c r="A24" s="49" t="s">
        <v>479</v>
      </c>
      <c r="E24" s="10" t="s">
        <v>480</v>
      </c>
      <c r="F24" s="163"/>
      <c r="M24" s="10" t="s">
        <v>1223</v>
      </c>
      <c r="P24" s="51"/>
      <c r="Q24" s="74"/>
      <c r="R24" s="90"/>
      <c r="S24" s="84"/>
      <c r="T24" s="84"/>
      <c r="U24" s="84"/>
      <c r="V24" s="84"/>
      <c r="W24" s="84"/>
      <c r="Y24" s="1394"/>
      <c r="Z24" s="1394"/>
      <c r="AA24" s="1395"/>
      <c r="AB24" s="147"/>
      <c r="AD24" s="107"/>
      <c r="AE24" s="109"/>
      <c r="AF24" s="1392" t="s">
        <v>801</v>
      </c>
      <c r="AG24" s="1392"/>
      <c r="AH24" s="1392"/>
      <c r="AI24" s="1392"/>
      <c r="AJ24" s="1392"/>
      <c r="AK24" s="1392"/>
      <c r="AL24" s="1392"/>
      <c r="AM24" s="114"/>
      <c r="AN24" s="112"/>
      <c r="AO24" s="1386"/>
      <c r="AP24" s="1386"/>
      <c r="AQ24" s="1386"/>
      <c r="AR24" s="1386"/>
      <c r="AS24" s="1386"/>
      <c r="AT24" s="1386"/>
      <c r="AU24" s="1386"/>
      <c r="AV24" s="123"/>
    </row>
    <row r="25" spans="1:48" ht="15.6">
      <c r="A25" s="49"/>
      <c r="F25" s="163"/>
      <c r="P25" s="51"/>
      <c r="Q25" s="71"/>
      <c r="R25" s="49" t="s">
        <v>478</v>
      </c>
      <c r="T25" s="23" t="s">
        <v>506</v>
      </c>
      <c r="U25" s="20"/>
      <c r="Y25" s="206" t="s">
        <v>552</v>
      </c>
      <c r="AA25" s="51"/>
      <c r="AD25" s="107"/>
      <c r="AE25" s="109"/>
      <c r="AF25" s="1392"/>
      <c r="AG25" s="1392"/>
      <c r="AH25" s="1392"/>
      <c r="AI25" s="1392"/>
      <c r="AJ25" s="1392"/>
      <c r="AK25" s="1392"/>
      <c r="AL25" s="1392"/>
      <c r="AM25" s="114"/>
      <c r="AN25" s="116"/>
      <c r="AO25" s="1386"/>
      <c r="AP25" s="1386"/>
      <c r="AQ25" s="1386"/>
      <c r="AR25" s="1386"/>
      <c r="AS25" s="1386"/>
      <c r="AT25" s="1386"/>
      <c r="AU25" s="1386"/>
      <c r="AV25" s="123"/>
    </row>
    <row r="26" spans="1:48" ht="15.6">
      <c r="A26" s="165" t="s">
        <v>483</v>
      </c>
      <c r="B26" s="25"/>
      <c r="C26" s="25"/>
      <c r="D26" s="81" t="str">
        <f>IF(OR('Student Info'!$B$9="Y",'Student Info'!$B$9="Y with regular price"),E27,D27)</f>
        <v>¨</v>
      </c>
      <c r="E26" s="34" t="s">
        <v>570</v>
      </c>
      <c r="F26" s="81" t="str">
        <f>IF(OR('Student Info'!$B$9="Y",'Student Info'!$B$9="Y with regular price"),F27,G27)</f>
        <v>þ</v>
      </c>
      <c r="G26" s="34" t="s">
        <v>569</v>
      </c>
      <c r="M26" s="1390"/>
      <c r="N26" s="1390"/>
      <c r="O26" s="1390"/>
      <c r="P26" s="1391"/>
      <c r="Q26" s="72"/>
      <c r="R26" s="49"/>
      <c r="AA26" s="51"/>
      <c r="AB26" s="65"/>
      <c r="AD26" s="107"/>
      <c r="AE26" s="109"/>
      <c r="AF26" s="1392"/>
      <c r="AG26" s="1392"/>
      <c r="AH26" s="1392"/>
      <c r="AI26" s="1392"/>
      <c r="AJ26" s="1392"/>
      <c r="AK26" s="1392"/>
      <c r="AL26" s="1392"/>
      <c r="AM26" s="114"/>
      <c r="AN26" s="115"/>
      <c r="AO26" s="1386"/>
      <c r="AP26" s="1386"/>
      <c r="AQ26" s="1386"/>
      <c r="AR26" s="1386"/>
      <c r="AS26" s="1386"/>
      <c r="AT26" s="1386"/>
      <c r="AU26" s="1386"/>
      <c r="AV26" s="123"/>
    </row>
    <row r="27" spans="1:48" ht="15.75" customHeight="1">
      <c r="A27" s="49"/>
      <c r="D27" s="36" t="s">
        <v>549</v>
      </c>
      <c r="E27" s="37" t="s">
        <v>551</v>
      </c>
      <c r="F27" s="36" t="s">
        <v>549</v>
      </c>
      <c r="G27" s="37" t="s">
        <v>551</v>
      </c>
      <c r="M27" s="208"/>
      <c r="N27" s="208"/>
      <c r="O27" s="17"/>
      <c r="P27" s="52"/>
      <c r="Q27" s="72"/>
      <c r="R27" s="89"/>
      <c r="S27" s="83"/>
      <c r="T27" s="83"/>
      <c r="U27" s="83"/>
      <c r="V27" s="83"/>
      <c r="W27" s="83"/>
      <c r="Y27" s="83"/>
      <c r="Z27" s="83"/>
      <c r="AA27" s="91"/>
      <c r="AD27" s="107"/>
      <c r="AE27" s="108" t="s">
        <v>640</v>
      </c>
      <c r="AF27" s="107" t="s">
        <v>632</v>
      </c>
      <c r="AG27" s="109"/>
      <c r="AH27" s="109"/>
      <c r="AI27" s="109"/>
      <c r="AJ27" s="109"/>
      <c r="AK27" s="109"/>
      <c r="AL27" s="109"/>
      <c r="AM27" s="114"/>
      <c r="AN27" s="696" t="s">
        <v>616</v>
      </c>
      <c r="AO27" s="196" t="s">
        <v>617</v>
      </c>
      <c r="AP27" s="114"/>
      <c r="AQ27" s="114"/>
      <c r="AR27" s="114"/>
      <c r="AS27" s="114"/>
      <c r="AT27" s="114"/>
      <c r="AU27" s="114"/>
      <c r="AV27" s="120"/>
    </row>
    <row r="28" spans="1:48" ht="15.6" customHeight="1">
      <c r="A28" s="1423" t="s">
        <v>650</v>
      </c>
      <c r="B28" s="1425">
        <f>'Student Info'!$B$13</f>
        <v>0</v>
      </c>
      <c r="C28" s="1426"/>
      <c r="D28" s="1429">
        <f>'Student Info'!$B$13</f>
        <v>0</v>
      </c>
      <c r="E28" s="1430"/>
      <c r="F28" s="1431"/>
      <c r="G28" s="1435">
        <f>'Student Info'!$B$13</f>
        <v>0</v>
      </c>
      <c r="H28" s="1387" t="s">
        <v>546</v>
      </c>
      <c r="I28" s="130"/>
      <c r="J28" s="130"/>
      <c r="K28" s="131"/>
      <c r="L28" s="131"/>
      <c r="M28" s="131"/>
      <c r="N28" s="131"/>
      <c r="O28" s="131"/>
      <c r="P28" s="132"/>
      <c r="Q28" s="72"/>
      <c r="R28" s="90"/>
      <c r="S28" s="84"/>
      <c r="T28" s="84"/>
      <c r="U28" s="84"/>
      <c r="V28" s="84"/>
      <c r="W28" s="84"/>
      <c r="Y28" s="203"/>
      <c r="Z28" s="203"/>
      <c r="AA28" s="207"/>
      <c r="AD28" s="107"/>
      <c r="AE28" s="107"/>
      <c r="AF28" s="1392" t="s">
        <v>641</v>
      </c>
      <c r="AG28" s="1392"/>
      <c r="AH28" s="1392"/>
      <c r="AI28" s="1392"/>
      <c r="AJ28" s="1392"/>
      <c r="AK28" s="1392"/>
      <c r="AL28" s="1392"/>
      <c r="AM28" s="114"/>
      <c r="AN28" s="115" t="s">
        <v>618</v>
      </c>
      <c r="AO28" s="1373" t="s">
        <v>1199</v>
      </c>
      <c r="AP28" s="1373"/>
      <c r="AQ28" s="1373"/>
      <c r="AR28" s="1373"/>
      <c r="AS28" s="1373"/>
      <c r="AT28" s="1373"/>
      <c r="AU28" s="1373"/>
      <c r="AV28" s="120"/>
    </row>
    <row r="29" spans="1:48" ht="16.5" customHeight="1">
      <c r="A29" s="1424"/>
      <c r="B29" s="1427"/>
      <c r="C29" s="1428"/>
      <c r="D29" s="1432"/>
      <c r="E29" s="1433"/>
      <c r="F29" s="1434"/>
      <c r="G29" s="1436"/>
      <c r="H29" s="1388"/>
      <c r="I29" s="133"/>
      <c r="J29" s="134" t="str">
        <f>IF('Student Info'!$B$14="M",G27,F27)</f>
        <v>¨</v>
      </c>
      <c r="K29" s="135" t="s">
        <v>572</v>
      </c>
      <c r="L29" s="134" t="str">
        <f>IF('Student Info'!$B$14="F",G27,F27)</f>
        <v>¨</v>
      </c>
      <c r="M29" s="135" t="s">
        <v>1807</v>
      </c>
      <c r="N29" s="135"/>
      <c r="O29" s="134" t="str">
        <f>IF('Student Info'!$B$14="Non-Binary",G27,F27)</f>
        <v>þ</v>
      </c>
      <c r="P29" s="136" t="s">
        <v>1806</v>
      </c>
      <c r="Q29" s="72"/>
      <c r="R29" s="49" t="s">
        <v>1184</v>
      </c>
      <c r="T29" s="24"/>
      <c r="Y29" s="206" t="s">
        <v>552</v>
      </c>
      <c r="AA29" s="51"/>
      <c r="AD29" s="107"/>
      <c r="AE29" s="107"/>
      <c r="AF29" s="1392"/>
      <c r="AG29" s="1392"/>
      <c r="AH29" s="1392"/>
      <c r="AI29" s="1392"/>
      <c r="AJ29" s="1392"/>
      <c r="AK29" s="1392"/>
      <c r="AL29" s="1392"/>
      <c r="AM29" s="114"/>
      <c r="AN29" s="112"/>
      <c r="AO29" s="1373"/>
      <c r="AP29" s="1373"/>
      <c r="AQ29" s="1373"/>
      <c r="AR29" s="1373"/>
      <c r="AS29" s="1373"/>
      <c r="AT29" s="1373"/>
      <c r="AU29" s="1373"/>
      <c r="AV29" s="114"/>
    </row>
    <row r="30" spans="1:48" ht="15.75" customHeight="1" thickBot="1">
      <c r="A30" s="137"/>
      <c r="B30" s="1372" t="s">
        <v>1625</v>
      </c>
      <c r="C30" s="1372"/>
      <c r="D30" s="1372" t="s">
        <v>1626</v>
      </c>
      <c r="E30" s="1372"/>
      <c r="F30" s="1372"/>
      <c r="G30" s="138" t="s">
        <v>1627</v>
      </c>
      <c r="H30" s="1389"/>
      <c r="I30" s="139"/>
      <c r="J30" s="139"/>
      <c r="K30" s="146" t="s">
        <v>549</v>
      </c>
      <c r="L30" s="146"/>
      <c r="M30" s="146" t="s">
        <v>551</v>
      </c>
      <c r="N30" s="146"/>
      <c r="O30" s="140"/>
      <c r="P30" s="141"/>
      <c r="Q30" s="72"/>
      <c r="R30" s="56"/>
      <c r="S30" s="57"/>
      <c r="T30" s="57"/>
      <c r="U30" s="57"/>
      <c r="V30" s="57"/>
      <c r="W30" s="57"/>
      <c r="X30" s="57"/>
      <c r="Y30" s="57"/>
      <c r="Z30" s="57"/>
      <c r="AA30" s="59"/>
      <c r="AD30" s="107"/>
      <c r="AE30" s="107"/>
      <c r="AF30" s="1392"/>
      <c r="AG30" s="1392"/>
      <c r="AH30" s="1392"/>
      <c r="AI30" s="1392"/>
      <c r="AJ30" s="1392"/>
      <c r="AK30" s="1392"/>
      <c r="AL30" s="1392"/>
      <c r="AM30" s="114"/>
      <c r="AO30" s="1373"/>
      <c r="AP30" s="1373"/>
      <c r="AQ30" s="1373"/>
      <c r="AR30" s="1373"/>
      <c r="AS30" s="1373"/>
      <c r="AT30" s="1373"/>
      <c r="AU30" s="1373"/>
      <c r="AV30" s="114"/>
    </row>
    <row r="31" spans="1:48" ht="16.5" customHeight="1" thickBot="1">
      <c r="A31" s="142"/>
      <c r="B31" s="143"/>
      <c r="C31" s="143"/>
      <c r="D31" s="143"/>
      <c r="E31" s="143"/>
      <c r="F31" s="144"/>
      <c r="G31" s="190"/>
      <c r="H31" s="191"/>
      <c r="I31" s="129"/>
      <c r="J31" s="129"/>
      <c r="K31" s="129"/>
      <c r="L31" s="129"/>
      <c r="M31" s="129"/>
      <c r="N31" s="129"/>
      <c r="O31" s="129"/>
      <c r="P31" s="145"/>
      <c r="Q31" s="72"/>
      <c r="R31" s="1377" t="s">
        <v>484</v>
      </c>
      <c r="S31" s="1378"/>
      <c r="T31" s="1378"/>
      <c r="U31" s="1378"/>
      <c r="V31" s="1378"/>
      <c r="W31" s="1378"/>
      <c r="X31" s="1378"/>
      <c r="Y31" s="1378"/>
      <c r="Z31" s="1378"/>
      <c r="AA31" s="1379"/>
      <c r="AD31" s="107"/>
      <c r="AF31" s="1392" t="s">
        <v>787</v>
      </c>
      <c r="AG31" s="1392"/>
      <c r="AH31" s="1392"/>
      <c r="AI31" s="1392"/>
      <c r="AJ31" s="1392"/>
      <c r="AK31" s="1392"/>
      <c r="AL31" s="1392"/>
      <c r="AM31" s="153"/>
      <c r="AN31" s="197"/>
      <c r="AO31" s="1373"/>
      <c r="AP31" s="1373"/>
      <c r="AQ31" s="1373"/>
      <c r="AR31" s="1373"/>
      <c r="AS31" s="1373"/>
      <c r="AT31" s="1373"/>
      <c r="AU31" s="1373"/>
      <c r="AV31" s="114"/>
    </row>
    <row r="32" spans="1:48" ht="15.75" customHeight="1" thickBot="1">
      <c r="A32" s="1377" t="s">
        <v>485</v>
      </c>
      <c r="B32" s="1378"/>
      <c r="C32" s="1378"/>
      <c r="D32" s="1378"/>
      <c r="E32" s="1378"/>
      <c r="F32" s="1378"/>
      <c r="G32" s="1378"/>
      <c r="H32" s="1378"/>
      <c r="I32" s="1378"/>
      <c r="J32" s="1378"/>
      <c r="K32" s="1378"/>
      <c r="L32" s="1378"/>
      <c r="M32" s="1378"/>
      <c r="N32" s="1378"/>
      <c r="O32" s="1378"/>
      <c r="P32" s="1379"/>
      <c r="Q32" s="64"/>
      <c r="R32" s="49"/>
      <c r="AA32" s="51"/>
      <c r="AD32" s="107"/>
      <c r="AE32" s="107"/>
      <c r="AF32" s="1392"/>
      <c r="AG32" s="1392"/>
      <c r="AH32" s="1392"/>
      <c r="AI32" s="1392"/>
      <c r="AJ32" s="1392"/>
      <c r="AK32" s="1392"/>
      <c r="AL32" s="1392"/>
      <c r="AM32" s="114"/>
      <c r="AN32" s="197" t="s">
        <v>619</v>
      </c>
      <c r="AO32" s="1373" t="s">
        <v>620</v>
      </c>
      <c r="AP32" s="1373"/>
      <c r="AQ32" s="1373"/>
      <c r="AR32" s="1373"/>
      <c r="AS32" s="1373"/>
      <c r="AT32" s="1373"/>
      <c r="AU32" s="1373"/>
      <c r="AV32" s="114"/>
    </row>
    <row r="33" spans="1:48" ht="15" customHeight="1">
      <c r="A33" s="1403" t="str">
        <f>IF('Outline Admin'!$A$5:$F$5&gt;0,IF('Outline Admin'!$A$5="Individual Courses",CONCATENATE('Outline Admin'!$C$7,IF('Outline Admin'!$C$8="","",", "),'Outline Admin'!$C$8,IF('Outline Admin'!$C$9="","",", "),'Outline Admin'!$C$9,IF('Outline Admin'!$C$10="","",", "),'Outline Admin'!$C$10,IF('Outline Admin'!$C$11="","",", "),'Outline Admin'!$C$11,IF('Outline Admin'!$C$12="","",", "),'Outline Admin'!$C$12,IF('Outline Admin'!$C$13="","",", "),'Outline Admin'!$C$13,IF('Outline Admin'!$C$14="","",", "),'Outline Admin'!$C$14,IF('Outline Admin'!$C$15="","",", "),'Outline Admin'!$C$15,IF('Outline Admin'!$C$16="","",", "),'Outline Admin'!$C$16,IF('Outline Admin'!$C$17="","",", "),'Outline Admin'!$C$17,IF('Outline Admin'!$C$18="","",", "),'Outline Admin'!$C$18,IF('Outline Admin'!$C$19="","",", "),'Outline Admin'!$C$19,IF('Outline Admin'!$C$20="","",", "),'Outline Admin'!$C$20),'Outline Admin'!$A$5:$F$5),"")</f>
        <v/>
      </c>
      <c r="B33" s="1404"/>
      <c r="C33" s="1404"/>
      <c r="D33" s="1404"/>
      <c r="E33" s="1404"/>
      <c r="F33" s="1404"/>
      <c r="G33" s="1404"/>
      <c r="H33" s="1404"/>
      <c r="I33" s="1404"/>
      <c r="J33" s="1404"/>
      <c r="K33" s="1404"/>
      <c r="L33" s="1404"/>
      <c r="M33" s="1404"/>
      <c r="N33" s="1404"/>
      <c r="O33" s="1404"/>
      <c r="P33" s="1405"/>
      <c r="Q33" s="75"/>
      <c r="R33" s="49" t="s">
        <v>555</v>
      </c>
      <c r="AA33" s="51"/>
      <c r="AD33" s="107"/>
      <c r="AE33" s="107"/>
      <c r="AF33" s="1392"/>
      <c r="AG33" s="1392"/>
      <c r="AH33" s="1392"/>
      <c r="AI33" s="1392"/>
      <c r="AJ33" s="1392"/>
      <c r="AK33" s="1392"/>
      <c r="AL33" s="1392"/>
      <c r="AM33" s="114"/>
      <c r="AN33" s="197"/>
      <c r="AO33" s="1373"/>
      <c r="AP33" s="1373"/>
      <c r="AQ33" s="1373"/>
      <c r="AR33" s="1373"/>
      <c r="AS33" s="1373"/>
      <c r="AT33" s="1373"/>
      <c r="AU33" s="1373"/>
      <c r="AV33" s="114"/>
    </row>
    <row r="34" spans="1:48" ht="15.75" customHeight="1">
      <c r="A34" s="1406"/>
      <c r="B34" s="1407"/>
      <c r="C34" s="1407"/>
      <c r="D34" s="1407"/>
      <c r="E34" s="1407"/>
      <c r="F34" s="1407"/>
      <c r="G34" s="1407"/>
      <c r="H34" s="1407"/>
      <c r="I34" s="1407"/>
      <c r="J34" s="1407"/>
      <c r="K34" s="1407"/>
      <c r="L34" s="1407"/>
      <c r="M34" s="1407"/>
      <c r="N34" s="1407"/>
      <c r="O34" s="1407"/>
      <c r="P34" s="1408"/>
      <c r="Q34" s="75"/>
      <c r="R34" s="49"/>
      <c r="AA34" s="51"/>
      <c r="AD34" s="107"/>
      <c r="AE34" s="107"/>
      <c r="AF34" s="1392" t="s">
        <v>642</v>
      </c>
      <c r="AG34" s="1392"/>
      <c r="AH34" s="1392"/>
      <c r="AI34" s="1392"/>
      <c r="AJ34" s="1392"/>
      <c r="AK34" s="1392"/>
      <c r="AL34" s="1392"/>
      <c r="AM34" s="114"/>
      <c r="AN34" s="115"/>
      <c r="AO34" s="114"/>
      <c r="AP34" s="114"/>
      <c r="AQ34" s="114"/>
      <c r="AR34" s="114"/>
      <c r="AS34" s="114"/>
      <c r="AT34" s="114"/>
      <c r="AU34" s="114"/>
      <c r="AV34" s="114"/>
    </row>
    <row r="35" spans="1:48" ht="15.75" customHeight="1">
      <c r="A35" s="1409"/>
      <c r="B35" s="1410"/>
      <c r="C35" s="1410"/>
      <c r="D35" s="1410"/>
      <c r="E35" s="1410"/>
      <c r="F35" s="1410"/>
      <c r="G35" s="1410"/>
      <c r="H35" s="1410"/>
      <c r="I35" s="1410"/>
      <c r="J35" s="1410"/>
      <c r="K35" s="1410"/>
      <c r="L35" s="1410"/>
      <c r="M35" s="1410"/>
      <c r="N35" s="1410"/>
      <c r="O35" s="1410"/>
      <c r="P35" s="1411"/>
      <c r="Q35" s="76"/>
      <c r="R35" s="53" t="str">
        <f>IF(ISBLANK('Student Info'!$D$3),VLOOKUP('Franchise Info'!$B$3,'Franchise Info'!$A$14:$P$19,9),'Student Info'!$D$3)</f>
        <v>MaryEllen Olynuk</v>
      </c>
      <c r="S35" s="22"/>
      <c r="T35" s="17"/>
      <c r="U35" s="17"/>
      <c r="V35" s="17"/>
      <c r="W35" s="17"/>
      <c r="Y35" s="204" t="str">
        <f>IF(ISBLANK('Student Info'!$D$6),VLOOKUP('Franchise Info'!$B$3,'Franchise Info'!$A$14:$P$19,10),'Student Info'!$D$6)</f>
        <v>Admissions Coordinator</v>
      </c>
      <c r="Z35" s="204"/>
      <c r="AA35" s="205"/>
      <c r="AD35" s="107"/>
      <c r="AE35" s="107"/>
      <c r="AF35" s="1392"/>
      <c r="AG35" s="1392"/>
      <c r="AH35" s="1392"/>
      <c r="AI35" s="1392"/>
      <c r="AJ35" s="1392"/>
      <c r="AK35" s="1392"/>
      <c r="AL35" s="1392"/>
      <c r="AM35" s="114"/>
      <c r="AN35" s="115" t="s">
        <v>622</v>
      </c>
      <c r="AO35" s="116" t="s">
        <v>621</v>
      </c>
      <c r="AP35" s="114"/>
      <c r="AQ35" s="114"/>
      <c r="AR35" s="114"/>
      <c r="AS35" s="114"/>
      <c r="AT35" s="114"/>
      <c r="AU35" s="114"/>
      <c r="AV35" s="124"/>
    </row>
    <row r="36" spans="1:48" ht="15.75" customHeight="1">
      <c r="A36" s="49" t="s">
        <v>1178</v>
      </c>
      <c r="B36" s="43"/>
      <c r="C36" s="43"/>
      <c r="D36" s="43"/>
      <c r="E36" s="43"/>
      <c r="F36" s="43"/>
      <c r="G36" s="43"/>
      <c r="H36" s="43"/>
      <c r="I36" s="43"/>
      <c r="J36" s="43"/>
      <c r="K36" s="43"/>
      <c r="L36" s="43"/>
      <c r="M36" s="43"/>
      <c r="N36" s="43"/>
      <c r="O36" s="43"/>
      <c r="P36" s="80"/>
      <c r="Q36" s="43"/>
      <c r="R36" s="49" t="s">
        <v>486</v>
      </c>
      <c r="Y36" s="162" t="s">
        <v>553</v>
      </c>
      <c r="Z36" s="162"/>
      <c r="AA36" s="66"/>
      <c r="AD36" s="106" t="s">
        <v>605</v>
      </c>
      <c r="AE36" s="107" t="s">
        <v>802</v>
      </c>
      <c r="AF36" s="109"/>
      <c r="AG36" s="109"/>
      <c r="AH36" s="109"/>
      <c r="AI36" s="109"/>
      <c r="AJ36" s="109"/>
      <c r="AK36" s="109"/>
      <c r="AL36" s="109"/>
      <c r="AM36" s="114"/>
      <c r="AN36" s="115" t="s">
        <v>623</v>
      </c>
      <c r="AO36" s="1373" t="s">
        <v>1200</v>
      </c>
      <c r="AP36" s="1373"/>
      <c r="AQ36" s="1373"/>
      <c r="AR36" s="1373"/>
      <c r="AS36" s="1373"/>
      <c r="AT36" s="1373"/>
      <c r="AU36" s="1373"/>
      <c r="AV36" s="124"/>
    </row>
    <row r="37" spans="1:48" ht="15.75" customHeight="1">
      <c r="A37" s="55">
        <f>'Outline Admin'!$H$57+'Outline Admin'!$H$58</f>
        <v>0</v>
      </c>
      <c r="E37" s="171">
        <f>ROUND(EndDate!$B$13,1)</f>
        <v>0</v>
      </c>
      <c r="F37" s="40"/>
      <c r="K37" s="1412">
        <f>'Outline Info'!$B$6</f>
        <v>44473</v>
      </c>
      <c r="L37" s="1412"/>
      <c r="M37" s="1412"/>
      <c r="N37" s="998"/>
      <c r="O37" s="1412">
        <f>'Outline Info'!$C$6</f>
        <v>44470</v>
      </c>
      <c r="P37" s="1437"/>
      <c r="Q37" s="77"/>
      <c r="R37" s="49"/>
      <c r="AA37" s="51"/>
      <c r="AD37" s="107"/>
      <c r="AE37" s="108" t="s">
        <v>636</v>
      </c>
      <c r="AF37" s="1392" t="s">
        <v>803</v>
      </c>
      <c r="AG37" s="1392"/>
      <c r="AH37" s="1392"/>
      <c r="AI37" s="1392"/>
      <c r="AJ37" s="1392"/>
      <c r="AK37" s="1392"/>
      <c r="AL37" s="1392"/>
      <c r="AM37" s="114"/>
      <c r="AN37" s="115"/>
      <c r="AO37" s="1373"/>
      <c r="AP37" s="1373"/>
      <c r="AQ37" s="1373"/>
      <c r="AR37" s="1373"/>
      <c r="AS37" s="1373"/>
      <c r="AT37" s="1373"/>
      <c r="AU37" s="1373"/>
      <c r="AV37" s="105"/>
    </row>
    <row r="38" spans="1:48" ht="15.75" customHeight="1">
      <c r="A38" s="49" t="s">
        <v>1043</v>
      </c>
      <c r="E38" s="692" t="s">
        <v>1180</v>
      </c>
      <c r="F38" s="690"/>
      <c r="G38" s="690"/>
      <c r="H38" s="690"/>
      <c r="K38" s="39" t="s">
        <v>1045</v>
      </c>
      <c r="L38" s="994"/>
      <c r="O38" s="39" t="s">
        <v>1046</v>
      </c>
      <c r="P38" s="60"/>
      <c r="Q38" s="71"/>
      <c r="R38" s="89"/>
      <c r="S38" s="83"/>
      <c r="T38" s="83"/>
      <c r="U38" s="83"/>
      <c r="V38" s="83"/>
      <c r="W38" s="83"/>
      <c r="Y38" s="83"/>
      <c r="Z38" s="83"/>
      <c r="AA38" s="91"/>
      <c r="AD38" s="107"/>
      <c r="AE38" s="107"/>
      <c r="AF38" s="1392"/>
      <c r="AG38" s="1392"/>
      <c r="AH38" s="1392"/>
      <c r="AI38" s="1392"/>
      <c r="AJ38" s="1392"/>
      <c r="AK38" s="1392"/>
      <c r="AL38" s="1392"/>
      <c r="AM38" s="114"/>
      <c r="AN38" s="115" t="s">
        <v>624</v>
      </c>
      <c r="AO38" s="196" t="s">
        <v>625</v>
      </c>
      <c r="AP38" s="120"/>
      <c r="AQ38" s="120"/>
      <c r="AR38" s="120"/>
      <c r="AS38" s="120"/>
      <c r="AT38" s="120"/>
      <c r="AU38" s="120"/>
      <c r="AV38" s="114"/>
    </row>
    <row r="39" spans="1:48" ht="15.75" customHeight="1" thickBot="1">
      <c r="A39" s="49" t="s">
        <v>1179</v>
      </c>
      <c r="E39" s="691"/>
      <c r="F39" s="691"/>
      <c r="G39" s="691"/>
      <c r="H39" s="691"/>
      <c r="P39" s="51"/>
      <c r="Q39" s="72"/>
      <c r="R39" s="90"/>
      <c r="S39" s="84"/>
      <c r="T39" s="84"/>
      <c r="U39" s="84"/>
      <c r="V39" s="84"/>
      <c r="W39" s="84"/>
      <c r="Y39" s="203"/>
      <c r="Z39" s="203"/>
      <c r="AA39" s="207"/>
      <c r="AD39" s="107"/>
      <c r="AE39" s="107"/>
      <c r="AF39" s="1392"/>
      <c r="AG39" s="1392"/>
      <c r="AH39" s="1392"/>
      <c r="AI39" s="1392"/>
      <c r="AJ39" s="1392"/>
      <c r="AK39" s="1392"/>
      <c r="AL39" s="1392"/>
      <c r="AM39" s="114"/>
      <c r="AN39" s="115" t="s">
        <v>626</v>
      </c>
      <c r="AO39" s="1386" t="s">
        <v>1201</v>
      </c>
      <c r="AP39" s="1386"/>
      <c r="AQ39" s="1386"/>
      <c r="AR39" s="1386"/>
      <c r="AS39" s="1386"/>
      <c r="AT39" s="1386"/>
      <c r="AU39" s="1386"/>
      <c r="AV39" s="114"/>
    </row>
    <row r="40" spans="1:48" ht="16.5" customHeight="1" thickBot="1">
      <c r="A40" s="1377" t="s">
        <v>453</v>
      </c>
      <c r="B40" s="1378"/>
      <c r="C40" s="1378"/>
      <c r="D40" s="1378"/>
      <c r="E40" s="1378"/>
      <c r="F40" s="1378"/>
      <c r="G40" s="1378"/>
      <c r="H40" s="1378"/>
      <c r="I40" s="1378"/>
      <c r="J40" s="1378"/>
      <c r="K40" s="1378"/>
      <c r="L40" s="1378"/>
      <c r="M40" s="1378"/>
      <c r="N40" s="1378"/>
      <c r="O40" s="1378"/>
      <c r="P40" s="1379"/>
      <c r="Q40" s="64"/>
      <c r="R40" s="49" t="s">
        <v>489</v>
      </c>
      <c r="Y40" s="206" t="s">
        <v>552</v>
      </c>
      <c r="AA40" s="51"/>
      <c r="AD40" s="107"/>
      <c r="AE40" s="108" t="s">
        <v>640</v>
      </c>
      <c r="AF40" s="1392" t="s">
        <v>643</v>
      </c>
      <c r="AG40" s="1392"/>
      <c r="AH40" s="1392"/>
      <c r="AI40" s="1392"/>
      <c r="AJ40" s="1392"/>
      <c r="AK40" s="1392"/>
      <c r="AL40" s="1392"/>
      <c r="AM40" s="114"/>
      <c r="AN40" s="115"/>
      <c r="AO40" s="1386"/>
      <c r="AP40" s="1386"/>
      <c r="AQ40" s="1386"/>
      <c r="AR40" s="1386"/>
      <c r="AS40" s="1386"/>
      <c r="AT40" s="1386"/>
      <c r="AU40" s="1386"/>
      <c r="AV40" s="110"/>
    </row>
    <row r="41" spans="1:48" ht="15.75" customHeight="1" thickBot="1">
      <c r="A41" s="49" t="s">
        <v>458</v>
      </c>
      <c r="F41" s="10"/>
      <c r="O41" s="1172" t="s">
        <v>31</v>
      </c>
      <c r="P41" s="1173"/>
      <c r="Q41" s="71"/>
      <c r="R41" s="56"/>
      <c r="S41" s="57"/>
      <c r="T41" s="57"/>
      <c r="U41" s="57"/>
      <c r="V41" s="57"/>
      <c r="W41" s="57"/>
      <c r="X41" s="57"/>
      <c r="Y41" s="57"/>
      <c r="Z41" s="57"/>
      <c r="AA41" s="59"/>
      <c r="AD41" s="107"/>
      <c r="AE41" s="107"/>
      <c r="AF41" s="1392"/>
      <c r="AG41" s="1392"/>
      <c r="AH41" s="1392"/>
      <c r="AI41" s="1392"/>
      <c r="AJ41" s="1392"/>
      <c r="AK41" s="1392"/>
      <c r="AL41" s="1392"/>
      <c r="AM41" s="114"/>
      <c r="AN41" s="116"/>
      <c r="AO41" s="1386"/>
      <c r="AP41" s="1386"/>
      <c r="AQ41" s="1386"/>
      <c r="AR41" s="1386"/>
      <c r="AS41" s="1386"/>
      <c r="AT41" s="1386"/>
      <c r="AU41" s="1386"/>
      <c r="AV41" s="110"/>
    </row>
    <row r="42" spans="1:48" ht="15.75" customHeight="1" thickBot="1">
      <c r="A42" s="49"/>
      <c r="B42" s="10" t="s">
        <v>462</v>
      </c>
      <c r="F42" s="10"/>
      <c r="O42" s="1238">
        <f>ROUND($O$49-SUM($O$43:$P$48),0)</f>
        <v>0</v>
      </c>
      <c r="P42" s="1402"/>
      <c r="Q42" s="78"/>
      <c r="R42" s="1377" t="s">
        <v>556</v>
      </c>
      <c r="S42" s="1378"/>
      <c r="T42" s="1378"/>
      <c r="U42" s="1378"/>
      <c r="V42" s="1378"/>
      <c r="W42" s="1378"/>
      <c r="X42" s="1378"/>
      <c r="Y42" s="1378"/>
      <c r="Z42" s="1378"/>
      <c r="AA42" s="1379"/>
      <c r="AD42" s="107"/>
      <c r="AE42" s="108" t="s">
        <v>644</v>
      </c>
      <c r="AF42" s="1392" t="s">
        <v>804</v>
      </c>
      <c r="AG42" s="1392"/>
      <c r="AH42" s="1392"/>
      <c r="AI42" s="1392"/>
      <c r="AJ42" s="1392"/>
      <c r="AK42" s="1392"/>
      <c r="AL42" s="1392"/>
      <c r="AM42" s="114"/>
      <c r="AN42" s="115"/>
      <c r="AO42" s="1386"/>
      <c r="AP42" s="1386"/>
      <c r="AQ42" s="1386"/>
      <c r="AR42" s="1386"/>
      <c r="AS42" s="1386"/>
      <c r="AT42" s="1386"/>
      <c r="AU42" s="1386"/>
      <c r="AV42" s="697"/>
    </row>
    <row r="43" spans="1:48">
      <c r="A43" s="49"/>
      <c r="B43" s="10" t="s">
        <v>554</v>
      </c>
      <c r="F43" s="10"/>
      <c r="O43" s="1439">
        <f>ROUND(IF('Outline Admin'!$A$5="Individual Courses",0,'Outline Info'!$B$14),0)</f>
        <v>250</v>
      </c>
      <c r="P43" s="1402"/>
      <c r="Q43" s="78"/>
      <c r="R43" s="49"/>
      <c r="AA43" s="51"/>
      <c r="AF43" s="1392"/>
      <c r="AG43" s="1392"/>
      <c r="AH43" s="1392"/>
      <c r="AI43" s="1392"/>
      <c r="AJ43" s="1392"/>
      <c r="AK43" s="1392"/>
      <c r="AL43" s="1392"/>
      <c r="AM43" s="114"/>
      <c r="AN43" s="115" t="s">
        <v>627</v>
      </c>
      <c r="AO43" s="1373" t="s">
        <v>628</v>
      </c>
      <c r="AP43" s="1373"/>
      <c r="AQ43" s="1373"/>
      <c r="AR43" s="1373"/>
      <c r="AS43" s="1373"/>
      <c r="AT43" s="1373"/>
      <c r="AU43" s="1373"/>
      <c r="AV43" s="697"/>
    </row>
    <row r="44" spans="1:48" ht="15" customHeight="1">
      <c r="A44" s="49"/>
      <c r="B44" s="10" t="s">
        <v>469</v>
      </c>
      <c r="F44" s="10"/>
      <c r="O44" s="1228">
        <f>ROUND(_xlfn.IFNA(VLOOKUP("BOOKS"&amp;"*",'Outline Admin'!$A$7:$F$53,6,FALSE),0),0)</f>
        <v>0</v>
      </c>
      <c r="P44" s="1229"/>
      <c r="Q44" s="78"/>
      <c r="R44" s="49" t="s">
        <v>557</v>
      </c>
      <c r="Y44" s="208" t="s">
        <v>558</v>
      </c>
      <c r="Z44" s="208"/>
      <c r="AA44" s="209"/>
      <c r="AC44" s="105"/>
      <c r="AD44" s="107"/>
      <c r="AE44" s="105"/>
      <c r="AF44" s="189" t="s">
        <v>805</v>
      </c>
      <c r="AG44" s="119"/>
      <c r="AH44" s="119"/>
      <c r="AI44" s="119"/>
      <c r="AJ44" s="119"/>
      <c r="AK44" s="119"/>
      <c r="AL44" s="150"/>
      <c r="AM44" s="114"/>
      <c r="AN44" s="116"/>
      <c r="AO44" s="1373"/>
      <c r="AP44" s="1373"/>
      <c r="AQ44" s="1373"/>
      <c r="AR44" s="1373"/>
      <c r="AS44" s="1373"/>
      <c r="AT44" s="1373"/>
      <c r="AU44" s="1373"/>
      <c r="AV44" s="697"/>
    </row>
    <row r="45" spans="1:48" ht="15" customHeight="1">
      <c r="A45" s="49"/>
      <c r="B45" s="10" t="s">
        <v>766</v>
      </c>
      <c r="F45" s="10"/>
      <c r="O45" s="1228">
        <v>0</v>
      </c>
      <c r="P45" s="1229"/>
      <c r="Q45" s="78"/>
      <c r="R45" s="175"/>
      <c r="S45" s="20"/>
      <c r="Y45" s="173"/>
      <c r="Z45" s="173"/>
      <c r="AA45" s="174"/>
      <c r="AC45" s="105"/>
      <c r="AD45" s="107"/>
      <c r="AE45" s="107"/>
      <c r="AF45" s="1392" t="s">
        <v>806</v>
      </c>
      <c r="AG45" s="1392"/>
      <c r="AH45" s="1392"/>
      <c r="AI45" s="1392"/>
      <c r="AJ45" s="1392"/>
      <c r="AK45" s="1392"/>
      <c r="AL45" s="1392"/>
      <c r="AM45" s="114"/>
      <c r="AN45" s="115" t="s">
        <v>629</v>
      </c>
      <c r="AO45" s="1373" t="s">
        <v>1202</v>
      </c>
      <c r="AP45" s="1373"/>
      <c r="AQ45" s="1373"/>
      <c r="AR45" s="1373"/>
      <c r="AS45" s="1373"/>
      <c r="AT45" s="1373"/>
      <c r="AU45" s="1373"/>
      <c r="AV45" s="697"/>
    </row>
    <row r="46" spans="1:48" ht="15" customHeight="1">
      <c r="A46" s="49"/>
      <c r="B46" s="10" t="s">
        <v>470</v>
      </c>
      <c r="F46" s="10"/>
      <c r="O46" s="1228">
        <f>ROUND(SUMIF('Outline Admin'!$A$7:$A$53,"ESL0102-Books",'Outline Admin'!$F$7:$F$53)+SUMIF('Outline Admin'!$A$7:$A$53,"ESL0104-Books",'Outline Admin'!$F$7:$F$53)+SUMIF('Outline Admin'!$A$7:$A$53,"ESL0402-Books",'Outline Admin'!$F$7:$F$53)+SUMIF('Outline Admin'!$A$7:$A$53,"ESL0404-Books",'Outline Admin'!$F$7:$F$53)+SUMIF('Outline Admin'!$A$7:$A$53,"ESL0802-Books",'Outline Admin'!$F$7:$F$53)+SUMIF('Outline Admin'!$A$7:$A$53,"ESL0804-Books",'Outline Admin'!$F$7:$F$53)+SUMIF('Outline Admin'!$A$7:$A$53,"ESL1202-Books",'Outline Admin'!$F$7:$F$53)+SUMIF('Outline Admin'!$A$7:$A$53,"ESL1204-Books",'Outline Admin'!$F$7:$F$53),0)</f>
        <v>0</v>
      </c>
      <c r="P46" s="1229"/>
      <c r="Q46" s="78"/>
      <c r="R46" s="53" t="str">
        <f>IF(ISBLANK('Student Info'!$D$3),VLOOKUP('Franchise Info'!$B$3,'Franchise Info'!$A$14:$P$19,9),'Student Info'!$D$3)</f>
        <v>MaryEllen Olynuk</v>
      </c>
      <c r="S46" s="22"/>
      <c r="T46" s="17"/>
      <c r="U46" s="17"/>
      <c r="V46" s="17"/>
      <c r="W46" s="17"/>
      <c r="Y46" s="167" t="str">
        <f>IF(ISBLANK('Student Info'!$D$6),VLOOKUP('Franchise Info'!$B$3,'Franchise Info'!$A$14:$P$19,10),'Student Info'!$D$6)</f>
        <v>Admissions Coordinator</v>
      </c>
      <c r="Z46" s="167"/>
      <c r="AA46" s="169"/>
      <c r="AC46" s="105"/>
      <c r="AD46" s="107"/>
      <c r="AE46" s="107"/>
      <c r="AF46" s="1392"/>
      <c r="AG46" s="1392"/>
      <c r="AH46" s="1392"/>
      <c r="AI46" s="1392"/>
      <c r="AJ46" s="1392"/>
      <c r="AK46" s="1392"/>
      <c r="AL46" s="1392"/>
      <c r="AM46" s="114"/>
      <c r="AN46" s="692"/>
      <c r="AO46" s="1373"/>
      <c r="AP46" s="1373"/>
      <c r="AQ46" s="1373"/>
      <c r="AR46" s="1373"/>
      <c r="AS46" s="1373"/>
      <c r="AT46" s="1373"/>
      <c r="AU46" s="1373"/>
      <c r="AV46" s="116"/>
    </row>
    <row r="47" spans="1:48" ht="15.75" customHeight="1">
      <c r="A47" s="49"/>
      <c r="B47" s="10" t="s">
        <v>472</v>
      </c>
      <c r="E47" s="173"/>
      <c r="F47" s="173"/>
      <c r="G47" s="173"/>
      <c r="H47" s="173"/>
      <c r="O47" s="1228">
        <f>ROUND(_xlfn.IFNA(VLOOKUP("LAB"&amp;"*",'Outline Admin'!$A$7:$F$53,6,FALSE),0),0)</f>
        <v>0</v>
      </c>
      <c r="P47" s="1229"/>
      <c r="Q47" s="78"/>
      <c r="R47" s="49" t="s">
        <v>486</v>
      </c>
      <c r="Y47" s="162" t="s">
        <v>553</v>
      </c>
      <c r="Z47" s="162"/>
      <c r="AA47" s="66"/>
      <c r="AC47" s="110"/>
      <c r="AD47" s="107"/>
      <c r="AE47" s="108" t="s">
        <v>645</v>
      </c>
      <c r="AF47" s="1392" t="s">
        <v>646</v>
      </c>
      <c r="AG47" s="1392"/>
      <c r="AH47" s="1392"/>
      <c r="AI47" s="1392"/>
      <c r="AJ47" s="1392"/>
      <c r="AK47" s="1392"/>
      <c r="AL47" s="1392"/>
      <c r="AM47" s="114"/>
      <c r="AN47" s="116"/>
      <c r="AO47" s="116"/>
      <c r="AP47" s="116"/>
      <c r="AQ47" s="116"/>
      <c r="AR47" s="116"/>
      <c r="AS47" s="116"/>
      <c r="AT47" s="116"/>
      <c r="AU47" s="116"/>
      <c r="AV47" s="116"/>
    </row>
    <row r="48" spans="1:48" ht="15.75" customHeight="1">
      <c r="A48" s="49"/>
      <c r="B48" s="10" t="s">
        <v>474</v>
      </c>
      <c r="E48" s="167" t="str">
        <f>IF('Outline Admin'!$A$5="Individual Courses","","Evaluation &amp; Entrance Exam")</f>
        <v>Evaluation &amp; Entrance Exam</v>
      </c>
      <c r="F48" s="167"/>
      <c r="G48" s="167"/>
      <c r="H48" s="167"/>
      <c r="O48" s="1228">
        <f>ROUND(IF('Outline Admin'!$A$5="Individual Courses",0,'Outline Info'!$B$15)+IF('Outline Admin'!$A$5="Individual Courses",0,'Outline Info'!$C$15),0)</f>
        <v>104</v>
      </c>
      <c r="P48" s="1229"/>
      <c r="Q48" s="79"/>
      <c r="R48" s="89"/>
      <c r="S48" s="83"/>
      <c r="T48" s="83"/>
      <c r="U48" s="83"/>
      <c r="V48" s="83"/>
      <c r="W48" s="83"/>
      <c r="Y48" s="83"/>
      <c r="Z48" s="83"/>
      <c r="AA48" s="91"/>
      <c r="AC48" s="110"/>
      <c r="AD48" s="107"/>
      <c r="AE48" s="107"/>
      <c r="AF48" s="1392"/>
      <c r="AG48" s="1392"/>
      <c r="AH48" s="1392"/>
      <c r="AI48" s="1392"/>
      <c r="AJ48" s="1392"/>
      <c r="AK48" s="1392"/>
      <c r="AL48" s="1392"/>
      <c r="AM48" s="114"/>
      <c r="AN48" s="116"/>
      <c r="AO48" s="116"/>
      <c r="AP48" s="116"/>
      <c r="AQ48" s="116"/>
      <c r="AR48" s="116"/>
      <c r="AS48" s="116"/>
      <c r="AT48" s="116"/>
      <c r="AU48" s="116"/>
      <c r="AV48" s="116"/>
    </row>
    <row r="49" spans="1:48" ht="16.5" customHeight="1" thickBot="1">
      <c r="A49" s="61" t="s">
        <v>475</v>
      </c>
      <c r="F49" s="10"/>
      <c r="O49" s="1396">
        <f>ROUND('Outline Admin'!$F$57,0)</f>
        <v>354</v>
      </c>
      <c r="P49" s="1397"/>
      <c r="Q49" s="78"/>
      <c r="R49" s="90"/>
      <c r="S49" s="84"/>
      <c r="T49" s="84"/>
      <c r="U49" s="84"/>
      <c r="V49" s="84"/>
      <c r="W49" s="84"/>
      <c r="Y49" s="1394"/>
      <c r="Z49" s="1394"/>
      <c r="AA49" s="1395"/>
      <c r="AC49" s="111"/>
      <c r="AD49" s="107"/>
      <c r="AE49" s="105"/>
      <c r="AF49" s="1392"/>
      <c r="AG49" s="1392"/>
      <c r="AH49" s="1392"/>
      <c r="AI49" s="1392"/>
      <c r="AJ49" s="1392"/>
      <c r="AK49" s="1392"/>
      <c r="AL49" s="1392"/>
      <c r="AM49" s="114"/>
      <c r="AN49" s="692"/>
      <c r="AO49" s="692"/>
      <c r="AP49" s="116"/>
      <c r="AQ49" s="116"/>
      <c r="AR49" s="116"/>
      <c r="AS49" s="116"/>
      <c r="AT49" s="116"/>
      <c r="AU49" s="116"/>
      <c r="AV49" s="116"/>
    </row>
    <row r="50" spans="1:48" ht="16.2" thickBot="1">
      <c r="A50" s="56"/>
      <c r="B50" s="57"/>
      <c r="C50" s="57"/>
      <c r="D50" s="57"/>
      <c r="E50" s="1399"/>
      <c r="F50" s="1399"/>
      <c r="G50" s="1399"/>
      <c r="H50" s="57"/>
      <c r="I50" s="57"/>
      <c r="J50" s="57"/>
      <c r="K50" s="57"/>
      <c r="L50" s="57"/>
      <c r="M50" s="57"/>
      <c r="N50" s="57"/>
      <c r="O50" s="1400"/>
      <c r="P50" s="1401"/>
      <c r="Q50" s="72"/>
      <c r="R50" s="49" t="s">
        <v>489</v>
      </c>
      <c r="Y50" s="163" t="s">
        <v>552</v>
      </c>
      <c r="AA50" s="51"/>
      <c r="AC50" s="105"/>
      <c r="AD50" s="107"/>
      <c r="AE50" s="108" t="s">
        <v>647</v>
      </c>
      <c r="AF50" s="1392" t="s">
        <v>648</v>
      </c>
      <c r="AG50" s="1392"/>
      <c r="AH50" s="1392"/>
      <c r="AI50" s="1392"/>
      <c r="AJ50" s="1392"/>
      <c r="AK50" s="1392"/>
      <c r="AL50" s="1392"/>
      <c r="AM50" s="105"/>
      <c r="AN50" s="116"/>
      <c r="AO50" s="116"/>
      <c r="AP50" s="116"/>
      <c r="AQ50" s="116"/>
      <c r="AR50" s="116"/>
      <c r="AS50" s="116"/>
      <c r="AT50" s="116"/>
      <c r="AU50" s="116"/>
      <c r="AV50" s="116"/>
    </row>
    <row r="51" spans="1:48" ht="15" customHeight="1" thickBot="1">
      <c r="F51" s="10"/>
      <c r="O51" s="1438"/>
      <c r="P51" s="1438"/>
      <c r="Q51" s="63"/>
      <c r="R51" s="56"/>
      <c r="S51" s="57"/>
      <c r="T51" s="57"/>
      <c r="U51" s="57"/>
      <c r="V51" s="57"/>
      <c r="W51" s="57"/>
      <c r="X51" s="57"/>
      <c r="Y51" s="57"/>
      <c r="Z51" s="57"/>
      <c r="AA51" s="59"/>
      <c r="AD51" s="105"/>
      <c r="AF51" s="1392"/>
      <c r="AG51" s="1392"/>
      <c r="AH51" s="1392"/>
      <c r="AI51" s="1392"/>
      <c r="AJ51" s="1392"/>
      <c r="AK51" s="1392"/>
      <c r="AL51" s="1392"/>
      <c r="AM51" s="105"/>
      <c r="AN51" s="116"/>
      <c r="AO51" s="695"/>
      <c r="AP51" s="695"/>
      <c r="AQ51" s="695"/>
      <c r="AR51" s="695"/>
      <c r="AS51" s="695"/>
      <c r="AT51" s="695"/>
      <c r="AU51" s="695"/>
      <c r="AV51" s="695"/>
    </row>
    <row r="52" spans="1:48" ht="15.6">
      <c r="A52" s="24"/>
      <c r="F52" s="10"/>
      <c r="O52" s="1398"/>
      <c r="P52" s="1398"/>
      <c r="Q52" s="41"/>
      <c r="AD52" s="105"/>
      <c r="AE52" s="105"/>
      <c r="AF52" s="105"/>
      <c r="AG52" s="105"/>
      <c r="AH52" s="105"/>
      <c r="AI52" s="105"/>
      <c r="AJ52" s="105"/>
      <c r="AK52" s="105"/>
      <c r="AL52" s="105"/>
      <c r="AN52" s="692"/>
      <c r="AO52" s="692"/>
      <c r="AP52" s="692"/>
      <c r="AQ52" s="692"/>
      <c r="AR52" s="692"/>
      <c r="AS52" s="692"/>
      <c r="AT52" s="692"/>
      <c r="AU52" s="692"/>
      <c r="AV52" s="692"/>
    </row>
    <row r="53" spans="1:48">
      <c r="R53" s="1393" t="s">
        <v>1183</v>
      </c>
      <c r="S53" s="1393"/>
      <c r="T53" s="1393"/>
      <c r="U53" s="1393"/>
      <c r="V53" s="1393"/>
      <c r="W53" s="1393"/>
      <c r="X53" s="1393"/>
      <c r="Y53" s="1393"/>
      <c r="Z53" s="1393"/>
      <c r="AA53" s="1393"/>
      <c r="AN53" s="692"/>
      <c r="AO53" s="692"/>
      <c r="AP53" s="692"/>
      <c r="AQ53" s="692"/>
      <c r="AR53" s="692"/>
      <c r="AS53" s="692"/>
      <c r="AT53" s="692"/>
      <c r="AU53" s="692"/>
      <c r="AV53" s="692"/>
    </row>
    <row r="54" spans="1:48">
      <c r="R54" s="1393"/>
      <c r="S54" s="1393"/>
      <c r="T54" s="1393"/>
      <c r="U54" s="1393"/>
      <c r="V54" s="1393"/>
      <c r="W54" s="1393"/>
      <c r="X54" s="1393"/>
      <c r="Y54" s="1393"/>
      <c r="Z54" s="1393"/>
      <c r="AA54" s="1393"/>
      <c r="AN54" s="692"/>
      <c r="AO54" s="692"/>
      <c r="AP54" s="692"/>
      <c r="AQ54" s="692"/>
      <c r="AR54" s="692"/>
      <c r="AS54" s="692"/>
      <c r="AT54" s="692"/>
      <c r="AU54" s="692"/>
      <c r="AV54" s="692"/>
    </row>
    <row r="55" spans="1:48" ht="15.6">
      <c r="P55" s="192" t="s">
        <v>777</v>
      </c>
      <c r="R55" s="1393"/>
      <c r="S55" s="1393"/>
      <c r="T55" s="1393"/>
      <c r="U55" s="1393"/>
      <c r="V55" s="1393"/>
      <c r="W55" s="1393"/>
      <c r="X55" s="1393"/>
      <c r="Y55" s="1393"/>
      <c r="Z55" s="1393"/>
      <c r="AA55" s="1393"/>
      <c r="AL55" s="192" t="s">
        <v>777</v>
      </c>
      <c r="AV55" s="192" t="s">
        <v>777</v>
      </c>
    </row>
  </sheetData>
  <mergeCells count="84">
    <mergeCell ref="H6:P6"/>
    <mergeCell ref="AF50:AL51"/>
    <mergeCell ref="O37:P37"/>
    <mergeCell ref="O51:P51"/>
    <mergeCell ref="O45:P45"/>
    <mergeCell ref="O46:P46"/>
    <mergeCell ref="AF45:AL46"/>
    <mergeCell ref="AF47:AL49"/>
    <mergeCell ref="AF37:AL39"/>
    <mergeCell ref="O44:P44"/>
    <mergeCell ref="O43:P43"/>
    <mergeCell ref="R42:AA42"/>
    <mergeCell ref="AF40:AL41"/>
    <mergeCell ref="AF42:AL43"/>
    <mergeCell ref="A28:A29"/>
    <mergeCell ref="B28:C29"/>
    <mergeCell ref="D28:F29"/>
    <mergeCell ref="G28:G29"/>
    <mergeCell ref="M23:P23"/>
    <mergeCell ref="B30:C30"/>
    <mergeCell ref="Y24:AA24"/>
    <mergeCell ref="R2:AA2"/>
    <mergeCell ref="AO10:AU11"/>
    <mergeCell ref="AO12:AU14"/>
    <mergeCell ref="AO16:AU18"/>
    <mergeCell ref="AO19:AU21"/>
    <mergeCell ref="AO22:AU26"/>
    <mergeCell ref="AF18:AL20"/>
    <mergeCell ref="AO2:AU2"/>
    <mergeCell ref="AO4:AU5"/>
    <mergeCell ref="AO6:AU7"/>
    <mergeCell ref="AO8:AU8"/>
    <mergeCell ref="AF24:AL26"/>
    <mergeCell ref="R3:AA4"/>
    <mergeCell ref="H2:O2"/>
    <mergeCell ref="A11:C11"/>
    <mergeCell ref="O17:P17"/>
    <mergeCell ref="A23:B23"/>
    <mergeCell ref="AF12:AL15"/>
    <mergeCell ref="O18:P18"/>
    <mergeCell ref="O19:P19"/>
    <mergeCell ref="O20:P20"/>
    <mergeCell ref="AF21:AL23"/>
    <mergeCell ref="E23:H23"/>
    <mergeCell ref="Y22:AA22"/>
    <mergeCell ref="E50:G50"/>
    <mergeCell ref="O50:P50"/>
    <mergeCell ref="A32:P32"/>
    <mergeCell ref="A40:P40"/>
    <mergeCell ref="O42:P42"/>
    <mergeCell ref="A33:P35"/>
    <mergeCell ref="O41:P41"/>
    <mergeCell ref="K37:M37"/>
    <mergeCell ref="R53:AA55"/>
    <mergeCell ref="Y49:AA49"/>
    <mergeCell ref="O49:P49"/>
    <mergeCell ref="O48:P48"/>
    <mergeCell ref="O47:P47"/>
    <mergeCell ref="O52:P52"/>
    <mergeCell ref="AO39:AU42"/>
    <mergeCell ref="H28:H30"/>
    <mergeCell ref="M26:P26"/>
    <mergeCell ref="AO43:AU44"/>
    <mergeCell ref="AO45:AU46"/>
    <mergeCell ref="R31:AA31"/>
    <mergeCell ref="AF28:AL30"/>
    <mergeCell ref="AF31:AL33"/>
    <mergeCell ref="AF34:AL35"/>
    <mergeCell ref="D30:F30"/>
    <mergeCell ref="H3:P4"/>
    <mergeCell ref="AO36:AU37"/>
    <mergeCell ref="AO28:AU31"/>
    <mergeCell ref="AO32:AU33"/>
    <mergeCell ref="R20:AA21"/>
    <mergeCell ref="R8:AA8"/>
    <mergeCell ref="R9:AA10"/>
    <mergeCell ref="R11:AA11"/>
    <mergeCell ref="A9:G9"/>
    <mergeCell ref="H5:P5"/>
    <mergeCell ref="A5:G5"/>
    <mergeCell ref="A10:P10"/>
    <mergeCell ref="A7:G7"/>
    <mergeCell ref="A8:G8"/>
    <mergeCell ref="A6:G6"/>
  </mergeCells>
  <phoneticPr fontId="117" type="noConversion"/>
  <conditionalFormatting sqref="X41:Y41 T41:U41 T43:U44 X43:Y44">
    <cfRule type="cellIs" dxfId="61" priority="83" operator="equal">
      <formula>0</formula>
    </cfRule>
  </conditionalFormatting>
  <conditionalFormatting sqref="X41:Y41 T41:U41 T43:U44 X43:Y44 G14:J15 A17:P19 B16:P16 M14:P15 A23:P27 M20:P22 B20:L21 K11:L12">
    <cfRule type="cellIs" dxfId="60" priority="79" operator="equal">
      <formula>0</formula>
    </cfRule>
  </conditionalFormatting>
  <conditionalFormatting sqref="M14:N14 G15 M24:N24 A11 A14 A24 E24">
    <cfRule type="cellIs" dxfId="59" priority="75" operator="equal">
      <formula>0</formula>
    </cfRule>
  </conditionalFormatting>
  <conditionalFormatting sqref="G15 M24:N24 A11 A14 A24 E24">
    <cfRule type="cellIs" dxfId="58" priority="72" operator="equal">
      <formula>0</formula>
    </cfRule>
  </conditionalFormatting>
  <conditionalFormatting sqref="G14">
    <cfRule type="cellIs" dxfId="57" priority="69" operator="equal">
      <formula>0</formula>
    </cfRule>
  </conditionalFormatting>
  <conditionalFormatting sqref="G14">
    <cfRule type="cellIs" dxfId="56" priority="68" operator="equal">
      <formula>0</formula>
    </cfRule>
  </conditionalFormatting>
  <conditionalFormatting sqref="O17">
    <cfRule type="cellIs" dxfId="55" priority="63" operator="equal">
      <formula>0</formula>
    </cfRule>
  </conditionalFormatting>
  <conditionalFormatting sqref="A17">
    <cfRule type="cellIs" dxfId="54" priority="62" operator="equal">
      <formula>",   Canada"</formula>
    </cfRule>
  </conditionalFormatting>
  <conditionalFormatting sqref="O17">
    <cfRule type="cellIs" dxfId="53" priority="61" operator="equal">
      <formula>0</formula>
    </cfRule>
  </conditionalFormatting>
  <conditionalFormatting sqref="A17">
    <cfRule type="cellIs" dxfId="52" priority="60" operator="equal">
      <formula>",   Canada"</formula>
    </cfRule>
  </conditionalFormatting>
  <conditionalFormatting sqref="O21">
    <cfRule type="cellIs" dxfId="51" priority="53" operator="equal">
      <formula>0</formula>
    </cfRule>
  </conditionalFormatting>
  <conditionalFormatting sqref="K11:L11">
    <cfRule type="cellIs" dxfId="50" priority="52" operator="equal">
      <formula>",  "</formula>
    </cfRule>
  </conditionalFormatting>
  <conditionalFormatting sqref="K11:L11">
    <cfRule type="cellIs" dxfId="49" priority="51" operator="equal">
      <formula>",   Canada"</formula>
    </cfRule>
  </conditionalFormatting>
  <conditionalFormatting sqref="O21">
    <cfRule type="cellIs" dxfId="48" priority="50" operator="equal">
      <formula>0</formula>
    </cfRule>
  </conditionalFormatting>
  <conditionalFormatting sqref="K11:L11">
    <cfRule type="cellIs" dxfId="47" priority="49" operator="equal">
      <formula>",  "</formula>
    </cfRule>
  </conditionalFormatting>
  <conditionalFormatting sqref="K11:L11">
    <cfRule type="cellIs" dxfId="46" priority="48" operator="equal">
      <formula>",   Canada"</formula>
    </cfRule>
  </conditionalFormatting>
  <conditionalFormatting sqref="O18">
    <cfRule type="cellIs" dxfId="45" priority="47" operator="equal">
      <formula>0</formula>
    </cfRule>
  </conditionalFormatting>
  <conditionalFormatting sqref="A18">
    <cfRule type="cellIs" dxfId="44" priority="46" operator="equal">
      <formula>",   Canada"</formula>
    </cfRule>
  </conditionalFormatting>
  <conditionalFormatting sqref="O18">
    <cfRule type="cellIs" dxfId="43" priority="45" operator="equal">
      <formula>0</formula>
    </cfRule>
  </conditionalFormatting>
  <conditionalFormatting sqref="A18">
    <cfRule type="cellIs" dxfId="42" priority="44" operator="equal">
      <formula>",   Canada"</formula>
    </cfRule>
  </conditionalFormatting>
  <conditionalFormatting sqref="O22">
    <cfRule type="cellIs" dxfId="41" priority="43" operator="equal">
      <formula>0</formula>
    </cfRule>
  </conditionalFormatting>
  <conditionalFormatting sqref="K12:L12">
    <cfRule type="cellIs" dxfId="40" priority="42" operator="equal">
      <formula>",  "</formula>
    </cfRule>
  </conditionalFormatting>
  <conditionalFormatting sqref="K12:L12">
    <cfRule type="cellIs" dxfId="39" priority="41" operator="equal">
      <formula>",   Canada"</formula>
    </cfRule>
  </conditionalFormatting>
  <conditionalFormatting sqref="O22">
    <cfRule type="cellIs" dxfId="38" priority="40" operator="equal">
      <formula>0</formula>
    </cfRule>
  </conditionalFormatting>
  <conditionalFormatting sqref="K12:L12">
    <cfRule type="cellIs" dxfId="37" priority="39" operator="equal">
      <formula>",  "</formula>
    </cfRule>
  </conditionalFormatting>
  <conditionalFormatting sqref="K12:L12">
    <cfRule type="cellIs" dxfId="36" priority="38" operator="equal">
      <formula>",   Canada"</formula>
    </cfRule>
  </conditionalFormatting>
  <conditionalFormatting sqref="O18">
    <cfRule type="cellIs" dxfId="35" priority="37" operator="equal">
      <formula>0</formula>
    </cfRule>
  </conditionalFormatting>
  <conditionalFormatting sqref="A18">
    <cfRule type="cellIs" dxfId="34" priority="36" operator="equal">
      <formula>",  "</formula>
    </cfRule>
  </conditionalFormatting>
  <conditionalFormatting sqref="A18">
    <cfRule type="cellIs" dxfId="33" priority="35" operator="equal">
      <formula>",   Canada"</formula>
    </cfRule>
  </conditionalFormatting>
  <conditionalFormatting sqref="O18">
    <cfRule type="cellIs" dxfId="32" priority="34" operator="equal">
      <formula>0</formula>
    </cfRule>
  </conditionalFormatting>
  <conditionalFormatting sqref="A18">
    <cfRule type="cellIs" dxfId="31" priority="33" operator="equal">
      <formula>",  "</formula>
    </cfRule>
  </conditionalFormatting>
  <conditionalFormatting sqref="A18">
    <cfRule type="cellIs" dxfId="30" priority="32" operator="equal">
      <formula>",   Canada"</formula>
    </cfRule>
  </conditionalFormatting>
  <conditionalFormatting sqref="O17">
    <cfRule type="cellIs" dxfId="29" priority="31" operator="equal">
      <formula>0</formula>
    </cfRule>
  </conditionalFormatting>
  <conditionalFormatting sqref="A17">
    <cfRule type="cellIs" dxfId="28" priority="30" operator="equal">
      <formula>",   Canada"</formula>
    </cfRule>
  </conditionalFormatting>
  <conditionalFormatting sqref="O17">
    <cfRule type="cellIs" dxfId="27" priority="29" operator="equal">
      <formula>0</formula>
    </cfRule>
  </conditionalFormatting>
  <conditionalFormatting sqref="A17">
    <cfRule type="cellIs" dxfId="26" priority="28" operator="equal">
      <formula>",   Canada"</formula>
    </cfRule>
  </conditionalFormatting>
  <conditionalFormatting sqref="O19">
    <cfRule type="cellIs" dxfId="25" priority="27" operator="equal">
      <formula>0</formula>
    </cfRule>
  </conditionalFormatting>
  <conditionalFormatting sqref="A19">
    <cfRule type="cellIs" dxfId="24" priority="26" operator="equal">
      <formula>",  "</formula>
    </cfRule>
  </conditionalFormatting>
  <conditionalFormatting sqref="A19">
    <cfRule type="cellIs" dxfId="23" priority="25" operator="equal">
      <formula>",   Canada"</formula>
    </cfRule>
  </conditionalFormatting>
  <conditionalFormatting sqref="O19">
    <cfRule type="cellIs" dxfId="22" priority="24" operator="equal">
      <formula>0</formula>
    </cfRule>
  </conditionalFormatting>
  <conditionalFormatting sqref="A19">
    <cfRule type="cellIs" dxfId="21" priority="23" operator="equal">
      <formula>",  "</formula>
    </cfRule>
  </conditionalFormatting>
  <conditionalFormatting sqref="A19">
    <cfRule type="cellIs" dxfId="20" priority="22" operator="equal">
      <formula>",   Canada"</formula>
    </cfRule>
  </conditionalFormatting>
  <conditionalFormatting sqref="M26:N26">
    <cfRule type="cellIs" dxfId="19" priority="21" operator="equal">
      <formula>0</formula>
    </cfRule>
  </conditionalFormatting>
  <conditionalFormatting sqref="M26:N26">
    <cfRule type="cellIs" dxfId="18" priority="20" operator="equal">
      <formula>0</formula>
    </cfRule>
  </conditionalFormatting>
  <conditionalFormatting sqref="B26">
    <cfRule type="cellIs" dxfId="17" priority="19" operator="equal">
      <formula>0</formula>
    </cfRule>
  </conditionalFormatting>
  <conditionalFormatting sqref="B26">
    <cfRule type="cellIs" dxfId="16" priority="18" operator="equal">
      <formula>0</formula>
    </cfRule>
  </conditionalFormatting>
  <conditionalFormatting sqref="H31">
    <cfRule type="cellIs" dxfId="15" priority="17" stopIfTrue="1" operator="equal">
      <formula>0</formula>
    </cfRule>
  </conditionalFormatting>
  <conditionalFormatting sqref="O21">
    <cfRule type="cellIs" dxfId="14" priority="16" operator="equal">
      <formula>0</formula>
    </cfRule>
  </conditionalFormatting>
  <conditionalFormatting sqref="K11:L11">
    <cfRule type="cellIs" dxfId="13" priority="15" operator="equal">
      <formula>",  "</formula>
    </cfRule>
  </conditionalFormatting>
  <conditionalFormatting sqref="K11:L11">
    <cfRule type="cellIs" dxfId="12" priority="14" operator="equal">
      <formula>",   Canada"</formula>
    </cfRule>
  </conditionalFormatting>
  <conditionalFormatting sqref="O21">
    <cfRule type="cellIs" dxfId="11" priority="13" operator="equal">
      <formula>0</formula>
    </cfRule>
  </conditionalFormatting>
  <conditionalFormatting sqref="K11:L11">
    <cfRule type="cellIs" dxfId="10" priority="12" operator="equal">
      <formula>",  "</formula>
    </cfRule>
  </conditionalFormatting>
  <conditionalFormatting sqref="K11:L11">
    <cfRule type="cellIs" dxfId="9" priority="11" operator="equal">
      <formula>",   Canada"</formula>
    </cfRule>
  </conditionalFormatting>
  <conditionalFormatting sqref="A11:P27">
    <cfRule type="cellIs" dxfId="8" priority="9" operator="equal">
      <formula>0</formula>
    </cfRule>
  </conditionalFormatting>
  <conditionalFormatting sqref="X51:Y51 T51:U51">
    <cfRule type="cellIs" dxfId="7" priority="8" operator="equal">
      <formula>0</formula>
    </cfRule>
  </conditionalFormatting>
  <conditionalFormatting sqref="X51:Y51 T51:U51">
    <cfRule type="cellIs" dxfId="6" priority="7" operator="equal">
      <formula>0</formula>
    </cfRule>
  </conditionalFormatting>
  <conditionalFormatting sqref="X3:X5 T7:U7 X7:Y7 T5:T7">
    <cfRule type="cellIs" dxfId="5" priority="6" operator="equal">
      <formula>0</formula>
    </cfRule>
  </conditionalFormatting>
  <conditionalFormatting sqref="T7:U7 X7:Y7 T5:T7 X5:X7">
    <cfRule type="cellIs" dxfId="4" priority="5" operator="equal">
      <formula>0</formula>
    </cfRule>
  </conditionalFormatting>
  <conditionalFormatting sqref="V5">
    <cfRule type="cellIs" dxfId="3" priority="4" operator="equal">
      <formula>0</formula>
    </cfRule>
  </conditionalFormatting>
  <conditionalFormatting sqref="V5">
    <cfRule type="cellIs" dxfId="2" priority="3" operator="equal">
      <formula>0</formula>
    </cfRule>
  </conditionalFormatting>
  <conditionalFormatting sqref="W5">
    <cfRule type="cellIs" dxfId="1" priority="2" operator="equal">
      <formula>0</formula>
    </cfRule>
  </conditionalFormatting>
  <conditionalFormatting sqref="W5">
    <cfRule type="cellIs" dxfId="0" priority="1" operator="equal">
      <formula>0</formula>
    </cfRule>
  </conditionalFormatting>
  <printOptions horizontalCentered="1"/>
  <pageMargins left="0.7" right="0.7" top="0.75" bottom="0.75" header="0.3" footer="0.3"/>
  <pageSetup scale="79" fitToWidth="4" orientation="portrait" r:id="rId1"/>
  <headerFooter>
    <oddFooter xml:space="preserve">&amp;RPage &amp;P of 4 BC-2021-09-01
</oddFooter>
  </headerFooter>
  <colBreaks count="3" manualBreakCount="3">
    <brk id="16" max="54" man="1"/>
    <brk id="28" max="54" man="1"/>
    <brk id="39" max="54"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rgb="FFFFC000"/>
  </sheetPr>
  <dimension ref="A1:AH69"/>
  <sheetViews>
    <sheetView showGridLines="0" view="pageLayout" topLeftCell="A10" zoomScaleNormal="100" workbookViewId="0">
      <selection activeCell="AC1" sqref="AC1:AZ1048576"/>
    </sheetView>
  </sheetViews>
  <sheetFormatPr defaultColWidth="0" defaultRowHeight="13.8" zeroHeight="1"/>
  <cols>
    <col min="1" max="4" width="12.44140625" style="467" customWidth="1"/>
    <col min="5" max="5" width="1.6640625" style="467" customWidth="1"/>
    <col min="6" max="7" width="9.33203125" style="467" customWidth="1"/>
    <col min="8" max="8" width="9.77734375" style="467" bestFit="1" customWidth="1"/>
    <col min="9" max="9" width="9.33203125" style="467" customWidth="1"/>
    <col min="10" max="10" width="7.77734375" style="467" bestFit="1" customWidth="1"/>
    <col min="11" max="12" width="9.33203125" style="467" customWidth="1"/>
    <col min="13" max="16384" width="9.33203125" style="467" hidden="1"/>
  </cols>
  <sheetData>
    <row r="1" spans="1:14" ht="18" customHeight="1"/>
    <row r="2" spans="1:14" ht="18" customHeight="1"/>
    <row r="3" spans="1:14" ht="18" customHeight="1"/>
    <row r="4" spans="1:14" ht="13.5" customHeight="1">
      <c r="A4" s="1440" t="s">
        <v>503</v>
      </c>
      <c r="B4" s="1440"/>
      <c r="C4" s="1440"/>
      <c r="D4" s="1440"/>
      <c r="E4" s="1440"/>
      <c r="F4" s="1440"/>
      <c r="G4" s="1440"/>
      <c r="H4" s="1440"/>
      <c r="I4" s="1440"/>
      <c r="J4" s="1440"/>
      <c r="K4" s="1440"/>
    </row>
    <row r="5" spans="1:14" ht="3.6" customHeight="1"/>
    <row r="6" spans="1:14">
      <c r="A6" s="362" t="s">
        <v>490</v>
      </c>
      <c r="B6" s="469" t="str">
        <f>CONCATENATE('Outline Info'!$B$2," ",'Outline Info'!$B$3)</f>
        <v xml:space="preserve"> </v>
      </c>
      <c r="C6" s="469"/>
      <c r="D6" s="469"/>
      <c r="G6" s="362" t="s">
        <v>491</v>
      </c>
      <c r="H6" s="469" t="str">
        <f>'Outline Info'!$B$9</f>
        <v>Student Loan</v>
      </c>
      <c r="I6" s="469"/>
      <c r="J6" s="469"/>
      <c r="K6" s="469"/>
    </row>
    <row r="7" spans="1:14" ht="3.6" customHeight="1">
      <c r="A7" s="362"/>
      <c r="G7" s="362"/>
    </row>
    <row r="8" spans="1:14">
      <c r="A8" s="362" t="s">
        <v>509</v>
      </c>
      <c r="B8" s="470">
        <f>'Outline Info'!$B$7</f>
        <v>0</v>
      </c>
      <c r="C8" s="470"/>
      <c r="D8" s="469"/>
      <c r="G8" s="362" t="s">
        <v>492</v>
      </c>
      <c r="H8" s="1451" t="str">
        <f>IF('Outline Admin'!$A$5=0,"",'Outline Admin'!$A$5)</f>
        <v/>
      </c>
      <c r="I8" s="1451"/>
      <c r="J8" s="1451"/>
      <c r="K8" s="1451"/>
    </row>
    <row r="9" spans="1:14" ht="3.6" customHeight="1">
      <c r="A9" s="362"/>
      <c r="H9" s="1451"/>
      <c r="I9" s="1451"/>
      <c r="J9" s="1451"/>
      <c r="K9" s="1451"/>
    </row>
    <row r="10" spans="1:14">
      <c r="A10" s="362" t="s">
        <v>493</v>
      </c>
      <c r="B10" s="1450">
        <f>'Outline Info'!$B$6</f>
        <v>44473</v>
      </c>
      <c r="C10" s="1450"/>
      <c r="D10" s="471" t="s">
        <v>598</v>
      </c>
      <c r="E10" s="1450">
        <f>'Outline Info'!$C$6</f>
        <v>44470</v>
      </c>
      <c r="F10" s="1450"/>
      <c r="G10" s="1450"/>
      <c r="H10" s="1452"/>
      <c r="I10" s="1452"/>
      <c r="J10" s="1452"/>
      <c r="K10" s="1452"/>
    </row>
    <row r="11" spans="1:14" ht="3.6" customHeight="1">
      <c r="A11" s="362"/>
    </row>
    <row r="12" spans="1:14">
      <c r="A12" s="362" t="s">
        <v>507</v>
      </c>
      <c r="B12" s="472">
        <f>'Outline Admin'!$F$57</f>
        <v>354</v>
      </c>
      <c r="C12" s="362" t="s">
        <v>508</v>
      </c>
      <c r="D12" s="509">
        <f>'Contract-Long'!$Z$25</f>
        <v>0</v>
      </c>
    </row>
    <row r="13" spans="1:14" ht="7.35" customHeight="1" thickBot="1">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1.7" customHeight="1" thickTop="1">
      <c r="A14" s="1441" t="s">
        <v>1675</v>
      </c>
      <c r="B14" s="1442"/>
      <c r="C14" s="1442"/>
      <c r="D14" s="1443"/>
      <c r="E14" s="473"/>
      <c r="F14" s="474" t="s">
        <v>498</v>
      </c>
      <c r="G14" s="475"/>
      <c r="H14" s="475"/>
      <c r="I14" s="475"/>
      <c r="J14" s="476" t="s">
        <v>505</v>
      </c>
      <c r="K14" s="477" t="s">
        <v>494</v>
      </c>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1.7" customHeight="1">
      <c r="A15" s="1444"/>
      <c r="B15" s="1445"/>
      <c r="C15" s="1445"/>
      <c r="D15" s="1446"/>
      <c r="E15" s="473"/>
      <c r="F15" s="478" t="s">
        <v>881</v>
      </c>
      <c r="G15" s="479"/>
      <c r="H15" s="479"/>
      <c r="I15" s="479"/>
      <c r="J15" s="943"/>
      <c r="K15" s="944"/>
    </row>
    <row r="16" spans="1:14" ht="11.7" customHeight="1">
      <c r="A16" s="1447" t="s">
        <v>1678</v>
      </c>
      <c r="B16" s="1448"/>
      <c r="C16" s="1448"/>
      <c r="D16" s="1449"/>
      <c r="E16" s="473"/>
      <c r="F16" s="482" t="s">
        <v>733</v>
      </c>
      <c r="G16" s="483"/>
      <c r="H16" s="483"/>
      <c r="I16" s="484"/>
      <c r="J16" s="945"/>
      <c r="K16" s="946"/>
    </row>
    <row r="17" spans="1:34" ht="11.7" customHeight="1">
      <c r="A17" s="1447"/>
      <c r="B17" s="1448"/>
      <c r="C17" s="1448"/>
      <c r="D17" s="1449"/>
      <c r="E17" s="473"/>
      <c r="F17" s="487" t="s">
        <v>734</v>
      </c>
      <c r="G17" s="488"/>
      <c r="H17" s="488"/>
      <c r="I17" s="489"/>
      <c r="J17" s="947"/>
      <c r="K17" s="948"/>
    </row>
    <row r="18" spans="1:34" ht="11.7" customHeight="1">
      <c r="A18" s="1447" t="s">
        <v>1679</v>
      </c>
      <c r="B18" s="1448"/>
      <c r="C18" s="1448"/>
      <c r="D18" s="1449"/>
      <c r="E18" s="473"/>
      <c r="F18" s="490" t="s">
        <v>1005</v>
      </c>
      <c r="G18" s="488"/>
      <c r="H18" s="488"/>
      <c r="I18" s="489"/>
      <c r="J18" s="947"/>
      <c r="K18" s="948"/>
    </row>
    <row r="19" spans="1:34" ht="11.7" customHeight="1">
      <c r="A19" s="1447"/>
      <c r="B19" s="1448"/>
      <c r="C19" s="1448"/>
      <c r="D19" s="1449"/>
      <c r="E19" s="473"/>
      <c r="F19" s="491" t="s">
        <v>510</v>
      </c>
      <c r="G19" s="492"/>
      <c r="H19" s="492"/>
      <c r="I19" s="493"/>
      <c r="J19" s="949"/>
      <c r="K19" s="950"/>
    </row>
    <row r="20" spans="1:34" ht="11.7" customHeight="1">
      <c r="A20" s="1447" t="s">
        <v>1680</v>
      </c>
      <c r="B20" s="1448"/>
      <c r="C20" s="1448"/>
      <c r="D20" s="1449"/>
      <c r="E20" s="473"/>
      <c r="F20" s="478" t="s">
        <v>511</v>
      </c>
      <c r="G20" s="479"/>
      <c r="H20" s="479"/>
      <c r="I20" s="479"/>
      <c r="J20" s="943"/>
      <c r="K20" s="950"/>
    </row>
    <row r="21" spans="1:34" ht="11.7" customHeight="1">
      <c r="A21" s="1447"/>
      <c r="B21" s="1448"/>
      <c r="C21" s="1448"/>
      <c r="D21" s="1449"/>
      <c r="E21" s="473"/>
      <c r="F21" s="478" t="s">
        <v>512</v>
      </c>
      <c r="G21" s="479"/>
      <c r="H21" s="479"/>
      <c r="I21" s="479"/>
      <c r="J21" s="943"/>
      <c r="K21" s="950"/>
    </row>
    <row r="22" spans="1:34" ht="11.7" customHeight="1">
      <c r="A22" s="1447" t="s">
        <v>1677</v>
      </c>
      <c r="B22" s="1448"/>
      <c r="C22" s="1448"/>
      <c r="D22" s="1449"/>
      <c r="E22" s="496"/>
      <c r="F22" s="482" t="s">
        <v>735</v>
      </c>
      <c r="G22" s="483"/>
      <c r="H22" s="483"/>
      <c r="I22" s="483"/>
      <c r="J22" s="945"/>
      <c r="K22" s="946"/>
    </row>
    <row r="23" spans="1:34" ht="11.7" customHeight="1">
      <c r="A23" s="1447"/>
      <c r="B23" s="1448"/>
      <c r="C23" s="1448"/>
      <c r="D23" s="1449"/>
      <c r="E23" s="496"/>
      <c r="F23" s="487" t="s">
        <v>736</v>
      </c>
      <c r="G23" s="488"/>
      <c r="H23" s="488" t="s">
        <v>738</v>
      </c>
      <c r="I23" s="488"/>
      <c r="J23" s="947"/>
      <c r="K23" s="948"/>
    </row>
    <row r="24" spans="1:34" ht="11.7" customHeight="1">
      <c r="A24" s="1447" t="s">
        <v>1006</v>
      </c>
      <c r="B24" s="1448"/>
      <c r="C24" s="1448"/>
      <c r="D24" s="1449"/>
      <c r="E24" s="496"/>
      <c r="F24" s="487" t="s">
        <v>737</v>
      </c>
      <c r="G24" s="488"/>
      <c r="H24" s="488" t="s">
        <v>739</v>
      </c>
      <c r="I24" s="488"/>
      <c r="J24" s="947"/>
      <c r="K24" s="948"/>
    </row>
    <row r="25" spans="1:34" ht="11.7" customHeight="1" thickBot="1">
      <c r="A25" s="1453"/>
      <c r="B25" s="1454"/>
      <c r="C25" s="1454"/>
      <c r="D25" s="1455"/>
      <c r="E25" s="496"/>
      <c r="F25" s="491"/>
      <c r="G25" s="492"/>
      <c r="H25" s="492" t="s">
        <v>740</v>
      </c>
      <c r="I25" s="492"/>
      <c r="J25" s="949" t="s">
        <v>1674</v>
      </c>
      <c r="K25" s="950" t="s">
        <v>1674</v>
      </c>
      <c r="Y25" s="497"/>
      <c r="Z25" s="497"/>
      <c r="AA25" s="497"/>
      <c r="AB25" s="497"/>
      <c r="AC25" s="497"/>
      <c r="AD25" s="497"/>
      <c r="AF25" s="497"/>
      <c r="AG25" s="497"/>
      <c r="AH25" s="497"/>
    </row>
    <row r="26" spans="1:34" ht="11.7" customHeight="1" thickTop="1" thickBot="1">
      <c r="F26" s="478" t="s">
        <v>513</v>
      </c>
      <c r="G26" s="479"/>
      <c r="H26" s="479"/>
      <c r="I26" s="479"/>
      <c r="J26" s="943"/>
      <c r="K26" s="950"/>
      <c r="Y26" s="497"/>
      <c r="Z26" s="497"/>
      <c r="AA26" s="497"/>
      <c r="AB26" s="497"/>
      <c r="AC26" s="497"/>
      <c r="AD26" s="497"/>
      <c r="AF26" s="497"/>
      <c r="AG26" s="497"/>
      <c r="AH26" s="497"/>
    </row>
    <row r="27" spans="1:34" ht="11.7" customHeight="1" thickTop="1" thickBot="1">
      <c r="A27" s="498" t="s">
        <v>494</v>
      </c>
      <c r="B27" s="499" t="s">
        <v>495</v>
      </c>
      <c r="C27" s="499" t="s">
        <v>496</v>
      </c>
      <c r="D27" s="500" t="s">
        <v>497</v>
      </c>
      <c r="F27" s="478" t="s">
        <v>514</v>
      </c>
      <c r="G27" s="479"/>
      <c r="H27" s="479"/>
      <c r="I27" s="479"/>
      <c r="J27" s="943" t="str">
        <f>IF('Student Info'!B9="N","N/A","")</f>
        <v>N/A</v>
      </c>
      <c r="K27" s="944" t="str">
        <f>IF('Student Info'!B9="N","N/A","")</f>
        <v>N/A</v>
      </c>
    </row>
    <row r="28" spans="1:34" ht="11.7" customHeight="1" thickTop="1">
      <c r="A28" s="1459"/>
      <c r="B28" s="1460"/>
      <c r="C28" s="1460"/>
      <c r="D28" s="1461"/>
      <c r="F28" s="478" t="s">
        <v>515</v>
      </c>
      <c r="G28" s="479"/>
      <c r="H28" s="479"/>
      <c r="I28" s="479"/>
      <c r="J28" s="943" t="s">
        <v>1674</v>
      </c>
      <c r="K28" s="944" t="s">
        <v>1674</v>
      </c>
    </row>
    <row r="29" spans="1:34" ht="11.7" customHeight="1">
      <c r="A29" s="1456"/>
      <c r="B29" s="1457"/>
      <c r="C29" s="1457"/>
      <c r="D29" s="1458"/>
      <c r="F29" s="478" t="s">
        <v>516</v>
      </c>
      <c r="G29" s="479"/>
      <c r="H29" s="479"/>
      <c r="I29" s="479"/>
      <c r="J29" s="943"/>
      <c r="K29" s="944"/>
      <c r="Y29" s="497"/>
      <c r="Z29" s="497"/>
      <c r="AA29" s="497"/>
      <c r="AB29" s="497"/>
      <c r="AC29" s="497"/>
      <c r="AD29" s="497"/>
      <c r="AF29" s="497"/>
      <c r="AG29" s="497"/>
      <c r="AH29" s="497"/>
    </row>
    <row r="30" spans="1:34" ht="11.7" customHeight="1">
      <c r="A30" s="1456"/>
      <c r="B30" s="1457"/>
      <c r="C30" s="1457"/>
      <c r="D30" s="1458"/>
      <c r="F30" s="478" t="s">
        <v>1008</v>
      </c>
      <c r="G30" s="479"/>
      <c r="H30" s="479"/>
      <c r="I30" s="479"/>
      <c r="J30" s="943" t="str">
        <f>IF(OR(ISNUMBER(SEARCH("medical office assistant",$H$8)),ISNUMBER(SEARCH("community",$H$8))),"","N/A")</f>
        <v>N/A</v>
      </c>
      <c r="K30" s="951" t="str">
        <f>IF(OR(ISNUMBER(SEARCH("medical office assistant",$H$8)),ISNUMBER(SEARCH("community",$H$8))),"","N/A")</f>
        <v>N/A</v>
      </c>
      <c r="Y30" s="497"/>
      <c r="Z30" s="497"/>
      <c r="AA30" s="497"/>
      <c r="AB30" s="497"/>
      <c r="AC30" s="497"/>
      <c r="AD30" s="497"/>
      <c r="AF30" s="497"/>
      <c r="AG30" s="497"/>
      <c r="AH30" s="497"/>
    </row>
    <row r="31" spans="1:34" ht="11.7" customHeight="1">
      <c r="A31" s="1456"/>
      <c r="B31" s="1457"/>
      <c r="C31" s="1457"/>
      <c r="D31" s="1458"/>
      <c r="F31" s="478" t="s">
        <v>517</v>
      </c>
      <c r="G31" s="479"/>
      <c r="H31" s="479"/>
      <c r="I31" s="479"/>
      <c r="J31" s="943" t="str">
        <f>IF(ISNUMBER(SEARCH("medical office assistant",$H$8)),"","N/A")</f>
        <v>N/A</v>
      </c>
      <c r="K31" s="951" t="str">
        <f>IF(ISNUMBER(SEARCH("medical office assistant",$H$8)),"","N/A")</f>
        <v>N/A</v>
      </c>
    </row>
    <row r="32" spans="1:34" ht="11.7" customHeight="1">
      <c r="A32" s="1456"/>
      <c r="B32" s="1457"/>
      <c r="C32" s="1457"/>
      <c r="D32" s="1458"/>
      <c r="F32" s="478" t="s">
        <v>1007</v>
      </c>
      <c r="G32" s="479"/>
      <c r="H32" s="479"/>
      <c r="I32" s="479"/>
      <c r="J32" s="943" t="str">
        <f>IF(ISNUMBER(SEARCH("community",$H$8)),"","N/A")</f>
        <v>N/A</v>
      </c>
      <c r="K32" s="951" t="str">
        <f>IF(ISNUMBER(SEARCH("community",$H$8)),"","N/A")</f>
        <v>N/A</v>
      </c>
    </row>
    <row r="33" spans="1:34" ht="11.7" customHeight="1">
      <c r="A33" s="1456"/>
      <c r="B33" s="1457"/>
      <c r="C33" s="1457"/>
      <c r="D33" s="1458"/>
      <c r="F33" s="501" t="s">
        <v>499</v>
      </c>
      <c r="G33" s="502"/>
      <c r="H33" s="502"/>
      <c r="I33" s="502"/>
      <c r="J33" s="952"/>
      <c r="K33" s="953"/>
    </row>
    <row r="34" spans="1:34" ht="11.7" customHeight="1">
      <c r="A34" s="1456"/>
      <c r="B34" s="1457"/>
      <c r="C34" s="1457"/>
      <c r="D34" s="1458"/>
      <c r="F34" s="478" t="str">
        <f>IF($H$6="Student Loan",IF(OR('Outline Admin'!$A$5="Community Service Worker &amp; Addiction Worker Diploma",'Outline Admin'!$A$5="Community Service Worker Diploma"),"        Welcome package: documents 1-23",IF(OR('Outline Admin'!$A$5="Medical Office Assistant Diploma",'Outline Admin'!$A$5="Medical Office Assistant Diploma W/ Unit Clerk"),"        Welcome package: documents 1-23",IF('Outline Admin'!$A$5="Web Designer Diploma","        Welcome package: documents 1-22","        Welcome package: documents 1-21"))),IF(OR('Outline Admin'!$A$5="Community Service Worker &amp; Addiction Worker Diploma",'Outline Admin'!$A$5="Community Service Worker Diploma"),"        Welcome package: documents 1-18",IF(OR('Outline Admin'!$A$5="Medical Office Assistant Diploma",'Outline Admin'!$A$5="Medical Office Assistant Diploma W/ Unit Clerk"),"        Welcome package: documents 1-18",IF('Outline Admin'!$A$5="Web Designer Diploma","        Welcome package: documents 1-17","        Welcome package: documents 1-16"))))</f>
        <v xml:space="preserve">        Welcome package: documents 1-21</v>
      </c>
      <c r="G34" s="479"/>
      <c r="H34" s="479"/>
      <c r="I34" s="479"/>
      <c r="J34" s="943"/>
      <c r="K34" s="950"/>
    </row>
    <row r="35" spans="1:34" ht="11.7" customHeight="1">
      <c r="A35" s="1456"/>
      <c r="B35" s="1457"/>
      <c r="C35" s="1457"/>
      <c r="D35" s="1458"/>
      <c r="F35" s="501" t="s">
        <v>500</v>
      </c>
      <c r="G35" s="502"/>
      <c r="H35" s="502"/>
      <c r="I35" s="502"/>
      <c r="J35" s="952"/>
      <c r="K35" s="953"/>
    </row>
    <row r="36" spans="1:34" ht="11.7" customHeight="1">
      <c r="A36" s="1456"/>
      <c r="B36" s="1457"/>
      <c r="C36" s="1457"/>
      <c r="D36" s="1458"/>
      <c r="F36" s="478" t="s">
        <v>518</v>
      </c>
      <c r="G36" s="479"/>
      <c r="H36" s="479"/>
      <c r="I36" s="479"/>
      <c r="J36" s="1470" t="s">
        <v>1009</v>
      </c>
      <c r="K36" s="1471"/>
    </row>
    <row r="37" spans="1:34" ht="11.7" customHeight="1">
      <c r="A37" s="1456"/>
      <c r="B37" s="1457"/>
      <c r="C37" s="1457"/>
      <c r="D37" s="1458"/>
      <c r="F37" s="478" t="s">
        <v>519</v>
      </c>
      <c r="G37" s="479"/>
      <c r="H37" s="479"/>
      <c r="I37" s="479"/>
      <c r="J37" s="1472"/>
      <c r="K37" s="1473"/>
    </row>
    <row r="38" spans="1:34" ht="11.7" customHeight="1">
      <c r="A38" s="1456"/>
      <c r="B38" s="1457"/>
      <c r="C38" s="1457"/>
      <c r="D38" s="1458"/>
      <c r="F38" s="482" t="s">
        <v>741</v>
      </c>
      <c r="G38" s="483"/>
      <c r="H38" s="483"/>
      <c r="I38" s="483"/>
      <c r="J38" s="1472"/>
      <c r="K38" s="1473"/>
    </row>
    <row r="39" spans="1:34" ht="11.7" customHeight="1">
      <c r="A39" s="1456"/>
      <c r="B39" s="1457"/>
      <c r="C39" s="1457"/>
      <c r="D39" s="1458"/>
      <c r="F39" s="491" t="s">
        <v>807</v>
      </c>
      <c r="G39" s="492"/>
      <c r="H39" s="492"/>
      <c r="I39" s="492"/>
      <c r="J39" s="1474"/>
      <c r="K39" s="1475"/>
    </row>
    <row r="40" spans="1:34" ht="11.7" customHeight="1">
      <c r="A40" s="1456"/>
      <c r="B40" s="1457"/>
      <c r="C40" s="1457"/>
      <c r="D40" s="1458"/>
      <c r="F40" s="501" t="s">
        <v>501</v>
      </c>
      <c r="G40" s="502"/>
      <c r="H40" s="502"/>
      <c r="I40" s="502"/>
      <c r="J40" s="952"/>
      <c r="K40" s="953"/>
    </row>
    <row r="41" spans="1:34" ht="11.7" customHeight="1">
      <c r="A41" s="1456"/>
      <c r="B41" s="1457"/>
      <c r="C41" s="1457"/>
      <c r="D41" s="1458"/>
      <c r="F41" s="478" t="s">
        <v>520</v>
      </c>
      <c r="G41" s="479"/>
      <c r="H41" s="479"/>
      <c r="I41" s="479"/>
      <c r="J41" s="943" t="str">
        <f>IF(H6="Student Loan","","N/A")</f>
        <v/>
      </c>
      <c r="K41" s="944" t="str">
        <f>IF(H6="Student Loan","","N/A")</f>
        <v/>
      </c>
    </row>
    <row r="42" spans="1:34" ht="11.7" customHeight="1">
      <c r="A42" s="1456"/>
      <c r="B42" s="1457"/>
      <c r="C42" s="1457"/>
      <c r="D42" s="1458"/>
      <c r="F42" s="478" t="s">
        <v>1799</v>
      </c>
      <c r="G42" s="479"/>
      <c r="H42" s="479"/>
      <c r="I42" s="479"/>
      <c r="J42" s="943" t="str">
        <f>IF(H6="Student Loan","","N/A")</f>
        <v/>
      </c>
      <c r="K42" s="944" t="str">
        <f>IF(H6="Student Loan","","N/A")</f>
        <v/>
      </c>
      <c r="Y42" s="497"/>
      <c r="Z42" s="497"/>
      <c r="AA42" s="497"/>
      <c r="AB42" s="497"/>
      <c r="AC42" s="497"/>
      <c r="AD42" s="497"/>
      <c r="AF42" s="497"/>
      <c r="AG42" s="497"/>
      <c r="AH42" s="497"/>
    </row>
    <row r="43" spans="1:34" ht="11.7" customHeight="1">
      <c r="A43" s="1456"/>
      <c r="B43" s="1457"/>
      <c r="C43" s="1457"/>
      <c r="D43" s="1458"/>
      <c r="F43" s="501" t="s">
        <v>502</v>
      </c>
      <c r="G43" s="502"/>
      <c r="H43" s="502"/>
      <c r="I43" s="502"/>
      <c r="J43" s="952"/>
      <c r="K43" s="953"/>
      <c r="Y43" s="497"/>
      <c r="Z43" s="497"/>
      <c r="AA43" s="497"/>
      <c r="AB43" s="497"/>
      <c r="AC43" s="497"/>
      <c r="AD43" s="497"/>
      <c r="AF43" s="497"/>
      <c r="AG43" s="497"/>
      <c r="AH43" s="497"/>
    </row>
    <row r="44" spans="1:34" ht="11.7" customHeight="1">
      <c r="A44" s="1456"/>
      <c r="B44" s="1457"/>
      <c r="C44" s="1457"/>
      <c r="D44" s="1458"/>
      <c r="F44" s="482" t="s">
        <v>521</v>
      </c>
      <c r="G44" s="483"/>
      <c r="H44" s="483"/>
      <c r="I44" s="484"/>
      <c r="J44" s="945"/>
      <c r="K44" s="946"/>
    </row>
    <row r="45" spans="1:34" ht="11.7" customHeight="1">
      <c r="A45" s="1456"/>
      <c r="B45" s="1457"/>
      <c r="C45" s="1457"/>
      <c r="D45" s="1458"/>
      <c r="F45" s="491" t="s">
        <v>522</v>
      </c>
      <c r="G45" s="492"/>
      <c r="H45" s="492"/>
      <c r="I45" s="493"/>
      <c r="J45" s="494"/>
      <c r="K45" s="495"/>
    </row>
    <row r="46" spans="1:34" ht="11.7" customHeight="1">
      <c r="A46" s="1456"/>
      <c r="B46" s="1457"/>
      <c r="C46" s="1457"/>
      <c r="D46" s="1458"/>
      <c r="F46" s="482" t="s">
        <v>523</v>
      </c>
      <c r="G46" s="483"/>
      <c r="H46" s="483"/>
      <c r="I46" s="484"/>
      <c r="J46" s="485"/>
      <c r="K46" s="486"/>
    </row>
    <row r="47" spans="1:34" ht="11.7" customHeight="1">
      <c r="A47" s="1456"/>
      <c r="B47" s="1457"/>
      <c r="C47" s="1457"/>
      <c r="D47" s="1458"/>
      <c r="F47" s="491" t="s">
        <v>524</v>
      </c>
      <c r="G47" s="492"/>
      <c r="H47" s="492"/>
      <c r="I47" s="493"/>
      <c r="J47" s="494"/>
      <c r="K47" s="495"/>
    </row>
    <row r="48" spans="1:34" ht="11.7" customHeight="1">
      <c r="A48" s="1456"/>
      <c r="B48" s="1457"/>
      <c r="C48" s="1457"/>
      <c r="D48" s="1458"/>
      <c r="F48" s="478" t="s">
        <v>525</v>
      </c>
      <c r="G48" s="479"/>
      <c r="H48" s="479"/>
      <c r="I48" s="479"/>
      <c r="J48" s="480"/>
      <c r="K48" s="481"/>
    </row>
    <row r="49" spans="1:11" ht="11.7" customHeight="1">
      <c r="A49" s="1456"/>
      <c r="B49" s="1457"/>
      <c r="C49" s="1457"/>
      <c r="D49" s="1458"/>
      <c r="F49" s="482" t="s">
        <v>742</v>
      </c>
      <c r="G49" s="483"/>
      <c r="H49" s="483"/>
      <c r="I49" s="484"/>
      <c r="J49" s="485"/>
      <c r="K49" s="486"/>
    </row>
    <row r="50" spans="1:11" ht="11.7" customHeight="1">
      <c r="A50" s="1456"/>
      <c r="B50" s="1457"/>
      <c r="C50" s="1457"/>
      <c r="D50" s="1458"/>
      <c r="F50" s="491" t="s">
        <v>743</v>
      </c>
      <c r="G50" s="492"/>
      <c r="H50" s="492"/>
      <c r="I50" s="493"/>
      <c r="J50" s="494"/>
      <c r="K50" s="495"/>
    </row>
    <row r="51" spans="1:11" ht="11.7" customHeight="1">
      <c r="A51" s="1456"/>
      <c r="B51" s="1457"/>
      <c r="C51" s="1457"/>
      <c r="D51" s="1458"/>
      <c r="F51" s="501" t="s">
        <v>504</v>
      </c>
      <c r="G51" s="502"/>
      <c r="H51" s="502"/>
      <c r="I51" s="502"/>
      <c r="J51" s="503"/>
      <c r="K51" s="504"/>
    </row>
    <row r="52" spans="1:11" ht="11.7" customHeight="1">
      <c r="A52" s="1462"/>
      <c r="B52" s="1464"/>
      <c r="C52" s="1466"/>
      <c r="D52" s="1468"/>
      <c r="F52" s="478" t="s">
        <v>1010</v>
      </c>
      <c r="G52" s="479"/>
      <c r="H52" s="479"/>
      <c r="I52" s="479"/>
      <c r="J52" s="480"/>
      <c r="K52" s="481"/>
    </row>
    <row r="53" spans="1:11" ht="11.7" customHeight="1">
      <c r="A53" s="1462"/>
      <c r="B53" s="1464"/>
      <c r="C53" s="1466"/>
      <c r="D53" s="1468"/>
      <c r="F53" s="478" t="s">
        <v>1011</v>
      </c>
      <c r="G53" s="479"/>
      <c r="H53" s="479"/>
      <c r="I53" s="479"/>
      <c r="J53" s="480"/>
      <c r="K53" s="481"/>
    </row>
    <row r="54" spans="1:11" ht="11.7" customHeight="1">
      <c r="A54" s="1462"/>
      <c r="B54" s="1464"/>
      <c r="C54" s="1466"/>
      <c r="D54" s="1468"/>
      <c r="F54" s="478" t="s">
        <v>1014</v>
      </c>
      <c r="G54" s="479"/>
      <c r="H54" s="479"/>
      <c r="I54" s="479"/>
      <c r="J54" s="480"/>
      <c r="K54" s="481"/>
    </row>
    <row r="55" spans="1:11" ht="11.7" customHeight="1" thickBot="1">
      <c r="A55" s="1463"/>
      <c r="B55" s="1465"/>
      <c r="C55" s="1467"/>
      <c r="D55" s="1469"/>
      <c r="F55" s="478" t="s">
        <v>1012</v>
      </c>
      <c r="G55" s="479"/>
      <c r="H55" s="479"/>
      <c r="I55" s="479"/>
      <c r="J55" s="480"/>
      <c r="K55" s="481"/>
    </row>
    <row r="56" spans="1:11" ht="11.7" customHeight="1" thickTop="1">
      <c r="F56" s="478" t="s">
        <v>526</v>
      </c>
      <c r="G56" s="479"/>
      <c r="H56" s="479"/>
      <c r="I56" s="479"/>
      <c r="J56" s="480"/>
      <c r="K56" s="481"/>
    </row>
    <row r="57" spans="1:11" ht="11.7" customHeight="1">
      <c r="F57" s="478" t="s">
        <v>527</v>
      </c>
      <c r="G57" s="479"/>
      <c r="H57" s="479"/>
      <c r="I57" s="479"/>
      <c r="J57" s="480" t="str">
        <f>IF($H$8="Individual Courses","N/A","")</f>
        <v/>
      </c>
      <c r="K57" s="481" t="str">
        <f>IF($H$8="Individual Courses","N/A","")</f>
        <v/>
      </c>
    </row>
    <row r="58" spans="1:11" ht="11.7" customHeight="1">
      <c r="F58" s="478" t="s">
        <v>1015</v>
      </c>
      <c r="G58" s="479"/>
      <c r="H58" s="479"/>
      <c r="I58" s="479"/>
      <c r="J58" s="480" t="str">
        <f>IF($H$8="Individual Courses","N/A","")</f>
        <v/>
      </c>
      <c r="K58" s="481" t="str">
        <f>IF($H$8="Individual Courses","N/A","")</f>
        <v/>
      </c>
    </row>
    <row r="59" spans="1:11" ht="11.7" customHeight="1">
      <c r="F59" s="478" t="s">
        <v>528</v>
      </c>
      <c r="G59" s="479"/>
      <c r="H59" s="479"/>
      <c r="I59" s="479"/>
      <c r="J59" s="480"/>
      <c r="K59" s="481"/>
    </row>
    <row r="60" spans="1:11" ht="11.7" customHeight="1">
      <c r="F60" s="478" t="s">
        <v>529</v>
      </c>
      <c r="G60" s="479"/>
      <c r="H60" s="479"/>
      <c r="I60" s="479"/>
      <c r="J60" s="480"/>
      <c r="K60" s="481"/>
    </row>
    <row r="61" spans="1:11" ht="11.7" customHeight="1">
      <c r="F61" s="478" t="s">
        <v>530</v>
      </c>
      <c r="G61" s="479"/>
      <c r="H61" s="479"/>
      <c r="I61" s="479"/>
      <c r="J61" s="480" t="str">
        <f>IF($B$12&lt;=1000,"N/A","")</f>
        <v>N/A</v>
      </c>
      <c r="K61" s="481" t="str">
        <f>IF($B$12&lt;=1000,"N/A","")</f>
        <v>N/A</v>
      </c>
    </row>
    <row r="62" spans="1:11" ht="11.7" customHeight="1">
      <c r="F62" s="478" t="s">
        <v>1013</v>
      </c>
      <c r="G62" s="479"/>
      <c r="H62" s="479"/>
      <c r="I62" s="479"/>
      <c r="J62" s="480"/>
      <c r="K62" s="481"/>
    </row>
    <row r="63" spans="1:11" ht="11.7" customHeight="1">
      <c r="F63" s="478" t="s">
        <v>531</v>
      </c>
      <c r="G63" s="479"/>
      <c r="H63" s="479"/>
      <c r="I63" s="479"/>
      <c r="J63" s="480"/>
      <c r="K63" s="481"/>
    </row>
    <row r="64" spans="1:11" ht="11.7" customHeight="1">
      <c r="F64" s="478" t="s">
        <v>532</v>
      </c>
      <c r="G64" s="479"/>
      <c r="H64" s="479"/>
      <c r="I64" s="479"/>
      <c r="J64" s="480" t="str">
        <f>IF(H6="Student Loan","","N/A")</f>
        <v/>
      </c>
      <c r="K64" s="481" t="str">
        <f>IF(H6="Student Loan","","N/A")</f>
        <v/>
      </c>
    </row>
    <row r="65" spans="6:11" ht="11.7" customHeight="1">
      <c r="F65" s="478" t="s">
        <v>534</v>
      </c>
      <c r="G65" s="479"/>
      <c r="H65" s="479"/>
      <c r="I65" s="479"/>
      <c r="J65" s="480" t="str">
        <f>IF(H6="Student Loan","","N/A")</f>
        <v/>
      </c>
      <c r="K65" s="481" t="str">
        <f>IF(H6="Student Loan","","N/A")</f>
        <v/>
      </c>
    </row>
    <row r="66" spans="6:11" ht="11.7" customHeight="1" thickBot="1">
      <c r="F66" s="505" t="s">
        <v>533</v>
      </c>
      <c r="G66" s="506"/>
      <c r="H66" s="506"/>
      <c r="I66" s="506"/>
      <c r="J66" s="507" t="str">
        <f>IF(H6="Student Loan","","N/A")</f>
        <v/>
      </c>
      <c r="K66" s="508" t="str">
        <f>IF(H6="Student Loan","","N/A")</f>
        <v/>
      </c>
    </row>
    <row r="67" spans="6:11" ht="11.7" customHeight="1"/>
    <row r="68" spans="6:11" ht="11.7" hidden="1" customHeight="1"/>
    <row r="69" spans="6:11" ht="11.7" hidden="1" customHeight="1"/>
  </sheetData>
  <mergeCells count="63">
    <mergeCell ref="J36:K39"/>
    <mergeCell ref="A46:A47"/>
    <mergeCell ref="B46:B47"/>
    <mergeCell ref="C46:C47"/>
    <mergeCell ref="D46:D47"/>
    <mergeCell ref="A42:A43"/>
    <mergeCell ref="B42:B43"/>
    <mergeCell ref="C42:C43"/>
    <mergeCell ref="D42:D43"/>
    <mergeCell ref="A44:A45"/>
    <mergeCell ref="B44:B45"/>
    <mergeCell ref="C44:C45"/>
    <mergeCell ref="D44:D45"/>
    <mergeCell ref="A38:A39"/>
    <mergeCell ref="B38:B39"/>
    <mergeCell ref="C38:C39"/>
    <mergeCell ref="A52:A55"/>
    <mergeCell ref="B52:B55"/>
    <mergeCell ref="C52:C55"/>
    <mergeCell ref="D52:D55"/>
    <mergeCell ref="A48:A49"/>
    <mergeCell ref="B48:B49"/>
    <mergeCell ref="C48:C49"/>
    <mergeCell ref="D48:D49"/>
    <mergeCell ref="A50:A51"/>
    <mergeCell ref="B50:B51"/>
    <mergeCell ref="C50:C51"/>
    <mergeCell ref="D50:D51"/>
    <mergeCell ref="D38:D39"/>
    <mergeCell ref="A40:A41"/>
    <mergeCell ref="B40:B41"/>
    <mergeCell ref="C40:C41"/>
    <mergeCell ref="D40:D41"/>
    <mergeCell ref="A34:A35"/>
    <mergeCell ref="B34:B35"/>
    <mergeCell ref="C34:C35"/>
    <mergeCell ref="D34:D35"/>
    <mergeCell ref="A36:A37"/>
    <mergeCell ref="B36:B37"/>
    <mergeCell ref="C36:C37"/>
    <mergeCell ref="D36:D37"/>
    <mergeCell ref="A20:D21"/>
    <mergeCell ref="A22:D23"/>
    <mergeCell ref="A24:D25"/>
    <mergeCell ref="A32:A33"/>
    <mergeCell ref="B32:B33"/>
    <mergeCell ref="C32:C33"/>
    <mergeCell ref="D32:D33"/>
    <mergeCell ref="A30:A31"/>
    <mergeCell ref="B30:B31"/>
    <mergeCell ref="C30:C31"/>
    <mergeCell ref="D30:D31"/>
    <mergeCell ref="A28:A29"/>
    <mergeCell ref="B28:B29"/>
    <mergeCell ref="C28:C29"/>
    <mergeCell ref="D28:D29"/>
    <mergeCell ref="A4:K4"/>
    <mergeCell ref="A14:D15"/>
    <mergeCell ref="A16:D17"/>
    <mergeCell ref="A18:D19"/>
    <mergeCell ref="B10:C10"/>
    <mergeCell ref="H8:K10"/>
    <mergeCell ref="E10:G10"/>
  </mergeCells>
  <phoneticPr fontId="117" type="noConversion"/>
  <pageMargins left="0.5" right="0.5" top="0.33" bottom="0.13" header="0.44" footer="0.5"/>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C000"/>
  </sheetPr>
  <dimension ref="A1:AH45"/>
  <sheetViews>
    <sheetView showGridLines="0" view="pageLayout" zoomScaleNormal="100" workbookViewId="0">
      <selection activeCell="AC1" sqref="AC1:AZ1048576"/>
    </sheetView>
  </sheetViews>
  <sheetFormatPr defaultColWidth="0" defaultRowHeight="13.8" zeroHeight="1"/>
  <cols>
    <col min="1" max="1" width="4.109375" style="467" customWidth="1"/>
    <col min="2" max="2" width="2" style="467" customWidth="1"/>
    <col min="3" max="5" width="9.33203125" style="467" customWidth="1"/>
    <col min="6" max="6" width="13.33203125" style="467" customWidth="1"/>
    <col min="7" max="12" width="9.33203125" style="467" customWidth="1"/>
    <col min="13" max="16384" width="0" style="467" hidden="1"/>
  </cols>
  <sheetData>
    <row r="1" spans="1:14" ht="16.2">
      <c r="G1" s="341" t="str">
        <f>LEFT('Franchise Info'!B4,FIND(", ",'Franchise Info'!B4)-1)</f>
        <v>201 - 20621 Logan Ave</v>
      </c>
    </row>
    <row r="2" spans="1:14" ht="16.2">
      <c r="G2" s="341" t="str">
        <f>MID('Franchise Info'!B4,FIND(", ",'Franchise Info'!B4)+2,50)</f>
        <v>Langley, BC, V3A 7R3</v>
      </c>
    </row>
    <row r="3" spans="1:14" ht="16.2">
      <c r="G3" s="341" t="str">
        <f>CONCATENATE("Telephone:"," ",REPLACE(LEFT('Franchise Info'!B7,22),1,8,""))</f>
        <v>Telephone: (604) 532-4040</v>
      </c>
    </row>
    <row r="4" spans="1:14" ht="16.2">
      <c r="G4" s="341" t="str">
        <f>CONCATENATE("Facsimile:"," ",RIGHT('Franchise Info'!B7,14))</f>
        <v>Facsimile: (604) 532-4001</v>
      </c>
    </row>
    <row r="5" spans="1:14" ht="16.2">
      <c r="G5" s="341" t="str">
        <f>MID('Franchise Info'!B7,FIND("E-Mail",'Franchise Info'!B7),60)</f>
        <v xml:space="preserve">E-Mail : admin.langley@aolccbc.com                          </v>
      </c>
    </row>
    <row r="6" spans="1:14"/>
    <row r="7" spans="1:14" ht="15.6">
      <c r="G7" s="515" t="s">
        <v>659</v>
      </c>
    </row>
    <row r="8" spans="1:14" ht="9.9" customHeight="1"/>
    <row r="9" spans="1:14" ht="16.2">
      <c r="B9" s="341" t="s">
        <v>542</v>
      </c>
      <c r="C9" s="1355" t="str">
        <f>CONCATENATE('Outline Info'!B2," ",'Outline Info'!B3)</f>
        <v xml:space="preserve"> </v>
      </c>
      <c r="D9" s="1355"/>
      <c r="E9" s="1355"/>
      <c r="F9" s="341" t="s">
        <v>543</v>
      </c>
    </row>
    <row r="10" spans="1:14" ht="9.9" customHeight="1"/>
    <row r="11" spans="1:14" ht="18.3" customHeight="1">
      <c r="A11" s="510" t="s">
        <v>1841</v>
      </c>
      <c r="B11" s="1476" t="str">
        <f>IF('Outline Info'!$B$9="Student Loan",IF(OR('Outline Admin'!$A$5="Community Service Worker &amp; Addiction Worker Diploma",'Outline Admin'!$A$5="Community Service Worker Diploma"),$A$12,IF(OR('Outline Admin'!$A$5="Medical Office Assistant Diploma",'Outline Admin'!$A$5="Medical Office Assistant Diploma W/ Unit Clerk"),$A$13,IF(OR('Outline Admin'!$A$5="Web Designer Diploma",'Outline Admin'!$A$5="Software and Web Developer Diploma",'Outline Admin'!$A$5="Web Developer Diploma"),$A$14,$A$11))),IF(OR('Outline Admin'!$A$5="Community Service Worker &amp; Addiction Worker Diploma",'Outline Admin'!$A$5="Community Service Worker Diploma"),$A$16,IF(OR('Outline Admin'!$A$5="Medical Office Assistant Diploma",'Outline Admin'!$A$5="Medical Office Assistant Diploma W/ Unit Clerk"),$A$17,IF(OR('Outline Admin'!$A$5="Web Designer Diploma",'Outline Admin'!$A$5="Software and Web Developer Diploma",'Outline Admin'!$A$5="Web Developer Diploma"),$A$18,$A$15))))</f>
        <v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v>
      </c>
      <c r="C11" s="1476"/>
      <c r="D11" s="1476"/>
      <c r="E11" s="1476"/>
      <c r="F11" s="1476"/>
      <c r="G11" s="1476"/>
      <c r="H11" s="1476"/>
      <c r="I11" s="1476"/>
      <c r="J11" s="1476"/>
      <c r="K11" s="1476"/>
      <c r="L11" s="510" t="s">
        <v>1519</v>
      </c>
    </row>
    <row r="12" spans="1:14" ht="18.3" customHeight="1">
      <c r="A12" s="510" t="s">
        <v>1840</v>
      </c>
      <c r="B12" s="1476"/>
      <c r="C12" s="1476"/>
      <c r="D12" s="1476"/>
      <c r="E12" s="1476"/>
      <c r="F12" s="1476"/>
      <c r="G12" s="1476"/>
      <c r="H12" s="1476"/>
      <c r="I12" s="1476"/>
      <c r="J12" s="1476"/>
      <c r="K12" s="1476"/>
      <c r="L12" s="510" t="s">
        <v>1472</v>
      </c>
    </row>
    <row r="13" spans="1:14" ht="18.3" customHeight="1">
      <c r="A13" s="510" t="s">
        <v>1858</v>
      </c>
      <c r="B13" s="1476"/>
      <c r="C13" s="1476"/>
      <c r="D13" s="1476"/>
      <c r="E13" s="1476"/>
      <c r="F13" s="1476"/>
      <c r="G13" s="1476"/>
      <c r="H13" s="1476"/>
      <c r="I13" s="1476"/>
      <c r="J13" s="1476"/>
      <c r="K13" s="1476"/>
      <c r="N13" s="467" t="str">
        <f>IF(OR($A$35="Help Desk Support Analyst Diploma",$A$35="Computer Service Technician Diploma",$A$35="Computer Service Technician Certificate",$A$35="Network Administrator Diploma (Server 2008)",$A$35="PC Support Specialist Diploma"),"  -Good command of the English language.",IF(OR($A$35="PAYROLL SUPERVISOR DIPLOMA",$A$35="Payroll Administrator Certificate"),"  -25wpm; fundamental understanding of basic computer concepts.",IF(OR($A$35="COMMUNITY SERVICE WORKER DIPLOMA",$A$35="MEDICAL OFFICE ASSISTANT")," -Clear Criminal Record Check with vulnerable sector","")))</f>
        <v/>
      </c>
    </row>
    <row r="14" spans="1:14" ht="18.3" customHeight="1">
      <c r="A14" s="510" t="s">
        <v>1842</v>
      </c>
      <c r="B14" s="1476"/>
      <c r="C14" s="1476"/>
      <c r="D14" s="1476"/>
      <c r="E14" s="1476"/>
      <c r="F14" s="1476"/>
      <c r="G14" s="1476"/>
      <c r="H14" s="1476"/>
      <c r="I14" s="1476"/>
      <c r="J14" s="1476"/>
      <c r="K14" s="1476"/>
      <c r="N14" s="467" t="str">
        <f>IF(OR($A$35="Help Desk Support Analyst Diploma",$A$35="Computer Service Technician Diploma",$A$35="Computer Service Technician Certificate",$A$35="Network Administrator Diploma (Server 2008)",$A$35="PC Support Specialist Diploma"),"  -Ability to work with intergrated learning system or online learning.",IF(OR($A$35="COMMUNITY SERVICE WORKER DIPLOMA",$A$35="MEDICAL OFFICE ASSISTANT"),"  -TB Test, Hepatitis B Vaccinations",""))</f>
        <v/>
      </c>
    </row>
    <row r="15" spans="1:14" ht="18.3" customHeight="1">
      <c r="A15" s="510" t="s">
        <v>1843</v>
      </c>
      <c r="B15" s="1476"/>
      <c r="C15" s="1476"/>
      <c r="D15" s="1476"/>
      <c r="E15" s="1476"/>
      <c r="F15" s="1476"/>
      <c r="G15" s="1476"/>
      <c r="H15" s="1476"/>
      <c r="I15" s="1476"/>
      <c r="J15" s="1476"/>
      <c r="K15" s="1476"/>
    </row>
    <row r="16" spans="1:14" ht="18.3" customHeight="1">
      <c r="A16" s="510" t="s">
        <v>1844</v>
      </c>
      <c r="B16" s="1476"/>
      <c r="C16" s="1476"/>
      <c r="D16" s="1476"/>
      <c r="E16" s="1476"/>
      <c r="F16" s="1476"/>
      <c r="G16" s="1476"/>
      <c r="H16" s="1476"/>
      <c r="I16" s="1476"/>
      <c r="J16" s="1476"/>
      <c r="K16" s="1476"/>
    </row>
    <row r="17" spans="1:34" ht="18.3" customHeight="1">
      <c r="A17" s="510" t="s">
        <v>1845</v>
      </c>
      <c r="B17" s="1476"/>
      <c r="C17" s="1476"/>
      <c r="D17" s="1476"/>
      <c r="E17" s="1476"/>
      <c r="F17" s="1476"/>
      <c r="G17" s="1476"/>
      <c r="H17" s="1476"/>
      <c r="I17" s="1476"/>
      <c r="J17" s="1476"/>
      <c r="K17" s="1476"/>
    </row>
    <row r="18" spans="1:34" ht="18.3" customHeight="1">
      <c r="A18" s="510" t="s">
        <v>1846</v>
      </c>
      <c r="B18" s="1476"/>
      <c r="C18" s="1476"/>
      <c r="D18" s="1476"/>
      <c r="E18" s="1476"/>
      <c r="F18" s="1476"/>
      <c r="G18" s="1476"/>
      <c r="H18" s="1476"/>
      <c r="I18" s="1476"/>
      <c r="J18" s="1476"/>
      <c r="K18" s="1476"/>
    </row>
    <row r="19" spans="1:34" ht="18.3" customHeight="1">
      <c r="A19" s="510"/>
      <c r="B19" s="1476"/>
      <c r="C19" s="1476"/>
      <c r="D19" s="1476"/>
      <c r="E19" s="1476"/>
      <c r="F19" s="1476"/>
      <c r="G19" s="1476"/>
      <c r="H19" s="1476"/>
      <c r="I19" s="1476"/>
      <c r="J19" s="1476"/>
      <c r="K19" s="1476"/>
    </row>
    <row r="20" spans="1:34" ht="18.3" customHeight="1">
      <c r="A20" s="341"/>
      <c r="B20" s="1476"/>
      <c r="C20" s="1476"/>
      <c r="D20" s="1476"/>
      <c r="E20" s="1476"/>
      <c r="F20" s="1476"/>
      <c r="G20" s="1476"/>
      <c r="H20" s="1476"/>
      <c r="I20" s="1476"/>
      <c r="J20" s="1476"/>
      <c r="K20" s="1476"/>
    </row>
    <row r="21" spans="1:34" ht="18.3" customHeight="1">
      <c r="A21" s="341"/>
      <c r="B21" s="1476"/>
      <c r="C21" s="1476"/>
      <c r="D21" s="1476"/>
      <c r="E21" s="1476"/>
      <c r="F21" s="1476"/>
      <c r="G21" s="1476"/>
      <c r="H21" s="1476"/>
      <c r="I21" s="1476"/>
      <c r="J21" s="1476"/>
      <c r="K21" s="1476"/>
    </row>
    <row r="22" spans="1:34" ht="18.3" customHeight="1">
      <c r="A22" s="341"/>
      <c r="B22" s="1476"/>
      <c r="C22" s="1476"/>
      <c r="D22" s="1476"/>
      <c r="E22" s="1476"/>
      <c r="F22" s="1476"/>
      <c r="G22" s="1476"/>
      <c r="H22" s="1476"/>
      <c r="I22" s="1476"/>
      <c r="J22" s="1476"/>
      <c r="K22" s="1476"/>
    </row>
    <row r="23" spans="1:34" ht="18.3" customHeight="1">
      <c r="A23" s="341"/>
      <c r="B23" s="1476"/>
      <c r="C23" s="1476"/>
      <c r="D23" s="1476"/>
      <c r="E23" s="1476"/>
      <c r="F23" s="1476"/>
      <c r="G23" s="1476"/>
      <c r="H23" s="1476"/>
      <c r="I23" s="1476"/>
      <c r="J23" s="1476"/>
      <c r="K23" s="1476"/>
    </row>
    <row r="24" spans="1:34" ht="18.3" customHeight="1">
      <c r="A24" s="341"/>
      <c r="B24" s="1476"/>
      <c r="C24" s="1476"/>
      <c r="D24" s="1476"/>
      <c r="E24" s="1476"/>
      <c r="F24" s="1476"/>
      <c r="G24" s="1476"/>
      <c r="H24" s="1476"/>
      <c r="I24" s="1476"/>
      <c r="J24" s="1476"/>
      <c r="K24" s="1476"/>
    </row>
    <row r="25" spans="1:34" ht="18.3" customHeight="1">
      <c r="A25" s="341"/>
      <c r="B25" s="1476"/>
      <c r="C25" s="1476"/>
      <c r="D25" s="1476"/>
      <c r="E25" s="1476"/>
      <c r="F25" s="1476"/>
      <c r="G25" s="1476"/>
      <c r="H25" s="1476"/>
      <c r="I25" s="1476"/>
      <c r="J25" s="1476"/>
      <c r="K25" s="1476"/>
      <c r="Y25" s="497"/>
      <c r="Z25" s="497"/>
      <c r="AA25" s="497"/>
      <c r="AB25" s="497"/>
      <c r="AC25" s="497"/>
      <c r="AD25" s="497"/>
      <c r="AF25" s="497"/>
      <c r="AG25" s="497"/>
      <c r="AH25" s="497"/>
    </row>
    <row r="26" spans="1:34" ht="18.3" customHeight="1">
      <c r="A26" s="341"/>
      <c r="B26" s="1476"/>
      <c r="C26" s="1476"/>
      <c r="D26" s="1476"/>
      <c r="E26" s="1476"/>
      <c r="F26" s="1476"/>
      <c r="G26" s="1476"/>
      <c r="H26" s="1476"/>
      <c r="I26" s="1476"/>
      <c r="J26" s="1476"/>
      <c r="K26" s="1476"/>
      <c r="Y26" s="497"/>
      <c r="Z26" s="497"/>
      <c r="AA26" s="497"/>
      <c r="AB26" s="497"/>
      <c r="AC26" s="497"/>
      <c r="AD26" s="497"/>
      <c r="AF26" s="497"/>
      <c r="AG26" s="497"/>
      <c r="AH26" s="497"/>
    </row>
    <row r="27" spans="1:34" ht="18.3" customHeight="1">
      <c r="A27" s="341"/>
      <c r="B27" s="1476"/>
      <c r="C27" s="1476"/>
      <c r="D27" s="1476"/>
      <c r="E27" s="1476"/>
      <c r="F27" s="1476"/>
      <c r="G27" s="1476"/>
      <c r="H27" s="1476"/>
      <c r="I27" s="1476"/>
      <c r="J27" s="1476"/>
      <c r="K27" s="1476"/>
    </row>
    <row r="28" spans="1:34" ht="18.3" customHeight="1">
      <c r="A28" s="341"/>
      <c r="B28" s="1476"/>
      <c r="C28" s="1476"/>
      <c r="D28" s="1476"/>
      <c r="E28" s="1476"/>
      <c r="F28" s="1476"/>
      <c r="G28" s="1476"/>
      <c r="H28" s="1476"/>
      <c r="I28" s="1476"/>
      <c r="J28" s="1476"/>
      <c r="K28" s="1476"/>
    </row>
    <row r="29" spans="1:34" ht="18.3" customHeight="1">
      <c r="A29" s="341"/>
      <c r="B29" s="1476"/>
      <c r="C29" s="1476"/>
      <c r="D29" s="1476"/>
      <c r="E29" s="1476"/>
      <c r="F29" s="1476"/>
      <c r="G29" s="1476"/>
      <c r="H29" s="1476"/>
      <c r="I29" s="1476"/>
      <c r="J29" s="1476"/>
      <c r="K29" s="1476"/>
      <c r="Y29" s="497"/>
      <c r="Z29" s="497"/>
      <c r="AA29" s="497"/>
      <c r="AB29" s="497"/>
      <c r="AC29" s="497"/>
      <c r="AD29" s="497"/>
      <c r="AF29" s="497"/>
      <c r="AG29" s="497"/>
      <c r="AH29" s="497"/>
    </row>
    <row r="30" spans="1:34" ht="18.3" customHeight="1">
      <c r="B30" s="1476"/>
      <c r="C30" s="1476"/>
      <c r="D30" s="1476"/>
      <c r="E30" s="1476"/>
      <c r="F30" s="1476"/>
      <c r="G30" s="1476"/>
      <c r="H30" s="1476"/>
      <c r="I30" s="1476"/>
      <c r="J30" s="1476"/>
      <c r="K30" s="1476"/>
      <c r="Y30" s="497"/>
      <c r="Z30" s="497"/>
      <c r="AA30" s="497"/>
      <c r="AB30" s="497"/>
      <c r="AC30" s="497"/>
      <c r="AD30" s="497"/>
      <c r="AF30" s="497"/>
      <c r="AG30" s="497"/>
      <c r="AH30" s="497"/>
    </row>
    <row r="31" spans="1:34" ht="18.3" customHeight="1">
      <c r="B31" s="1476"/>
      <c r="C31" s="1476"/>
      <c r="D31" s="1476"/>
      <c r="E31" s="1476"/>
      <c r="F31" s="1476"/>
      <c r="G31" s="1476"/>
      <c r="H31" s="1476"/>
      <c r="I31" s="1476"/>
      <c r="J31" s="1476"/>
      <c r="K31" s="1476"/>
    </row>
    <row r="32" spans="1:34" ht="19.95" customHeight="1">
      <c r="B32" s="341" t="s">
        <v>537</v>
      </c>
      <c r="C32" s="341"/>
    </row>
    <row r="33" spans="2:34" ht="28.95" customHeight="1">
      <c r="B33" s="511"/>
      <c r="C33" s="511"/>
      <c r="D33" s="469"/>
      <c r="E33" s="469"/>
      <c r="F33" s="469"/>
      <c r="G33" s="469"/>
      <c r="H33" s="469"/>
      <c r="I33" s="469"/>
      <c r="J33" s="469"/>
      <c r="K33" s="469"/>
    </row>
    <row r="34" spans="2:34" ht="9.9" customHeight="1">
      <c r="B34" s="341"/>
      <c r="C34" s="341"/>
    </row>
    <row r="35" spans="2:34" ht="16.2">
      <c r="B35" s="341" t="s">
        <v>993</v>
      </c>
      <c r="C35" s="341"/>
    </row>
    <row r="36" spans="2:34" ht="28.95" customHeight="1">
      <c r="B36" s="511"/>
      <c r="C36" s="511"/>
      <c r="D36" s="469"/>
      <c r="E36" s="469"/>
      <c r="F36" s="469"/>
      <c r="G36" s="469"/>
      <c r="H36" s="469"/>
      <c r="I36" s="469"/>
      <c r="J36" s="469"/>
      <c r="K36" s="469"/>
    </row>
    <row r="37" spans="2:34"/>
    <row r="38" spans="2:34" ht="16.2">
      <c r="B38" s="341"/>
      <c r="C38" s="512"/>
      <c r="D38" s="497"/>
      <c r="E38" s="497"/>
      <c r="H38" s="497"/>
      <c r="I38" s="497"/>
      <c r="J38" s="497"/>
    </row>
    <row r="39" spans="2:34" ht="16.2">
      <c r="B39" s="341"/>
      <c r="C39" s="512"/>
      <c r="D39" s="497"/>
      <c r="E39" s="497"/>
      <c r="H39" s="497"/>
      <c r="I39" s="497"/>
      <c r="J39" s="497"/>
      <c r="Y39" s="497"/>
      <c r="Z39" s="497"/>
      <c r="AA39" s="497"/>
      <c r="AB39" s="497"/>
      <c r="AC39" s="497"/>
      <c r="AD39" s="497"/>
      <c r="AF39" s="497"/>
      <c r="AG39" s="497"/>
      <c r="AH39" s="497"/>
    </row>
    <row r="40" spans="2:34" ht="16.2">
      <c r="B40" s="341"/>
      <c r="C40" s="513" t="s">
        <v>97</v>
      </c>
      <c r="D40" s="514"/>
      <c r="E40" s="514"/>
      <c r="H40" s="513" t="s">
        <v>30</v>
      </c>
      <c r="I40" s="514"/>
      <c r="J40" s="514"/>
      <c r="Y40" s="497"/>
      <c r="Z40" s="497"/>
      <c r="AA40" s="497"/>
      <c r="AB40" s="497"/>
      <c r="AC40" s="497"/>
      <c r="AD40" s="497"/>
      <c r="AF40" s="497"/>
      <c r="AG40" s="497"/>
      <c r="AH40" s="497"/>
    </row>
    <row r="41" spans="2:34" ht="16.2">
      <c r="B41" s="341"/>
    </row>
    <row r="42" spans="2:34" ht="16.2">
      <c r="B42" s="341"/>
      <c r="C42" s="512"/>
      <c r="D42" s="497"/>
      <c r="E42" s="497"/>
      <c r="H42" s="497"/>
      <c r="I42" s="497"/>
      <c r="J42" s="497"/>
    </row>
    <row r="43" spans="2:34" ht="9" customHeight="1">
      <c r="B43" s="341"/>
      <c r="C43" s="512"/>
      <c r="D43" s="497"/>
      <c r="E43" s="497"/>
      <c r="H43" s="497"/>
      <c r="I43" s="497"/>
      <c r="J43" s="497"/>
    </row>
    <row r="44" spans="2:34" ht="16.2">
      <c r="B44" s="341"/>
      <c r="C44" s="513" t="s">
        <v>1189</v>
      </c>
      <c r="D44" s="514"/>
      <c r="E44" s="514"/>
      <c r="H44" s="513" t="s">
        <v>30</v>
      </c>
      <c r="I44" s="514"/>
      <c r="J44" s="514"/>
    </row>
    <row r="45" spans="2:34" ht="16.2">
      <c r="B45" s="341"/>
      <c r="C45" s="341"/>
    </row>
  </sheetData>
  <mergeCells count="2">
    <mergeCell ref="C9:E9"/>
    <mergeCell ref="B11:K31"/>
  </mergeCells>
  <phoneticPr fontId="117" type="noConversion"/>
  <printOptions horizontalCentered="1"/>
  <pageMargins left="0.51181102362204722" right="0.51181102362204722" top="0.31496062992125984" bottom="0.11811023622047245" header="0.43307086614173229" footer="0.51181102362204722"/>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rgb="FFFFC000"/>
  </sheetPr>
  <dimension ref="B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4" s="467" customFormat="1" ht="16.2">
      <c r="H1" s="341" t="str">
        <f>LEFT('Franchise Info'!$B$4,FIND(", ",'Franchise Info'!$B$4)-1)</f>
        <v>201 - 20621 Logan Ave</v>
      </c>
    </row>
    <row r="2" spans="3:14" s="467" customFormat="1" ht="16.2">
      <c r="H2" s="341" t="str">
        <f>MID('Franchise Info'!$B$4,FIND(", ",'Franchise Info'!$B$4)+2,50)</f>
        <v>Langley, BC, V3A 7R3</v>
      </c>
    </row>
    <row r="3" spans="3:14" s="467" customFormat="1" ht="16.2">
      <c r="H3" s="341" t="str">
        <f>CONCATENATE("Telephone:"," ",REPLACE(LEFT('Franchise Info'!$B$7,22),1,8,""))</f>
        <v>Telephone: (604) 532-4040</v>
      </c>
    </row>
    <row r="4" spans="3:14" s="467" customFormat="1" ht="16.2">
      <c r="H4" s="341" t="str">
        <f>CONCATENATE("Facsimile:"," ",RIGHT('Franchise Info'!$B$7,14))</f>
        <v>Facsimile: (604) 532-4001</v>
      </c>
    </row>
    <row r="5" spans="3:14" s="467" customFormat="1" ht="16.2">
      <c r="H5" s="1330" t="str">
        <f>MID('Franchise Info'!$B$7,FIND("E-Mail",'Franchise Info'!$B$7),60)</f>
        <v xml:space="preserve">E-Mail : admin.langley@aolccbc.com                          </v>
      </c>
      <c r="I5" s="1330"/>
      <c r="J5" s="1330"/>
      <c r="K5" s="1330"/>
      <c r="L5" s="1330"/>
    </row>
    <row r="6" spans="3:14" s="467" customFormat="1" ht="13.8">
      <c r="C6" s="1336" t="s">
        <v>1426</v>
      </c>
      <c r="D6" s="1336"/>
      <c r="E6" s="1336"/>
      <c r="F6" s="1336"/>
      <c r="G6" s="1336"/>
      <c r="H6" s="1336"/>
      <c r="I6" s="1336"/>
      <c r="J6" s="1336"/>
      <c r="K6" s="1336"/>
      <c r="L6" s="1336"/>
    </row>
    <row r="7" spans="3:14" s="467" customFormat="1" ht="19.5" customHeight="1">
      <c r="C7" s="1336"/>
      <c r="D7" s="1336"/>
      <c r="E7" s="1336"/>
      <c r="F7" s="1336"/>
      <c r="G7" s="1336"/>
      <c r="H7" s="1336"/>
      <c r="I7" s="1336"/>
      <c r="J7" s="1336"/>
      <c r="K7" s="1336"/>
      <c r="L7" s="1336"/>
    </row>
    <row r="8" spans="3:14" s="467" customFormat="1" ht="13.5" customHeight="1">
      <c r="C8" s="238"/>
      <c r="D8" s="238"/>
      <c r="E8" s="238"/>
      <c r="F8" s="238"/>
      <c r="G8" s="238"/>
      <c r="H8" s="545"/>
      <c r="I8" s="545"/>
      <c r="J8" s="545"/>
      <c r="K8" s="545"/>
    </row>
    <row r="9" spans="3:14" s="467" customFormat="1" ht="15.75" customHeight="1">
      <c r="C9" s="1480" t="s">
        <v>1442</v>
      </c>
      <c r="D9" s="1480"/>
      <c r="E9" s="1480"/>
      <c r="F9" s="1480"/>
      <c r="G9" s="1480"/>
      <c r="H9" s="1480"/>
      <c r="I9" s="1480"/>
      <c r="J9" s="1480"/>
      <c r="K9" s="1480"/>
      <c r="L9" s="1480"/>
    </row>
    <row r="10" spans="3:14" s="467" customFormat="1" ht="12.75" customHeight="1">
      <c r="C10" s="1480"/>
      <c r="D10" s="1480"/>
      <c r="E10" s="1480"/>
      <c r="F10" s="1480"/>
      <c r="G10" s="1480"/>
      <c r="H10" s="1480"/>
      <c r="I10" s="1480"/>
      <c r="J10" s="1480"/>
      <c r="K10" s="1480"/>
      <c r="L10" s="1480"/>
    </row>
    <row r="11" spans="3:14" s="467" customFormat="1" ht="15.75" customHeight="1">
      <c r="C11" s="1480"/>
      <c r="D11" s="1480"/>
      <c r="E11" s="1480"/>
      <c r="F11" s="1480"/>
      <c r="G11" s="1480"/>
      <c r="H11" s="1480"/>
      <c r="I11" s="1480"/>
      <c r="J11" s="1480"/>
      <c r="K11" s="1480"/>
      <c r="L11" s="1480"/>
    </row>
    <row r="12" spans="3:14" s="467" customFormat="1" ht="15.75" customHeight="1">
      <c r="C12" s="1480"/>
      <c r="D12" s="1480"/>
      <c r="E12" s="1480"/>
      <c r="F12" s="1480"/>
      <c r="G12" s="1480"/>
      <c r="H12" s="1480"/>
      <c r="I12" s="1480"/>
      <c r="J12" s="1480"/>
      <c r="K12" s="1480"/>
      <c r="L12" s="1480"/>
    </row>
    <row r="13" spans="3:14" s="467" customFormat="1" ht="12.75" customHeight="1">
      <c r="C13" s="1480"/>
      <c r="D13" s="1480"/>
      <c r="E13" s="1480"/>
      <c r="F13" s="1480"/>
      <c r="G13" s="1480"/>
      <c r="H13" s="1480"/>
      <c r="I13" s="1480"/>
      <c r="J13" s="1480"/>
      <c r="K13" s="1480"/>
      <c r="L13" s="1480"/>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3:14" s="467" customFormat="1" ht="12.75" customHeight="1">
      <c r="C14" s="1480"/>
      <c r="D14" s="1480"/>
      <c r="E14" s="1480"/>
      <c r="F14" s="1480"/>
      <c r="G14" s="1480"/>
      <c r="H14" s="1480"/>
      <c r="I14" s="1480"/>
      <c r="J14" s="1480"/>
      <c r="K14" s="1480"/>
      <c r="L14" s="1480"/>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3:14" s="467" customFormat="1" ht="12.75" customHeight="1">
      <c r="C15" s="1329" t="s">
        <v>1443</v>
      </c>
      <c r="D15" s="1329"/>
      <c r="E15" s="1329"/>
      <c r="F15" s="1329"/>
      <c r="G15" s="1329"/>
      <c r="H15" s="1329"/>
      <c r="I15" s="1329"/>
      <c r="J15" s="1329"/>
      <c r="K15" s="1329"/>
      <c r="L15" s="1329"/>
    </row>
    <row r="16" spans="3:14" s="467" customFormat="1" ht="15.75" customHeight="1">
      <c r="C16" s="1329"/>
      <c r="D16" s="1329"/>
      <c r="E16" s="1329"/>
      <c r="F16" s="1329"/>
      <c r="G16" s="1329"/>
      <c r="H16" s="1329"/>
      <c r="I16" s="1329"/>
      <c r="J16" s="1329"/>
      <c r="K16" s="1329"/>
      <c r="L16" s="1329"/>
    </row>
    <row r="17" spans="3:34" s="467" customFormat="1" ht="12.75" customHeight="1">
      <c r="C17" s="519"/>
      <c r="D17" s="519"/>
      <c r="E17" s="519"/>
      <c r="F17" s="519"/>
      <c r="G17" s="519"/>
      <c r="H17" s="519"/>
      <c r="I17" s="519"/>
      <c r="J17" s="519"/>
      <c r="K17" s="519"/>
      <c r="L17" s="341"/>
    </row>
    <row r="18" spans="3:34" s="467" customFormat="1" ht="15.75" customHeight="1">
      <c r="C18" s="1477" t="s">
        <v>1444</v>
      </c>
      <c r="D18" s="1477"/>
      <c r="E18" s="1477"/>
      <c r="F18" s="1477"/>
      <c r="G18" s="1477"/>
      <c r="H18" s="1477"/>
      <c r="I18" s="1477"/>
      <c r="J18" s="1477"/>
      <c r="K18" s="1477"/>
      <c r="L18" s="1477"/>
    </row>
    <row r="19" spans="3:34" s="467" customFormat="1" ht="12.75" customHeight="1">
      <c r="C19" s="1477"/>
      <c r="D19" s="1477"/>
      <c r="E19" s="1477"/>
      <c r="F19" s="1477"/>
      <c r="G19" s="1477"/>
      <c r="H19" s="1477"/>
      <c r="I19" s="1477"/>
      <c r="J19" s="1477"/>
      <c r="K19" s="1477"/>
      <c r="L19" s="1477"/>
    </row>
    <row r="20" spans="3:34" s="467" customFormat="1" ht="12.75" customHeight="1">
      <c r="C20" s="1477"/>
      <c r="D20" s="1477"/>
      <c r="E20" s="1477"/>
      <c r="F20" s="1477"/>
      <c r="G20" s="1477"/>
      <c r="H20" s="1477"/>
      <c r="I20" s="1477"/>
      <c r="J20" s="1477"/>
      <c r="K20" s="1477"/>
      <c r="L20" s="1477"/>
    </row>
    <row r="21" spans="3:34" s="467" customFormat="1" ht="12.75" customHeight="1">
      <c r="C21" s="1477"/>
      <c r="D21" s="1477"/>
      <c r="E21" s="1477"/>
      <c r="F21" s="1477"/>
      <c r="G21" s="1477"/>
      <c r="H21" s="1477"/>
      <c r="I21" s="1477"/>
      <c r="J21" s="1477"/>
      <c r="K21" s="1477"/>
      <c r="L21" s="1477"/>
    </row>
    <row r="22" spans="3:34" s="467" customFormat="1" ht="12.75" customHeight="1">
      <c r="C22" s="1477"/>
      <c r="D22" s="1477"/>
      <c r="E22" s="1477"/>
      <c r="F22" s="1477"/>
      <c r="G22" s="1477"/>
      <c r="H22" s="1477"/>
      <c r="I22" s="1477"/>
      <c r="J22" s="1477"/>
      <c r="K22" s="1477"/>
      <c r="L22" s="1477"/>
    </row>
    <row r="23" spans="3:34" s="467" customFormat="1" ht="12.75" customHeight="1">
      <c r="C23" s="519"/>
      <c r="D23" s="519"/>
      <c r="E23" s="1479" t="str">
        <f>CONCATENATE('Outline Info'!B2," ",'Outline Info'!B3)</f>
        <v xml:space="preserve"> </v>
      </c>
      <c r="F23" s="1479"/>
      <c r="G23" s="1479"/>
      <c r="H23" s="1479"/>
      <c r="I23" s="519"/>
      <c r="J23" s="519"/>
      <c r="K23" s="519"/>
      <c r="L23" s="341"/>
    </row>
    <row r="24" spans="3:34" s="467" customFormat="1" ht="12.75" customHeight="1">
      <c r="C24" s="341" t="s">
        <v>490</v>
      </c>
      <c r="D24" s="519"/>
      <c r="E24" s="1331"/>
      <c r="F24" s="1331"/>
      <c r="G24" s="1331"/>
      <c r="H24" s="1331"/>
      <c r="I24" s="519"/>
      <c r="J24" s="519"/>
      <c r="K24" s="519"/>
      <c r="L24" s="341"/>
    </row>
    <row r="25" spans="3:34" s="467" customFormat="1" ht="12.75" customHeight="1">
      <c r="C25" s="519"/>
      <c r="D25" s="519"/>
      <c r="E25" s="519"/>
      <c r="F25" s="519"/>
      <c r="G25" s="519"/>
      <c r="H25" s="519"/>
      <c r="I25" s="519"/>
      <c r="J25" s="519"/>
      <c r="K25" s="519"/>
      <c r="Y25" s="497"/>
      <c r="Z25" s="497"/>
      <c r="AA25" s="497"/>
      <c r="AB25" s="497"/>
      <c r="AC25" s="497"/>
      <c r="AD25" s="497"/>
      <c r="AF25" s="497"/>
      <c r="AG25" s="497"/>
      <c r="AH25" s="497"/>
    </row>
    <row r="26" spans="3:34" s="467" customFormat="1" ht="12.75" customHeight="1">
      <c r="C26" s="519"/>
      <c r="D26" s="519"/>
      <c r="E26" s="519"/>
      <c r="F26" s="519"/>
      <c r="G26" s="519"/>
      <c r="H26" s="519"/>
      <c r="I26" s="519"/>
      <c r="J26" s="519"/>
      <c r="K26" s="519"/>
      <c r="Y26" s="497"/>
      <c r="Z26" s="497"/>
      <c r="AA26" s="497"/>
      <c r="AB26" s="497"/>
      <c r="AC26" s="497"/>
      <c r="AD26" s="497"/>
      <c r="AF26" s="497"/>
      <c r="AG26" s="497"/>
      <c r="AH26" s="497"/>
    </row>
    <row r="27" spans="3:34" s="467" customFormat="1" ht="16.2">
      <c r="C27" s="545"/>
      <c r="D27" s="545"/>
      <c r="E27" s="545"/>
      <c r="F27" s="545"/>
      <c r="G27" s="545"/>
      <c r="H27" s="545"/>
      <c r="I27" s="545"/>
      <c r="J27" s="545"/>
      <c r="K27" s="545"/>
    </row>
    <row r="28" spans="3:34" s="467" customFormat="1" ht="0.45" customHeight="1">
      <c r="C28" s="238"/>
      <c r="D28" s="238"/>
      <c r="E28" s="238"/>
      <c r="F28" s="238"/>
      <c r="G28" s="238"/>
      <c r="H28" s="238"/>
      <c r="I28" s="238"/>
      <c r="J28" s="238"/>
      <c r="K28" s="238"/>
    </row>
    <row r="29" spans="3:34" s="467" customFormat="1" ht="16.2">
      <c r="C29" s="512"/>
      <c r="D29" s="497"/>
      <c r="E29" s="497"/>
      <c r="H29" s="497"/>
      <c r="I29" s="497"/>
      <c r="J29" s="497"/>
      <c r="K29" s="546"/>
      <c r="Y29" s="497"/>
      <c r="Z29" s="497"/>
      <c r="AA29" s="497"/>
      <c r="AB29" s="497"/>
      <c r="AC29" s="497"/>
      <c r="AD29" s="497"/>
      <c r="AF29" s="497"/>
      <c r="AG29" s="497"/>
      <c r="AH29" s="497"/>
    </row>
    <row r="30" spans="3:34" s="467" customFormat="1" ht="16.2">
      <c r="C30" s="512"/>
      <c r="D30" s="497"/>
      <c r="E30" s="497"/>
      <c r="H30" s="497"/>
      <c r="I30" s="497"/>
      <c r="J30" s="497"/>
      <c r="K30" s="526"/>
      <c r="Y30" s="497"/>
      <c r="Z30" s="497"/>
      <c r="AA30" s="497"/>
      <c r="AB30" s="497"/>
      <c r="AC30" s="497"/>
      <c r="AD30" s="497"/>
      <c r="AF30" s="497"/>
      <c r="AG30" s="497"/>
      <c r="AH30" s="497"/>
    </row>
    <row r="31" spans="3:34" s="467" customFormat="1" ht="16.2">
      <c r="C31" s="513" t="s">
        <v>97</v>
      </c>
      <c r="D31" s="514"/>
      <c r="E31" s="514"/>
      <c r="H31" s="513" t="s">
        <v>30</v>
      </c>
      <c r="I31" s="514"/>
      <c r="J31" s="514"/>
      <c r="K31" s="526"/>
    </row>
    <row r="32" spans="3:34" s="467" customFormat="1" ht="16.2">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8">
    <mergeCell ref="C34:K41"/>
    <mergeCell ref="C15:L16"/>
    <mergeCell ref="H5:L5"/>
    <mergeCell ref="C6:L7"/>
    <mergeCell ref="C18:L22"/>
    <mergeCell ref="C32:F32"/>
    <mergeCell ref="E23:H24"/>
    <mergeCell ref="C9:L14"/>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FFC000"/>
  </sheetPr>
  <dimension ref="B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B1" s="467"/>
      <c r="C1" s="467"/>
      <c r="D1" s="467"/>
      <c r="E1" s="467"/>
      <c r="F1" s="467"/>
      <c r="G1" s="467"/>
      <c r="H1" s="341" t="str">
        <f>LEFT('Franchise Info'!$B$4,FIND(", ",'Franchise Info'!$B$4)-1)</f>
        <v>201 - 20621 Logan Ave</v>
      </c>
      <c r="I1" s="467"/>
      <c r="J1" s="467"/>
      <c r="K1" s="467"/>
    </row>
    <row r="2" spans="2:14" ht="16.2">
      <c r="B2" s="467"/>
      <c r="C2" s="467"/>
      <c r="D2" s="467"/>
      <c r="E2" s="467"/>
      <c r="F2" s="467"/>
      <c r="G2" s="467"/>
      <c r="H2" s="341" t="str">
        <f>MID('Franchise Info'!$B$4,FIND(", ",'Franchise Info'!$B$4)+2,50)</f>
        <v>Langley, BC, V3A 7R3</v>
      </c>
      <c r="I2" s="467"/>
      <c r="J2" s="467"/>
      <c r="K2" s="467"/>
    </row>
    <row r="3" spans="2:14" ht="16.2">
      <c r="B3" s="467"/>
      <c r="C3" s="467"/>
      <c r="D3" s="467"/>
      <c r="E3" s="467"/>
      <c r="F3" s="467"/>
      <c r="G3" s="467"/>
      <c r="H3" s="341" t="str">
        <f>CONCATENATE("Telephone:"," ",REPLACE(LEFT('Franchise Info'!$B$7,22),1,8,""))</f>
        <v>Telephone: (604) 532-4040</v>
      </c>
      <c r="I3" s="467"/>
      <c r="J3" s="467"/>
      <c r="K3" s="467"/>
    </row>
    <row r="4" spans="2:14" ht="16.2">
      <c r="B4" s="467"/>
      <c r="C4" s="467"/>
      <c r="D4" s="467"/>
      <c r="E4" s="467"/>
      <c r="F4" s="467"/>
      <c r="G4" s="467"/>
      <c r="H4" s="341" t="str">
        <f>CONCATENATE("Facsimile:"," ",RIGHT('Franchise Info'!$B$7,14))</f>
        <v>Facsimile: (604) 532-4001</v>
      </c>
      <c r="I4" s="467"/>
      <c r="J4" s="467"/>
      <c r="K4" s="467"/>
    </row>
    <row r="5" spans="2:14" ht="16.2">
      <c r="B5" s="467"/>
      <c r="C5" s="467"/>
      <c r="D5" s="467"/>
      <c r="E5" s="467"/>
      <c r="F5" s="467"/>
      <c r="G5" s="467"/>
      <c r="H5" s="1330" t="str">
        <f>MID('Franchise Info'!$B$7,FIND("E-Mail",'Franchise Info'!$B$7),60)</f>
        <v xml:space="preserve">E-Mail : admin.langley@aolccbc.com                          </v>
      </c>
      <c r="I5" s="1330"/>
      <c r="J5" s="1330"/>
      <c r="K5" s="1330"/>
      <c r="L5" s="1330"/>
    </row>
    <row r="6" spans="2:14" ht="13.8">
      <c r="B6" s="467"/>
      <c r="C6" s="1336" t="s">
        <v>661</v>
      </c>
      <c r="D6" s="1336"/>
      <c r="E6" s="1336"/>
      <c r="F6" s="1336"/>
      <c r="G6" s="1336"/>
      <c r="H6" s="1336"/>
      <c r="I6" s="1336"/>
      <c r="J6" s="1336"/>
      <c r="K6" s="1336"/>
      <c r="L6" s="1336"/>
    </row>
    <row r="7" spans="2:14" ht="19.5" customHeight="1">
      <c r="B7" s="467"/>
      <c r="C7" s="1336"/>
      <c r="D7" s="1336"/>
      <c r="E7" s="1336"/>
      <c r="F7" s="1336"/>
      <c r="G7" s="1336"/>
      <c r="H7" s="1336"/>
      <c r="I7" s="1336"/>
      <c r="J7" s="1336"/>
      <c r="K7" s="1336"/>
      <c r="L7" s="1336"/>
    </row>
    <row r="8" spans="2:14" ht="13.5" customHeight="1">
      <c r="B8" s="467"/>
      <c r="C8" s="238"/>
      <c r="D8" s="238"/>
      <c r="E8" s="238"/>
      <c r="F8" s="238"/>
      <c r="G8" s="238"/>
      <c r="H8" s="545"/>
      <c r="I8" s="545"/>
      <c r="J8" s="545"/>
      <c r="K8" s="545"/>
    </row>
    <row r="9" spans="2:14" ht="15.75" customHeight="1">
      <c r="B9" s="544"/>
      <c r="C9" s="1481" t="str">
        <f>IF('Franchise Info'!B8="Abbotsford",J16,(IF('Franchise Info'!B8="Langley",K16,"")))</f>
        <v>Parking for students is available in front of the building in the parking lot.</v>
      </c>
      <c r="D9" s="1481"/>
      <c r="E9" s="1481"/>
      <c r="F9" s="1481"/>
      <c r="G9" s="1481"/>
      <c r="H9" s="1481"/>
      <c r="I9" s="1481"/>
      <c r="J9" s="1481"/>
      <c r="K9" s="1481"/>
      <c r="L9" s="555"/>
    </row>
    <row r="10" spans="2:14" ht="15.75" customHeight="1">
      <c r="B10" s="556"/>
      <c r="C10" s="1481"/>
      <c r="D10" s="1481"/>
      <c r="E10" s="1481"/>
      <c r="F10" s="1481"/>
      <c r="G10" s="1481"/>
      <c r="H10" s="1481"/>
      <c r="I10" s="1481"/>
      <c r="J10" s="1481"/>
      <c r="K10" s="1481"/>
      <c r="L10" s="556"/>
    </row>
    <row r="11" spans="2:14" ht="15.75" customHeight="1">
      <c r="B11" s="556"/>
      <c r="C11" s="1481"/>
      <c r="D11" s="1481"/>
      <c r="E11" s="1481"/>
      <c r="F11" s="1481"/>
      <c r="G11" s="1481"/>
      <c r="H11" s="1481"/>
      <c r="I11" s="1481"/>
      <c r="J11" s="1481"/>
      <c r="K11" s="1481"/>
      <c r="L11" s="556"/>
    </row>
    <row r="12" spans="2:14" ht="15.75" customHeight="1">
      <c r="C12" s="1481"/>
      <c r="D12" s="1481"/>
      <c r="E12" s="1481"/>
      <c r="F12" s="1481"/>
      <c r="G12" s="1481"/>
      <c r="H12" s="1481"/>
      <c r="I12" s="1481"/>
      <c r="J12" s="1481"/>
      <c r="K12" s="1481"/>
      <c r="L12" s="556"/>
    </row>
    <row r="13" spans="2:14" ht="12.75" customHeight="1">
      <c r="B13" s="557"/>
      <c r="C13" s="1481"/>
      <c r="D13" s="1481"/>
      <c r="E13" s="1481"/>
      <c r="F13" s="1481"/>
      <c r="G13" s="1481"/>
      <c r="H13" s="1481"/>
      <c r="I13" s="1481"/>
      <c r="J13" s="1481"/>
      <c r="K13" s="1481"/>
      <c r="L13" s="557"/>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2.75" customHeight="1">
      <c r="B14" s="557"/>
      <c r="C14" s="1481"/>
      <c r="D14" s="1481"/>
      <c r="E14" s="1481"/>
      <c r="F14" s="1481"/>
      <c r="G14" s="1481"/>
      <c r="H14" s="1481"/>
      <c r="I14" s="1481"/>
      <c r="J14" s="1481"/>
      <c r="K14" s="1481"/>
      <c r="L14" s="557"/>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557"/>
      <c r="C15" s="1481"/>
      <c r="D15" s="1481"/>
      <c r="E15" s="1481"/>
      <c r="F15" s="1481"/>
      <c r="G15" s="1481"/>
      <c r="H15" s="1481"/>
      <c r="I15" s="1481"/>
      <c r="J15" s="1481"/>
      <c r="K15" s="1481"/>
      <c r="L15" s="557"/>
    </row>
    <row r="16" spans="2:14" ht="15.75" customHeight="1">
      <c r="B16" s="558"/>
      <c r="D16" s="558"/>
      <c r="E16" s="558"/>
      <c r="F16" s="558"/>
      <c r="G16" s="558"/>
      <c r="H16" s="558"/>
      <c r="I16" s="558"/>
      <c r="J16" s="559" t="s">
        <v>1727</v>
      </c>
      <c r="K16" s="560" t="s">
        <v>1429</v>
      </c>
      <c r="L16" s="560"/>
    </row>
    <row r="17" spans="2:34" ht="12.75" customHeight="1">
      <c r="C17" s="1336" t="s">
        <v>670</v>
      </c>
      <c r="D17" s="1336"/>
      <c r="E17" s="1336"/>
      <c r="F17" s="1336"/>
      <c r="G17" s="1336"/>
      <c r="H17" s="1336"/>
      <c r="I17" s="1336"/>
      <c r="J17" s="1336"/>
      <c r="K17" s="1336"/>
      <c r="L17" s="1336"/>
    </row>
    <row r="18" spans="2:34" ht="15.75" customHeight="1">
      <c r="C18" s="1336"/>
      <c r="D18" s="1336"/>
      <c r="E18" s="1336"/>
      <c r="F18" s="1336"/>
      <c r="G18" s="1336"/>
      <c r="H18" s="1336"/>
      <c r="I18" s="1336"/>
      <c r="J18" s="1336"/>
      <c r="K18" s="1336"/>
      <c r="L18" s="1336"/>
    </row>
    <row r="19" spans="2:34" ht="12.75" customHeight="1">
      <c r="C19" s="544"/>
      <c r="K19" s="558"/>
      <c r="L19" s="558"/>
    </row>
    <row r="20" spans="2:34" ht="14.25" customHeight="1">
      <c r="E20" s="561" t="s">
        <v>662</v>
      </c>
      <c r="F20" s="562"/>
      <c r="G20" s="1482" t="str">
        <f>IF('Franchise Info'!$B$8="Abbotsford","9:00 AM ~ 5:00 PM",(IF('Franchise Info'!$B$8="Langley","9:00 AM ~ 5:00 PM",(IF('Franchise Info'!$B$8="Richmond","9:00 AM ~ 5:00 PM","")))))</f>
        <v>9:00 AM ~ 5:00 PM</v>
      </c>
      <c r="H20" s="1482"/>
      <c r="I20" s="1482"/>
      <c r="J20" s="1482"/>
      <c r="K20" s="563"/>
      <c r="L20" s="558"/>
    </row>
    <row r="21" spans="2:34" ht="14.25" customHeight="1">
      <c r="E21" s="561" t="s">
        <v>663</v>
      </c>
      <c r="F21" s="562"/>
      <c r="G21" s="1482" t="str">
        <f>IF('Franchise Info'!$B$8="Abbotsford","9:00 AM ~ 5:00 PM",(IF('Franchise Info'!$B$8="Langley","9:00 AM ~ 5:00 PM",(IF('Franchise Info'!$B$8="Richmond","9:00 AM ~ 5:00 PM","")))))</f>
        <v>9:00 AM ~ 5:00 PM</v>
      </c>
      <c r="H21" s="1482"/>
      <c r="I21" s="1482"/>
      <c r="J21" s="1482"/>
      <c r="K21" s="563"/>
      <c r="L21" s="558"/>
    </row>
    <row r="22" spans="2:34" ht="14.25" customHeight="1">
      <c r="E22" s="561" t="s">
        <v>664</v>
      </c>
      <c r="F22" s="562"/>
      <c r="G22" s="1482" t="str">
        <f>IF('Franchise Info'!$B$8="Abbotsford","9:00 AM ~ 5:00 PM",(IF('Franchise Info'!$B$8="Langley","9:00 AM ~ 5:00 PM",(IF('Franchise Info'!$B$8="Richmond","9:00 AM ~ 5:00 PM","")))))</f>
        <v>9:00 AM ~ 5:00 PM</v>
      </c>
      <c r="H22" s="1482"/>
      <c r="I22" s="1482"/>
      <c r="J22" s="1482"/>
      <c r="K22" s="563"/>
      <c r="L22" s="558"/>
    </row>
    <row r="23" spans="2:34" ht="14.25" customHeight="1">
      <c r="E23" s="561" t="s">
        <v>665</v>
      </c>
      <c r="F23" s="562"/>
      <c r="G23" s="1482" t="str">
        <f>IF('Franchise Info'!$B$8="Abbotsford","9:00 AM ~ 5:00 PM",(IF('Franchise Info'!$B$8="Langley","9:00 AM ~ 5:00 PM",(IF('Franchise Info'!$B$8="Richmond","9:00 AM ~ 5:00 PM","")))))</f>
        <v>9:00 AM ~ 5:00 PM</v>
      </c>
      <c r="H23" s="1482"/>
      <c r="I23" s="1482"/>
      <c r="J23" s="1482"/>
      <c r="K23" s="563"/>
      <c r="L23" s="544"/>
    </row>
    <row r="24" spans="2:34" ht="14.25" customHeight="1">
      <c r="E24" s="561" t="s">
        <v>666</v>
      </c>
      <c r="F24" s="562"/>
      <c r="G24" s="1482" t="str">
        <f>IF('Franchise Info'!$B$8="Abbotsford","9:00 AM ~ 5:00 PM",(IF('Franchise Info'!$B$8="Langley","9:00 AM ~ 5:00 PM",(IF('Franchise Info'!$B$8="Richmond","9:00 AM ~ 5:00 PM","")))))</f>
        <v>9:00 AM ~ 5:00 PM</v>
      </c>
      <c r="H24" s="1482"/>
      <c r="I24" s="1482"/>
      <c r="J24" s="1482"/>
      <c r="K24" s="563"/>
      <c r="L24" s="544"/>
    </row>
    <row r="25" spans="2:34" ht="14.25" customHeight="1">
      <c r="E25" s="561" t="s">
        <v>667</v>
      </c>
      <c r="F25" s="562"/>
      <c r="G25" s="1482" t="str">
        <f>IF('Franchise Info'!$B$8="Abbotsford","CLOSED",(IF('Franchise Info'!$B$8="Langley","CLOSED",(IF('Franchise Info'!$B$8="Richmond","CLOSED","")))))</f>
        <v>CLOSED</v>
      </c>
      <c r="H25" s="1482"/>
      <c r="I25" s="1482"/>
      <c r="J25" s="1482"/>
      <c r="K25" s="563"/>
      <c r="L25" s="543"/>
      <c r="Y25" s="497"/>
      <c r="Z25" s="497"/>
      <c r="AA25" s="497"/>
      <c r="AB25" s="497"/>
      <c r="AC25" s="497"/>
      <c r="AD25" s="497"/>
      <c r="AF25" s="497"/>
      <c r="AG25" s="497"/>
      <c r="AH25" s="497"/>
    </row>
    <row r="26" spans="2:34" ht="14.25" customHeight="1">
      <c r="E26" s="561" t="s">
        <v>669</v>
      </c>
      <c r="F26" s="562"/>
      <c r="G26" s="1482" t="s">
        <v>668</v>
      </c>
      <c r="H26" s="1482"/>
      <c r="I26" s="1482"/>
      <c r="J26" s="1482"/>
      <c r="K26" s="563"/>
      <c r="L26" s="543"/>
      <c r="Y26" s="497"/>
      <c r="Z26" s="497"/>
      <c r="AA26" s="497"/>
      <c r="AB26" s="497"/>
      <c r="AC26" s="497"/>
      <c r="AD26" s="497"/>
      <c r="AF26" s="497"/>
      <c r="AG26" s="497"/>
      <c r="AH26" s="497"/>
    </row>
    <row r="27" spans="2:34" ht="16.2">
      <c r="C27" s="556"/>
      <c r="D27" s="556"/>
      <c r="E27" s="556"/>
      <c r="F27" s="556"/>
      <c r="G27" s="556"/>
      <c r="H27" s="556"/>
      <c r="I27" s="556"/>
      <c r="J27" s="556"/>
      <c r="K27" s="556"/>
      <c r="L27" s="543"/>
    </row>
    <row r="28" spans="2:34" ht="0.45" customHeight="1">
      <c r="L28" s="543"/>
    </row>
    <row r="29" spans="2:34" ht="16.2">
      <c r="K29" s="564"/>
      <c r="L29" s="543"/>
      <c r="Y29" s="497"/>
      <c r="Z29" s="497"/>
      <c r="AA29" s="497"/>
      <c r="AB29" s="497"/>
      <c r="AC29" s="497"/>
      <c r="AD29" s="497"/>
      <c r="AF29" s="497"/>
      <c r="AG29" s="497"/>
      <c r="AH29" s="497"/>
    </row>
    <row r="30" spans="2:34" ht="16.2">
      <c r="K30" s="557"/>
      <c r="L30" s="543"/>
      <c r="Y30" s="497"/>
      <c r="Z30" s="497"/>
      <c r="AA30" s="497"/>
      <c r="AB30" s="497"/>
      <c r="AC30" s="497"/>
      <c r="AD30" s="497"/>
      <c r="AF30" s="497"/>
      <c r="AG30" s="497"/>
      <c r="AH30" s="497"/>
    </row>
    <row r="31" spans="2:34" ht="16.2">
      <c r="K31" s="557"/>
      <c r="L31" s="543"/>
    </row>
    <row r="32" spans="2:34" ht="16.2">
      <c r="B32" s="467"/>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13">
    <mergeCell ref="C34:K41"/>
    <mergeCell ref="C9:K15"/>
    <mergeCell ref="C17:L18"/>
    <mergeCell ref="H5:L5"/>
    <mergeCell ref="C6:L7"/>
    <mergeCell ref="C32:F32"/>
    <mergeCell ref="G21:J21"/>
    <mergeCell ref="G22:J22"/>
    <mergeCell ref="G23:J23"/>
    <mergeCell ref="G24:J24"/>
    <mergeCell ref="G25:J25"/>
    <mergeCell ref="G26:J26"/>
    <mergeCell ref="G20:J20"/>
  </mergeCells>
  <phoneticPr fontId="117" type="noConversion"/>
  <pageMargins left="0.5" right="0.5" top="0.33" bottom="0.13" header="0.44" footer="0.5"/>
  <pageSetup scale="97" orientation="portrait" r:id="rId1"/>
  <colBreaks count="1" manualBreakCount="1">
    <brk id="12" max="47" man="1"/>
  </colBreaks>
  <ignoredErrors>
    <ignoredError sqref="G22" formula="1"/>
  </ignoredError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FFC000"/>
  </sheetPr>
  <dimension ref="B1:AH44"/>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12" width="9.33203125" style="467" customWidth="1"/>
    <col min="13" max="16384" width="0" style="467" hidden="1"/>
  </cols>
  <sheetData>
    <row r="1" spans="2:14" ht="16.2">
      <c r="G1" s="341" t="str">
        <f>LEFT('Franchise Info'!B4,FIND(", ",'Franchise Info'!B4)-1)</f>
        <v>201 - 20621 Logan Ave</v>
      </c>
    </row>
    <row r="2" spans="2:14" ht="16.2">
      <c r="G2" s="341" t="str">
        <f>MID('Franchise Info'!B4,FIND(", ",'Franchise Info'!B4)+2,50)</f>
        <v>Langley, BC, V3A 7R3</v>
      </c>
    </row>
    <row r="3" spans="2:14" ht="16.2">
      <c r="G3" s="341" t="str">
        <f>CONCATENATE("Telephone:"," ",REPLACE(LEFT('Franchise Info'!B7,22),1,8,""))</f>
        <v>Telephone: (604) 532-4040</v>
      </c>
    </row>
    <row r="4" spans="2:14" ht="16.2">
      <c r="G4" s="341" t="str">
        <f>CONCATENATE("Facsimile:"," ",RIGHT('Franchise Info'!B7,14))</f>
        <v>Facsimile: (604) 532-4001</v>
      </c>
    </row>
    <row r="5" spans="2:14" ht="16.2">
      <c r="G5" s="341" t="str">
        <f>MID('Franchise Info'!B7,FIND("E-Mail",'Franchise Info'!B7),60)</f>
        <v xml:space="preserve">E-Mail : admin.langley@aolccbc.com                          </v>
      </c>
    </row>
    <row r="6" spans="2:14" ht="13.8"/>
    <row r="7" spans="2:14" ht="20.399999999999999">
      <c r="G7" s="567" t="s">
        <v>1430</v>
      </c>
    </row>
    <row r="8" spans="2:14" ht="13.8"/>
    <row r="9" spans="2:14" ht="18" customHeight="1">
      <c r="B9" s="1329" t="s">
        <v>1431</v>
      </c>
      <c r="C9" s="1329"/>
      <c r="D9" s="1329"/>
      <c r="E9" s="1329"/>
      <c r="F9" s="1329"/>
      <c r="G9" s="1329"/>
      <c r="H9" s="1329"/>
      <c r="I9" s="1329"/>
      <c r="J9" s="1329"/>
      <c r="K9" s="1329"/>
    </row>
    <row r="10" spans="2:14" ht="12.75" customHeight="1">
      <c r="B10" s="1329"/>
      <c r="C10" s="1329"/>
      <c r="D10" s="1329"/>
      <c r="E10" s="1329"/>
      <c r="F10" s="1329"/>
      <c r="G10" s="1329"/>
      <c r="H10" s="1329"/>
      <c r="I10" s="1329"/>
      <c r="J10" s="1329"/>
      <c r="K10" s="1329"/>
    </row>
    <row r="11" spans="2:14" ht="15.75" customHeight="1">
      <c r="B11" s="1329"/>
      <c r="C11" s="1329"/>
      <c r="D11" s="1329"/>
      <c r="E11" s="1329"/>
      <c r="F11" s="1329"/>
      <c r="G11" s="1329"/>
      <c r="H11" s="1329"/>
      <c r="I11" s="1329"/>
      <c r="J11" s="1329"/>
      <c r="K11" s="1329"/>
    </row>
    <row r="12" spans="2:14" ht="15.75" customHeight="1">
      <c r="B12" s="1329"/>
      <c r="C12" s="1329"/>
      <c r="D12" s="1329"/>
      <c r="E12" s="1329"/>
      <c r="F12" s="1329"/>
      <c r="G12" s="1329"/>
      <c r="H12" s="1329"/>
      <c r="I12" s="1329"/>
      <c r="J12" s="1329"/>
      <c r="K12" s="1329"/>
    </row>
    <row r="13" spans="2:14" ht="13.8">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8" customHeight="1">
      <c r="B14" s="1329" t="s">
        <v>1432</v>
      </c>
      <c r="C14" s="1329"/>
      <c r="D14" s="1329"/>
      <c r="E14" s="1329"/>
      <c r="F14" s="1329"/>
      <c r="G14" s="1329"/>
      <c r="H14" s="1329"/>
      <c r="I14" s="1329"/>
      <c r="J14" s="1329"/>
      <c r="K14" s="1329"/>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1329"/>
      <c r="C15" s="1329"/>
      <c r="D15" s="1329"/>
      <c r="E15" s="1329"/>
      <c r="F15" s="1329"/>
      <c r="G15" s="1329"/>
      <c r="H15" s="1329"/>
      <c r="I15" s="1329"/>
      <c r="J15" s="1329"/>
      <c r="K15" s="1329"/>
    </row>
    <row r="16" spans="2:14" ht="12.75" customHeight="1">
      <c r="B16" s="1329"/>
      <c r="C16" s="1329"/>
      <c r="D16" s="1329"/>
      <c r="E16" s="1329"/>
      <c r="F16" s="1329"/>
      <c r="G16" s="1329"/>
      <c r="H16" s="1329"/>
      <c r="I16" s="1329"/>
      <c r="J16" s="1329"/>
      <c r="K16" s="1329"/>
    </row>
    <row r="17" spans="2:34" ht="12.75" customHeight="1">
      <c r="B17" s="1329"/>
      <c r="C17" s="1329"/>
      <c r="D17" s="1329"/>
      <c r="E17" s="1329"/>
      <c r="F17" s="1329"/>
      <c r="G17" s="1329"/>
      <c r="H17" s="1329"/>
      <c r="I17" s="1329"/>
      <c r="J17" s="1329"/>
      <c r="K17" s="1329"/>
    </row>
    <row r="18" spans="2:34" ht="12.75" customHeight="1">
      <c r="B18" s="1329"/>
      <c r="C18" s="1329"/>
      <c r="D18" s="1329"/>
      <c r="E18" s="1329"/>
      <c r="F18" s="1329"/>
      <c r="G18" s="1329"/>
      <c r="H18" s="1329"/>
      <c r="I18" s="1329"/>
      <c r="J18" s="1329"/>
      <c r="K18" s="1329"/>
    </row>
    <row r="19" spans="2:34" ht="13.8"/>
    <row r="20" spans="2:34" ht="18" customHeight="1">
      <c r="B20" s="532" t="s">
        <v>542</v>
      </c>
      <c r="C20" s="1366" t="str">
        <f>CONCATENATE('Outline Info'!B2," ",'Outline Info'!B3)</f>
        <v xml:space="preserve"> </v>
      </c>
      <c r="D20" s="1366"/>
      <c r="E20" s="1366"/>
      <c r="F20" s="532" t="s">
        <v>1020</v>
      </c>
      <c r="G20" s="565"/>
      <c r="H20" s="565"/>
      <c r="I20" s="565"/>
      <c r="J20" s="565"/>
      <c r="K20" s="565"/>
    </row>
    <row r="21" spans="2:34" ht="12.75" customHeight="1">
      <c r="B21" s="1477" t="s">
        <v>1021</v>
      </c>
      <c r="C21" s="1477"/>
      <c r="D21" s="1477"/>
      <c r="E21" s="1477"/>
      <c r="F21" s="1477"/>
      <c r="G21" s="1477"/>
      <c r="H21" s="1477"/>
      <c r="I21" s="1477"/>
      <c r="J21" s="1477"/>
      <c r="K21" s="1477"/>
    </row>
    <row r="22" spans="2:34" ht="12.75" customHeight="1">
      <c r="B22" s="1477"/>
      <c r="C22" s="1477"/>
      <c r="D22" s="1477"/>
      <c r="E22" s="1477"/>
      <c r="F22" s="1477"/>
      <c r="G22" s="1477"/>
      <c r="H22" s="1477"/>
      <c r="I22" s="1477"/>
      <c r="J22" s="1477"/>
      <c r="K22" s="1477"/>
    </row>
    <row r="23" spans="2:34" ht="12.75" customHeight="1">
      <c r="B23" s="1477"/>
      <c r="C23" s="1477"/>
      <c r="D23" s="1477"/>
      <c r="E23" s="1477"/>
      <c r="F23" s="1477"/>
      <c r="G23" s="1477"/>
      <c r="H23" s="1477"/>
      <c r="I23" s="1477"/>
      <c r="J23" s="1477"/>
      <c r="K23" s="1477"/>
    </row>
    <row r="24" spans="2:34" ht="12.75" customHeight="1">
      <c r="B24" s="1477"/>
      <c r="C24" s="1477"/>
      <c r="D24" s="1477"/>
      <c r="E24" s="1477"/>
      <c r="F24" s="1477"/>
      <c r="G24" s="1477"/>
      <c r="H24" s="1477"/>
      <c r="I24" s="1477"/>
      <c r="J24" s="1477"/>
      <c r="K24" s="1477"/>
    </row>
    <row r="25" spans="2:34" ht="12.75" customHeight="1">
      <c r="B25" s="565"/>
      <c r="C25" s="565"/>
      <c r="D25" s="565"/>
      <c r="E25" s="565"/>
      <c r="F25" s="565"/>
      <c r="G25" s="565"/>
      <c r="H25" s="565"/>
      <c r="I25" s="565"/>
      <c r="J25" s="565"/>
      <c r="K25" s="565"/>
      <c r="Y25" s="497"/>
      <c r="Z25" s="497"/>
      <c r="AA25" s="497"/>
      <c r="AB25" s="497"/>
      <c r="AC25" s="497"/>
      <c r="AD25" s="497"/>
      <c r="AF25" s="497"/>
      <c r="AG25" s="497"/>
      <c r="AH25" s="497"/>
    </row>
    <row r="26" spans="2:34" ht="12.75" customHeight="1">
      <c r="B26" s="566"/>
      <c r="C26" s="566"/>
      <c r="D26" s="566"/>
      <c r="E26" s="566"/>
      <c r="F26" s="566"/>
      <c r="G26" s="566"/>
      <c r="H26" s="566"/>
      <c r="I26" s="566"/>
      <c r="J26" s="566"/>
      <c r="K26" s="566"/>
      <c r="Y26" s="497"/>
      <c r="Z26" s="497"/>
      <c r="AA26" s="497"/>
      <c r="AB26" s="497"/>
      <c r="AC26" s="497"/>
      <c r="AD26" s="497"/>
      <c r="AF26" s="497"/>
      <c r="AG26" s="497"/>
      <c r="AH26" s="497"/>
    </row>
    <row r="27" spans="2:34" ht="13.8">
      <c r="C27" s="497"/>
      <c r="D27" s="497"/>
      <c r="E27" s="497"/>
      <c r="H27" s="497"/>
      <c r="I27" s="497"/>
      <c r="J27" s="497"/>
    </row>
    <row r="28" spans="2:34" ht="16.2">
      <c r="C28" s="512"/>
      <c r="D28" s="497"/>
      <c r="E28" s="497"/>
      <c r="H28" s="497"/>
      <c r="I28" s="497"/>
      <c r="J28" s="497"/>
    </row>
    <row r="29" spans="2:34" ht="16.2">
      <c r="C29" s="513" t="s">
        <v>1433</v>
      </c>
      <c r="D29" s="514"/>
      <c r="E29" s="514"/>
      <c r="H29" s="513" t="s">
        <v>494</v>
      </c>
      <c r="I29" s="514"/>
      <c r="J29" s="514"/>
      <c r="Y29" s="497"/>
      <c r="Z29" s="497"/>
      <c r="AA29" s="497"/>
      <c r="AB29" s="497"/>
      <c r="AC29" s="497"/>
      <c r="AD29" s="497"/>
      <c r="AF29" s="497"/>
      <c r="AG29" s="497"/>
      <c r="AH29" s="497"/>
    </row>
    <row r="30" spans="2:34" ht="13.8">
      <c r="Y30" s="497"/>
      <c r="Z30" s="497"/>
      <c r="AA30" s="497"/>
      <c r="AB30" s="497"/>
      <c r="AC30" s="497"/>
      <c r="AD30" s="497"/>
      <c r="AF30" s="497"/>
      <c r="AG30" s="497"/>
      <c r="AH30" s="497"/>
    </row>
    <row r="31" spans="2:34" ht="13.8"/>
    <row r="32" spans="2:34" ht="13.8"/>
    <row r="33" spans="2:10" ht="13.8"/>
    <row r="34" spans="2:10" ht="28.95" customHeight="1">
      <c r="C34" s="512"/>
      <c r="D34" s="497"/>
      <c r="E34" s="497"/>
      <c r="H34" s="497"/>
      <c r="I34" s="497"/>
      <c r="J34" s="497"/>
    </row>
    <row r="35" spans="2:10" ht="15.75" customHeight="1">
      <c r="C35" s="513" t="s">
        <v>592</v>
      </c>
      <c r="D35" s="514"/>
      <c r="E35" s="514"/>
      <c r="H35" s="513" t="s">
        <v>494</v>
      </c>
      <c r="I35" s="514"/>
      <c r="J35" s="514"/>
    </row>
    <row r="36" spans="2:10" ht="13.8"/>
    <row r="37" spans="2:10" ht="13.8"/>
    <row r="38" spans="2:10" ht="13.8"/>
    <row r="39" spans="2:10" ht="28.95" customHeight="1"/>
    <row r="40" spans="2:10" ht="13.8"/>
    <row r="41" spans="2:10" ht="13.8"/>
    <row r="42" spans="2:10" ht="16.2" hidden="1">
      <c r="B42" s="341"/>
      <c r="C42" s="341"/>
    </row>
    <row r="43" spans="2:10" ht="16.2" hidden="1">
      <c r="B43" s="341"/>
      <c r="C43" s="341"/>
    </row>
    <row r="44" spans="2:10" ht="16.2" hidden="1">
      <c r="B44" s="341"/>
      <c r="C44" s="341"/>
    </row>
  </sheetData>
  <mergeCells count="4">
    <mergeCell ref="B9:K12"/>
    <mergeCell ref="B14:K18"/>
    <mergeCell ref="B21:K24"/>
    <mergeCell ref="C20:E20"/>
  </mergeCells>
  <phoneticPr fontId="117" type="noConversion"/>
  <pageMargins left="0.5" right="0.5" top="0.33" bottom="0.13" header="0.44" footer="0.5"/>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FFC000"/>
  </sheetPr>
  <dimension ref="B1:AH48"/>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7" width="9.33203125" style="467" customWidth="1"/>
    <col min="8" max="8" width="11.77734375" style="467" customWidth="1"/>
    <col min="9"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H1" s="341" t="str">
        <f>LEFT('Franchise Info'!$B$4,FIND(", ",'Franchise Info'!$B$4)-1)</f>
        <v>201 - 20621 Logan Ave</v>
      </c>
    </row>
    <row r="2" spans="2:14" ht="16.2">
      <c r="H2" s="341" t="str">
        <f>MID('Franchise Info'!$B$4,FIND(", ",'Franchise Info'!$B$4)+2,50)</f>
        <v>Langley, BC, V3A 7R3</v>
      </c>
    </row>
    <row r="3" spans="2:14" ht="16.2">
      <c r="H3" s="341" t="str">
        <f>CONCATENATE("Telephone:"," ",REPLACE(LEFT('Franchise Info'!$B$7,22),1,8,""))</f>
        <v>Telephone: (604) 532-4040</v>
      </c>
    </row>
    <row r="4" spans="2:14" ht="16.2">
      <c r="H4" s="341" t="str">
        <f>CONCATENATE("Facsimile:"," ",RIGHT('Franchise Info'!$B$7,14))</f>
        <v>Facsimile: (604) 532-4001</v>
      </c>
    </row>
    <row r="5" spans="2:14" ht="16.2">
      <c r="H5" s="1330" t="str">
        <f>MID('Franchise Info'!$B$7,FIND("E-Mail",'Franchise Info'!$B$7),60)</f>
        <v xml:space="preserve">E-Mail : admin.langley@aolccbc.com                          </v>
      </c>
      <c r="I5" s="1330"/>
      <c r="J5" s="1330"/>
      <c r="K5" s="1330"/>
      <c r="L5" s="1330"/>
    </row>
    <row r="6" spans="2:14" ht="13.8"/>
    <row r="7" spans="2:14" ht="19.5" customHeight="1">
      <c r="G7" s="572" t="s">
        <v>593</v>
      </c>
    </row>
    <row r="8" spans="2:14" ht="13.5" customHeight="1"/>
    <row r="9" spans="2:14" ht="15.75" customHeight="1">
      <c r="B9" s="341" t="s">
        <v>594</v>
      </c>
      <c r="C9" s="1331" t="str">
        <f>CONCATENATE('Outline Info'!B2," ",'Outline Info'!B3)</f>
        <v xml:space="preserve"> </v>
      </c>
      <c r="D9" s="1331"/>
      <c r="E9" s="694" t="s">
        <v>1024</v>
      </c>
      <c r="F9" s="520"/>
      <c r="G9" s="520"/>
      <c r="H9" s="520"/>
      <c r="I9" s="1331" t="str">
        <f>'Franchise Info'!B8</f>
        <v>Langley</v>
      </c>
      <c r="J9" s="1331"/>
      <c r="K9" s="341" t="s">
        <v>595</v>
      </c>
      <c r="L9" s="238"/>
    </row>
    <row r="10" spans="2:14" ht="15.75" customHeight="1">
      <c r="B10" s="1327" t="s">
        <v>1423</v>
      </c>
      <c r="C10" s="1327"/>
      <c r="D10" s="1327"/>
      <c r="E10" s="1327"/>
      <c r="F10" s="1327"/>
      <c r="G10" s="1327"/>
      <c r="H10" s="1327"/>
      <c r="I10" s="1327"/>
      <c r="J10" s="1327"/>
      <c r="K10" s="1327"/>
    </row>
    <row r="11" spans="2:14" ht="16.5" customHeight="1">
      <c r="B11" s="1327"/>
      <c r="C11" s="1327"/>
      <c r="D11" s="1327"/>
      <c r="E11" s="1327"/>
      <c r="F11" s="1327"/>
      <c r="G11" s="1327"/>
      <c r="H11" s="1327"/>
      <c r="I11" s="1327"/>
      <c r="J11" s="1327"/>
      <c r="K11" s="1327"/>
    </row>
    <row r="12" spans="2:14" ht="16.5" customHeight="1">
      <c r="B12" s="1327"/>
      <c r="C12" s="1327"/>
      <c r="D12" s="1327"/>
      <c r="E12" s="1327"/>
      <c r="F12" s="1327"/>
      <c r="G12" s="1327"/>
      <c r="H12" s="1327"/>
      <c r="I12" s="1327"/>
      <c r="J12" s="1327"/>
      <c r="K12" s="1327"/>
    </row>
    <row r="13" spans="2:14" ht="18.75" customHeight="1">
      <c r="C13" s="568" t="s">
        <v>1023</v>
      </c>
      <c r="N13" s="467"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2:14" ht="18.75" customHeight="1">
      <c r="C14" s="568" t="s">
        <v>1025</v>
      </c>
      <c r="D14" s="531"/>
      <c r="E14" s="531"/>
      <c r="F14" s="531"/>
      <c r="G14" s="531"/>
      <c r="H14" s="531"/>
      <c r="I14" s="531"/>
      <c r="J14" s="531"/>
      <c r="K14" s="531"/>
      <c r="N14" s="467"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2:14" ht="15.75" customHeight="1">
      <c r="B15" s="1329" t="s">
        <v>1026</v>
      </c>
      <c r="C15" s="1329"/>
      <c r="D15" s="1329"/>
      <c r="E15" s="1329"/>
      <c r="F15" s="1329"/>
      <c r="G15" s="1329"/>
      <c r="H15" s="1329"/>
      <c r="I15" s="1329"/>
      <c r="J15" s="1329"/>
      <c r="K15" s="1329"/>
    </row>
    <row r="16" spans="2:14" ht="12.75" customHeight="1">
      <c r="B16" s="1329"/>
      <c r="C16" s="1329"/>
      <c r="D16" s="1329"/>
      <c r="E16" s="1329"/>
      <c r="F16" s="1329"/>
      <c r="G16" s="1329"/>
      <c r="H16" s="1329"/>
      <c r="I16" s="1329"/>
      <c r="J16" s="1329"/>
      <c r="K16" s="1329"/>
    </row>
    <row r="17" spans="2:34" ht="15.75" customHeight="1">
      <c r="B17" s="1329"/>
      <c r="C17" s="1329"/>
      <c r="D17" s="1329"/>
      <c r="E17" s="1329"/>
      <c r="F17" s="1329"/>
      <c r="G17" s="1329"/>
      <c r="H17" s="1329"/>
      <c r="I17" s="1329"/>
      <c r="J17" s="1329"/>
      <c r="K17" s="1329"/>
    </row>
    <row r="18" spans="2:34" ht="12.75" customHeight="1">
      <c r="B18" s="1329"/>
      <c r="C18" s="1329"/>
      <c r="D18" s="1329"/>
      <c r="E18" s="1329"/>
      <c r="F18" s="1329"/>
      <c r="G18" s="1329"/>
      <c r="H18" s="1329"/>
      <c r="I18" s="1329"/>
      <c r="J18" s="1329"/>
      <c r="K18" s="1329"/>
    </row>
    <row r="19" spans="2:34" ht="12.75" customHeight="1"/>
    <row r="20" spans="2:34" ht="12.75" customHeight="1">
      <c r="B20" s="1327" t="s">
        <v>1206</v>
      </c>
      <c r="C20" s="1327"/>
      <c r="D20" s="1327"/>
      <c r="E20" s="1327"/>
      <c r="F20" s="1327"/>
      <c r="G20" s="1327"/>
      <c r="H20" s="1327"/>
      <c r="I20" s="1327"/>
      <c r="J20" s="1327"/>
      <c r="K20" s="1327"/>
    </row>
    <row r="21" spans="2:34" ht="12.75" customHeight="1">
      <c r="B21" s="1327"/>
      <c r="C21" s="1327"/>
      <c r="D21" s="1327"/>
      <c r="E21" s="1327"/>
      <c r="F21" s="1327"/>
      <c r="G21" s="1327"/>
      <c r="H21" s="1327"/>
      <c r="I21" s="1327"/>
      <c r="J21" s="1327"/>
      <c r="K21" s="1327"/>
    </row>
    <row r="22" spans="2:34" ht="12.75" customHeight="1">
      <c r="B22" s="1327"/>
      <c r="C22" s="1327"/>
      <c r="D22" s="1327"/>
      <c r="E22" s="1327"/>
      <c r="F22" s="1327"/>
      <c r="G22" s="1327"/>
      <c r="H22" s="1327"/>
      <c r="I22" s="1327"/>
      <c r="J22" s="1327"/>
      <c r="K22" s="1327"/>
    </row>
    <row r="23" spans="2:34" ht="12.75" customHeight="1">
      <c r="B23" s="1327"/>
      <c r="C23" s="1327"/>
      <c r="D23" s="1327"/>
      <c r="E23" s="1327"/>
      <c r="F23" s="1327"/>
      <c r="G23" s="1327"/>
      <c r="H23" s="1327"/>
      <c r="I23" s="1327"/>
      <c r="J23" s="1327"/>
      <c r="K23" s="1327"/>
    </row>
    <row r="24" spans="2:34" ht="12.75" customHeight="1">
      <c r="B24" s="1327"/>
      <c r="C24" s="1327"/>
      <c r="D24" s="1327"/>
      <c r="E24" s="1327"/>
      <c r="F24" s="1327"/>
      <c r="G24" s="1327"/>
      <c r="H24" s="1327"/>
      <c r="I24" s="1327"/>
      <c r="J24" s="1327"/>
      <c r="K24" s="1327"/>
      <c r="Y24" s="497"/>
      <c r="Z24" s="497"/>
      <c r="AA24" s="497"/>
      <c r="AB24" s="497"/>
      <c r="AC24" s="497"/>
      <c r="AD24" s="497"/>
      <c r="AF24" s="497"/>
      <c r="AG24" s="497"/>
      <c r="AH24" s="497"/>
    </row>
    <row r="25" spans="2:34" ht="12.75" customHeight="1">
      <c r="Y25" s="497"/>
      <c r="Z25" s="497"/>
      <c r="AA25" s="497"/>
      <c r="AB25" s="497"/>
      <c r="AC25" s="497"/>
      <c r="AD25" s="497"/>
      <c r="AF25" s="497"/>
      <c r="AG25" s="497"/>
      <c r="AH25" s="497"/>
    </row>
    <row r="26" spans="2:34" ht="15.75" customHeight="1">
      <c r="C26" s="569"/>
      <c r="D26" s="569"/>
      <c r="E26" s="569"/>
      <c r="F26" s="531"/>
      <c r="G26" s="531"/>
      <c r="H26" s="569"/>
      <c r="I26" s="569"/>
      <c r="J26" s="569"/>
      <c r="K26" s="531"/>
    </row>
    <row r="27" spans="2:34" ht="0.45" customHeight="1">
      <c r="C27" s="497"/>
      <c r="D27" s="497"/>
      <c r="E27" s="497"/>
      <c r="H27" s="497"/>
      <c r="I27" s="497"/>
      <c r="J27" s="497"/>
    </row>
    <row r="28" spans="2:34" ht="16.2">
      <c r="C28" s="512"/>
      <c r="D28" s="497"/>
      <c r="E28" s="497"/>
      <c r="H28" s="497"/>
      <c r="I28" s="497"/>
      <c r="J28" s="497"/>
      <c r="Y28" s="497"/>
      <c r="Z28" s="497"/>
      <c r="AA28" s="497"/>
      <c r="AB28" s="497"/>
      <c r="AC28" s="497"/>
      <c r="AD28" s="497"/>
      <c r="AF28" s="497"/>
      <c r="AG28" s="497"/>
      <c r="AH28" s="497"/>
    </row>
    <row r="29" spans="2:34" ht="16.2">
      <c r="C29" s="513" t="s">
        <v>538</v>
      </c>
      <c r="D29" s="514"/>
      <c r="E29" s="514"/>
      <c r="H29" s="513" t="s">
        <v>494</v>
      </c>
      <c r="I29" s="514"/>
      <c r="J29" s="514"/>
      <c r="Y29" s="497"/>
      <c r="Z29" s="497"/>
      <c r="AA29" s="497"/>
      <c r="AB29" s="497"/>
      <c r="AC29" s="497"/>
      <c r="AD29" s="497"/>
      <c r="AF29" s="497"/>
      <c r="AG29" s="497"/>
      <c r="AH29" s="497"/>
    </row>
    <row r="30" spans="2:34" ht="13.8"/>
    <row r="31" spans="2:34" ht="13.8"/>
    <row r="32" spans="2:34" ht="16.2">
      <c r="B32" s="570" t="s">
        <v>1022</v>
      </c>
    </row>
    <row r="33" spans="2:34" ht="13.8"/>
    <row r="34" spans="2:34" ht="15.75" customHeight="1">
      <c r="C34" s="497"/>
      <c r="D34" s="497"/>
      <c r="E34" s="497"/>
      <c r="F34" s="497"/>
      <c r="G34" s="497"/>
      <c r="H34" s="497"/>
      <c r="I34" s="497"/>
      <c r="J34" s="497"/>
    </row>
    <row r="35" spans="2:34" ht="15.75" customHeight="1">
      <c r="C35" s="571"/>
      <c r="D35" s="571"/>
      <c r="E35" s="571"/>
      <c r="F35" s="571"/>
      <c r="G35" s="571"/>
      <c r="H35" s="571"/>
      <c r="I35" s="571"/>
      <c r="J35" s="571"/>
    </row>
    <row r="36" spans="2:34" ht="12.75" customHeight="1">
      <c r="C36" s="341" t="s">
        <v>5</v>
      </c>
    </row>
    <row r="37" spans="2:34" ht="13.8"/>
    <row r="38" spans="2:34" ht="15.75" customHeight="1">
      <c r="C38" s="497"/>
      <c r="D38" s="497"/>
      <c r="E38" s="497"/>
      <c r="G38" s="497"/>
      <c r="H38" s="497"/>
      <c r="I38" s="497"/>
      <c r="J38" s="497"/>
    </row>
    <row r="39" spans="2:34" ht="12.75" customHeight="1">
      <c r="C39" s="571"/>
      <c r="D39" s="571"/>
      <c r="E39" s="571"/>
      <c r="G39" s="571"/>
      <c r="H39" s="571"/>
      <c r="I39" s="571"/>
      <c r="J39" s="571"/>
    </row>
    <row r="40" spans="2:34" ht="16.2">
      <c r="C40" s="341" t="s">
        <v>596</v>
      </c>
      <c r="G40" s="341" t="s">
        <v>597</v>
      </c>
    </row>
    <row r="41" spans="2:34" ht="13.8">
      <c r="Y41" s="497"/>
      <c r="Z41" s="497"/>
      <c r="AA41" s="497"/>
      <c r="AB41" s="497"/>
      <c r="AC41" s="497"/>
      <c r="AD41" s="497"/>
      <c r="AF41" s="497"/>
      <c r="AG41" s="497"/>
      <c r="AH41" s="497"/>
    </row>
    <row r="42" spans="2:34" ht="16.2">
      <c r="B42" s="341"/>
      <c r="Y42" s="497"/>
      <c r="Z42" s="497"/>
      <c r="AA42" s="497"/>
      <c r="AB42" s="497"/>
      <c r="AC42" s="497"/>
      <c r="AD42" s="497"/>
      <c r="AF42" s="497"/>
      <c r="AG42" s="497"/>
      <c r="AH42" s="497"/>
    </row>
    <row r="43" spans="2:34" ht="16.2">
      <c r="B43" s="341"/>
    </row>
    <row r="44" spans="2:34" ht="9" customHeight="1">
      <c r="B44" s="341"/>
      <c r="C44" s="341"/>
    </row>
    <row r="45" spans="2:34" ht="9" customHeight="1">
      <c r="B45" s="341"/>
      <c r="C45" s="341"/>
    </row>
    <row r="46" spans="2:34" ht="16.2" hidden="1">
      <c r="B46" s="341"/>
      <c r="C46" s="341"/>
    </row>
    <row r="47" spans="2:34" ht="16.2" hidden="1">
      <c r="B47" s="341"/>
      <c r="C47" s="341"/>
    </row>
    <row r="48" spans="2:34" ht="16.2" hidden="1">
      <c r="B48" s="341"/>
      <c r="C48" s="341"/>
    </row>
  </sheetData>
  <mergeCells count="6">
    <mergeCell ref="B20:K24"/>
    <mergeCell ref="H5:L5"/>
    <mergeCell ref="I9:J9"/>
    <mergeCell ref="B15:K18"/>
    <mergeCell ref="C9:D9"/>
    <mergeCell ref="B10:K12"/>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5" tint="-0.249977111117893"/>
  </sheetPr>
  <dimension ref="A1:AH53"/>
  <sheetViews>
    <sheetView showGridLines="0" view="pageLayout" zoomScaleNormal="100" workbookViewId="0">
      <selection activeCell="C9" sqref="C9:L24"/>
    </sheetView>
  </sheetViews>
  <sheetFormatPr defaultColWidth="0" defaultRowHeight="0" customHeight="1" zeroHeight="1"/>
  <cols>
    <col min="1" max="1" width="4.109375" style="467" customWidth="1"/>
    <col min="2" max="2" width="2" style="467" customWidth="1"/>
    <col min="3" max="3" width="9.44140625" style="467" customWidth="1"/>
    <col min="4" max="5" width="9.33203125" style="467" customWidth="1"/>
    <col min="6" max="6" width="13.33203125" style="467" customWidth="1"/>
    <col min="7"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2" ht="16.2">
      <c r="H1" s="341" t="str">
        <f>LEFT('Franchise Info'!$B$4,FIND(", ",'Franchise Info'!$B$4)-1)</f>
        <v>201 - 20621 Logan Ave</v>
      </c>
    </row>
    <row r="2" spans="3:12" ht="16.2">
      <c r="H2" s="341" t="str">
        <f>MID('Franchise Info'!$B$4,FIND(", ",'Franchise Info'!$B$4)+2,50)</f>
        <v>Langley, BC, V3A 7R3</v>
      </c>
    </row>
    <row r="3" spans="3:12" ht="16.2">
      <c r="H3" s="341" t="str">
        <f>CONCATENATE("Telephone:"," ",REPLACE(LEFT('Franchise Info'!$B$7,22),1,8,""))</f>
        <v>Telephone: (604) 532-4040</v>
      </c>
    </row>
    <row r="4" spans="3:12" ht="16.2">
      <c r="H4" s="341" t="str">
        <f>CONCATENATE("Facsimile:"," ",RIGHT('Franchise Info'!$B$7,14))</f>
        <v>Facsimile: (604) 532-4001</v>
      </c>
    </row>
    <row r="5" spans="3:12" ht="16.2">
      <c r="H5" s="1330" t="str">
        <f>MID('Franchise Info'!$B$7,FIND("E-Mail",'Franchise Info'!$B$7),60)</f>
        <v xml:space="preserve">E-Mail : admin.langley@aolccbc.com                          </v>
      </c>
      <c r="I5" s="1330"/>
      <c r="J5" s="1330"/>
      <c r="K5" s="1330"/>
      <c r="L5" s="1330"/>
    </row>
    <row r="6" spans="3:12" ht="13.8">
      <c r="C6" s="1336" t="s">
        <v>1800</v>
      </c>
      <c r="D6" s="1336"/>
      <c r="E6" s="1336"/>
      <c r="F6" s="1336"/>
      <c r="G6" s="1336"/>
      <c r="H6" s="1336"/>
      <c r="I6" s="1336"/>
      <c r="J6" s="1336"/>
      <c r="K6" s="1336"/>
      <c r="L6" s="1336"/>
    </row>
    <row r="7" spans="3:12" ht="19.5" customHeight="1">
      <c r="C7" s="1336"/>
      <c r="D7" s="1336"/>
      <c r="E7" s="1336"/>
      <c r="F7" s="1336"/>
      <c r="G7" s="1336"/>
      <c r="H7" s="1336"/>
      <c r="I7" s="1336"/>
      <c r="J7" s="1336"/>
      <c r="K7" s="1336"/>
      <c r="L7" s="1336"/>
    </row>
    <row r="8" spans="3:12" ht="13.5" customHeight="1"/>
    <row r="9" spans="3:12" ht="15.75" customHeight="1">
      <c r="C9" s="1486" t="s">
        <v>1801</v>
      </c>
      <c r="D9" s="1486"/>
      <c r="E9" s="1486"/>
      <c r="F9" s="1486"/>
      <c r="G9" s="1486"/>
      <c r="H9" s="1486"/>
      <c r="I9" s="1486"/>
      <c r="J9" s="1486"/>
      <c r="K9" s="1486"/>
      <c r="L9" s="1486"/>
    </row>
    <row r="10" spans="3:12" ht="12.75" customHeight="1">
      <c r="C10" s="1486"/>
      <c r="D10" s="1486"/>
      <c r="E10" s="1486"/>
      <c r="F10" s="1486"/>
      <c r="G10" s="1486"/>
      <c r="H10" s="1486"/>
      <c r="I10" s="1486"/>
      <c r="J10" s="1486"/>
      <c r="K10" s="1486"/>
      <c r="L10" s="1486"/>
    </row>
    <row r="11" spans="3:12" ht="15.75" customHeight="1">
      <c r="C11" s="1486"/>
      <c r="D11" s="1486"/>
      <c r="E11" s="1486"/>
      <c r="F11" s="1486"/>
      <c r="G11" s="1486"/>
      <c r="H11" s="1486"/>
      <c r="I11" s="1486"/>
      <c r="J11" s="1486"/>
      <c r="K11" s="1486"/>
      <c r="L11" s="1486"/>
    </row>
    <row r="12" spans="3:12" ht="15.75" customHeight="1">
      <c r="C12" s="1486"/>
      <c r="D12" s="1486"/>
      <c r="E12" s="1486"/>
      <c r="F12" s="1486"/>
      <c r="G12" s="1486"/>
      <c r="H12" s="1486"/>
      <c r="I12" s="1486"/>
      <c r="J12" s="1486"/>
      <c r="K12" s="1486"/>
      <c r="L12" s="1486"/>
    </row>
    <row r="13" spans="3:12" ht="12.75" customHeight="1">
      <c r="C13" s="1486"/>
      <c r="D13" s="1486"/>
      <c r="E13" s="1486"/>
      <c r="F13" s="1486"/>
      <c r="G13" s="1486"/>
      <c r="H13" s="1486"/>
      <c r="I13" s="1486"/>
      <c r="J13" s="1486"/>
      <c r="K13" s="1486"/>
      <c r="L13" s="1486"/>
    </row>
    <row r="14" spans="3:12" ht="12.75" customHeight="1">
      <c r="C14" s="1486"/>
      <c r="D14" s="1486"/>
      <c r="E14" s="1486"/>
      <c r="F14" s="1486"/>
      <c r="G14" s="1486"/>
      <c r="H14" s="1486"/>
      <c r="I14" s="1486"/>
      <c r="J14" s="1486"/>
      <c r="K14" s="1486"/>
      <c r="L14" s="1486"/>
    </row>
    <row r="15" spans="3:12" ht="12.75" customHeight="1">
      <c r="C15" s="1486"/>
      <c r="D15" s="1486"/>
      <c r="E15" s="1486"/>
      <c r="F15" s="1486"/>
      <c r="G15" s="1486"/>
      <c r="H15" s="1486"/>
      <c r="I15" s="1486"/>
      <c r="J15" s="1486"/>
      <c r="K15" s="1486"/>
      <c r="L15" s="1486"/>
    </row>
    <row r="16" spans="3:12" ht="15.75" customHeight="1">
      <c r="C16" s="1486"/>
      <c r="D16" s="1486"/>
      <c r="E16" s="1486"/>
      <c r="F16" s="1486"/>
      <c r="G16" s="1486"/>
      <c r="H16" s="1486"/>
      <c r="I16" s="1486"/>
      <c r="J16" s="1486"/>
      <c r="K16" s="1486"/>
      <c r="L16" s="1486"/>
    </row>
    <row r="17" spans="3:34" ht="12.75" customHeight="1">
      <c r="C17" s="1486"/>
      <c r="D17" s="1486"/>
      <c r="E17" s="1486"/>
      <c r="F17" s="1486"/>
      <c r="G17" s="1486"/>
      <c r="H17" s="1486"/>
      <c r="I17" s="1486"/>
      <c r="J17" s="1486"/>
      <c r="K17" s="1486"/>
      <c r="L17" s="1486"/>
    </row>
    <row r="18" spans="3:34" ht="15.75" customHeight="1">
      <c r="C18" s="1486"/>
      <c r="D18" s="1486"/>
      <c r="E18" s="1486"/>
      <c r="F18" s="1486"/>
      <c r="G18" s="1486"/>
      <c r="H18" s="1486"/>
      <c r="I18" s="1486"/>
      <c r="J18" s="1486"/>
      <c r="K18" s="1486"/>
      <c r="L18" s="1486"/>
    </row>
    <row r="19" spans="3:34" ht="12.75" customHeight="1">
      <c r="C19" s="1486"/>
      <c r="D19" s="1486"/>
      <c r="E19" s="1486"/>
      <c r="F19" s="1486"/>
      <c r="G19" s="1486"/>
      <c r="H19" s="1486"/>
      <c r="I19" s="1486"/>
      <c r="J19" s="1486"/>
      <c r="K19" s="1486"/>
      <c r="L19" s="1486"/>
    </row>
    <row r="20" spans="3:34" ht="12.75" customHeight="1">
      <c r="C20" s="1486"/>
      <c r="D20" s="1486"/>
      <c r="E20" s="1486"/>
      <c r="F20" s="1486"/>
      <c r="G20" s="1486"/>
      <c r="H20" s="1486"/>
      <c r="I20" s="1486"/>
      <c r="J20" s="1486"/>
      <c r="K20" s="1486"/>
      <c r="L20" s="1486"/>
    </row>
    <row r="21" spans="3:34" ht="12.75" customHeight="1">
      <c r="C21" s="1486"/>
      <c r="D21" s="1486"/>
      <c r="E21" s="1486"/>
      <c r="F21" s="1486"/>
      <c r="G21" s="1486"/>
      <c r="H21" s="1486"/>
      <c r="I21" s="1486"/>
      <c r="J21" s="1486"/>
      <c r="K21" s="1486"/>
      <c r="L21" s="1486"/>
    </row>
    <row r="22" spans="3:34" ht="12.75" customHeight="1">
      <c r="C22" s="1486"/>
      <c r="D22" s="1486"/>
      <c r="E22" s="1486"/>
      <c r="F22" s="1486"/>
      <c r="G22" s="1486"/>
      <c r="H22" s="1486"/>
      <c r="I22" s="1486"/>
      <c r="J22" s="1486"/>
      <c r="K22" s="1486"/>
      <c r="L22" s="1486"/>
    </row>
    <row r="23" spans="3:34" ht="12.75" customHeight="1">
      <c r="C23" s="1486"/>
      <c r="D23" s="1486"/>
      <c r="E23" s="1486"/>
      <c r="F23" s="1486"/>
      <c r="G23" s="1486"/>
      <c r="H23" s="1486"/>
      <c r="I23" s="1486"/>
      <c r="J23" s="1486"/>
      <c r="K23" s="1486"/>
      <c r="L23" s="1486"/>
    </row>
    <row r="24" spans="3:34" ht="12.75" customHeight="1">
      <c r="C24" s="1486"/>
      <c r="D24" s="1486"/>
      <c r="E24" s="1486"/>
      <c r="F24" s="1486"/>
      <c r="G24" s="1486"/>
      <c r="H24" s="1486"/>
      <c r="I24" s="1486"/>
      <c r="J24" s="1486"/>
      <c r="K24" s="1486"/>
      <c r="L24" s="1486"/>
    </row>
    <row r="25" spans="3:34" ht="12.75" customHeight="1">
      <c r="C25" s="535"/>
      <c r="D25" s="535"/>
      <c r="E25" s="535"/>
      <c r="F25" s="535"/>
      <c r="G25" s="535"/>
      <c r="H25" s="535"/>
      <c r="I25" s="535"/>
      <c r="J25" s="535"/>
      <c r="K25" s="535"/>
      <c r="L25" s="535"/>
    </row>
    <row r="26" spans="3:34" ht="16.2">
      <c r="C26" s="536" t="s">
        <v>882</v>
      </c>
      <c r="D26" s="1484"/>
      <c r="E26" s="1484"/>
      <c r="F26" s="537" t="s">
        <v>883</v>
      </c>
      <c r="G26" s="538"/>
      <c r="H26" s="537" t="s">
        <v>884</v>
      </c>
      <c r="I26" s="1485"/>
      <c r="J26" s="1485"/>
      <c r="K26" s="539" t="str">
        <f ca="1">CONCATENATE(", ",YEAR(NOW()))</f>
        <v>, 2021</v>
      </c>
      <c r="L26" s="535"/>
    </row>
    <row r="27" spans="3:34" ht="12.75" customHeight="1">
      <c r="C27" s="535"/>
      <c r="D27" s="535"/>
      <c r="E27" s="535"/>
      <c r="F27" s="535"/>
      <c r="G27" s="535"/>
      <c r="H27" s="535"/>
      <c r="I27" s="535"/>
      <c r="J27" s="535"/>
      <c r="K27" s="535"/>
      <c r="L27" s="535"/>
      <c r="Y27" s="497"/>
      <c r="Z27" s="497"/>
      <c r="AA27" s="497"/>
      <c r="AB27" s="497"/>
      <c r="AC27" s="497"/>
      <c r="AD27" s="497"/>
      <c r="AF27" s="497"/>
      <c r="AG27" s="497"/>
      <c r="AH27" s="497"/>
    </row>
    <row r="28" spans="3:34" ht="12.75" customHeight="1">
      <c r="C28" s="535"/>
      <c r="D28" s="535"/>
      <c r="E28" s="535"/>
      <c r="F28" s="535"/>
      <c r="G28" s="535"/>
      <c r="H28" s="535"/>
      <c r="I28" s="535"/>
      <c r="J28" s="535"/>
      <c r="K28" s="535"/>
      <c r="L28" s="535"/>
      <c r="Y28" s="497"/>
      <c r="Z28" s="497"/>
      <c r="AA28" s="497"/>
      <c r="AB28" s="497"/>
      <c r="AC28" s="497"/>
      <c r="AD28" s="497"/>
      <c r="AF28" s="497"/>
      <c r="AG28" s="497"/>
      <c r="AH28" s="497"/>
    </row>
    <row r="29" spans="3:34" ht="15.75" customHeight="1">
      <c r="C29" s="535"/>
      <c r="D29" s="535"/>
      <c r="E29" s="535"/>
      <c r="F29" s="535"/>
      <c r="G29" s="535"/>
      <c r="H29" s="535"/>
      <c r="I29" s="535"/>
      <c r="J29" s="535"/>
      <c r="K29" s="535"/>
      <c r="L29" s="535"/>
    </row>
    <row r="30" spans="3:34" ht="0.45" customHeight="1">
      <c r="C30" s="535"/>
      <c r="D30" s="535"/>
      <c r="E30" s="535"/>
      <c r="F30" s="535"/>
      <c r="G30" s="535"/>
      <c r="H30" s="535"/>
      <c r="I30" s="535"/>
      <c r="J30" s="535"/>
      <c r="K30" s="535"/>
      <c r="L30" s="535"/>
    </row>
    <row r="31" spans="3:34" ht="15.75" customHeight="1">
      <c r="C31" s="536" t="s">
        <v>490</v>
      </c>
      <c r="D31" s="535"/>
      <c r="E31" s="535"/>
      <c r="F31" s="1483" t="str">
        <f>CONCATENATE('Outline Info'!$B$2," ",'Outline Info'!$B$3)</f>
        <v xml:space="preserve"> </v>
      </c>
      <c r="G31" s="1483"/>
      <c r="H31" s="1483"/>
      <c r="I31" s="535"/>
      <c r="J31" s="535"/>
      <c r="K31" s="535"/>
      <c r="L31" s="535"/>
      <c r="Y31" s="497"/>
      <c r="Z31" s="497"/>
      <c r="AA31" s="497"/>
      <c r="AB31" s="497"/>
      <c r="AC31" s="497"/>
      <c r="AD31" s="497"/>
      <c r="AF31" s="497"/>
      <c r="AG31" s="497"/>
      <c r="AH31" s="497"/>
    </row>
    <row r="32" spans="3:34" ht="12.75" customHeight="1">
      <c r="C32" s="535"/>
      <c r="D32" s="535"/>
      <c r="E32" s="535"/>
      <c r="F32" s="535"/>
      <c r="G32" s="535"/>
      <c r="H32" s="535"/>
      <c r="I32" s="535"/>
      <c r="J32" s="535"/>
      <c r="K32" s="535"/>
      <c r="L32" s="535"/>
      <c r="Y32" s="497"/>
      <c r="Z32" s="497"/>
      <c r="AA32" s="497"/>
      <c r="AB32" s="497"/>
      <c r="AC32" s="497"/>
      <c r="AD32" s="497"/>
      <c r="AF32" s="497"/>
      <c r="AG32" s="497"/>
      <c r="AH32" s="497"/>
    </row>
    <row r="33" spans="1:34" ht="12.75" customHeight="1">
      <c r="C33" s="535"/>
      <c r="D33" s="535"/>
      <c r="E33" s="698"/>
      <c r="F33" s="540"/>
      <c r="G33" s="540"/>
      <c r="H33" s="540"/>
      <c r="I33" s="535"/>
      <c r="J33" s="535"/>
      <c r="K33" s="535"/>
      <c r="L33" s="535"/>
    </row>
    <row r="34" spans="1:34" ht="16.2">
      <c r="C34" s="541" t="s">
        <v>478</v>
      </c>
      <c r="D34" s="535"/>
      <c r="E34" s="698"/>
      <c r="F34" s="542"/>
      <c r="G34" s="542"/>
      <c r="H34" s="542"/>
      <c r="I34" s="535"/>
      <c r="J34" s="535"/>
      <c r="K34" s="535"/>
      <c r="L34" s="535"/>
    </row>
    <row r="35" spans="1:34" ht="12.75" customHeight="1">
      <c r="C35" s="535"/>
      <c r="D35" s="535"/>
      <c r="E35" s="535"/>
      <c r="F35" s="535"/>
      <c r="G35" s="535"/>
      <c r="H35" s="535"/>
      <c r="I35" s="535"/>
      <c r="J35" s="535"/>
      <c r="K35" s="535"/>
      <c r="L35" s="535"/>
    </row>
    <row r="36" spans="1:34" ht="15.75" customHeight="1">
      <c r="C36" s="526"/>
      <c r="D36" s="526"/>
      <c r="E36" s="526"/>
      <c r="F36" s="526"/>
      <c r="G36" s="526"/>
      <c r="H36" s="526"/>
      <c r="I36" s="526"/>
      <c r="J36" s="526"/>
      <c r="K36" s="526"/>
    </row>
    <row r="37" spans="1:34" ht="15.75" customHeight="1">
      <c r="C37" s="526"/>
      <c r="D37" s="526"/>
      <c r="E37" s="526"/>
      <c r="F37" s="526"/>
      <c r="G37" s="526"/>
      <c r="H37" s="526"/>
      <c r="I37" s="526"/>
      <c r="J37" s="526"/>
      <c r="K37" s="526"/>
    </row>
    <row r="38" spans="1:34" ht="15.75" customHeight="1">
      <c r="C38" s="526"/>
      <c r="D38" s="526"/>
      <c r="E38" s="526"/>
      <c r="F38" s="526"/>
      <c r="G38" s="526"/>
      <c r="H38" s="526"/>
      <c r="I38" s="526"/>
      <c r="J38" s="526"/>
      <c r="K38" s="526"/>
    </row>
    <row r="39" spans="1:34" ht="12.75" customHeight="1">
      <c r="C39" s="526"/>
      <c r="D39" s="526"/>
      <c r="E39" s="526"/>
      <c r="F39" s="526"/>
      <c r="G39" s="526"/>
      <c r="H39" s="526"/>
      <c r="I39" s="526"/>
      <c r="J39" s="526"/>
      <c r="K39" s="526"/>
    </row>
    <row r="40" spans="1:34" ht="16.2">
      <c r="B40" s="527"/>
      <c r="C40" s="526"/>
      <c r="D40" s="526"/>
      <c r="E40" s="526"/>
      <c r="F40" s="526"/>
      <c r="G40" s="526"/>
      <c r="H40" s="526"/>
      <c r="I40" s="526"/>
      <c r="J40" s="526"/>
      <c r="K40" s="526"/>
    </row>
    <row r="41" spans="1:34" ht="15.75" customHeight="1">
      <c r="B41" s="527"/>
      <c r="C41" s="526"/>
      <c r="D41" s="526"/>
      <c r="E41" s="526"/>
      <c r="F41" s="526"/>
      <c r="G41" s="526"/>
      <c r="H41" s="526"/>
      <c r="I41" s="526"/>
      <c r="J41" s="526"/>
      <c r="K41" s="526"/>
    </row>
    <row r="42" spans="1:34" ht="12.75" customHeight="1">
      <c r="B42" s="238"/>
      <c r="C42" s="526"/>
      <c r="D42" s="526"/>
      <c r="E42" s="526"/>
      <c r="F42" s="526"/>
      <c r="G42" s="526"/>
      <c r="H42" s="526"/>
      <c r="I42" s="526"/>
      <c r="J42" s="526"/>
      <c r="K42" s="526"/>
    </row>
    <row r="43" spans="1:34" ht="16.2">
      <c r="B43" s="527"/>
      <c r="C43" s="526"/>
      <c r="D43" s="526"/>
      <c r="E43" s="526"/>
      <c r="F43" s="526"/>
      <c r="G43" s="526"/>
      <c r="H43" s="526"/>
      <c r="I43" s="526"/>
      <c r="J43" s="526"/>
      <c r="K43" s="526"/>
    </row>
    <row r="44" spans="1:34" ht="16.2">
      <c r="A44" s="238"/>
      <c r="B44" s="527"/>
      <c r="C44" s="543"/>
      <c r="D44" s="543"/>
      <c r="E44" s="543"/>
      <c r="F44" s="543"/>
      <c r="G44" s="543"/>
      <c r="H44" s="543"/>
      <c r="I44" s="543"/>
      <c r="J44" s="543"/>
      <c r="Y44" s="497"/>
      <c r="Z44" s="497"/>
      <c r="AA44" s="497"/>
      <c r="AB44" s="497"/>
      <c r="AC44" s="497"/>
      <c r="AD44" s="497"/>
      <c r="AF44" s="497"/>
      <c r="AG44" s="497"/>
      <c r="AH44" s="497"/>
    </row>
    <row r="45" spans="1:34" ht="16.2">
      <c r="A45" s="238"/>
      <c r="B45" s="527"/>
      <c r="C45" s="544"/>
      <c r="D45" s="543"/>
      <c r="E45" s="543"/>
      <c r="F45" s="543"/>
      <c r="G45" s="543"/>
      <c r="H45" s="543"/>
      <c r="I45" s="543"/>
      <c r="J45" s="543"/>
      <c r="Y45" s="497"/>
      <c r="Z45" s="497"/>
      <c r="AA45" s="497"/>
      <c r="AB45" s="497"/>
      <c r="AC45" s="497"/>
      <c r="AD45" s="497"/>
      <c r="AF45" s="497"/>
      <c r="AG45" s="497"/>
      <c r="AH45" s="497"/>
    </row>
    <row r="46" spans="1:34" ht="16.2">
      <c r="A46" s="238"/>
      <c r="B46" s="527"/>
      <c r="C46" s="527"/>
      <c r="D46" s="238"/>
      <c r="E46" s="238"/>
      <c r="F46" s="238"/>
      <c r="G46" s="238"/>
      <c r="H46" s="527"/>
      <c r="I46" s="238"/>
      <c r="J46" s="238"/>
    </row>
    <row r="47" spans="1:34" ht="9" customHeight="1">
      <c r="A47" s="238"/>
      <c r="B47" s="527"/>
      <c r="C47" s="527"/>
      <c r="D47" s="238"/>
      <c r="E47" s="238"/>
      <c r="F47" s="238"/>
      <c r="G47" s="238"/>
      <c r="H47" s="238"/>
      <c r="I47" s="238"/>
      <c r="J47" s="238"/>
    </row>
    <row r="48" spans="1:34" ht="9" customHeight="1">
      <c r="A48" s="238"/>
      <c r="B48" s="527"/>
      <c r="C48" s="527"/>
      <c r="D48" s="238"/>
      <c r="E48" s="238"/>
      <c r="F48" s="238"/>
      <c r="G48" s="238"/>
      <c r="H48" s="238"/>
      <c r="I48" s="238"/>
      <c r="J48" s="238"/>
    </row>
    <row r="49" spans="1:10" ht="16.2">
      <c r="A49" s="238"/>
      <c r="B49" s="527"/>
      <c r="C49" s="238"/>
      <c r="D49" s="527"/>
      <c r="E49" s="238"/>
      <c r="F49" s="238"/>
      <c r="G49" s="238"/>
      <c r="H49" s="238"/>
      <c r="I49" s="238"/>
      <c r="J49" s="238"/>
    </row>
    <row r="50" spans="1:10" ht="16.2">
      <c r="A50" s="238"/>
      <c r="B50" s="527"/>
      <c r="C50" s="238"/>
      <c r="D50" s="527"/>
      <c r="E50" s="238"/>
      <c r="F50" s="238"/>
      <c r="G50" s="238"/>
      <c r="H50" s="238"/>
      <c r="I50" s="238"/>
      <c r="J50" s="238"/>
    </row>
    <row r="51" spans="1:10" ht="16.2" hidden="1">
      <c r="B51" s="341"/>
      <c r="C51" s="341"/>
    </row>
    <row r="52" spans="1:10" ht="16.2" hidden="1">
      <c r="B52" s="341"/>
      <c r="C52" s="341"/>
    </row>
    <row r="53" spans="1:10" ht="16.2" hidden="1">
      <c r="B53" s="341"/>
      <c r="C53" s="341"/>
    </row>
  </sheetData>
  <mergeCells count="6">
    <mergeCell ref="F31:H31"/>
    <mergeCell ref="D26:E26"/>
    <mergeCell ref="I26:J26"/>
    <mergeCell ref="H5:L5"/>
    <mergeCell ref="C6:L7"/>
    <mergeCell ref="C9:L24"/>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1">
    <tabColor theme="5" tint="-0.249977111117893"/>
  </sheetPr>
  <dimension ref="B1:AH48"/>
  <sheetViews>
    <sheetView showGridLines="0" view="pageLayout" zoomScaleNormal="100" workbookViewId="0">
      <selection activeCell="AC1" sqref="AC1:AZ1048576"/>
    </sheetView>
  </sheetViews>
  <sheetFormatPr defaultColWidth="0" defaultRowHeight="0" customHeight="1" zeroHeight="1"/>
  <cols>
    <col min="1" max="1" width="4.109375" style="853" customWidth="1"/>
    <col min="2" max="2" width="2.109375" style="853" customWidth="1"/>
    <col min="3" max="5" width="9.33203125" style="853" customWidth="1"/>
    <col min="6" max="6" width="13.33203125" style="853" customWidth="1"/>
    <col min="7" max="12" width="9.33203125" style="853" customWidth="1"/>
    <col min="13" max="16384" width="0" style="853" hidden="1"/>
  </cols>
  <sheetData>
    <row r="1" spans="2:14" ht="16.2">
      <c r="G1" s="341" t="str">
        <f>LEFT('Franchise Info'!B4,FIND(", ",'Franchise Info'!B4)-1)</f>
        <v>201 - 20621 Logan Ave</v>
      </c>
    </row>
    <row r="2" spans="2:14" ht="16.2">
      <c r="G2" s="341" t="str">
        <f>MID('Franchise Info'!B4,FIND(", ",'Franchise Info'!B4)+2,50)</f>
        <v>Langley, BC, V3A 7R3</v>
      </c>
    </row>
    <row r="3" spans="2:14" ht="16.2">
      <c r="G3" s="341" t="str">
        <f>CONCATENATE("Telephone:"," ",REPLACE(LEFT('Franchise Info'!B7,22),1,8,""))</f>
        <v>Telephone: (604) 532-4040</v>
      </c>
    </row>
    <row r="4" spans="2:14" ht="16.2">
      <c r="G4" s="341" t="str">
        <f>CONCATENATE("Facsimile:"," ",RIGHT('Franchise Info'!B7,14))</f>
        <v>Facsimile: (604) 532-4001</v>
      </c>
    </row>
    <row r="5" spans="2:14" ht="16.2">
      <c r="G5" s="341" t="str">
        <f>MID('Franchise Info'!B7,FIND("E-Mail",'Franchise Info'!B7),60)</f>
        <v xml:space="preserve">E-Mail : admin.langley@aolccbc.com                          </v>
      </c>
    </row>
    <row r="6" spans="2:14" ht="13.8"/>
    <row r="7" spans="2:14" ht="20.399999999999999">
      <c r="G7" s="567" t="s">
        <v>1447</v>
      </c>
    </row>
    <row r="8" spans="2:14" ht="13.8"/>
    <row r="9" spans="2:14" ht="13.8"/>
    <row r="10" spans="2:14" ht="13.8"/>
    <row r="11" spans="2:14" ht="18" customHeight="1">
      <c r="B11" s="517" t="s">
        <v>1437</v>
      </c>
      <c r="C11" s="1366" t="str">
        <f>CONCATENATE('Outline Info'!B2," ",'Outline Info'!B3)</f>
        <v xml:space="preserve"> </v>
      </c>
      <c r="D11" s="1366"/>
      <c r="E11" s="1366"/>
      <c r="F11" s="532" t="s">
        <v>1448</v>
      </c>
      <c r="G11" s="533"/>
      <c r="H11" s="533"/>
      <c r="I11" s="533"/>
      <c r="J11" s="533"/>
      <c r="K11" s="533"/>
    </row>
    <row r="12" spans="2:14" ht="12.75" customHeight="1">
      <c r="B12" s="1333" t="s">
        <v>1449</v>
      </c>
      <c r="C12" s="1333"/>
      <c r="D12" s="1333"/>
      <c r="E12" s="1333"/>
      <c r="F12" s="1333"/>
      <c r="G12" s="1333"/>
      <c r="H12" s="1333"/>
      <c r="I12" s="1333"/>
      <c r="J12" s="1333"/>
      <c r="K12" s="1333"/>
    </row>
    <row r="13" spans="2:14" ht="15.75" customHeight="1">
      <c r="B13" s="1333"/>
      <c r="C13" s="1333"/>
      <c r="D13" s="1333"/>
      <c r="E13" s="1333"/>
      <c r="F13" s="1333"/>
      <c r="G13" s="1333"/>
      <c r="H13" s="1333"/>
      <c r="I13" s="1333"/>
      <c r="J13" s="1333"/>
      <c r="K13" s="1333"/>
    </row>
    <row r="14" spans="2:14" ht="15.75" customHeight="1">
      <c r="B14" s="1333"/>
      <c r="C14" s="1333"/>
      <c r="D14" s="1333"/>
      <c r="E14" s="1333"/>
      <c r="F14" s="1333"/>
      <c r="G14" s="1333"/>
      <c r="H14" s="1333"/>
      <c r="I14" s="1333"/>
      <c r="J14" s="1333"/>
      <c r="K14" s="1333"/>
    </row>
    <row r="15" spans="2:14" ht="13.5" customHeight="1">
      <c r="B15" s="1333" t="s">
        <v>1450</v>
      </c>
      <c r="C15" s="1333"/>
      <c r="D15" s="1333"/>
      <c r="E15" s="1333"/>
      <c r="F15" s="1333"/>
      <c r="G15" s="1333"/>
      <c r="H15" s="1333"/>
      <c r="I15" s="1333"/>
      <c r="J15" s="1333"/>
      <c r="K15" s="1333"/>
      <c r="N15" s="853"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6" spans="2:14" ht="18" customHeight="1">
      <c r="B16" s="1333"/>
      <c r="C16" s="1333"/>
      <c r="D16" s="1333"/>
      <c r="E16" s="1333"/>
      <c r="F16" s="1333"/>
      <c r="G16" s="1333"/>
      <c r="H16" s="1333"/>
      <c r="I16" s="1333"/>
      <c r="J16" s="1333"/>
      <c r="K16" s="1333"/>
      <c r="N16" s="853"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7" spans="2:34" ht="12.75" customHeight="1">
      <c r="B17" s="1333"/>
      <c r="C17" s="1333"/>
      <c r="D17" s="1333"/>
      <c r="E17" s="1333"/>
      <c r="F17" s="1333"/>
      <c r="G17" s="1333"/>
      <c r="H17" s="1333"/>
      <c r="I17" s="1333"/>
      <c r="J17" s="1333"/>
      <c r="K17" s="1333"/>
    </row>
    <row r="18" spans="2:34" ht="12.75" customHeight="1">
      <c r="B18" s="1333" t="s">
        <v>1451</v>
      </c>
      <c r="C18" s="1333"/>
      <c r="D18" s="1333"/>
      <c r="E18" s="1333"/>
      <c r="F18" s="1333"/>
      <c r="G18" s="1333"/>
      <c r="H18" s="1333"/>
      <c r="I18" s="1333"/>
      <c r="J18" s="1333"/>
      <c r="K18" s="1333"/>
    </row>
    <row r="19" spans="2:34" ht="12.75" customHeight="1">
      <c r="B19" s="1333"/>
      <c r="C19" s="1333"/>
      <c r="D19" s="1333"/>
      <c r="E19" s="1333"/>
      <c r="F19" s="1333"/>
      <c r="G19" s="1333"/>
      <c r="H19" s="1333"/>
      <c r="I19" s="1333"/>
      <c r="J19" s="1333"/>
      <c r="K19" s="1333"/>
    </row>
    <row r="20" spans="2:34" ht="12.75" customHeight="1">
      <c r="B20" s="1333"/>
      <c r="C20" s="1333"/>
      <c r="D20" s="1333"/>
      <c r="E20" s="1333"/>
      <c r="F20" s="1333"/>
      <c r="G20" s="1333"/>
      <c r="H20" s="1333"/>
      <c r="I20" s="1333"/>
      <c r="J20" s="1333"/>
      <c r="K20" s="1333"/>
    </row>
    <row r="21" spans="2:34" ht="13.8"/>
    <row r="22" spans="2:34" ht="12.75" customHeight="1">
      <c r="B22"/>
      <c r="C22"/>
      <c r="D22"/>
      <c r="E22"/>
      <c r="F22"/>
      <c r="G22"/>
      <c r="H22"/>
      <c r="I22"/>
      <c r="J22"/>
      <c r="K22"/>
    </row>
    <row r="23" spans="2:34" ht="12.75" customHeight="1">
      <c r="B23"/>
      <c r="C23"/>
      <c r="D23"/>
      <c r="E23"/>
      <c r="F23"/>
      <c r="G23"/>
      <c r="H23"/>
      <c r="I23"/>
      <c r="J23"/>
      <c r="K23"/>
    </row>
    <row r="24" spans="2:34" ht="12.75" customHeight="1">
      <c r="B24"/>
      <c r="C24"/>
      <c r="D24"/>
      <c r="E24"/>
      <c r="F24"/>
      <c r="G24"/>
      <c r="H24"/>
      <c r="I24"/>
      <c r="J24"/>
      <c r="K24"/>
    </row>
    <row r="25" spans="2:34" ht="12.75" customHeight="1">
      <c r="B25" s="565"/>
      <c r="C25" s="565"/>
      <c r="D25" s="565"/>
      <c r="E25" s="565"/>
      <c r="F25" s="565"/>
      <c r="G25" s="565"/>
      <c r="H25" s="565"/>
      <c r="I25" s="565"/>
      <c r="J25" s="565"/>
      <c r="K25" s="565"/>
      <c r="Y25" s="497"/>
      <c r="Z25" s="497"/>
      <c r="AA25" s="497"/>
      <c r="AB25" s="497"/>
      <c r="AC25" s="497"/>
      <c r="AD25" s="497"/>
      <c r="AF25" s="497"/>
      <c r="AG25" s="497"/>
      <c r="AH25" s="497"/>
    </row>
    <row r="26" spans="2:34" ht="12.75" customHeight="1">
      <c r="B26" s="566"/>
      <c r="C26" s="566"/>
      <c r="D26" s="566"/>
      <c r="E26" s="566"/>
      <c r="F26" s="566"/>
      <c r="G26" s="566"/>
      <c r="H26" s="566"/>
      <c r="I26" s="566"/>
      <c r="J26" s="566"/>
      <c r="K26" s="566"/>
      <c r="Y26" s="497"/>
      <c r="Z26" s="497"/>
      <c r="AA26" s="497"/>
      <c r="AB26" s="497"/>
      <c r="AC26" s="497"/>
      <c r="AD26" s="497"/>
      <c r="AF26" s="497"/>
      <c r="AG26" s="497"/>
      <c r="AH26" s="497"/>
    </row>
    <row r="27" spans="2:34" ht="13.8">
      <c r="C27" s="497"/>
      <c r="D27" s="497"/>
      <c r="E27" s="497"/>
      <c r="H27" s="497"/>
      <c r="I27" s="497"/>
      <c r="J27" s="497"/>
    </row>
    <row r="28" spans="2:34" ht="16.2">
      <c r="C28" s="512"/>
      <c r="D28" s="497"/>
      <c r="E28" s="497"/>
      <c r="H28" s="497"/>
      <c r="I28" s="497"/>
      <c r="J28" s="497"/>
    </row>
    <row r="29" spans="2:34" ht="16.2">
      <c r="C29" s="513" t="s">
        <v>1433</v>
      </c>
      <c r="D29" s="514"/>
      <c r="E29" s="514"/>
      <c r="H29" s="513" t="s">
        <v>494</v>
      </c>
      <c r="I29" s="514"/>
      <c r="J29" s="514"/>
      <c r="Y29" s="497"/>
      <c r="Z29" s="497"/>
      <c r="AA29" s="497"/>
      <c r="AB29" s="497"/>
      <c r="AC29" s="497"/>
      <c r="AD29" s="497"/>
      <c r="AF29" s="497"/>
      <c r="AG29" s="497"/>
      <c r="AH29" s="497"/>
    </row>
    <row r="30" spans="2:34" ht="13.8">
      <c r="Y30" s="497"/>
      <c r="Z30" s="497"/>
      <c r="AA30" s="497"/>
      <c r="AB30" s="497"/>
      <c r="AC30" s="497"/>
      <c r="AD30" s="497"/>
      <c r="AF30" s="497"/>
      <c r="AG30" s="497"/>
      <c r="AH30" s="497"/>
    </row>
    <row r="31" spans="2:34" ht="13.8"/>
    <row r="32" spans="2:34" ht="13.8"/>
    <row r="33" spans="2:34" ht="13.8"/>
    <row r="34" spans="2:34" ht="28.95" customHeight="1">
      <c r="C34" s="512"/>
      <c r="D34" s="497"/>
      <c r="E34" s="497"/>
      <c r="H34" s="497"/>
      <c r="I34" s="497"/>
      <c r="J34" s="497"/>
    </row>
    <row r="35" spans="2:34" ht="15.75" customHeight="1">
      <c r="C35" s="513" t="s">
        <v>592</v>
      </c>
      <c r="D35" s="514"/>
      <c r="E35" s="514"/>
      <c r="H35" s="513" t="s">
        <v>494</v>
      </c>
      <c r="I35" s="514"/>
      <c r="J35" s="514"/>
    </row>
    <row r="36" spans="2:34" ht="13.8"/>
    <row r="37" spans="2:34" ht="13.8"/>
    <row r="38" spans="2:34" ht="13.8"/>
    <row r="39" spans="2:34" ht="13.8"/>
    <row r="40" spans="2:34" ht="13.8"/>
    <row r="41" spans="2:34" ht="13.8">
      <c r="Y41" s="497"/>
      <c r="Z41" s="497"/>
      <c r="AA41" s="497"/>
      <c r="AB41" s="497"/>
      <c r="AC41" s="497"/>
      <c r="AD41" s="497"/>
      <c r="AF41" s="497"/>
      <c r="AG41" s="497"/>
      <c r="AH41" s="497"/>
    </row>
    <row r="42" spans="2:34" ht="16.2">
      <c r="B42" s="341"/>
      <c r="Y42" s="497"/>
      <c r="Z42" s="497"/>
      <c r="AA42" s="497"/>
      <c r="AB42" s="497"/>
      <c r="AC42" s="497"/>
      <c r="AD42" s="497"/>
      <c r="AF42" s="497"/>
      <c r="AG42" s="497"/>
      <c r="AH42" s="497"/>
    </row>
    <row r="43" spans="2:34" ht="16.2">
      <c r="B43" s="341"/>
    </row>
    <row r="44" spans="2:34" ht="9" customHeight="1">
      <c r="B44" s="341"/>
      <c r="C44" s="341"/>
    </row>
    <row r="45" spans="2:34" ht="9" customHeight="1">
      <c r="B45" s="341"/>
      <c r="C45" s="341"/>
    </row>
    <row r="46" spans="2:34" ht="16.2" hidden="1">
      <c r="B46" s="341"/>
      <c r="C46" s="341"/>
    </row>
    <row r="47" spans="2:34" ht="16.2" hidden="1">
      <c r="B47" s="341"/>
      <c r="C47" s="341"/>
    </row>
    <row r="48" spans="2:34" ht="16.2" hidden="1">
      <c r="B48" s="341"/>
      <c r="C48" s="341"/>
    </row>
  </sheetData>
  <mergeCells count="4">
    <mergeCell ref="B18:K20"/>
    <mergeCell ref="C11:E11"/>
    <mergeCell ref="B12:K14"/>
    <mergeCell ref="B15:K17"/>
  </mergeCells>
  <phoneticPr fontId="117" type="noConversion"/>
  <pageMargins left="0.5" right="0.5" top="0.33" bottom="0.13" header="0.44" footer="0.5"/>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0">
    <tabColor theme="5" tint="-0.249977111117893"/>
  </sheetPr>
  <dimension ref="A1:AH50"/>
  <sheetViews>
    <sheetView showGridLines="0" view="pageLayout" zoomScaleNormal="100" workbookViewId="0">
      <selection activeCell="AC1" sqref="AC1:AZ1048576"/>
    </sheetView>
  </sheetViews>
  <sheetFormatPr defaultColWidth="0" defaultRowHeight="0" customHeight="1" zeroHeight="1"/>
  <cols>
    <col min="1" max="1" width="4.109375" style="850" customWidth="1"/>
    <col min="2" max="2" width="2" style="850" customWidth="1"/>
    <col min="3" max="5" width="9.33203125" style="850" customWidth="1"/>
    <col min="6" max="6" width="13.33203125" style="850" customWidth="1"/>
    <col min="7" max="7" width="9.33203125" style="850" customWidth="1"/>
    <col min="8" max="8" width="11.77734375" style="850" customWidth="1"/>
    <col min="9" max="12" width="9.33203125" style="850" customWidth="1"/>
    <col min="13" max="13" width="4.109375" style="850" hidden="1" customWidth="1"/>
    <col min="14" max="14" width="2" style="850" hidden="1" customWidth="1"/>
    <col min="15" max="15" width="14.6640625" style="850" hidden="1" customWidth="1"/>
    <col min="16" max="16" width="9.77734375" style="850" hidden="1" customWidth="1"/>
    <col min="17" max="17" width="0" style="850" hidden="1" customWidth="1"/>
    <col min="18" max="18" width="13.33203125" style="850" hidden="1" customWidth="1"/>
    <col min="19" max="16384" width="0" style="850" hidden="1"/>
  </cols>
  <sheetData>
    <row r="1" spans="2:14" ht="16.2">
      <c r="H1" s="341" t="str">
        <f>LEFT('Franchise Info'!$B$4,FIND(", ",'Franchise Info'!$B$4)-1)</f>
        <v>201 - 20621 Logan Ave</v>
      </c>
    </row>
    <row r="2" spans="2:14" ht="16.2">
      <c r="H2" s="341" t="str">
        <f>MID('Franchise Info'!$B$4,FIND(", ",'Franchise Info'!$B$4)+2,50)</f>
        <v>Langley, BC, V3A 7R3</v>
      </c>
    </row>
    <row r="3" spans="2:14" ht="16.2">
      <c r="H3" s="341" t="str">
        <f>CONCATENATE("Telephone:"," ",REPLACE(LEFT('Franchise Info'!$B$7,22),1,8,""))</f>
        <v>Telephone: (604) 532-4040</v>
      </c>
    </row>
    <row r="4" spans="2:14" ht="16.2">
      <c r="H4" s="341" t="str">
        <f>CONCATENATE("Facsimile:"," ",RIGHT('Franchise Info'!$B$7,14))</f>
        <v>Facsimile: (604) 532-4001</v>
      </c>
    </row>
    <row r="5" spans="2:14" ht="16.2">
      <c r="H5" s="1330" t="str">
        <f>MID('Franchise Info'!$B$7,FIND("E-Mail",'Franchise Info'!$B$7),60)</f>
        <v xml:space="preserve">E-Mail : admin.langley@aolccbc.com                          </v>
      </c>
      <c r="I5" s="1330"/>
      <c r="J5" s="1330"/>
      <c r="K5" s="1330"/>
      <c r="L5" s="1330"/>
    </row>
    <row r="6" spans="2:14" ht="13.8"/>
    <row r="7" spans="2:14" ht="19.5" customHeight="1">
      <c r="G7" s="572" t="s">
        <v>1441</v>
      </c>
    </row>
    <row r="8" spans="2:14" ht="13.5" customHeight="1"/>
    <row r="9" spans="2:14" ht="15.75" customHeight="1">
      <c r="B9" s="1487" t="s">
        <v>1434</v>
      </c>
      <c r="C9" s="1487"/>
      <c r="D9" s="1487"/>
      <c r="E9" s="1487"/>
      <c r="F9" s="1487"/>
      <c r="G9" s="1487"/>
      <c r="H9" s="1487"/>
      <c r="I9" s="1487"/>
      <c r="J9" s="1487"/>
      <c r="K9" s="1487"/>
      <c r="L9" s="238"/>
    </row>
    <row r="10" spans="2:14" ht="15.75" customHeight="1">
      <c r="B10" s="1487"/>
      <c r="C10" s="1487"/>
      <c r="D10" s="1487"/>
      <c r="E10" s="1487"/>
      <c r="F10" s="1487"/>
      <c r="G10" s="1487"/>
      <c r="H10" s="1487"/>
      <c r="I10" s="1487"/>
      <c r="J10" s="1487"/>
      <c r="K10" s="1487"/>
    </row>
    <row r="11" spans="2:14" ht="16.5" customHeight="1">
      <c r="B11" s="1487"/>
      <c r="C11" s="1487"/>
      <c r="D11" s="1487"/>
      <c r="E11" s="1487"/>
      <c r="F11" s="1487"/>
      <c r="G11" s="1487"/>
      <c r="H11" s="1487"/>
      <c r="I11" s="1487"/>
      <c r="J11" s="1487"/>
      <c r="K11" s="1487"/>
    </row>
    <row r="12" spans="2:14" ht="16.5" customHeight="1">
      <c r="B12" s="1487"/>
      <c r="C12" s="1487"/>
      <c r="D12" s="1487"/>
      <c r="E12" s="1487"/>
      <c r="F12" s="1487"/>
      <c r="G12" s="1487"/>
      <c r="H12" s="1487"/>
      <c r="I12" s="1487"/>
      <c r="J12" s="1487"/>
      <c r="K12" s="1487"/>
    </row>
    <row r="13" spans="2:14" ht="18.75" customHeight="1">
      <c r="B13" s="1487"/>
      <c r="C13" s="1487"/>
      <c r="D13" s="1487"/>
      <c r="E13" s="1487"/>
      <c r="F13" s="1487"/>
      <c r="G13" s="1487"/>
      <c r="H13" s="1487"/>
      <c r="I13" s="1487"/>
      <c r="J13" s="1487"/>
      <c r="K13" s="1487"/>
      <c r="N13" s="85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2:14" ht="18.75" customHeight="1">
      <c r="B14" s="1487"/>
      <c r="C14" s="1487"/>
      <c r="D14" s="1487"/>
      <c r="E14" s="1487"/>
      <c r="F14" s="1487"/>
      <c r="G14" s="1487"/>
      <c r="H14" s="1487"/>
      <c r="I14" s="1487"/>
      <c r="J14" s="1487"/>
      <c r="K14" s="1487"/>
      <c r="N14" s="85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2:14" ht="15.75" customHeight="1">
      <c r="B15" s="1487"/>
      <c r="C15" s="1487"/>
      <c r="D15" s="1487"/>
      <c r="E15" s="1487"/>
      <c r="F15" s="1487"/>
      <c r="G15" s="1487"/>
      <c r="H15" s="1487"/>
      <c r="I15" s="1487"/>
      <c r="J15" s="1487"/>
      <c r="K15" s="1487"/>
    </row>
    <row r="16" spans="2:14" ht="12.75" customHeight="1">
      <c r="B16" s="1487"/>
      <c r="C16" s="1487"/>
      <c r="D16" s="1487"/>
      <c r="E16" s="1487"/>
      <c r="F16" s="1487"/>
      <c r="G16" s="1487"/>
      <c r="H16" s="1487"/>
      <c r="I16" s="1487"/>
      <c r="J16" s="1487"/>
      <c r="K16" s="1487"/>
    </row>
    <row r="17" spans="2:34" ht="15.75" customHeight="1">
      <c r="B17" s="1487" t="s">
        <v>1440</v>
      </c>
      <c r="C17" s="1487"/>
      <c r="D17" s="1487"/>
      <c r="E17" s="1487"/>
      <c r="F17" s="1487"/>
      <c r="G17" s="1487"/>
      <c r="H17" s="1487"/>
      <c r="I17" s="1487"/>
      <c r="J17" s="1487"/>
      <c r="K17" s="1487"/>
    </row>
    <row r="18" spans="2:34" ht="12.75" customHeight="1">
      <c r="B18" s="1487"/>
      <c r="C18" s="1487"/>
      <c r="D18" s="1487"/>
      <c r="E18" s="1487"/>
      <c r="F18" s="1487"/>
      <c r="G18" s="1487"/>
      <c r="H18" s="1487"/>
      <c r="I18" s="1487"/>
      <c r="J18" s="1487"/>
      <c r="K18" s="1487"/>
    </row>
    <row r="19" spans="2:34" ht="12.75" customHeight="1">
      <c r="B19" s="1487"/>
      <c r="C19" s="1487"/>
      <c r="D19" s="1487"/>
      <c r="E19" s="1487"/>
      <c r="F19" s="1487"/>
      <c r="G19" s="1487"/>
      <c r="H19" s="1487"/>
      <c r="I19" s="1487"/>
      <c r="J19" s="1487"/>
      <c r="K19" s="1487"/>
    </row>
    <row r="20" spans="2:34" ht="12.75" customHeight="1">
      <c r="B20" s="1487"/>
      <c r="C20" s="1487"/>
      <c r="D20" s="1487"/>
      <c r="E20" s="1487"/>
      <c r="F20" s="1487"/>
      <c r="G20" s="1487"/>
      <c r="H20" s="1487"/>
      <c r="I20" s="1487"/>
      <c r="J20" s="1487"/>
      <c r="K20" s="1487"/>
    </row>
    <row r="21" spans="2:34" ht="12.75" customHeight="1">
      <c r="B21" s="1487"/>
      <c r="C21" s="1487"/>
      <c r="D21" s="1487"/>
      <c r="E21" s="1487"/>
      <c r="F21" s="1487"/>
      <c r="G21" s="1487"/>
      <c r="H21" s="1487"/>
      <c r="I21" s="1487"/>
      <c r="J21" s="1487"/>
      <c r="K21" s="1487"/>
    </row>
    <row r="22" spans="2:34" ht="12.75" customHeight="1">
      <c r="B22" s="1487"/>
      <c r="C22" s="1487"/>
      <c r="D22" s="1487"/>
      <c r="E22" s="1487"/>
      <c r="F22" s="1487"/>
      <c r="G22" s="1487"/>
      <c r="H22" s="1487"/>
      <c r="I22" s="1487"/>
      <c r="J22" s="1487"/>
      <c r="K22" s="1487"/>
    </row>
    <row r="23" spans="2:34" ht="12.75" customHeight="1">
      <c r="B23" s="1487"/>
      <c r="C23" s="1487"/>
      <c r="D23" s="1487"/>
      <c r="E23" s="1487"/>
      <c r="F23" s="1487"/>
      <c r="G23" s="1487"/>
      <c r="H23" s="1487"/>
      <c r="I23" s="1487"/>
      <c r="J23" s="1487"/>
      <c r="K23" s="1487"/>
    </row>
    <row r="24" spans="2:34" ht="12.75" customHeight="1">
      <c r="B24" s="1487" t="s">
        <v>1435</v>
      </c>
      <c r="C24" s="1487"/>
      <c r="D24" s="1487"/>
      <c r="E24" s="1487"/>
      <c r="F24" s="1487"/>
      <c r="G24" s="1487"/>
      <c r="H24" s="1487"/>
      <c r="I24" s="1487"/>
      <c r="J24" s="1487"/>
      <c r="K24" s="1487"/>
      <c r="Y24" s="497"/>
      <c r="Z24" s="497"/>
      <c r="AA24" s="497"/>
      <c r="AB24" s="497"/>
      <c r="AC24" s="497"/>
      <c r="AD24" s="497"/>
      <c r="AF24" s="497"/>
      <c r="AG24" s="497"/>
      <c r="AH24" s="497"/>
    </row>
    <row r="25" spans="2:34" ht="12.75" customHeight="1">
      <c r="B25" s="1487"/>
      <c r="C25" s="1487"/>
      <c r="D25" s="1487"/>
      <c r="E25" s="1487"/>
      <c r="F25" s="1487"/>
      <c r="G25" s="1487"/>
      <c r="H25" s="1487"/>
      <c r="I25" s="1487"/>
      <c r="J25" s="1487"/>
      <c r="K25" s="1487"/>
      <c r="Y25" s="497"/>
      <c r="Z25" s="497"/>
      <c r="AA25" s="497"/>
      <c r="AB25" s="497"/>
      <c r="AC25" s="497"/>
      <c r="AD25" s="497"/>
      <c r="AF25" s="497"/>
      <c r="AG25" s="497"/>
      <c r="AH25" s="497"/>
    </row>
    <row r="26" spans="2:34" ht="12.45" customHeight="1">
      <c r="B26" s="1487"/>
      <c r="C26" s="1487"/>
      <c r="D26" s="1487"/>
      <c r="E26" s="1487"/>
      <c r="F26" s="1487"/>
      <c r="G26" s="1487"/>
      <c r="H26" s="1487"/>
      <c r="I26" s="1487"/>
      <c r="J26" s="1487"/>
      <c r="K26" s="1487"/>
    </row>
    <row r="27" spans="2:34" ht="12.45" customHeight="1">
      <c r="B27" s="1487"/>
      <c r="C27" s="1487"/>
      <c r="D27" s="1487"/>
      <c r="E27" s="1487"/>
      <c r="F27" s="1487"/>
      <c r="G27" s="1487"/>
      <c r="H27" s="1487"/>
      <c r="I27" s="1487"/>
      <c r="J27" s="1487"/>
      <c r="K27" s="1487"/>
    </row>
    <row r="28" spans="2:34" ht="12.45" customHeight="1">
      <c r="B28" s="1487"/>
      <c r="C28" s="1487"/>
      <c r="D28" s="1487"/>
      <c r="E28" s="1487"/>
      <c r="F28" s="1487"/>
      <c r="G28" s="1487"/>
      <c r="H28" s="1487"/>
      <c r="I28" s="1487"/>
      <c r="J28" s="1487"/>
      <c r="K28" s="1487"/>
      <c r="Y28" s="497"/>
      <c r="Z28" s="497"/>
      <c r="AA28" s="497"/>
      <c r="AB28" s="497"/>
      <c r="AC28" s="497"/>
      <c r="AD28" s="497"/>
      <c r="AF28" s="497"/>
      <c r="AG28" s="497"/>
      <c r="AH28" s="497"/>
    </row>
    <row r="29" spans="2:34" ht="12.45" customHeight="1">
      <c r="B29" s="1489" t="s">
        <v>1436</v>
      </c>
      <c r="C29" s="1489"/>
      <c r="D29" s="1489"/>
      <c r="E29" s="1489"/>
      <c r="F29" s="1489"/>
      <c r="G29" s="1489"/>
      <c r="H29" s="1489"/>
      <c r="I29" s="1489"/>
      <c r="J29" s="1489"/>
      <c r="K29" s="1489"/>
      <c r="Y29" s="497"/>
      <c r="Z29" s="497"/>
      <c r="AA29" s="497"/>
      <c r="AB29" s="497"/>
      <c r="AC29" s="497"/>
      <c r="AD29" s="497"/>
      <c r="AF29" s="497"/>
      <c r="AG29" s="497"/>
      <c r="AH29" s="497"/>
    </row>
    <row r="30" spans="2:34" ht="13.8">
      <c r="B30" s="1489"/>
      <c r="C30" s="1489"/>
      <c r="D30" s="1489"/>
      <c r="E30" s="1489"/>
      <c r="F30" s="1489"/>
      <c r="G30" s="1489"/>
      <c r="H30" s="1489"/>
      <c r="I30" s="1489"/>
      <c r="J30" s="1489"/>
      <c r="K30" s="1489"/>
    </row>
    <row r="31" spans="2:34" ht="13.8">
      <c r="B31" s="1489"/>
      <c r="C31" s="1489"/>
      <c r="D31" s="1489"/>
      <c r="E31" s="1489"/>
      <c r="F31" s="1489"/>
      <c r="G31" s="1489"/>
      <c r="H31" s="1489"/>
      <c r="I31" s="1489"/>
      <c r="J31" s="1489"/>
      <c r="K31" s="1489"/>
    </row>
    <row r="32" spans="2:34" ht="13.8">
      <c r="B32" s="1489"/>
      <c r="C32" s="1489"/>
      <c r="D32" s="1489"/>
      <c r="E32" s="1489"/>
      <c r="F32" s="1489"/>
      <c r="G32" s="1489"/>
      <c r="H32" s="1489"/>
      <c r="I32" s="1489"/>
      <c r="J32" s="1489"/>
      <c r="K32" s="1489"/>
    </row>
    <row r="33" spans="1:34" ht="13.8">
      <c r="B33"/>
      <c r="C33" s="852"/>
      <c r="D33" s="852"/>
      <c r="E33" s="852"/>
      <c r="F33" s="852"/>
      <c r="G33" s="852"/>
      <c r="H33" s="852"/>
      <c r="I33" s="852"/>
      <c r="J33" s="852"/>
      <c r="K33" s="852"/>
    </row>
    <row r="34" spans="1:34" ht="15.75" customHeight="1">
      <c r="B34" s="850" t="s">
        <v>1437</v>
      </c>
      <c r="C34" s="1488" t="str">
        <f>CONCATENATE('Outline Info'!B2," ",'Outline Info'!B3)</f>
        <v xml:space="preserve"> </v>
      </c>
      <c r="D34" s="1488"/>
      <c r="E34" s="1488"/>
      <c r="F34" s="851" t="s">
        <v>1445</v>
      </c>
      <c r="G34" s="851"/>
      <c r="H34" s="851"/>
      <c r="I34" s="851"/>
      <c r="J34" s="851"/>
      <c r="K34" s="851"/>
    </row>
    <row r="35" spans="1:34" ht="15.75" customHeight="1">
      <c r="B35" s="1487" t="s">
        <v>1446</v>
      </c>
      <c r="C35" s="1487"/>
      <c r="D35" s="1487"/>
      <c r="E35" s="1487"/>
      <c r="F35" s="1487"/>
      <c r="G35" s="1487"/>
      <c r="H35" s="1487"/>
      <c r="I35" s="1487"/>
      <c r="J35" s="1487"/>
      <c r="K35" s="1487"/>
    </row>
    <row r="36" spans="1:34" ht="12.75" customHeight="1">
      <c r="B36" s="1487"/>
      <c r="C36" s="1487"/>
      <c r="D36" s="1487"/>
      <c r="E36" s="1487"/>
      <c r="F36" s="1487"/>
      <c r="G36" s="1487"/>
      <c r="H36" s="1487"/>
      <c r="I36" s="1487"/>
      <c r="J36" s="1487"/>
      <c r="K36" s="1487"/>
    </row>
    <row r="37" spans="1:34" ht="13.8">
      <c r="B37" s="850" t="s">
        <v>1437</v>
      </c>
      <c r="C37" s="1488" t="str">
        <f>CONCATENATE('Outline Info'!B2," ",'Outline Info'!B3)</f>
        <v xml:space="preserve"> </v>
      </c>
      <c r="D37" s="1488"/>
      <c r="E37" s="1488"/>
      <c r="F37" s="850" t="s">
        <v>1438</v>
      </c>
    </row>
    <row r="38" spans="1:34" ht="15.75" customHeight="1"/>
    <row r="39" spans="1:34" ht="12.75" customHeight="1"/>
    <row r="40" spans="1:34" ht="13.8">
      <c r="C40" s="497"/>
      <c r="D40" s="497"/>
      <c r="E40" s="497"/>
      <c r="F40" s="497"/>
      <c r="I40" s="497"/>
      <c r="J40" s="497"/>
      <c r="K40" s="497"/>
    </row>
    <row r="41" spans="1:34" ht="16.2">
      <c r="C41" s="512"/>
      <c r="D41" s="497"/>
      <c r="E41" s="497"/>
      <c r="F41" s="497"/>
      <c r="I41" s="497"/>
      <c r="J41" s="497"/>
      <c r="K41" s="497"/>
      <c r="Y41" s="497"/>
      <c r="Z41" s="497"/>
      <c r="AA41" s="497"/>
      <c r="AB41" s="497"/>
      <c r="AC41" s="497"/>
      <c r="AD41" s="497"/>
      <c r="AF41" s="497"/>
      <c r="AG41" s="497"/>
      <c r="AH41" s="497"/>
    </row>
    <row r="42" spans="1:34" ht="13.8">
      <c r="C42" s="514" t="s">
        <v>1433</v>
      </c>
      <c r="D42" s="514"/>
      <c r="E42" s="514"/>
      <c r="F42" s="514"/>
      <c r="I42" s="514" t="s">
        <v>494</v>
      </c>
      <c r="J42" s="514"/>
      <c r="K42" s="514"/>
      <c r="Y42" s="497"/>
      <c r="Z42" s="497"/>
      <c r="AA42" s="497"/>
      <c r="AB42" s="497"/>
      <c r="AC42" s="497"/>
      <c r="AD42" s="497"/>
      <c r="AF42" s="497"/>
      <c r="AG42" s="497"/>
      <c r="AH42" s="497"/>
    </row>
    <row r="43" spans="1:34" ht="12.45" customHeight="1"/>
    <row r="44" spans="1:34" ht="12.45" customHeight="1">
      <c r="C44" s="497"/>
      <c r="D44" s="497"/>
      <c r="E44" s="497"/>
      <c r="F44" s="497"/>
      <c r="I44" s="497"/>
      <c r="J44" s="497"/>
      <c r="K44" s="497"/>
    </row>
    <row r="45" spans="1:34" ht="12.45" customHeight="1">
      <c r="A45"/>
      <c r="C45" s="512"/>
      <c r="D45" s="497"/>
      <c r="E45" s="497"/>
      <c r="F45" s="497"/>
      <c r="I45" s="497"/>
      <c r="J45" s="497"/>
      <c r="K45" s="497"/>
    </row>
    <row r="46" spans="1:34" ht="15" customHeight="1">
      <c r="A46"/>
      <c r="C46" s="514" t="s">
        <v>1439</v>
      </c>
      <c r="D46" s="514"/>
      <c r="E46" s="514"/>
      <c r="F46" s="514"/>
      <c r="I46" s="514" t="s">
        <v>494</v>
      </c>
      <c r="J46" s="514"/>
      <c r="K46" s="514"/>
    </row>
    <row r="47" spans="1:34" ht="16.2">
      <c r="A47"/>
      <c r="B47" s="341"/>
    </row>
    <row r="48" spans="1:34" ht="16.2" hidden="1">
      <c r="B48" s="341"/>
      <c r="C48" s="341"/>
    </row>
    <row r="49" spans="2:3" ht="16.2" hidden="1">
      <c r="B49" s="341"/>
      <c r="C49" s="341"/>
    </row>
    <row r="50" spans="2:3" ht="16.2" hidden="1">
      <c r="B50" s="341"/>
      <c r="C50" s="341"/>
    </row>
  </sheetData>
  <mergeCells count="8">
    <mergeCell ref="B9:K16"/>
    <mergeCell ref="H5:L5"/>
    <mergeCell ref="B35:K36"/>
    <mergeCell ref="C37:E37"/>
    <mergeCell ref="C34:E34"/>
    <mergeCell ref="B17:K23"/>
    <mergeCell ref="B24:K28"/>
    <mergeCell ref="B29:K32"/>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4">
    <tabColor theme="6" tint="-0.249977111117893"/>
    <pageSetUpPr fitToPage="1"/>
  </sheetPr>
  <dimension ref="A1:N53"/>
  <sheetViews>
    <sheetView zoomScaleNormal="100" workbookViewId="0">
      <selection activeCell="AC1" sqref="AC1:AZ1048576"/>
    </sheetView>
  </sheetViews>
  <sheetFormatPr defaultColWidth="0" defaultRowHeight="13.8" zeroHeight="1"/>
  <cols>
    <col min="1" max="1" width="9.33203125" style="467" customWidth="1"/>
    <col min="2" max="2" width="28.109375" style="467" customWidth="1"/>
    <col min="3" max="3" width="13.77734375" style="467" customWidth="1"/>
    <col min="4" max="4" width="10.33203125" style="467" customWidth="1"/>
    <col min="5" max="5" width="16" style="467" customWidth="1"/>
    <col min="6" max="6" width="17" style="467" customWidth="1"/>
    <col min="7" max="7" width="17.6640625" style="467" bestFit="1" customWidth="1"/>
    <col min="8" max="8" width="0.77734375" style="467" customWidth="1"/>
    <col min="9" max="16384" width="9.33203125" style="467" hidden="1"/>
  </cols>
  <sheetData>
    <row r="1" spans="1:14" ht="23.25" customHeight="1">
      <c r="A1"/>
      <c r="C1" s="606" t="s">
        <v>671</v>
      </c>
      <c r="G1" s="1501" t="s">
        <v>1260</v>
      </c>
      <c r="H1" s="573"/>
    </row>
    <row r="2" spans="1:14" ht="14.25" customHeight="1">
      <c r="C2" s="1495" t="s">
        <v>490</v>
      </c>
      <c r="D2" s="1047"/>
      <c r="E2" s="1496" t="str">
        <f>CONCATENATE('Outline Info'!B2," ",'Outline Info'!B3)</f>
        <v xml:space="preserve"> </v>
      </c>
      <c r="F2" s="1496"/>
      <c r="G2" s="1501"/>
      <c r="H2" s="574"/>
    </row>
    <row r="3" spans="1:14" ht="19.2" customHeight="1">
      <c r="A3" s="575" t="s">
        <v>672</v>
      </c>
      <c r="C3" s="576">
        <f>IFERROR(SUM(F11,F18,F21,F26,F31,F35,F38,F41),0)</f>
        <v>354</v>
      </c>
      <c r="F3" s="575" t="s">
        <v>673</v>
      </c>
      <c r="G3" s="1501"/>
      <c r="H3" s="577"/>
    </row>
    <row r="4" spans="1:14" ht="19.5" customHeight="1" thickBot="1">
      <c r="A4" s="575" t="s">
        <v>674</v>
      </c>
      <c r="C4" s="576">
        <f>C3*D10</f>
        <v>0</v>
      </c>
      <c r="F4" s="578" t="s">
        <v>675</v>
      </c>
      <c r="G4" s="1501"/>
    </row>
    <row r="5" spans="1:14" ht="19.2" thickBot="1">
      <c r="A5" s="579" t="s">
        <v>809</v>
      </c>
      <c r="B5" s="580"/>
      <c r="C5" s="581">
        <f>F10*650</f>
        <v>0</v>
      </c>
      <c r="D5" s="582" t="s">
        <v>676</v>
      </c>
      <c r="E5" s="583">
        <f>C5-C4</f>
        <v>0</v>
      </c>
      <c r="F5" s="584">
        <v>0</v>
      </c>
      <c r="G5" s="585">
        <f>E5-F5</f>
        <v>0</v>
      </c>
    </row>
    <row r="6" spans="1:14" ht="19.2" thickBot="1">
      <c r="A6" s="586" t="s">
        <v>810</v>
      </c>
      <c r="B6" s="587"/>
      <c r="C6" s="588">
        <f>F10*460</f>
        <v>0</v>
      </c>
      <c r="D6" s="589" t="s">
        <v>676</v>
      </c>
      <c r="E6" s="590">
        <f>C6-C4</f>
        <v>0</v>
      </c>
      <c r="F6" s="591">
        <v>0</v>
      </c>
      <c r="G6" s="592">
        <f>E6-F6</f>
        <v>0</v>
      </c>
    </row>
    <row r="7" spans="1:14" ht="19.2" thickBot="1">
      <c r="A7" s="1497" t="s">
        <v>811</v>
      </c>
      <c r="B7" s="1498"/>
      <c r="C7" s="1498"/>
      <c r="D7" s="1498"/>
      <c r="E7" s="1498"/>
      <c r="F7" s="1499"/>
      <c r="G7" s="593">
        <f>IFERROR(G5/D10,0)</f>
        <v>0</v>
      </c>
    </row>
    <row r="8" spans="1:14" ht="19.2" thickBot="1">
      <c r="A8" s="1497" t="s">
        <v>812</v>
      </c>
      <c r="B8" s="1498"/>
      <c r="C8" s="1498"/>
      <c r="D8" s="1498"/>
      <c r="E8" s="1498"/>
      <c r="F8" s="1499"/>
      <c r="G8" s="593">
        <f>IFERROR(G6/D10,0)</f>
        <v>0</v>
      </c>
    </row>
    <row r="9" spans="1:14" ht="15">
      <c r="E9" s="594"/>
      <c r="F9" s="595"/>
      <c r="G9" s="594"/>
    </row>
    <row r="10" spans="1:14" ht="15">
      <c r="A10" s="575" t="s">
        <v>677</v>
      </c>
      <c r="B10" s="575"/>
      <c r="C10" s="596" t="s">
        <v>678</v>
      </c>
      <c r="D10" s="597">
        <f>ROUND((EndDate!B13/4.333),1)</f>
        <v>0</v>
      </c>
      <c r="E10" s="596" t="s">
        <v>679</v>
      </c>
      <c r="F10" s="598">
        <f>INT(D10*4.3 + 0.5)</f>
        <v>0</v>
      </c>
    </row>
    <row r="11" spans="1:14" ht="19.2" thickBot="1">
      <c r="A11" s="599" t="s">
        <v>680</v>
      </c>
      <c r="C11" s="594"/>
      <c r="D11" s="594"/>
      <c r="E11" s="594"/>
      <c r="F11" s="600">
        <f>SUM(C12,C13,C14,C15,C16,C17,G16,G15,G14,G13,G12)</f>
        <v>0</v>
      </c>
    </row>
    <row r="12" spans="1:14" ht="15.6" thickBot="1">
      <c r="A12" s="575" t="s">
        <v>681</v>
      </c>
      <c r="B12" s="575"/>
      <c r="C12" s="601">
        <v>0</v>
      </c>
      <c r="D12" s="576"/>
      <c r="E12" s="575" t="s">
        <v>596</v>
      </c>
      <c r="F12" s="575"/>
      <c r="G12" s="601">
        <v>0</v>
      </c>
    </row>
    <row r="13" spans="1:14" ht="15.6" thickBot="1">
      <c r="A13" s="575" t="s">
        <v>682</v>
      </c>
      <c r="B13" s="575"/>
      <c r="C13" s="601">
        <v>0</v>
      </c>
      <c r="D13" s="576"/>
      <c r="E13" s="575" t="s">
        <v>683</v>
      </c>
      <c r="F13" s="575"/>
      <c r="G13" s="601">
        <v>0</v>
      </c>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5.6" thickBot="1">
      <c r="A14" s="575" t="s">
        <v>684</v>
      </c>
      <c r="B14" s="575"/>
      <c r="C14" s="601">
        <v>0</v>
      </c>
      <c r="D14" s="576"/>
      <c r="E14" s="575" t="s">
        <v>685</v>
      </c>
      <c r="F14" s="575"/>
      <c r="G14" s="601">
        <v>0</v>
      </c>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5.6" thickBot="1">
      <c r="A15" s="575" t="s">
        <v>686</v>
      </c>
      <c r="B15" s="575"/>
      <c r="C15" s="601">
        <v>0</v>
      </c>
      <c r="D15" s="576"/>
      <c r="E15" s="575" t="s">
        <v>687</v>
      </c>
      <c r="F15" s="575"/>
      <c r="G15" s="601">
        <v>0</v>
      </c>
    </row>
    <row r="16" spans="1:14" ht="15.6" thickBot="1">
      <c r="A16" s="575" t="s">
        <v>813</v>
      </c>
      <c r="B16" s="575"/>
      <c r="C16" s="601">
        <v>0</v>
      </c>
      <c r="D16" s="576"/>
      <c r="E16" s="575" t="s">
        <v>688</v>
      </c>
      <c r="F16" s="575"/>
      <c r="G16" s="601">
        <v>0</v>
      </c>
    </row>
    <row r="17" spans="1:7" ht="15.6" thickBot="1">
      <c r="A17" s="575" t="s">
        <v>689</v>
      </c>
      <c r="B17" s="575"/>
      <c r="C17" s="601">
        <v>0</v>
      </c>
      <c r="D17" s="576"/>
      <c r="E17" s="576"/>
      <c r="F17" s="576"/>
      <c r="G17" s="575"/>
    </row>
    <row r="18" spans="1:7" ht="19.2" thickBot="1">
      <c r="A18" s="599" t="s">
        <v>690</v>
      </c>
      <c r="C18" s="594"/>
      <c r="D18" s="594"/>
      <c r="E18" s="594"/>
      <c r="F18" s="600">
        <f>SUM(C19,C20,G19)</f>
        <v>0</v>
      </c>
    </row>
    <row r="19" spans="1:7" ht="15.6" thickBot="1">
      <c r="A19" s="575" t="s">
        <v>691</v>
      </c>
      <c r="B19" s="575"/>
      <c r="C19" s="602">
        <v>0</v>
      </c>
      <c r="D19" s="576"/>
      <c r="E19" s="575" t="s">
        <v>814</v>
      </c>
      <c r="F19" s="575"/>
      <c r="G19" s="601">
        <v>0</v>
      </c>
    </row>
    <row r="20" spans="1:7" ht="15.6" thickBot="1">
      <c r="A20" s="575" t="s">
        <v>692</v>
      </c>
      <c r="B20" s="575"/>
      <c r="C20" s="602">
        <v>0</v>
      </c>
      <c r="D20" s="576"/>
      <c r="E20" s="576"/>
      <c r="F20" s="576"/>
      <c r="G20" s="575"/>
    </row>
    <row r="21" spans="1:7" ht="19.2" thickBot="1">
      <c r="A21" s="599" t="s">
        <v>693</v>
      </c>
      <c r="C21" s="594"/>
      <c r="D21" s="594"/>
      <c r="E21" s="594"/>
      <c r="F21" s="600">
        <f>SUM(G24,G23,G22,C25,C24,C23,C22)</f>
        <v>0</v>
      </c>
    </row>
    <row r="22" spans="1:7" ht="15.6" thickBot="1">
      <c r="A22" s="575" t="s">
        <v>694</v>
      </c>
      <c r="B22" s="575"/>
      <c r="C22" s="601">
        <v>0</v>
      </c>
      <c r="D22" s="576"/>
      <c r="E22" s="575" t="s">
        <v>695</v>
      </c>
      <c r="F22" s="575"/>
      <c r="G22" s="601">
        <v>0</v>
      </c>
    </row>
    <row r="23" spans="1:7" ht="15.6" thickBot="1">
      <c r="A23" s="575" t="s">
        <v>696</v>
      </c>
      <c r="B23" s="575"/>
      <c r="C23" s="601">
        <v>0</v>
      </c>
      <c r="D23" s="576"/>
      <c r="E23" s="575" t="s">
        <v>697</v>
      </c>
      <c r="F23" s="575"/>
      <c r="G23" s="601">
        <v>0</v>
      </c>
    </row>
    <row r="24" spans="1:7" ht="15.6" thickBot="1">
      <c r="A24" s="575" t="s">
        <v>698</v>
      </c>
      <c r="B24" s="575"/>
      <c r="C24" s="601">
        <v>0</v>
      </c>
      <c r="D24" s="576"/>
      <c r="E24" s="575" t="s">
        <v>699</v>
      </c>
      <c r="F24" s="575"/>
      <c r="G24" s="601">
        <v>0</v>
      </c>
    </row>
    <row r="25" spans="1:7" ht="15.6" thickBot="1">
      <c r="A25" s="575" t="s">
        <v>700</v>
      </c>
      <c r="B25" s="575"/>
      <c r="C25" s="601">
        <v>0</v>
      </c>
      <c r="D25" s="576"/>
      <c r="E25" s="576"/>
      <c r="F25" s="576"/>
      <c r="G25" s="575"/>
    </row>
    <row r="26" spans="1:7" ht="19.2" thickBot="1">
      <c r="A26" s="599" t="s">
        <v>701</v>
      </c>
      <c r="C26" s="594"/>
      <c r="D26" s="594"/>
      <c r="E26" s="594"/>
      <c r="F26" s="600">
        <f>SUM(C27,C28,C29,C30,G27,G28,G29,G30)</f>
        <v>0</v>
      </c>
    </row>
    <row r="27" spans="1:7" ht="15.6" thickBot="1">
      <c r="A27" s="575" t="s">
        <v>702</v>
      </c>
      <c r="B27" s="575"/>
      <c r="C27" s="601">
        <v>0</v>
      </c>
      <c r="D27" s="576"/>
      <c r="E27" s="575" t="s">
        <v>703</v>
      </c>
      <c r="F27" s="575"/>
      <c r="G27" s="601">
        <v>0</v>
      </c>
    </row>
    <row r="28" spans="1:7" ht="15.6" thickBot="1">
      <c r="A28" s="575" t="s">
        <v>704</v>
      </c>
      <c r="B28" s="575"/>
      <c r="C28" s="601">
        <v>0</v>
      </c>
      <c r="D28" s="576"/>
      <c r="E28" s="575" t="s">
        <v>705</v>
      </c>
      <c r="F28" s="575"/>
      <c r="G28" s="601">
        <v>0</v>
      </c>
    </row>
    <row r="29" spans="1:7" ht="15.6" thickBot="1">
      <c r="A29" s="575" t="s">
        <v>706</v>
      </c>
      <c r="B29" s="575"/>
      <c r="C29" s="601">
        <v>0</v>
      </c>
      <c r="D29" s="576"/>
      <c r="E29" s="575" t="s">
        <v>707</v>
      </c>
      <c r="F29" s="575"/>
      <c r="G29" s="601">
        <v>0</v>
      </c>
    </row>
    <row r="30" spans="1:7" ht="15.6" thickBot="1">
      <c r="A30" s="575" t="s">
        <v>708</v>
      </c>
      <c r="B30" s="575"/>
      <c r="C30" s="601">
        <v>0</v>
      </c>
      <c r="D30" s="576"/>
      <c r="E30" s="575" t="s">
        <v>709</v>
      </c>
      <c r="F30" s="575"/>
      <c r="G30" s="601">
        <v>0</v>
      </c>
    </row>
    <row r="31" spans="1:7" ht="19.2" thickBot="1">
      <c r="A31" s="599" t="s">
        <v>710</v>
      </c>
      <c r="C31" s="594"/>
      <c r="D31" s="594"/>
      <c r="E31" s="594"/>
      <c r="F31" s="600">
        <f>SUM(G34,G33,C34,C33,C32,G32)</f>
        <v>0</v>
      </c>
    </row>
    <row r="32" spans="1:7" ht="15.6" thickBot="1">
      <c r="A32" s="575" t="s">
        <v>711</v>
      </c>
      <c r="B32" s="575"/>
      <c r="C32" s="601">
        <v>0</v>
      </c>
      <c r="D32" s="576"/>
      <c r="E32" s="575" t="s">
        <v>712</v>
      </c>
      <c r="F32" s="575"/>
      <c r="G32" s="601">
        <v>0</v>
      </c>
    </row>
    <row r="33" spans="1:7" ht="15.6" thickBot="1">
      <c r="A33" s="575" t="s">
        <v>713</v>
      </c>
      <c r="B33" s="575"/>
      <c r="C33" s="601">
        <v>0</v>
      </c>
      <c r="D33" s="576"/>
      <c r="E33" s="575" t="s">
        <v>714</v>
      </c>
      <c r="F33" s="575"/>
      <c r="G33" s="601">
        <v>0</v>
      </c>
    </row>
    <row r="34" spans="1:7" ht="15.6" thickBot="1">
      <c r="A34" s="575" t="s">
        <v>715</v>
      </c>
      <c r="B34" s="575"/>
      <c r="C34" s="601">
        <v>0</v>
      </c>
      <c r="D34" s="576"/>
      <c r="E34" s="575" t="s">
        <v>716</v>
      </c>
      <c r="F34" s="575"/>
      <c r="G34" s="601">
        <v>0</v>
      </c>
    </row>
    <row r="35" spans="1:7" ht="19.2" thickBot="1">
      <c r="A35" s="599" t="s">
        <v>717</v>
      </c>
      <c r="C35" s="594"/>
      <c r="D35" s="594"/>
      <c r="E35" s="594"/>
      <c r="F35" s="600">
        <f>SUM(G37,G36,C37,C36)</f>
        <v>0</v>
      </c>
    </row>
    <row r="36" spans="1:7" ht="15.6" thickBot="1">
      <c r="A36" s="575" t="s">
        <v>718</v>
      </c>
      <c r="B36" s="575"/>
      <c r="C36" s="601">
        <v>0</v>
      </c>
      <c r="D36" s="576"/>
      <c r="E36" s="575" t="s">
        <v>719</v>
      </c>
      <c r="F36" s="575"/>
      <c r="G36" s="601">
        <v>0</v>
      </c>
    </row>
    <row r="37" spans="1:7" ht="15.6" thickBot="1">
      <c r="A37" s="575" t="s">
        <v>720</v>
      </c>
      <c r="B37" s="575"/>
      <c r="C37" s="601">
        <v>0</v>
      </c>
      <c r="D37" s="576"/>
      <c r="E37" s="575" t="s">
        <v>721</v>
      </c>
      <c r="F37" s="575"/>
      <c r="G37" s="601">
        <v>0</v>
      </c>
    </row>
    <row r="38" spans="1:7" ht="19.2" thickBot="1">
      <c r="A38" s="599" t="s">
        <v>722</v>
      </c>
      <c r="C38" s="594"/>
      <c r="D38" s="594"/>
      <c r="E38" s="594"/>
      <c r="F38" s="600">
        <f>SUM(G39,C40,C39)</f>
        <v>0</v>
      </c>
    </row>
    <row r="39" spans="1:7" ht="15.6" thickBot="1">
      <c r="A39" s="575" t="s">
        <v>723</v>
      </c>
      <c r="B39" s="575"/>
      <c r="C39" s="601">
        <v>0</v>
      </c>
      <c r="D39" s="576"/>
      <c r="E39" s="575" t="s">
        <v>724</v>
      </c>
      <c r="F39" s="575"/>
      <c r="G39" s="601">
        <v>0</v>
      </c>
    </row>
    <row r="40" spans="1:7" ht="15.6" thickBot="1">
      <c r="A40" s="575" t="s">
        <v>725</v>
      </c>
      <c r="B40" s="575"/>
      <c r="C40" s="601">
        <v>0</v>
      </c>
      <c r="D40" s="576"/>
      <c r="E40" s="576"/>
      <c r="F40" s="576"/>
      <c r="G40" s="575"/>
    </row>
    <row r="41" spans="1:7" ht="19.2" thickBot="1">
      <c r="A41" s="599" t="s">
        <v>726</v>
      </c>
      <c r="C41" s="594"/>
      <c r="E41" s="576" t="s">
        <v>727</v>
      </c>
      <c r="F41" s="600">
        <f>IF(D10&lt;1,SUM(C42,C43,C44,G42,G43),IFERROR(SUM(C42,C43,C44,G42,G43)/D10,0))</f>
        <v>354</v>
      </c>
    </row>
    <row r="42" spans="1:7" ht="15.6" thickBot="1">
      <c r="A42" s="575" t="s">
        <v>728</v>
      </c>
      <c r="B42" s="575"/>
      <c r="C42" s="603">
        <f>'Outline Admin'!F57</f>
        <v>354</v>
      </c>
      <c r="D42" s="576"/>
      <c r="E42" s="575" t="s">
        <v>729</v>
      </c>
      <c r="F42" s="575"/>
      <c r="G42" s="601">
        <v>0</v>
      </c>
    </row>
    <row r="43" spans="1:7" ht="15.6" thickBot="1">
      <c r="A43" s="575" t="s">
        <v>730</v>
      </c>
      <c r="B43" s="575"/>
      <c r="C43" s="601">
        <v>0</v>
      </c>
      <c r="D43" s="576"/>
      <c r="E43" s="575" t="s">
        <v>731</v>
      </c>
      <c r="F43" s="575"/>
      <c r="G43" s="601">
        <v>0</v>
      </c>
    </row>
    <row r="44" spans="1:7" ht="15.6" thickBot="1">
      <c r="A44" s="575" t="s">
        <v>732</v>
      </c>
      <c r="B44" s="575"/>
      <c r="C44" s="601">
        <v>0</v>
      </c>
      <c r="D44" s="576"/>
      <c r="E44" s="576"/>
      <c r="F44" s="576"/>
      <c r="G44" s="575"/>
    </row>
    <row r="45" spans="1:7">
      <c r="C45" s="604"/>
      <c r="D45" s="594"/>
      <c r="E45" s="594"/>
      <c r="F45" s="594"/>
    </row>
    <row r="46" spans="1:7" ht="25.2" customHeight="1">
      <c r="A46" s="1490" t="s">
        <v>478</v>
      </c>
      <c r="B46" s="1491"/>
      <c r="C46" s="1491"/>
      <c r="D46" s="1492"/>
      <c r="E46" s="605" t="s">
        <v>476</v>
      </c>
      <c r="F46" s="1500"/>
      <c r="G46" s="1494"/>
    </row>
    <row r="47" spans="1:7" ht="25.2" customHeight="1">
      <c r="A47" s="1490" t="s">
        <v>1210</v>
      </c>
      <c r="B47" s="1491"/>
      <c r="C47" s="1491"/>
      <c r="D47" s="1492"/>
      <c r="E47" s="605" t="s">
        <v>476</v>
      </c>
      <c r="F47" s="1493"/>
      <c r="G47" s="1494"/>
    </row>
    <row r="48" spans="1:7"/>
    <row r="51" spans="1:2" ht="27.6" hidden="1">
      <c r="B51" s="573"/>
    </row>
    <row r="52" spans="1:2" hidden="1">
      <c r="A52" s="574"/>
    </row>
    <row r="53" spans="1:2" ht="16.2" hidden="1">
      <c r="A53" s="577"/>
    </row>
  </sheetData>
  <mergeCells count="9">
    <mergeCell ref="A47:D47"/>
    <mergeCell ref="F47:G47"/>
    <mergeCell ref="C2:D2"/>
    <mergeCell ref="E2:F2"/>
    <mergeCell ref="A7:F7"/>
    <mergeCell ref="A8:F8"/>
    <mergeCell ref="A46:D46"/>
    <mergeCell ref="F46:G46"/>
    <mergeCell ref="G1:G4"/>
  </mergeCells>
  <phoneticPr fontId="117" type="noConversion"/>
  <pageMargins left="0.7" right="0.7" top="0.75" bottom="0.75" header="0.3" footer="0.3"/>
  <pageSetup scale="86"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tabColor theme="6" tint="-0.249977111117893"/>
  </sheetPr>
  <dimension ref="A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B1" s="467"/>
      <c r="C1" s="467"/>
      <c r="D1" s="467"/>
      <c r="E1" s="467"/>
      <c r="F1" s="467"/>
      <c r="G1" s="467"/>
      <c r="H1" s="341" t="str">
        <f>LEFT('Franchise Info'!$B$4,FIND(", ",'Franchise Info'!$B$4)-1)</f>
        <v>201 - 20621 Logan Ave</v>
      </c>
      <c r="I1" s="467"/>
      <c r="J1" s="467"/>
      <c r="K1" s="467"/>
    </row>
    <row r="2" spans="2:14" ht="16.2">
      <c r="B2" s="467"/>
      <c r="C2" s="467"/>
      <c r="D2" s="467"/>
      <c r="E2" s="467"/>
      <c r="F2" s="467"/>
      <c r="G2" s="467"/>
      <c r="H2" s="341" t="str">
        <f>MID('Franchise Info'!$B$4,FIND(", ",'Franchise Info'!$B$4)+2,50)</f>
        <v>Langley, BC, V3A 7R3</v>
      </c>
      <c r="I2" s="467"/>
      <c r="J2" s="467"/>
      <c r="K2" s="467"/>
    </row>
    <row r="3" spans="2:14" ht="16.2">
      <c r="B3" s="467"/>
      <c r="C3" s="467"/>
      <c r="D3" s="467"/>
      <c r="E3" s="467"/>
      <c r="F3" s="467"/>
      <c r="G3" s="467"/>
      <c r="H3" s="341" t="str">
        <f>CONCATENATE("Telephone:"," ",REPLACE(LEFT('Franchise Info'!$B$7,22),1,8,""))</f>
        <v>Telephone: (604) 532-4040</v>
      </c>
      <c r="I3" s="467"/>
      <c r="J3" s="467"/>
      <c r="K3" s="467"/>
    </row>
    <row r="4" spans="2:14" ht="16.2">
      <c r="B4" s="467"/>
      <c r="C4" s="467"/>
      <c r="D4" s="467"/>
      <c r="E4" s="467"/>
      <c r="F4" s="467"/>
      <c r="G4" s="467"/>
      <c r="H4" s="341" t="str">
        <f>CONCATENATE("Facsimile:"," ",RIGHT('Franchise Info'!$B$7,14))</f>
        <v>Facsimile: (604) 532-4001</v>
      </c>
      <c r="I4" s="467"/>
      <c r="J4" s="467"/>
      <c r="K4" s="467"/>
    </row>
    <row r="5" spans="2:14" ht="16.2">
      <c r="B5" s="467"/>
      <c r="C5" s="467"/>
      <c r="D5" s="467"/>
      <c r="E5" s="467"/>
      <c r="F5" s="467"/>
      <c r="G5" s="467"/>
      <c r="H5" s="1330" t="str">
        <f>MID('Franchise Info'!$B$7,FIND("E-Mail",'Franchise Info'!$B$7),60)</f>
        <v xml:space="preserve">E-Mail : admin.langley@aolccbc.com                          </v>
      </c>
      <c r="I5" s="1330"/>
      <c r="J5" s="1330"/>
      <c r="K5" s="1330"/>
      <c r="L5" s="1330"/>
    </row>
    <row r="6" spans="2:14" ht="13.8">
      <c r="B6" s="467"/>
      <c r="C6" s="1336" t="s">
        <v>660</v>
      </c>
      <c r="D6" s="1336"/>
      <c r="E6" s="1336"/>
      <c r="F6" s="1336"/>
      <c r="G6" s="1336"/>
      <c r="H6" s="1336"/>
      <c r="I6" s="1336"/>
      <c r="J6" s="1336"/>
      <c r="K6" s="1336"/>
      <c r="L6" s="1336"/>
    </row>
    <row r="7" spans="2:14" ht="19.5" customHeight="1">
      <c r="B7" s="467"/>
      <c r="C7" s="1336"/>
      <c r="D7" s="1336"/>
      <c r="E7" s="1336"/>
      <c r="F7" s="1336"/>
      <c r="G7" s="1336"/>
      <c r="H7" s="1336"/>
      <c r="I7" s="1336"/>
      <c r="J7" s="1336"/>
      <c r="K7" s="1336"/>
      <c r="L7" s="1336"/>
    </row>
    <row r="8" spans="2:14" ht="13.5" customHeight="1">
      <c r="B8" s="467"/>
      <c r="C8" s="238"/>
      <c r="D8" s="238"/>
      <c r="E8" s="238"/>
      <c r="F8" s="238"/>
      <c r="G8" s="238"/>
      <c r="H8" s="545"/>
      <c r="I8" s="545"/>
      <c r="J8" s="545"/>
      <c r="K8" s="545"/>
    </row>
    <row r="9" spans="2:14" ht="15.75" customHeight="1">
      <c r="B9" s="341" t="s">
        <v>542</v>
      </c>
      <c r="C9" s="1331" t="str">
        <f>CONCATENATE('Outline Info'!B2," ",'Outline Info'!B3)</f>
        <v xml:space="preserve"> </v>
      </c>
      <c r="D9" s="1331"/>
      <c r="E9" s="1331"/>
      <c r="F9" s="519" t="s">
        <v>1207</v>
      </c>
      <c r="G9" s="519"/>
      <c r="H9" s="519"/>
      <c r="I9" s="519"/>
      <c r="J9" s="519"/>
      <c r="K9" s="519"/>
      <c r="L9" s="519"/>
    </row>
    <row r="10" spans="2:14" ht="15.75" customHeight="1">
      <c r="B10" s="1353" t="s">
        <v>1208</v>
      </c>
      <c r="C10" s="1353"/>
      <c r="D10" s="1353"/>
      <c r="E10" s="1353"/>
      <c r="F10" s="1353"/>
      <c r="G10" s="1353"/>
      <c r="H10" s="1353"/>
      <c r="I10" s="1353"/>
      <c r="J10" s="1353"/>
      <c r="K10" s="1353"/>
      <c r="L10" s="1353"/>
    </row>
    <row r="11" spans="2:14" ht="15.75" customHeight="1">
      <c r="B11" s="1353"/>
      <c r="C11" s="1353"/>
      <c r="D11" s="1353"/>
      <c r="E11" s="1353"/>
      <c r="F11" s="1353"/>
      <c r="G11" s="1353"/>
      <c r="H11" s="1353"/>
      <c r="I11" s="1353"/>
      <c r="J11" s="1353"/>
      <c r="K11" s="1353"/>
      <c r="L11" s="1353"/>
    </row>
    <row r="12" spans="2:14" ht="15.75" customHeight="1">
      <c r="B12" s="467"/>
      <c r="C12" s="545"/>
      <c r="D12" s="545"/>
      <c r="E12" s="545"/>
      <c r="F12" s="545"/>
      <c r="G12" s="545"/>
      <c r="H12" s="545"/>
      <c r="I12" s="545"/>
      <c r="J12" s="545"/>
      <c r="K12" s="545"/>
      <c r="L12" s="545"/>
    </row>
    <row r="13" spans="2:14" ht="12.75" customHeight="1">
      <c r="B13" s="1329" t="s">
        <v>1027</v>
      </c>
      <c r="C13" s="1329"/>
      <c r="D13" s="1329"/>
      <c r="E13" s="1329"/>
      <c r="F13" s="1329"/>
      <c r="G13" s="1329"/>
      <c r="H13" s="1329"/>
      <c r="I13" s="1329"/>
      <c r="J13" s="1329"/>
      <c r="K13" s="1329"/>
      <c r="L13" s="1329"/>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2.75" customHeight="1">
      <c r="B14" s="1329"/>
      <c r="C14" s="1329"/>
      <c r="D14" s="1329"/>
      <c r="E14" s="1329"/>
      <c r="F14" s="1329"/>
      <c r="G14" s="1329"/>
      <c r="H14" s="1329"/>
      <c r="I14" s="1329"/>
      <c r="J14" s="1329"/>
      <c r="K14" s="1329"/>
      <c r="L14" s="1329"/>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1329"/>
      <c r="C15" s="1329"/>
      <c r="D15" s="1329"/>
      <c r="E15" s="1329"/>
      <c r="F15" s="1329"/>
      <c r="G15" s="1329"/>
      <c r="H15" s="1329"/>
      <c r="I15" s="1329"/>
      <c r="J15" s="1329"/>
      <c r="K15" s="1329"/>
      <c r="L15" s="1329"/>
    </row>
    <row r="16" spans="2:14" ht="15.75" customHeight="1">
      <c r="B16" s="1329"/>
      <c r="C16" s="1329"/>
      <c r="D16" s="1329"/>
      <c r="E16" s="1329"/>
      <c r="F16" s="1329"/>
      <c r="G16" s="1329"/>
      <c r="H16" s="1329"/>
      <c r="I16" s="1329"/>
      <c r="J16" s="1329"/>
      <c r="K16" s="1329"/>
      <c r="L16" s="1329"/>
    </row>
    <row r="17" spans="1:34" ht="12.75" customHeight="1">
      <c r="B17" s="467"/>
      <c r="C17" s="519"/>
      <c r="D17" s="519"/>
      <c r="E17" s="519"/>
      <c r="F17" s="519"/>
      <c r="G17" s="519"/>
      <c r="H17" s="519"/>
      <c r="I17" s="519"/>
      <c r="J17" s="519"/>
      <c r="K17" s="519"/>
      <c r="L17" s="527"/>
    </row>
    <row r="18" spans="1:34" ht="15.75" customHeight="1">
      <c r="B18" s="467"/>
      <c r="C18" s="512"/>
      <c r="D18" s="497"/>
      <c r="E18" s="497"/>
      <c r="F18" s="467"/>
      <c r="G18" s="467"/>
      <c r="H18" s="497"/>
      <c r="I18" s="497"/>
      <c r="J18" s="497"/>
      <c r="K18" s="607"/>
      <c r="L18" s="607"/>
    </row>
    <row r="19" spans="1:34" ht="12.75" customHeight="1">
      <c r="B19" s="467"/>
      <c r="C19" s="512"/>
      <c r="D19" s="497"/>
      <c r="E19" s="497"/>
      <c r="F19" s="467"/>
      <c r="G19" s="467"/>
      <c r="H19" s="497"/>
      <c r="I19" s="497"/>
      <c r="J19" s="497"/>
      <c r="K19" s="607"/>
      <c r="L19" s="607"/>
    </row>
    <row r="20" spans="1:34" ht="12.75" customHeight="1">
      <c r="B20" s="467"/>
      <c r="C20" s="1502" t="s">
        <v>97</v>
      </c>
      <c r="D20" s="1502"/>
      <c r="E20" s="1502"/>
      <c r="F20" s="467"/>
      <c r="G20" s="467"/>
      <c r="H20" s="1502" t="s">
        <v>30</v>
      </c>
      <c r="I20" s="1502"/>
      <c r="J20" s="1502"/>
      <c r="K20" s="607"/>
      <c r="L20" s="607"/>
    </row>
    <row r="21" spans="1:34" ht="12.75" customHeight="1">
      <c r="B21" s="467"/>
      <c r="C21" s="1503"/>
      <c r="D21" s="1503"/>
      <c r="E21" s="1503"/>
      <c r="F21" s="607"/>
      <c r="G21" s="607"/>
      <c r="H21" s="1503"/>
      <c r="I21" s="1503"/>
      <c r="J21" s="1503"/>
      <c r="K21" s="607"/>
      <c r="L21" s="607"/>
    </row>
    <row r="22" spans="1:34" ht="12.75" customHeight="1">
      <c r="B22" s="467"/>
      <c r="C22" s="607"/>
      <c r="D22" s="607"/>
      <c r="E22" s="607"/>
      <c r="F22" s="607"/>
      <c r="G22" s="607"/>
      <c r="H22" s="607"/>
      <c r="I22" s="607"/>
      <c r="J22" s="607"/>
      <c r="K22" s="607"/>
      <c r="L22" s="607"/>
    </row>
    <row r="23" spans="1:34" ht="12.75" customHeight="1">
      <c r="B23" s="467"/>
      <c r="C23" s="519"/>
      <c r="D23" s="519"/>
      <c r="E23" s="519"/>
      <c r="F23" s="519"/>
      <c r="G23" s="519"/>
      <c r="H23" s="519"/>
      <c r="I23" s="519"/>
      <c r="J23" s="519"/>
      <c r="K23" s="519"/>
      <c r="L23" s="527"/>
    </row>
    <row r="24" spans="1:34" ht="12.75" customHeight="1">
      <c r="B24" s="467"/>
      <c r="C24" s="512"/>
      <c r="D24" s="497"/>
      <c r="E24" s="497"/>
      <c r="F24" s="467"/>
      <c r="G24" s="467"/>
      <c r="H24" s="497"/>
      <c r="I24" s="497"/>
      <c r="J24" s="497"/>
      <c r="K24" s="519"/>
      <c r="L24" s="527"/>
    </row>
    <row r="25" spans="1:34" ht="12.75" customHeight="1">
      <c r="B25" s="467"/>
      <c r="C25" s="699"/>
      <c r="D25" s="571"/>
      <c r="E25" s="571"/>
      <c r="F25" s="467"/>
      <c r="G25" s="467"/>
      <c r="H25" s="497"/>
      <c r="I25" s="497"/>
      <c r="J25" s="497"/>
      <c r="K25" s="519"/>
      <c r="L25" s="238"/>
      <c r="Y25" s="497"/>
      <c r="Z25" s="497"/>
      <c r="AA25" s="497"/>
      <c r="AB25" s="497"/>
      <c r="AC25" s="497"/>
      <c r="AD25" s="497"/>
      <c r="AF25" s="497"/>
      <c r="AG25" s="497"/>
      <c r="AH25" s="497"/>
    </row>
    <row r="26" spans="1:34" ht="12.75" customHeight="1">
      <c r="A26" s="238"/>
      <c r="B26" s="467"/>
      <c r="C26" s="1503" t="s">
        <v>1209</v>
      </c>
      <c r="D26" s="1503"/>
      <c r="E26" s="1503"/>
      <c r="F26" s="1503"/>
      <c r="G26" s="467"/>
      <c r="H26" s="1502" t="s">
        <v>30</v>
      </c>
      <c r="I26" s="1502"/>
      <c r="J26" s="1502"/>
      <c r="K26" s="519"/>
      <c r="Y26" s="497"/>
      <c r="Z26" s="497"/>
      <c r="AA26" s="497"/>
      <c r="AB26" s="497"/>
      <c r="AC26" s="497"/>
      <c r="AD26" s="497"/>
      <c r="AF26" s="497"/>
      <c r="AG26" s="497"/>
      <c r="AH26" s="497"/>
    </row>
    <row r="27" spans="1:34" ht="16.2">
      <c r="A27" s="238"/>
      <c r="B27" s="467"/>
      <c r="C27" s="1503"/>
      <c r="D27" s="1503"/>
      <c r="E27" s="1503"/>
      <c r="F27" s="1503"/>
      <c r="G27" s="545"/>
      <c r="H27" s="1503"/>
      <c r="I27" s="1503"/>
      <c r="J27" s="1503"/>
      <c r="K27" s="545"/>
    </row>
    <row r="28" spans="1:34" ht="0.45" customHeight="1">
      <c r="A28" s="238"/>
      <c r="B28" s="467"/>
      <c r="C28" s="238"/>
      <c r="D28" s="238"/>
      <c r="E28" s="238"/>
      <c r="F28" s="238"/>
      <c r="G28" s="238"/>
      <c r="H28" s="238"/>
      <c r="I28" s="238"/>
      <c r="J28" s="238"/>
      <c r="K28" s="238"/>
    </row>
    <row r="29" spans="1:34" ht="16.2">
      <c r="A29" s="238"/>
      <c r="B29" s="467"/>
      <c r="K29" s="546"/>
      <c r="Y29" s="497"/>
      <c r="Z29" s="497"/>
      <c r="AA29" s="497"/>
      <c r="AB29" s="497"/>
      <c r="AC29" s="497"/>
      <c r="AD29" s="497"/>
      <c r="AF29" s="497"/>
      <c r="AG29" s="497"/>
      <c r="AH29" s="497"/>
    </row>
    <row r="30" spans="1:34" ht="16.2">
      <c r="B30" s="467"/>
      <c r="K30" s="526"/>
      <c r="Y30" s="497"/>
      <c r="Z30" s="497"/>
      <c r="AA30" s="497"/>
      <c r="AB30" s="497"/>
      <c r="AC30" s="497"/>
      <c r="AD30" s="497"/>
      <c r="AF30" s="497"/>
      <c r="AG30" s="497"/>
      <c r="AH30" s="497"/>
    </row>
    <row r="31" spans="1:34" ht="16.2">
      <c r="B31" s="467"/>
      <c r="K31" s="526"/>
    </row>
    <row r="32" spans="1:34" ht="16.2">
      <c r="B32" s="467"/>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11">
    <mergeCell ref="H5:L5"/>
    <mergeCell ref="C6:L7"/>
    <mergeCell ref="C32:F32"/>
    <mergeCell ref="C34:K41"/>
    <mergeCell ref="C9:E9"/>
    <mergeCell ref="B10:L11"/>
    <mergeCell ref="B13:L16"/>
    <mergeCell ref="C20:E21"/>
    <mergeCell ref="H20:J21"/>
    <mergeCell ref="C26:F27"/>
    <mergeCell ref="H26:J27"/>
  </mergeCells>
  <phoneticPr fontId="117" type="noConversion"/>
  <pageMargins left="0.5" right="0.5" top="0.33" bottom="0.13" header="0.44" footer="0.5"/>
  <pageSetup scale="97" orientation="portrait" r:id="rId1"/>
  <colBreaks count="1" manualBreakCount="1">
    <brk id="12" max="47"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FCDFA7A2F30174A8A8ADBFCD07FE51F" ma:contentTypeVersion="17" ma:contentTypeDescription="Create a new document." ma:contentTypeScope="" ma:versionID="7fc6ca24c77f3ba440697e7f5559e0a9">
  <xsd:schema xmlns:xsd="http://www.w3.org/2001/XMLSchema" xmlns:xs="http://www.w3.org/2001/XMLSchema" xmlns:p="http://schemas.microsoft.com/office/2006/metadata/properties" xmlns:ns2="d571cd6c-2eb1-4859-8477-07b497c03897" xmlns:ns3="1b935c95-1264-4e43-92a6-b77a9fa76fde" targetNamespace="http://schemas.microsoft.com/office/2006/metadata/properties" ma:root="true" ma:fieldsID="a583399e38e928da0364b05454dff5cb" ns2:_="" ns3:_="">
    <xsd:import namespace="d571cd6c-2eb1-4859-8477-07b497c03897"/>
    <xsd:import namespace="1b935c95-1264-4e43-92a6-b77a9fa76fd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TaxCatchAll" minOccurs="0"/>
                <xsd:element ref="ns2:lcf76f155ced4ddcb4097134ff3c332f"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571cd6c-2eb1-4859-8477-07b497c038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ef94ef1-03b6-49b0-bdb4-435ca01bcd47" ma:termSetId="09814cd3-568e-fe90-9814-8d621ff8fb84" ma:anchorId="fba54fb3-c3e1-fe81-a776-ca4b69148c4d" ma:open="true" ma:isKeyword="false">
      <xsd:complexType>
        <xsd:sequence>
          <xsd:element ref="pc:Terms" minOccurs="0" maxOccurs="1"/>
        </xsd:sequence>
      </xsd:complex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935c95-1264-4e43-92a6-b77a9fa76fde"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7ed0e26-1b79-40c9-8b0f-922df4906346}" ma:internalName="TaxCatchAll" ma:showField="CatchAllData" ma:web="1b935c95-1264-4e43-92a6-b77a9fa76fd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71cd6c-2eb1-4859-8477-07b497c03897">
      <Terms xmlns="http://schemas.microsoft.com/office/infopath/2007/PartnerControls"/>
    </lcf76f155ced4ddcb4097134ff3c332f>
    <TaxCatchAll xmlns="1b935c95-1264-4e43-92a6-b77a9fa76fde" xsi:nil="true"/>
  </documentManagement>
</p:properties>
</file>

<file path=customXml/itemProps1.xml><?xml version="1.0" encoding="utf-8"?>
<ds:datastoreItem xmlns:ds="http://schemas.openxmlformats.org/officeDocument/2006/customXml" ds:itemID="{1BE5742E-9047-4E54-9CC3-4EFF2A72EEE9}"/>
</file>

<file path=customXml/itemProps2.xml><?xml version="1.0" encoding="utf-8"?>
<ds:datastoreItem xmlns:ds="http://schemas.openxmlformats.org/officeDocument/2006/customXml" ds:itemID="{4349928D-C379-49A1-89DF-A81A170EC0EB}"/>
</file>

<file path=customXml/itemProps3.xml><?xml version="1.0" encoding="utf-8"?>
<ds:datastoreItem xmlns:ds="http://schemas.openxmlformats.org/officeDocument/2006/customXml" ds:itemID="{D5BA93A2-644E-4EB3-83D5-7CB6DA32FE6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21</vt:i4>
      </vt:variant>
    </vt:vector>
  </HeadingPairs>
  <TitlesOfParts>
    <vt:vector size="54" baseType="lpstr">
      <vt:lpstr>Update Log</vt:lpstr>
      <vt:lpstr>Franchise Info</vt:lpstr>
      <vt:lpstr>Course Table</vt:lpstr>
      <vt:lpstr>Outline Info</vt:lpstr>
      <vt:lpstr>Student Info</vt:lpstr>
      <vt:lpstr>Outline Admin</vt:lpstr>
      <vt:lpstr>EndDate</vt:lpstr>
      <vt:lpstr>ClosedDays</vt:lpstr>
      <vt:lpstr>Outline Student</vt:lpstr>
      <vt:lpstr>Contract-Long</vt:lpstr>
      <vt:lpstr>ProgOutline</vt:lpstr>
      <vt:lpstr>WorkExp</vt:lpstr>
      <vt:lpstr>Student Record</vt:lpstr>
      <vt:lpstr>Attendance Agreement</vt:lpstr>
      <vt:lpstr>Dispute Policy</vt:lpstr>
      <vt:lpstr>Statement of Rights</vt:lpstr>
      <vt:lpstr>Misconduct Policy</vt:lpstr>
      <vt:lpstr>Referral</vt:lpstr>
      <vt:lpstr>LoanObligation</vt:lpstr>
      <vt:lpstr>OrientationList</vt:lpstr>
      <vt:lpstr>WelcomeSign</vt:lpstr>
      <vt:lpstr>Contract-Short</vt:lpstr>
      <vt:lpstr>File Checklist</vt:lpstr>
      <vt:lpstr>WC-Checklist</vt:lpstr>
      <vt:lpstr>Handbook Form</vt:lpstr>
      <vt:lpstr>Parking+Time</vt:lpstr>
      <vt:lpstr>Internet Usage</vt:lpstr>
      <vt:lpstr>Consent to Release</vt:lpstr>
      <vt:lpstr>IT Agreement</vt:lpstr>
      <vt:lpstr>CRC Form</vt:lpstr>
      <vt:lpstr>Virtual Form</vt:lpstr>
      <vt:lpstr>SL Budget Worksheet</vt:lpstr>
      <vt:lpstr>SL Budget Form</vt:lpstr>
      <vt:lpstr>Amount</vt:lpstr>
      <vt:lpstr>BO</vt:lpstr>
      <vt:lpstr>Code</vt:lpstr>
      <vt:lpstr>Course_Table</vt:lpstr>
      <vt:lpstr>Description</vt:lpstr>
      <vt:lpstr>'File Checklist'!OLE_LINK1</vt:lpstr>
      <vt:lpstr>'File Checklist'!OLE_LINK2</vt:lpstr>
      <vt:lpstr>'Contract-Long'!Print_Area</vt:lpstr>
      <vt:lpstr>'Contract-Short'!Print_Area</vt:lpstr>
      <vt:lpstr>'Course Table'!Print_Area</vt:lpstr>
      <vt:lpstr>'Dispute Policy'!Print_Area</vt:lpstr>
      <vt:lpstr>'IT Agreement'!Print_Area</vt:lpstr>
      <vt:lpstr>'Misconduct Policy'!Print_Area</vt:lpstr>
      <vt:lpstr>'Outline Admin'!Print_Area</vt:lpstr>
      <vt:lpstr>'Outline Student'!Print_Area</vt:lpstr>
      <vt:lpstr>Referral!Print_Area</vt:lpstr>
      <vt:lpstr>'SL Budget Worksheet'!Print_Area</vt:lpstr>
      <vt:lpstr>'Statement of Rights'!Print_Area</vt:lpstr>
      <vt:lpstr>'Student Record'!Print_Area</vt:lpstr>
      <vt:lpstr>'WC-Checklist'!Print_Area</vt:lpstr>
      <vt:lpstr>'Course Table'!Print_Titles</vt:lpstr>
    </vt:vector>
  </TitlesOfParts>
  <Company>Academy of Learning Career College 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AOLCC Client Outline Generator</dc:title>
  <dc:creator>Academy of Learning</dc:creator>
  <cp:lastModifiedBy>Leo Lin</cp:lastModifiedBy>
  <cp:lastPrinted>2021-09-03T03:00:06Z</cp:lastPrinted>
  <dcterms:created xsi:type="dcterms:W3CDTF">1996-12-01T19:54:46Z</dcterms:created>
  <dcterms:modified xsi:type="dcterms:W3CDTF">2021-09-03T03:35:02Z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0x0101004FCDFA7A2F30174A8A8ADBFCD07FE51F</vt:lpwstr>
  </property>
  <property fmtid="{D5CDD505-2E9C-101B-9397-08002B2CF9AE}" pid="3" name="Order">
    <vt:r8>5355600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MediaServiceImageTags">
    <vt:lpwstr/>
  </property>
</Properties>
</file>