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showObjects="placeholders" updateLinks="never" codeName="ThisWorkbook"/>
  <mc:AlternateContent xmlns:mc="http://schemas.openxmlformats.org/markup-compatibility/2006">
    <mc:Choice Requires="x15">
      <x15ac:absPath xmlns:x15ac="http://schemas.microsoft.com/office/spreadsheetml/2010/11/ac" url="D:\git\aolccbc.com\src\data\outllines\"/>
    </mc:Choice>
  </mc:AlternateContent>
  <xr:revisionPtr revIDLastSave="0" documentId="13_ncr:1_{345ED367-ED6D-495B-A44C-A4108C7E9204}" xr6:coauthVersionLast="36" xr6:coauthVersionMax="47" xr10:uidLastSave="{00000000-0000-0000-0000-000000000000}"/>
  <bookViews>
    <workbookView xWindow="-120" yWindow="-120" windowWidth="25440" windowHeight="15390" tabRatio="920" firstSheet="40" activeTab="53" xr2:uid="{00000000-000D-0000-FFFF-FFFF00000000}"/>
  </bookViews>
  <sheets>
    <sheet name="Update Log" sheetId="94" state="hidden" r:id="rId1"/>
    <sheet name="Navigation" sheetId="81" r:id="rId2"/>
    <sheet name="A+N+MCPCrt" sheetId="79" r:id="rId3"/>
    <sheet name="AccAdminDip" sheetId="6" r:id="rId4"/>
    <sheet name="AccBusTechDip" sheetId="5" r:id="rId5"/>
    <sheet name="AccPayAdmDip" sheetId="56" r:id="rId6"/>
    <sheet name="AccBkCrt" sheetId="15" r:id="rId7"/>
    <sheet name="AccClrkCrt" sheetId="76" r:id="rId8"/>
    <sheet name="AddWrkCrt" sheetId="83" r:id="rId9"/>
    <sheet name="AdminAsstDip" sheetId="2" r:id="rId10"/>
    <sheet name="BusAdminDip" sheetId="35" r:id="rId11"/>
    <sheet name="BusAdminCoop" sheetId="89" r:id="rId12"/>
    <sheet name="BusManCrt" sheetId="53" r:id="rId13"/>
    <sheet name="BusOffSkillsDip" sheetId="4" r:id="rId14"/>
    <sheet name="BusRecCrt" sheetId="18" r:id="rId15"/>
    <sheet name="BusSrvEssCoop" sheetId="90" r:id="rId16"/>
    <sheet name="CalCtrCstRepDip" sheetId="24" r:id="rId17"/>
    <sheet name="ComSrvWrkDip" sheetId="84" r:id="rId18"/>
    <sheet name="CsAwWrkDip" sheetId="88" r:id="rId19"/>
    <sheet name="CmpSrvTechCrt" sheetId="29" r:id="rId20"/>
    <sheet name="CmpSrvTechDip" sheetId="26" r:id="rId21"/>
    <sheet name="CmpSftSupDip" sheetId="12" state="hidden" r:id="rId22"/>
    <sheet name="CmpOffProCrt" sheetId="16" r:id="rId23"/>
    <sheet name="ConEvtPlnDip" sheetId="64" r:id="rId24"/>
    <sheet name="CusSrvRepCrt" sheetId="28" r:id="rId25"/>
    <sheet name="EntBusAppDip" sheetId="10" r:id="rId26"/>
    <sheet name="ExecAssDip" sheetId="11" r:id="rId27"/>
    <sheet name="GrphDesDip" sheetId="93" r:id="rId28"/>
    <sheet name="HRAdmCrt" sheetId="74" r:id="rId29"/>
    <sheet name="MrkAdmAssCrt" sheetId="42" r:id="rId30"/>
    <sheet name="MrkCordDip" sheetId="54" r:id="rId31"/>
    <sheet name="MCSASrvCrt" sheetId="69" r:id="rId32"/>
    <sheet name="MCSAWinCrt" sheetId="82" r:id="rId33"/>
    <sheet name="MedAdmAssCrt" sheetId="27" r:id="rId34"/>
    <sheet name="MOADip" sheetId="17" r:id="rId35"/>
    <sheet name="MOADipHUC" sheetId="71" r:id="rId36"/>
    <sheet name="MOFDACrt" sheetId="95" r:id="rId37"/>
    <sheet name="NetAdminDip" sheetId="70" r:id="rId38"/>
    <sheet name="OffAdminDip" sheetId="14" r:id="rId39"/>
    <sheet name="OffAdmAssCrt" sheetId="13" r:id="rId40"/>
    <sheet name="OffClkCrt" sheetId="73" r:id="rId41"/>
    <sheet name="PayAdmCrt" sheetId="55" r:id="rId42"/>
    <sheet name="PayClkCrt" sheetId="72" r:id="rId43"/>
    <sheet name="PCSupSpecDip" sheetId="25" r:id="rId44"/>
    <sheet name="PrjAdminDip" sheetId="66" r:id="rId45"/>
    <sheet name="PSACrt" sheetId="44" r:id="rId46"/>
    <sheet name="SalesAscCrt" sheetId="77" r:id="rId47"/>
    <sheet name="SalesProfDip" sheetId="67" r:id="rId48"/>
    <sheet name="SoftWebDevDip" sheetId="96" r:id="rId49"/>
    <sheet name="WebDesDip" sheetId="85" r:id="rId50"/>
    <sheet name="WebDevDip" sheetId="97" r:id="rId51"/>
    <sheet name="IndividualProgram" sheetId="33" r:id="rId52"/>
    <sheet name="ESLCourses" sheetId="92" r:id="rId53"/>
    <sheet name="Summary" sheetId="20" r:id="rId54"/>
    <sheet name="CSL Inst Appx" sheetId="22" r:id="rId55"/>
    <sheet name="PTIB Prog Info" sheetId="31" r:id="rId56"/>
    <sheet name="Reference" sheetId="99" r:id="rId57"/>
  </sheets>
  <externalReferences>
    <externalReference r:id="rId58"/>
  </externalReferences>
  <definedNames>
    <definedName name="_xlnm._FilterDatabase" localSheetId="1" hidden="1">Navigation!$A$4:$E$54</definedName>
    <definedName name="Amount" localSheetId="8">#REF!</definedName>
    <definedName name="Amount" localSheetId="11">#REF!</definedName>
    <definedName name="Amount" localSheetId="15">#REF!</definedName>
    <definedName name="Amount" localSheetId="17">#REF!</definedName>
    <definedName name="Amount" localSheetId="18">#REF!</definedName>
    <definedName name="Amount" localSheetId="52">#REF!</definedName>
    <definedName name="Amount" localSheetId="27">#REF!</definedName>
    <definedName name="Amount" localSheetId="36">#REF!</definedName>
    <definedName name="Amount" localSheetId="49">#REF!</definedName>
    <definedName name="Amount">#REF!</definedName>
    <definedName name="Code" localSheetId="8">#REF!</definedName>
    <definedName name="Code" localSheetId="11">#REF!</definedName>
    <definedName name="Code" localSheetId="15">#REF!</definedName>
    <definedName name="Code" localSheetId="17">#REF!</definedName>
    <definedName name="Code" localSheetId="18">#REF!</definedName>
    <definedName name="Code" localSheetId="52">#REF!</definedName>
    <definedName name="Code" localSheetId="27">#REF!</definedName>
    <definedName name="Code" localSheetId="36">#REF!</definedName>
    <definedName name="Code" localSheetId="49">#REF!</definedName>
    <definedName name="Code">#REF!</definedName>
    <definedName name="D">OffAdmAssCrt!$C$42</definedName>
    <definedName name="Description" localSheetId="8">#REF!</definedName>
    <definedName name="Description" localSheetId="11">#REF!</definedName>
    <definedName name="Description" localSheetId="15">#REF!</definedName>
    <definedName name="Description" localSheetId="17">#REF!</definedName>
    <definedName name="Description" localSheetId="18">#REF!</definedName>
    <definedName name="Description" localSheetId="52">#REF!</definedName>
    <definedName name="Description" localSheetId="27">#REF!</definedName>
    <definedName name="Description" localSheetId="36">#REF!</definedName>
    <definedName name="Description" localSheetId="49">#REF!</definedName>
    <definedName name="Description">#REF!</definedName>
    <definedName name="Hours" localSheetId="8">#REF!</definedName>
    <definedName name="Hours" localSheetId="11">#REF!</definedName>
    <definedName name="Hours" localSheetId="15">#REF!</definedName>
    <definedName name="Hours" localSheetId="17">#REF!</definedName>
    <definedName name="Hours" localSheetId="18">#REF!</definedName>
    <definedName name="Hours" localSheetId="52">#REF!</definedName>
    <definedName name="Hours" localSheetId="27">#REF!</definedName>
    <definedName name="Hours" localSheetId="36">#REF!</definedName>
    <definedName name="Hours" localSheetId="49">#REF!</definedName>
    <definedName name="Hours">#REF!</definedName>
    <definedName name="_xlnm.Print_Area" localSheetId="2">'A+N+MCPCrt'!$D$1:$G$46</definedName>
    <definedName name="_xlnm.Print_Area" localSheetId="3">AccAdminDip!$D$1:$G$46</definedName>
    <definedName name="_xlnm.Print_Area" localSheetId="6">AccBkCrt!$D$1:$G$46</definedName>
    <definedName name="_xlnm.Print_Area" localSheetId="4">AccBusTechDip!$D$1:$G$46</definedName>
    <definedName name="_xlnm.Print_Area" localSheetId="7">AccClrkCrt!$D$1:$G$46</definedName>
    <definedName name="_xlnm.Print_Area" localSheetId="5">AccPayAdmDip!$D$1:$G$46</definedName>
    <definedName name="_xlnm.Print_Area" localSheetId="8">AddWrkCrt!$D$1:$G$46</definedName>
    <definedName name="_xlnm.Print_Area" localSheetId="9">AdminAsstDip!$D$1:$G$46</definedName>
    <definedName name="_xlnm.Print_Area" localSheetId="11">BusAdminCoop!$D$1:$G$50</definedName>
    <definedName name="_xlnm.Print_Area" localSheetId="10">BusAdminDip!$D$1:$G$50</definedName>
    <definedName name="_xlnm.Print_Area" localSheetId="12">BusManCrt!$D$1:$G$46</definedName>
    <definedName name="_xlnm.Print_Area" localSheetId="13">BusOffSkillsDip!$D$1:$G$46</definedName>
    <definedName name="_xlnm.Print_Area" localSheetId="14">BusRecCrt!$D$1:$G$46</definedName>
    <definedName name="_xlnm.Print_Area" localSheetId="15">BusSrvEssCoop!$D$1:$G$46</definedName>
    <definedName name="_xlnm.Print_Area" localSheetId="16">CalCtrCstRepDip!$D$1:$G$46</definedName>
    <definedName name="_xlnm.Print_Area" localSheetId="22">CmpOffProCrt!$D$1:$G$46</definedName>
    <definedName name="_xlnm.Print_Area" localSheetId="21">CmpSftSupDip!$D$1:$G$46</definedName>
    <definedName name="_xlnm.Print_Area" localSheetId="19">CmpSrvTechCrt!$D$1:$G$46</definedName>
    <definedName name="_xlnm.Print_Area" localSheetId="20">CmpSrvTechDip!$D$1:$G$46</definedName>
    <definedName name="_xlnm.Print_Area" localSheetId="17">ComSrvWrkDip!$D$1:$G$46</definedName>
    <definedName name="_xlnm.Print_Area" localSheetId="23">ConEvtPlnDip!$D$1:$G$46</definedName>
    <definedName name="_xlnm.Print_Area" localSheetId="18">CsAwWrkDip!$D$1:$G$46</definedName>
    <definedName name="_xlnm.Print_Area" localSheetId="24">CusSrvRepCrt!$D$1:$G$46</definedName>
    <definedName name="_xlnm.Print_Area" localSheetId="25">EntBusAppDip!$D$1:$G$46</definedName>
    <definedName name="_xlnm.Print_Area" localSheetId="52">ESLCourses!$D$1:$G$46</definedName>
    <definedName name="_xlnm.Print_Area" localSheetId="26">ExecAssDip!$D$1:$G$46</definedName>
    <definedName name="_xlnm.Print_Area" localSheetId="27">GrphDesDip!$D$1:$G$46</definedName>
    <definedName name="_xlnm.Print_Area" localSheetId="28">HRAdmCrt!$D$1:$G$46</definedName>
    <definedName name="_xlnm.Print_Area" localSheetId="51">IndividualProgram!$D$1:$G$46</definedName>
    <definedName name="_xlnm.Print_Area" localSheetId="31">MCSASrvCrt!$D$1:$G$46</definedName>
    <definedName name="_xlnm.Print_Area" localSheetId="32">MCSAWinCrt!$D$1:$G$46</definedName>
    <definedName name="_xlnm.Print_Area" localSheetId="33">MedAdmAssCrt!$D$1:$G$46</definedName>
    <definedName name="_xlnm.Print_Area" localSheetId="34">MOADip!$D$1:$G$46</definedName>
    <definedName name="_xlnm.Print_Area" localSheetId="35">MOADipHUC!$D$1:$G$46</definedName>
    <definedName name="_xlnm.Print_Area" localSheetId="36">MOFDACrt!$D$1:$G$46</definedName>
    <definedName name="_xlnm.Print_Area" localSheetId="29">MrkAdmAssCrt!$D$1:$G$46</definedName>
    <definedName name="_xlnm.Print_Area" localSheetId="30">MrkCordDip!$D$1:$G$46</definedName>
    <definedName name="_xlnm.Print_Area" localSheetId="37">NetAdminDip!$D$1:$G$46</definedName>
    <definedName name="_xlnm.Print_Area" localSheetId="39">OffAdmAssCrt!$D$1:$G$46</definedName>
    <definedName name="_xlnm.Print_Area" localSheetId="38">OffAdminDip!$D$1:$G$46</definedName>
    <definedName name="_xlnm.Print_Area" localSheetId="40">OffClkCrt!$D$1:$G$46</definedName>
    <definedName name="_xlnm.Print_Area" localSheetId="41">PayAdmCrt!$D$1:$G$46</definedName>
    <definedName name="_xlnm.Print_Area" localSheetId="42">PayClkCrt!$D$1:$G$46</definedName>
    <definedName name="_xlnm.Print_Area" localSheetId="43">PCSupSpecDip!$D$1:$G$46</definedName>
    <definedName name="_xlnm.Print_Area" localSheetId="44">PrjAdminDip!$D$1:$G$46</definedName>
    <definedName name="_xlnm.Print_Area" localSheetId="45">PSACrt!$D$1:$G$46</definedName>
    <definedName name="_xlnm.Print_Area" localSheetId="55">'PTIB Prog Info'!$A$1:$O$58</definedName>
    <definedName name="_xlnm.Print_Area" localSheetId="46">SalesAscCrt!$D$1:$G$46</definedName>
    <definedName name="_xlnm.Print_Area" localSheetId="47">SalesProfDip!$D$1:$G$46</definedName>
    <definedName name="_xlnm.Print_Area" localSheetId="48">SoftWebDevDip!$D$1:$G$46</definedName>
    <definedName name="_xlnm.Print_Area" localSheetId="53">Summary!$A$1:$AH$64</definedName>
    <definedName name="_xlnm.Print_Area" localSheetId="49">WebDesDip!$D$1:$G$46</definedName>
    <definedName name="_xlnm.Print_Area" localSheetId="50">WebDevDip!$D$1:$G$46</definedName>
  </definedNames>
  <calcPr calcId="191029"/>
</workbook>
</file>

<file path=xl/calcChain.xml><?xml version="1.0" encoding="utf-8"?>
<calcChain xmlns="http://schemas.openxmlformats.org/spreadsheetml/2006/main">
  <c r="A4" i="31" l="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3" i="31"/>
  <c r="A4" i="22"/>
  <c r="D4" i="22" s="1"/>
  <c r="A5" i="22"/>
  <c r="D5" i="22" s="1"/>
  <c r="A6" i="22"/>
  <c r="D6" i="22" s="1"/>
  <c r="A7" i="22"/>
  <c r="A8" i="22"/>
  <c r="D8" i="22" s="1"/>
  <c r="A9" i="22"/>
  <c r="D9" i="22" s="1"/>
  <c r="A10" i="22"/>
  <c r="D10" i="22" s="1"/>
  <c r="A11" i="22"/>
  <c r="D11" i="22" s="1"/>
  <c r="A12" i="22"/>
  <c r="D12" i="22" s="1"/>
  <c r="A13" i="22"/>
  <c r="D13" i="22" s="1"/>
  <c r="A14" i="22"/>
  <c r="D14" i="22" s="1"/>
  <c r="A15" i="22"/>
  <c r="A16" i="22"/>
  <c r="D16" i="22" s="1"/>
  <c r="A17" i="22"/>
  <c r="D17" i="22" s="1"/>
  <c r="A18" i="22"/>
  <c r="D18" i="22" s="1"/>
  <c r="A19" i="22"/>
  <c r="D19" i="22" s="1"/>
  <c r="A20" i="22"/>
  <c r="D20" i="22" s="1"/>
  <c r="A21" i="22"/>
  <c r="D21" i="22" s="1"/>
  <c r="A22" i="22"/>
  <c r="D22" i="22" s="1"/>
  <c r="A23" i="22"/>
  <c r="A24" i="22"/>
  <c r="D24" i="22" s="1"/>
  <c r="A25" i="22"/>
  <c r="D25" i="22" s="1"/>
  <c r="A26" i="22"/>
  <c r="D26" i="22" s="1"/>
  <c r="A27" i="22"/>
  <c r="D27" i="22" s="1"/>
  <c r="A28" i="22"/>
  <c r="D28" i="22" s="1"/>
  <c r="A29" i="22"/>
  <c r="D29" i="22" s="1"/>
  <c r="A30" i="22"/>
  <c r="D30" i="22" s="1"/>
  <c r="A31" i="22"/>
  <c r="A32" i="22"/>
  <c r="D32" i="22" s="1"/>
  <c r="A33" i="22"/>
  <c r="D33" i="22" s="1"/>
  <c r="A34" i="22"/>
  <c r="D34" i="22" s="1"/>
  <c r="A35" i="22"/>
  <c r="D35" i="22" s="1"/>
  <c r="A36" i="22"/>
  <c r="D36" i="22" s="1"/>
  <c r="A37" i="22"/>
  <c r="D37" i="22" s="1"/>
  <c r="A38" i="22"/>
  <c r="D38" i="22" s="1"/>
  <c r="A39" i="22"/>
  <c r="A40" i="22"/>
  <c r="D40" i="22" s="1"/>
  <c r="A41" i="22"/>
  <c r="D41" i="22" s="1"/>
  <c r="A42" i="22"/>
  <c r="D42" i="22" s="1"/>
  <c r="A43" i="22"/>
  <c r="D43" i="22" s="1"/>
  <c r="A44" i="22"/>
  <c r="D44" i="22" s="1"/>
  <c r="A45" i="22"/>
  <c r="D45" i="22" s="1"/>
  <c r="A46" i="22"/>
  <c r="D46" i="22" s="1"/>
  <c r="A47" i="22"/>
  <c r="D47" i="22" s="1"/>
  <c r="A48" i="22"/>
  <c r="D48" i="22" s="1"/>
  <c r="A49" i="22"/>
  <c r="D49" i="22" s="1"/>
  <c r="A50" i="22"/>
  <c r="D50" i="22" s="1"/>
  <c r="A51" i="22"/>
  <c r="D51" i="22" s="1"/>
  <c r="A52" i="22"/>
  <c r="D52" i="22" s="1"/>
  <c r="A3" i="22"/>
  <c r="D3" i="22" s="1"/>
  <c r="A51" i="20"/>
  <c r="A52" i="20"/>
  <c r="A53" i="20"/>
  <c r="A54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" i="20"/>
  <c r="C44" i="97"/>
  <c r="O40" i="97"/>
  <c r="N40" i="97"/>
  <c r="K40" i="97"/>
  <c r="J40" i="97"/>
  <c r="I40" i="97"/>
  <c r="G40" i="97" s="1"/>
  <c r="H40" i="97"/>
  <c r="E40" i="97"/>
  <c r="O39" i="97"/>
  <c r="N39" i="97"/>
  <c r="K39" i="97"/>
  <c r="J39" i="97"/>
  <c r="I39" i="97"/>
  <c r="G39" i="97" s="1"/>
  <c r="H39" i="97"/>
  <c r="E39" i="97"/>
  <c r="O38" i="97"/>
  <c r="N38" i="97"/>
  <c r="K38" i="97"/>
  <c r="J38" i="97"/>
  <c r="I38" i="97"/>
  <c r="G38" i="97" s="1"/>
  <c r="H38" i="97"/>
  <c r="E38" i="97"/>
  <c r="O37" i="97"/>
  <c r="N37" i="97"/>
  <c r="K37" i="97"/>
  <c r="J37" i="97"/>
  <c r="I37" i="97"/>
  <c r="G37" i="97" s="1"/>
  <c r="H37" i="97"/>
  <c r="E37" i="97"/>
  <c r="O36" i="97"/>
  <c r="N36" i="97"/>
  <c r="K36" i="97"/>
  <c r="J36" i="97"/>
  <c r="I36" i="97"/>
  <c r="G36" i="97" s="1"/>
  <c r="H36" i="97"/>
  <c r="E36" i="97"/>
  <c r="O35" i="97"/>
  <c r="N35" i="97"/>
  <c r="K35" i="97"/>
  <c r="J35" i="97"/>
  <c r="I35" i="97"/>
  <c r="G35" i="97" s="1"/>
  <c r="H35" i="97"/>
  <c r="E35" i="97"/>
  <c r="O34" i="97"/>
  <c r="N34" i="97"/>
  <c r="K34" i="97"/>
  <c r="J34" i="97"/>
  <c r="I34" i="97"/>
  <c r="G34" i="97" s="1"/>
  <c r="E34" i="97"/>
  <c r="O33" i="97"/>
  <c r="N33" i="97"/>
  <c r="K33" i="97"/>
  <c r="J33" i="97"/>
  <c r="I33" i="97"/>
  <c r="G33" i="97" s="1"/>
  <c r="E33" i="97"/>
  <c r="O32" i="97"/>
  <c r="N32" i="97"/>
  <c r="K32" i="97"/>
  <c r="J32" i="97"/>
  <c r="I32" i="97"/>
  <c r="G32" i="97" s="1"/>
  <c r="E32" i="97"/>
  <c r="O31" i="97"/>
  <c r="N31" i="97"/>
  <c r="K31" i="97"/>
  <c r="J31" i="97"/>
  <c r="I31" i="97"/>
  <c r="G31" i="97" s="1"/>
  <c r="E31" i="97"/>
  <c r="O30" i="97"/>
  <c r="N30" i="97"/>
  <c r="K30" i="97"/>
  <c r="J30" i="97"/>
  <c r="I30" i="97"/>
  <c r="G30" i="97" s="1"/>
  <c r="E30" i="97"/>
  <c r="O29" i="97"/>
  <c r="N29" i="97"/>
  <c r="K29" i="97"/>
  <c r="J29" i="97"/>
  <c r="I29" i="97"/>
  <c r="G29" i="97" s="1"/>
  <c r="E29" i="97"/>
  <c r="O28" i="97"/>
  <c r="N28" i="97"/>
  <c r="K28" i="97"/>
  <c r="J28" i="97"/>
  <c r="I28" i="97"/>
  <c r="G28" i="97" s="1"/>
  <c r="E28" i="97"/>
  <c r="O27" i="97"/>
  <c r="N27" i="97"/>
  <c r="K27" i="97"/>
  <c r="J27" i="97"/>
  <c r="I27" i="97"/>
  <c r="G27" i="97" s="1"/>
  <c r="E27" i="97"/>
  <c r="O26" i="97"/>
  <c r="N26" i="97"/>
  <c r="K26" i="97"/>
  <c r="J26" i="97"/>
  <c r="I26" i="97"/>
  <c r="G26" i="97" s="1"/>
  <c r="E26" i="97"/>
  <c r="O25" i="97"/>
  <c r="N25" i="97"/>
  <c r="K25" i="97"/>
  <c r="J25" i="97"/>
  <c r="I25" i="97"/>
  <c r="G25" i="97" s="1"/>
  <c r="E25" i="97"/>
  <c r="O24" i="97"/>
  <c r="N24" i="97"/>
  <c r="K24" i="97"/>
  <c r="J24" i="97"/>
  <c r="I24" i="97"/>
  <c r="G24" i="97" s="1"/>
  <c r="E24" i="97"/>
  <c r="O23" i="97"/>
  <c r="N23" i="97"/>
  <c r="K23" i="97"/>
  <c r="J23" i="97"/>
  <c r="I23" i="97"/>
  <c r="G23" i="97" s="1"/>
  <c r="E23" i="97"/>
  <c r="O22" i="97"/>
  <c r="N22" i="97"/>
  <c r="K22" i="97"/>
  <c r="J22" i="97"/>
  <c r="I22" i="97"/>
  <c r="G22" i="97" s="1"/>
  <c r="E22" i="97"/>
  <c r="O21" i="97"/>
  <c r="N21" i="97"/>
  <c r="K21" i="97"/>
  <c r="J21" i="97"/>
  <c r="I21" i="97"/>
  <c r="G21" i="97" s="1"/>
  <c r="E21" i="97"/>
  <c r="O20" i="97"/>
  <c r="N20" i="97"/>
  <c r="K20" i="97"/>
  <c r="J20" i="97"/>
  <c r="I20" i="97"/>
  <c r="G20" i="97" s="1"/>
  <c r="E20" i="97"/>
  <c r="O19" i="97"/>
  <c r="N19" i="97"/>
  <c r="K19" i="97"/>
  <c r="J19" i="97"/>
  <c r="I19" i="97"/>
  <c r="G19" i="97" s="1"/>
  <c r="E19" i="97"/>
  <c r="O18" i="97"/>
  <c r="N18" i="97"/>
  <c r="K18" i="97"/>
  <c r="J18" i="97"/>
  <c r="I18" i="97"/>
  <c r="G18" i="97" s="1"/>
  <c r="E18" i="97"/>
  <c r="O17" i="97"/>
  <c r="N17" i="97"/>
  <c r="K17" i="97"/>
  <c r="J17" i="97"/>
  <c r="I17" i="97"/>
  <c r="G17" i="97" s="1"/>
  <c r="E17" i="97"/>
  <c r="O16" i="97"/>
  <c r="N16" i="97"/>
  <c r="K16" i="97"/>
  <c r="J16" i="97"/>
  <c r="I16" i="97"/>
  <c r="G16" i="97" s="1"/>
  <c r="E16" i="97"/>
  <c r="O15" i="97"/>
  <c r="N15" i="97"/>
  <c r="K15" i="97"/>
  <c r="J15" i="97"/>
  <c r="I15" i="97"/>
  <c r="G15" i="97" s="1"/>
  <c r="E15" i="97"/>
  <c r="O14" i="97"/>
  <c r="N14" i="97"/>
  <c r="K14" i="97"/>
  <c r="J14" i="97"/>
  <c r="I14" i="97"/>
  <c r="G14" i="97" s="1"/>
  <c r="E14" i="97"/>
  <c r="O13" i="97"/>
  <c r="N13" i="97"/>
  <c r="K13" i="97"/>
  <c r="J13" i="97"/>
  <c r="I13" i="97"/>
  <c r="G13" i="97" s="1"/>
  <c r="E13" i="97"/>
  <c r="O12" i="97"/>
  <c r="N12" i="97"/>
  <c r="K12" i="97"/>
  <c r="J12" i="97"/>
  <c r="I12" i="97"/>
  <c r="G12" i="97" s="1"/>
  <c r="E12" i="97"/>
  <c r="O11" i="97"/>
  <c r="N11" i="97"/>
  <c r="K11" i="97"/>
  <c r="J11" i="97"/>
  <c r="I11" i="97"/>
  <c r="G11" i="97" s="1"/>
  <c r="E11" i="97"/>
  <c r="O10" i="97"/>
  <c r="N10" i="97"/>
  <c r="K10" i="97"/>
  <c r="J10" i="97"/>
  <c r="I10" i="97"/>
  <c r="G10" i="97" s="1"/>
  <c r="E10" i="97"/>
  <c r="O9" i="97"/>
  <c r="N9" i="97"/>
  <c r="K9" i="97"/>
  <c r="J9" i="97"/>
  <c r="I9" i="97"/>
  <c r="G9" i="97" s="1"/>
  <c r="E9" i="97"/>
  <c r="O8" i="97"/>
  <c r="N8" i="97"/>
  <c r="K8" i="97"/>
  <c r="J8" i="97"/>
  <c r="I8" i="97"/>
  <c r="G8" i="97" s="1"/>
  <c r="E8" i="97"/>
  <c r="O7" i="97"/>
  <c r="N7" i="97"/>
  <c r="K7" i="97"/>
  <c r="J7" i="97"/>
  <c r="I7" i="97"/>
  <c r="G7" i="97" s="1"/>
  <c r="E7" i="97"/>
  <c r="O6" i="97"/>
  <c r="N6" i="97"/>
  <c r="K6" i="97"/>
  <c r="J6" i="97"/>
  <c r="M6" i="97" s="1"/>
  <c r="I6" i="97"/>
  <c r="G6" i="97" s="1"/>
  <c r="H6" i="97"/>
  <c r="E6" i="97"/>
  <c r="G3" i="97"/>
  <c r="C44" i="96"/>
  <c r="D14" i="20"/>
  <c r="D13" i="20"/>
  <c r="H14" i="20"/>
  <c r="H13" i="20"/>
  <c r="D39" i="22" l="1"/>
  <c r="D31" i="22"/>
  <c r="D23" i="22"/>
  <c r="D15" i="22"/>
  <c r="D7" i="22"/>
  <c r="M15" i="97"/>
  <c r="M12" i="97"/>
  <c r="M11" i="97"/>
  <c r="M27" i="97"/>
  <c r="L13" i="97"/>
  <c r="H13" i="97" s="1"/>
  <c r="M40" i="97"/>
  <c r="L16" i="97"/>
  <c r="H16" i="97" s="1"/>
  <c r="M33" i="97"/>
  <c r="I41" i="97"/>
  <c r="AG49" i="97"/>
  <c r="M19" i="97"/>
  <c r="L28" i="97"/>
  <c r="H28" i="97" s="1"/>
  <c r="O48" i="97"/>
  <c r="L9" i="97"/>
  <c r="H9" i="97" s="1"/>
  <c r="M23" i="97"/>
  <c r="L8" i="97"/>
  <c r="H8" i="97" s="1"/>
  <c r="L17" i="97"/>
  <c r="H17" i="97" s="1"/>
  <c r="M31" i="97"/>
  <c r="L40" i="97"/>
  <c r="L12" i="97"/>
  <c r="H12" i="97" s="1"/>
  <c r="M21" i="97"/>
  <c r="M38" i="97"/>
  <c r="M39" i="97"/>
  <c r="M25" i="97"/>
  <c r="L36" i="97"/>
  <c r="M37" i="97"/>
  <c r="L20" i="97"/>
  <c r="H20" i="97" s="1"/>
  <c r="M29" i="97"/>
  <c r="M34" i="97"/>
  <c r="M35" i="97"/>
  <c r="L10" i="97"/>
  <c r="H10" i="97" s="1"/>
  <c r="M8" i="97"/>
  <c r="M16" i="97"/>
  <c r="L21" i="97"/>
  <c r="H21" i="97" s="1"/>
  <c r="L25" i="97"/>
  <c r="H25" i="97" s="1"/>
  <c r="L29" i="97"/>
  <c r="H29" i="97" s="1"/>
  <c r="L33" i="97"/>
  <c r="H33" i="97" s="1"/>
  <c r="L37" i="97"/>
  <c r="R49" i="97"/>
  <c r="Z49" i="97"/>
  <c r="M13" i="97"/>
  <c r="M17" i="97"/>
  <c r="S49" i="97"/>
  <c r="AA49" i="97"/>
  <c r="L14" i="97"/>
  <c r="H14" i="97" s="1"/>
  <c r="L18" i="97"/>
  <c r="H18" i="97" s="1"/>
  <c r="L22" i="97"/>
  <c r="H22" i="97" s="1"/>
  <c r="L26" i="97"/>
  <c r="H26" i="97" s="1"/>
  <c r="L30" i="97"/>
  <c r="H30" i="97" s="1"/>
  <c r="L34" i="97"/>
  <c r="H34" i="97" s="1"/>
  <c r="L38" i="97"/>
  <c r="T49" i="97"/>
  <c r="AB49" i="97"/>
  <c r="M14" i="97"/>
  <c r="M18" i="97"/>
  <c r="M22" i="97"/>
  <c r="M26" i="97"/>
  <c r="M30" i="97"/>
  <c r="U49" i="97"/>
  <c r="AC49" i="97"/>
  <c r="M9" i="97"/>
  <c r="L6" i="97"/>
  <c r="M10" i="97"/>
  <c r="L7" i="97"/>
  <c r="H7" i="97" s="1"/>
  <c r="L11" i="97"/>
  <c r="H11" i="97" s="1"/>
  <c r="L15" i="97"/>
  <c r="H15" i="97" s="1"/>
  <c r="L19" i="97"/>
  <c r="H19" i="97" s="1"/>
  <c r="L23" i="97"/>
  <c r="H23" i="97" s="1"/>
  <c r="L27" i="97"/>
  <c r="H27" i="97" s="1"/>
  <c r="L31" i="97"/>
  <c r="H31" i="97" s="1"/>
  <c r="L35" i="97"/>
  <c r="L39" i="97"/>
  <c r="N49" i="97"/>
  <c r="V49" i="97"/>
  <c r="AD49" i="97"/>
  <c r="O49" i="97"/>
  <c r="W49" i="97"/>
  <c r="AE49" i="97"/>
  <c r="M7" i="97"/>
  <c r="L24" i="97"/>
  <c r="H24" i="97" s="1"/>
  <c r="L32" i="97"/>
  <c r="H32" i="97" s="1"/>
  <c r="P49" i="97"/>
  <c r="X49" i="97"/>
  <c r="AF49" i="97"/>
  <c r="M20" i="97"/>
  <c r="M24" i="97"/>
  <c r="M28" i="97"/>
  <c r="M32" i="97"/>
  <c r="M36" i="97"/>
  <c r="Q49" i="97"/>
  <c r="Y49" i="97"/>
  <c r="C43" i="97" l="1"/>
  <c r="D43" i="97" s="1"/>
  <c r="D42" i="97"/>
  <c r="H41" i="97"/>
  <c r="H42" i="97" l="1"/>
  <c r="E6" i="96" l="1"/>
  <c r="E8" i="96"/>
  <c r="O40" i="96"/>
  <c r="N40" i="96"/>
  <c r="K40" i="96"/>
  <c r="J40" i="96"/>
  <c r="I40" i="96"/>
  <c r="G40" i="96" s="1"/>
  <c r="H40" i="96"/>
  <c r="E40" i="96"/>
  <c r="O39" i="96"/>
  <c r="N39" i="96"/>
  <c r="K39" i="96"/>
  <c r="J39" i="96"/>
  <c r="I39" i="96"/>
  <c r="G39" i="96" s="1"/>
  <c r="H39" i="96"/>
  <c r="E39" i="96"/>
  <c r="O38" i="96"/>
  <c r="N38" i="96"/>
  <c r="K38" i="96"/>
  <c r="J38" i="96"/>
  <c r="I38" i="96"/>
  <c r="G38" i="96" s="1"/>
  <c r="H38" i="96"/>
  <c r="E38" i="96"/>
  <c r="O37" i="96"/>
  <c r="N37" i="96"/>
  <c r="K37" i="96"/>
  <c r="J37" i="96"/>
  <c r="I37" i="96"/>
  <c r="G37" i="96" s="1"/>
  <c r="H37" i="96"/>
  <c r="E37" i="96"/>
  <c r="O36" i="96"/>
  <c r="N36" i="96"/>
  <c r="K36" i="96"/>
  <c r="J36" i="96"/>
  <c r="I36" i="96"/>
  <c r="G36" i="96" s="1"/>
  <c r="H36" i="96"/>
  <c r="E36" i="96"/>
  <c r="O35" i="96"/>
  <c r="N35" i="96"/>
  <c r="K35" i="96"/>
  <c r="J35" i="96"/>
  <c r="I35" i="96"/>
  <c r="G35" i="96" s="1"/>
  <c r="E35" i="96"/>
  <c r="O34" i="96"/>
  <c r="N34" i="96"/>
  <c r="K34" i="96"/>
  <c r="J34" i="96"/>
  <c r="I34" i="96"/>
  <c r="G34" i="96" s="1"/>
  <c r="E34" i="96"/>
  <c r="O33" i="96"/>
  <c r="N33" i="96"/>
  <c r="K33" i="96"/>
  <c r="J33" i="96"/>
  <c r="I33" i="96"/>
  <c r="G33" i="96" s="1"/>
  <c r="E33" i="96"/>
  <c r="O32" i="96"/>
  <c r="N32" i="96"/>
  <c r="K32" i="96"/>
  <c r="J32" i="96"/>
  <c r="I32" i="96"/>
  <c r="G32" i="96" s="1"/>
  <c r="E32" i="96"/>
  <c r="O31" i="96"/>
  <c r="N31" i="96"/>
  <c r="K31" i="96"/>
  <c r="J31" i="96"/>
  <c r="I31" i="96"/>
  <c r="G31" i="96" s="1"/>
  <c r="E31" i="96"/>
  <c r="O30" i="96"/>
  <c r="N30" i="96"/>
  <c r="K30" i="96"/>
  <c r="J30" i="96"/>
  <c r="I30" i="96"/>
  <c r="G30" i="96" s="1"/>
  <c r="E30" i="96"/>
  <c r="O29" i="96"/>
  <c r="N29" i="96"/>
  <c r="K29" i="96"/>
  <c r="J29" i="96"/>
  <c r="I29" i="96"/>
  <c r="G29" i="96" s="1"/>
  <c r="E29" i="96"/>
  <c r="O28" i="96"/>
  <c r="N28" i="96"/>
  <c r="K28" i="96"/>
  <c r="J28" i="96"/>
  <c r="I28" i="96"/>
  <c r="G28" i="96" s="1"/>
  <c r="E28" i="96"/>
  <c r="O27" i="96"/>
  <c r="N27" i="96"/>
  <c r="K27" i="96"/>
  <c r="J27" i="96"/>
  <c r="I27" i="96"/>
  <c r="G27" i="96" s="1"/>
  <c r="E27" i="96"/>
  <c r="O26" i="96"/>
  <c r="N26" i="96"/>
  <c r="K26" i="96"/>
  <c r="J26" i="96"/>
  <c r="I26" i="96"/>
  <c r="G26" i="96" s="1"/>
  <c r="E26" i="96"/>
  <c r="O25" i="96"/>
  <c r="N25" i="96"/>
  <c r="K25" i="96"/>
  <c r="J25" i="96"/>
  <c r="I25" i="96"/>
  <c r="G25" i="96" s="1"/>
  <c r="E25" i="96"/>
  <c r="O24" i="96"/>
  <c r="N24" i="96"/>
  <c r="K24" i="96"/>
  <c r="J24" i="96"/>
  <c r="I24" i="96"/>
  <c r="G24" i="96" s="1"/>
  <c r="E24" i="96"/>
  <c r="O23" i="96"/>
  <c r="N23" i="96"/>
  <c r="K23" i="96"/>
  <c r="J23" i="96"/>
  <c r="I23" i="96"/>
  <c r="G23" i="96" s="1"/>
  <c r="E23" i="96"/>
  <c r="O22" i="96"/>
  <c r="N22" i="96"/>
  <c r="K22" i="96"/>
  <c r="J22" i="96"/>
  <c r="I22" i="96"/>
  <c r="G22" i="96" s="1"/>
  <c r="E22" i="96"/>
  <c r="O21" i="96"/>
  <c r="N21" i="96"/>
  <c r="K21" i="96"/>
  <c r="J21" i="96"/>
  <c r="I21" i="96"/>
  <c r="G21" i="96" s="1"/>
  <c r="E21" i="96"/>
  <c r="O20" i="96"/>
  <c r="N20" i="96"/>
  <c r="K20" i="96"/>
  <c r="J20" i="96"/>
  <c r="I20" i="96"/>
  <c r="G20" i="96" s="1"/>
  <c r="E20" i="96"/>
  <c r="O19" i="96"/>
  <c r="N19" i="96"/>
  <c r="K19" i="96"/>
  <c r="J19" i="96"/>
  <c r="I19" i="96"/>
  <c r="G19" i="96" s="1"/>
  <c r="E19" i="96"/>
  <c r="O18" i="96"/>
  <c r="N18" i="96"/>
  <c r="K18" i="96"/>
  <c r="J18" i="96"/>
  <c r="I18" i="96"/>
  <c r="G18" i="96" s="1"/>
  <c r="E18" i="96"/>
  <c r="O17" i="96"/>
  <c r="N17" i="96"/>
  <c r="K17" i="96"/>
  <c r="J17" i="96"/>
  <c r="I17" i="96"/>
  <c r="G17" i="96" s="1"/>
  <c r="E17" i="96"/>
  <c r="O16" i="96"/>
  <c r="N16" i="96"/>
  <c r="K16" i="96"/>
  <c r="J16" i="96"/>
  <c r="I16" i="96"/>
  <c r="G16" i="96" s="1"/>
  <c r="E16" i="96"/>
  <c r="O15" i="96"/>
  <c r="N15" i="96"/>
  <c r="K15" i="96"/>
  <c r="J15" i="96"/>
  <c r="I15" i="96"/>
  <c r="G15" i="96" s="1"/>
  <c r="E15" i="96"/>
  <c r="O14" i="96"/>
  <c r="N14" i="96"/>
  <c r="K14" i="96"/>
  <c r="J14" i="96"/>
  <c r="I14" i="96"/>
  <c r="G14" i="96" s="1"/>
  <c r="E14" i="96"/>
  <c r="O13" i="96"/>
  <c r="N13" i="96"/>
  <c r="K13" i="96"/>
  <c r="J13" i="96"/>
  <c r="I13" i="96"/>
  <c r="G13" i="96" s="1"/>
  <c r="E13" i="96"/>
  <c r="O12" i="96"/>
  <c r="N12" i="96"/>
  <c r="K12" i="96"/>
  <c r="J12" i="96"/>
  <c r="I12" i="96"/>
  <c r="G12" i="96" s="1"/>
  <c r="E12" i="96"/>
  <c r="O11" i="96"/>
  <c r="N11" i="96"/>
  <c r="K11" i="96"/>
  <c r="J11" i="96"/>
  <c r="I11" i="96"/>
  <c r="G11" i="96" s="1"/>
  <c r="E11" i="96"/>
  <c r="O10" i="96"/>
  <c r="N10" i="96"/>
  <c r="K10" i="96"/>
  <c r="J10" i="96"/>
  <c r="I10" i="96"/>
  <c r="G10" i="96" s="1"/>
  <c r="E10" i="96"/>
  <c r="O9" i="96"/>
  <c r="N9" i="96"/>
  <c r="K9" i="96"/>
  <c r="J9" i="96"/>
  <c r="I9" i="96"/>
  <c r="G9" i="96" s="1"/>
  <c r="E9" i="96"/>
  <c r="O8" i="96"/>
  <c r="N8" i="96"/>
  <c r="K8" i="96"/>
  <c r="J8" i="96"/>
  <c r="I8" i="96"/>
  <c r="G8" i="96" s="1"/>
  <c r="O7" i="96"/>
  <c r="N7" i="96"/>
  <c r="K7" i="96"/>
  <c r="J7" i="96"/>
  <c r="I7" i="96"/>
  <c r="G7" i="96" s="1"/>
  <c r="E7" i="96"/>
  <c r="O6" i="96"/>
  <c r="N6" i="96"/>
  <c r="K6" i="96"/>
  <c r="J6" i="96"/>
  <c r="M6" i="96" s="1"/>
  <c r="I6" i="96"/>
  <c r="G6" i="96" s="1"/>
  <c r="H6" i="96"/>
  <c r="G3" i="96"/>
  <c r="O40" i="95"/>
  <c r="N40" i="95"/>
  <c r="K40" i="95"/>
  <c r="J40" i="95"/>
  <c r="I40" i="95"/>
  <c r="H40" i="95"/>
  <c r="O39" i="95"/>
  <c r="N39" i="95"/>
  <c r="K39" i="95"/>
  <c r="J39" i="95"/>
  <c r="I39" i="95"/>
  <c r="H39" i="95"/>
  <c r="O38" i="95"/>
  <c r="N38" i="95"/>
  <c r="K38" i="95"/>
  <c r="J38" i="95"/>
  <c r="I38" i="95"/>
  <c r="G38" i="95" s="1"/>
  <c r="E38" i="95"/>
  <c r="O37" i="95"/>
  <c r="N37" i="95"/>
  <c r="K37" i="95"/>
  <c r="J37" i="95"/>
  <c r="I37" i="95"/>
  <c r="G37" i="95" s="1"/>
  <c r="E37" i="95"/>
  <c r="O36" i="95"/>
  <c r="N36" i="95"/>
  <c r="K36" i="95"/>
  <c r="J36" i="95"/>
  <c r="I36" i="95"/>
  <c r="G36" i="95" s="1"/>
  <c r="E36" i="95"/>
  <c r="O35" i="95"/>
  <c r="N35" i="95"/>
  <c r="K35" i="95"/>
  <c r="J35" i="95"/>
  <c r="I35" i="95"/>
  <c r="G35" i="95" s="1"/>
  <c r="H35" i="95"/>
  <c r="E35" i="95"/>
  <c r="O34" i="95"/>
  <c r="N34" i="95"/>
  <c r="K34" i="95"/>
  <c r="J34" i="95"/>
  <c r="I34" i="95"/>
  <c r="G34" i="95" s="1"/>
  <c r="E34" i="95"/>
  <c r="O33" i="95"/>
  <c r="N33" i="95"/>
  <c r="K33" i="95"/>
  <c r="J33" i="95"/>
  <c r="I33" i="95"/>
  <c r="G33" i="95" s="1"/>
  <c r="H33" i="95"/>
  <c r="E33" i="95"/>
  <c r="O32" i="95"/>
  <c r="N32" i="95"/>
  <c r="K32" i="95"/>
  <c r="J32" i="95"/>
  <c r="I32" i="95"/>
  <c r="G32" i="95" s="1"/>
  <c r="E32" i="95"/>
  <c r="O31" i="95"/>
  <c r="N31" i="95"/>
  <c r="K31" i="95"/>
  <c r="J31" i="95"/>
  <c r="I31" i="95"/>
  <c r="G31" i="95" s="1"/>
  <c r="E31" i="95"/>
  <c r="O30" i="95"/>
  <c r="N30" i="95"/>
  <c r="K30" i="95"/>
  <c r="J30" i="95"/>
  <c r="I30" i="95"/>
  <c r="G30" i="95" s="1"/>
  <c r="E30" i="95"/>
  <c r="O29" i="95"/>
  <c r="N29" i="95"/>
  <c r="K29" i="95"/>
  <c r="J29" i="95"/>
  <c r="I29" i="95"/>
  <c r="G29" i="95" s="1"/>
  <c r="E29" i="95"/>
  <c r="O28" i="95"/>
  <c r="N28" i="95"/>
  <c r="K28" i="95"/>
  <c r="J28" i="95"/>
  <c r="I28" i="95"/>
  <c r="G28" i="95" s="1"/>
  <c r="E28" i="95"/>
  <c r="O27" i="95"/>
  <c r="N27" i="95"/>
  <c r="K27" i="95"/>
  <c r="J27" i="95"/>
  <c r="I27" i="95"/>
  <c r="G27" i="95" s="1"/>
  <c r="E27" i="95"/>
  <c r="O26" i="95"/>
  <c r="N26" i="95"/>
  <c r="K26" i="95"/>
  <c r="J26" i="95"/>
  <c r="I26" i="95"/>
  <c r="G26" i="95" s="1"/>
  <c r="E26" i="95"/>
  <c r="O25" i="95"/>
  <c r="N25" i="95"/>
  <c r="K25" i="95"/>
  <c r="J25" i="95"/>
  <c r="I25" i="95"/>
  <c r="G25" i="95" s="1"/>
  <c r="E25" i="95"/>
  <c r="O24" i="95"/>
  <c r="N24" i="95"/>
  <c r="K24" i="95"/>
  <c r="J24" i="95"/>
  <c r="I24" i="95"/>
  <c r="G24" i="95" s="1"/>
  <c r="E24" i="95"/>
  <c r="O23" i="95"/>
  <c r="N23" i="95"/>
  <c r="K23" i="95"/>
  <c r="J23" i="95"/>
  <c r="I23" i="95"/>
  <c r="G23" i="95" s="1"/>
  <c r="E23" i="95"/>
  <c r="O22" i="95"/>
  <c r="N22" i="95"/>
  <c r="K22" i="95"/>
  <c r="J22" i="95"/>
  <c r="I22" i="95"/>
  <c r="G22" i="95" s="1"/>
  <c r="E22" i="95"/>
  <c r="O21" i="95"/>
  <c r="N21" i="95"/>
  <c r="K21" i="95"/>
  <c r="J21" i="95"/>
  <c r="I21" i="95"/>
  <c r="G21" i="95" s="1"/>
  <c r="E21" i="95"/>
  <c r="O20" i="95"/>
  <c r="N20" i="95"/>
  <c r="K20" i="95"/>
  <c r="J20" i="95"/>
  <c r="I20" i="95"/>
  <c r="G20" i="95" s="1"/>
  <c r="E20" i="95"/>
  <c r="O19" i="95"/>
  <c r="N19" i="95"/>
  <c r="K19" i="95"/>
  <c r="J19" i="95"/>
  <c r="I19" i="95"/>
  <c r="G19" i="95" s="1"/>
  <c r="E19" i="95"/>
  <c r="O18" i="95"/>
  <c r="N18" i="95"/>
  <c r="K18" i="95"/>
  <c r="J18" i="95"/>
  <c r="I18" i="95"/>
  <c r="G18" i="95" s="1"/>
  <c r="E18" i="95"/>
  <c r="O17" i="95"/>
  <c r="N17" i="95"/>
  <c r="K17" i="95"/>
  <c r="J17" i="95"/>
  <c r="I17" i="95"/>
  <c r="G17" i="95" s="1"/>
  <c r="E17" i="95"/>
  <c r="O16" i="95"/>
  <c r="N16" i="95"/>
  <c r="K16" i="95"/>
  <c r="J16" i="95"/>
  <c r="I16" i="95"/>
  <c r="G16" i="95" s="1"/>
  <c r="E16" i="95"/>
  <c r="O15" i="95"/>
  <c r="N15" i="95"/>
  <c r="K15" i="95"/>
  <c r="J15" i="95"/>
  <c r="I15" i="95"/>
  <c r="G15" i="95" s="1"/>
  <c r="E15" i="95"/>
  <c r="O14" i="95"/>
  <c r="N14" i="95"/>
  <c r="K14" i="95"/>
  <c r="J14" i="95"/>
  <c r="I14" i="95"/>
  <c r="G14" i="95" s="1"/>
  <c r="E14" i="95"/>
  <c r="O13" i="95"/>
  <c r="N13" i="95"/>
  <c r="K13" i="95"/>
  <c r="J13" i="95"/>
  <c r="I13" i="95"/>
  <c r="G13" i="95" s="1"/>
  <c r="E13" i="95"/>
  <c r="O12" i="95"/>
  <c r="N12" i="95"/>
  <c r="K12" i="95"/>
  <c r="J12" i="95"/>
  <c r="I12" i="95"/>
  <c r="G12" i="95" s="1"/>
  <c r="E12" i="95"/>
  <c r="O11" i="95"/>
  <c r="N11" i="95"/>
  <c r="K11" i="95"/>
  <c r="J11" i="95"/>
  <c r="I11" i="95"/>
  <c r="G11" i="95" s="1"/>
  <c r="E11" i="95"/>
  <c r="O10" i="95"/>
  <c r="N10" i="95"/>
  <c r="K10" i="95"/>
  <c r="J10" i="95"/>
  <c r="I10" i="95"/>
  <c r="G10" i="95" s="1"/>
  <c r="E10" i="95"/>
  <c r="O9" i="95"/>
  <c r="N9" i="95"/>
  <c r="K9" i="95"/>
  <c r="J9" i="95"/>
  <c r="I9" i="95"/>
  <c r="G9" i="95" s="1"/>
  <c r="E9" i="95"/>
  <c r="O8" i="95"/>
  <c r="N8" i="95"/>
  <c r="K8" i="95"/>
  <c r="J8" i="95"/>
  <c r="I8" i="95"/>
  <c r="G8" i="95" s="1"/>
  <c r="E8" i="95"/>
  <c r="O7" i="95"/>
  <c r="N7" i="95"/>
  <c r="K7" i="95"/>
  <c r="J7" i="95"/>
  <c r="I7" i="95"/>
  <c r="G7" i="95" s="1"/>
  <c r="E7" i="95"/>
  <c r="O6" i="95"/>
  <c r="N6" i="95"/>
  <c r="K6" i="95"/>
  <c r="J6" i="95"/>
  <c r="M6" i="95" s="1"/>
  <c r="I6" i="95"/>
  <c r="G6" i="95" s="1"/>
  <c r="H6" i="95"/>
  <c r="E6" i="95"/>
  <c r="G3" i="95"/>
  <c r="I41" i="96" l="1"/>
  <c r="M9" i="96"/>
  <c r="M8" i="96"/>
  <c r="M29" i="96"/>
  <c r="L10" i="96"/>
  <c r="H10" i="96" s="1"/>
  <c r="L26" i="96"/>
  <c r="H26" i="96" s="1"/>
  <c r="O48" i="96"/>
  <c r="L21" i="96"/>
  <c r="H21" i="96" s="1"/>
  <c r="L14" i="96"/>
  <c r="H14" i="96" s="1"/>
  <c r="M25" i="96"/>
  <c r="L30" i="96"/>
  <c r="H30" i="96" s="1"/>
  <c r="M40" i="96"/>
  <c r="L13" i="96"/>
  <c r="H13" i="96" s="1"/>
  <c r="L12" i="96"/>
  <c r="H12" i="96" s="1"/>
  <c r="M12" i="96"/>
  <c r="M28" i="96"/>
  <c r="M36" i="96"/>
  <c r="M37" i="96"/>
  <c r="L18" i="96"/>
  <c r="H18" i="96" s="1"/>
  <c r="M17" i="96"/>
  <c r="L22" i="96"/>
  <c r="H22" i="96" s="1"/>
  <c r="M34" i="96"/>
  <c r="M39" i="96"/>
  <c r="M38" i="96"/>
  <c r="AG49" i="96"/>
  <c r="M32" i="96"/>
  <c r="M33" i="96"/>
  <c r="Z49" i="96"/>
  <c r="L20" i="96"/>
  <c r="H20" i="96" s="1"/>
  <c r="L28" i="96"/>
  <c r="H28" i="96" s="1"/>
  <c r="M16" i="96"/>
  <c r="M20" i="96"/>
  <c r="M24" i="96"/>
  <c r="L9" i="96"/>
  <c r="H9" i="96" s="1"/>
  <c r="L17" i="96"/>
  <c r="H17" i="96" s="1"/>
  <c r="L25" i="96"/>
  <c r="H25" i="96" s="1"/>
  <c r="L29" i="96"/>
  <c r="H29" i="96" s="1"/>
  <c r="L33" i="96"/>
  <c r="H33" i="96" s="1"/>
  <c r="M13" i="96"/>
  <c r="M21" i="96"/>
  <c r="S49" i="96"/>
  <c r="AA49" i="96"/>
  <c r="M14" i="96"/>
  <c r="M7" i="96"/>
  <c r="L8" i="96"/>
  <c r="H8" i="96" s="1"/>
  <c r="L24" i="96"/>
  <c r="H24" i="96" s="1"/>
  <c r="L37" i="96"/>
  <c r="R49" i="96"/>
  <c r="L34" i="96"/>
  <c r="H34" i="96" s="1"/>
  <c r="L38" i="96"/>
  <c r="T49" i="96"/>
  <c r="AB49" i="96"/>
  <c r="M30" i="96"/>
  <c r="U49" i="96"/>
  <c r="AC49" i="96"/>
  <c r="M18" i="96"/>
  <c r="M22" i="96"/>
  <c r="L11" i="96"/>
  <c r="H11" i="96" s="1"/>
  <c r="L15" i="96"/>
  <c r="H15" i="96" s="1"/>
  <c r="L31" i="96"/>
  <c r="H31" i="96" s="1"/>
  <c r="L35" i="96"/>
  <c r="H35" i="96" s="1"/>
  <c r="L39" i="96"/>
  <c r="N49" i="96"/>
  <c r="V49" i="96"/>
  <c r="AD49" i="96"/>
  <c r="L6" i="96"/>
  <c r="M26" i="96"/>
  <c r="L19" i="96"/>
  <c r="H19" i="96" s="1"/>
  <c r="L23" i="96"/>
  <c r="H23" i="96" s="1"/>
  <c r="L27" i="96"/>
  <c r="H27" i="96" s="1"/>
  <c r="L7" i="96"/>
  <c r="H7" i="96" s="1"/>
  <c r="M11" i="96"/>
  <c r="M15" i="96"/>
  <c r="M19" i="96"/>
  <c r="M23" i="96"/>
  <c r="M27" i="96"/>
  <c r="M31" i="96"/>
  <c r="M35" i="96"/>
  <c r="O49" i="96"/>
  <c r="W49" i="96"/>
  <c r="AE49" i="96"/>
  <c r="L16" i="96"/>
  <c r="H16" i="96" s="1"/>
  <c r="L32" i="96"/>
  <c r="H32" i="96" s="1"/>
  <c r="L36" i="96"/>
  <c r="L40" i="96"/>
  <c r="P49" i="96"/>
  <c r="X49" i="96"/>
  <c r="AF49" i="96"/>
  <c r="M10" i="96"/>
  <c r="Q49" i="96"/>
  <c r="Y49" i="96"/>
  <c r="M7" i="95"/>
  <c r="M12" i="95"/>
  <c r="M10" i="95"/>
  <c r="C44" i="95"/>
  <c r="AG49" i="95"/>
  <c r="O48" i="95"/>
  <c r="I41" i="95"/>
  <c r="L10" i="95"/>
  <c r="H10" i="95" s="1"/>
  <c r="L6" i="95"/>
  <c r="L13" i="95"/>
  <c r="H13" i="95" s="1"/>
  <c r="M32" i="95"/>
  <c r="M30" i="95"/>
  <c r="L22" i="95"/>
  <c r="H22" i="95" s="1"/>
  <c r="M18" i="95"/>
  <c r="M24" i="95"/>
  <c r="L17" i="95"/>
  <c r="H17" i="95" s="1"/>
  <c r="M36" i="95"/>
  <c r="M28" i="95"/>
  <c r="M34" i="95"/>
  <c r="M40" i="95"/>
  <c r="L16" i="95"/>
  <c r="H16" i="95" s="1"/>
  <c r="M22" i="95"/>
  <c r="M39" i="95"/>
  <c r="L9" i="95"/>
  <c r="H9" i="95" s="1"/>
  <c r="M20" i="95"/>
  <c r="M26" i="95"/>
  <c r="M14" i="95"/>
  <c r="M38" i="95"/>
  <c r="L15" i="95"/>
  <c r="H15" i="95" s="1"/>
  <c r="L19" i="95"/>
  <c r="H19" i="95" s="1"/>
  <c r="L23" i="95"/>
  <c r="H23" i="95" s="1"/>
  <c r="L27" i="95"/>
  <c r="H27" i="95" s="1"/>
  <c r="L31" i="95"/>
  <c r="H31" i="95" s="1"/>
  <c r="L35" i="95"/>
  <c r="R49" i="95"/>
  <c r="Z49" i="95"/>
  <c r="M15" i="95"/>
  <c r="M19" i="95"/>
  <c r="M23" i="95"/>
  <c r="M27" i="95"/>
  <c r="M31" i="95"/>
  <c r="M35" i="95"/>
  <c r="S49" i="95"/>
  <c r="AA49" i="95"/>
  <c r="L20" i="95"/>
  <c r="H20" i="95" s="1"/>
  <c r="L24" i="95"/>
  <c r="H24" i="95" s="1"/>
  <c r="L28" i="95"/>
  <c r="H28" i="95" s="1"/>
  <c r="L32" i="95"/>
  <c r="H32" i="95" s="1"/>
  <c r="L36" i="95"/>
  <c r="H36" i="95" s="1"/>
  <c r="T49" i="95"/>
  <c r="AB49" i="95"/>
  <c r="L12" i="95"/>
  <c r="H12" i="95" s="1"/>
  <c r="M8" i="95"/>
  <c r="M16" i="95"/>
  <c r="U49" i="95"/>
  <c r="AC49" i="95"/>
  <c r="L11" i="95"/>
  <c r="H11" i="95" s="1"/>
  <c r="M11" i="95"/>
  <c r="L8" i="95"/>
  <c r="H8" i="95" s="1"/>
  <c r="L21" i="95"/>
  <c r="H21" i="95" s="1"/>
  <c r="L25" i="95"/>
  <c r="H25" i="95" s="1"/>
  <c r="L29" i="95"/>
  <c r="H29" i="95" s="1"/>
  <c r="L33" i="95"/>
  <c r="L37" i="95"/>
  <c r="H37" i="95" s="1"/>
  <c r="N49" i="95"/>
  <c r="V49" i="95"/>
  <c r="AD49" i="95"/>
  <c r="M17" i="95"/>
  <c r="M21" i="95"/>
  <c r="M25" i="95"/>
  <c r="M29" i="95"/>
  <c r="M33" i="95"/>
  <c r="M37" i="95"/>
  <c r="O49" i="95"/>
  <c r="W49" i="95"/>
  <c r="AE49" i="95"/>
  <c r="M13" i="95"/>
  <c r="L14" i="95"/>
  <c r="H14" i="95" s="1"/>
  <c r="L18" i="95"/>
  <c r="H18" i="95" s="1"/>
  <c r="L26" i="95"/>
  <c r="H26" i="95" s="1"/>
  <c r="L30" i="95"/>
  <c r="H30" i="95" s="1"/>
  <c r="L34" i="95"/>
  <c r="H34" i="95" s="1"/>
  <c r="L38" i="95"/>
  <c r="H38" i="95" s="1"/>
  <c r="L39" i="95"/>
  <c r="L40" i="95"/>
  <c r="P49" i="95"/>
  <c r="X49" i="95"/>
  <c r="AF49" i="95"/>
  <c r="L7" i="95"/>
  <c r="H7" i="95" s="1"/>
  <c r="M9" i="95"/>
  <c r="Q49" i="95"/>
  <c r="Y49" i="95"/>
  <c r="O40" i="92"/>
  <c r="N40" i="92"/>
  <c r="K40" i="92"/>
  <c r="J40" i="92"/>
  <c r="I40" i="92"/>
  <c r="O39" i="92"/>
  <c r="N39" i="92"/>
  <c r="K39" i="92"/>
  <c r="J39" i="92"/>
  <c r="I39" i="92"/>
  <c r="O38" i="92"/>
  <c r="N38" i="92"/>
  <c r="K38" i="92"/>
  <c r="J38" i="92"/>
  <c r="I38" i="92"/>
  <c r="O37" i="92"/>
  <c r="N37" i="92"/>
  <c r="K37" i="92"/>
  <c r="J37" i="92"/>
  <c r="I37" i="92"/>
  <c r="O36" i="92"/>
  <c r="N36" i="92"/>
  <c r="K36" i="92"/>
  <c r="J36" i="92"/>
  <c r="I36" i="92"/>
  <c r="O35" i="92"/>
  <c r="N35" i="92"/>
  <c r="K35" i="92"/>
  <c r="J35" i="92"/>
  <c r="I35" i="92"/>
  <c r="O34" i="92"/>
  <c r="N34" i="92"/>
  <c r="K34" i="92"/>
  <c r="J34" i="92"/>
  <c r="I34" i="92"/>
  <c r="O33" i="92"/>
  <c r="N33" i="92"/>
  <c r="K33" i="92"/>
  <c r="J33" i="92"/>
  <c r="I33" i="92"/>
  <c r="O32" i="92"/>
  <c r="N32" i="92"/>
  <c r="K32" i="92"/>
  <c r="J32" i="92"/>
  <c r="I32" i="92"/>
  <c r="O31" i="92"/>
  <c r="N31" i="92"/>
  <c r="K31" i="92"/>
  <c r="J31" i="92"/>
  <c r="I31" i="92"/>
  <c r="O30" i="92"/>
  <c r="N30" i="92"/>
  <c r="K30" i="92"/>
  <c r="J30" i="92"/>
  <c r="I30" i="92"/>
  <c r="O29" i="92"/>
  <c r="N29" i="92"/>
  <c r="K29" i="92"/>
  <c r="J29" i="92"/>
  <c r="I29" i="92"/>
  <c r="O28" i="92"/>
  <c r="N28" i="92"/>
  <c r="K28" i="92"/>
  <c r="J28" i="92"/>
  <c r="I28" i="92"/>
  <c r="O27" i="92"/>
  <c r="N27" i="92"/>
  <c r="K27" i="92"/>
  <c r="J27" i="92"/>
  <c r="I27" i="92"/>
  <c r="O26" i="92"/>
  <c r="N26" i="92"/>
  <c r="K26" i="92"/>
  <c r="J26" i="92"/>
  <c r="I26" i="92"/>
  <c r="O25" i="92"/>
  <c r="N25" i="92"/>
  <c r="K25" i="92"/>
  <c r="J25" i="92"/>
  <c r="I25" i="92"/>
  <c r="O24" i="92"/>
  <c r="N24" i="92"/>
  <c r="K24" i="92"/>
  <c r="J24" i="92"/>
  <c r="I24" i="92"/>
  <c r="O23" i="92"/>
  <c r="N23" i="92"/>
  <c r="K23" i="92"/>
  <c r="J23" i="92"/>
  <c r="I23" i="92"/>
  <c r="O22" i="92"/>
  <c r="N22" i="92"/>
  <c r="K22" i="92"/>
  <c r="J22" i="92"/>
  <c r="I22" i="92"/>
  <c r="O21" i="92"/>
  <c r="N21" i="92"/>
  <c r="K21" i="92"/>
  <c r="J21" i="92"/>
  <c r="I21" i="92"/>
  <c r="O20" i="92"/>
  <c r="N20" i="92"/>
  <c r="K20" i="92"/>
  <c r="J20" i="92"/>
  <c r="I20" i="92"/>
  <c r="O19" i="92"/>
  <c r="N19" i="92"/>
  <c r="K19" i="92"/>
  <c r="J19" i="92"/>
  <c r="I19" i="92"/>
  <c r="O18" i="92"/>
  <c r="N18" i="92"/>
  <c r="K18" i="92"/>
  <c r="J18" i="92"/>
  <c r="I18" i="92"/>
  <c r="O17" i="92"/>
  <c r="N17" i="92"/>
  <c r="K17" i="92"/>
  <c r="J17" i="92"/>
  <c r="I17" i="92"/>
  <c r="O16" i="92"/>
  <c r="N16" i="92"/>
  <c r="K16" i="92"/>
  <c r="J16" i="92"/>
  <c r="I16" i="92"/>
  <c r="O15" i="92"/>
  <c r="N15" i="92"/>
  <c r="K15" i="92"/>
  <c r="J15" i="92"/>
  <c r="I15" i="92"/>
  <c r="O14" i="92"/>
  <c r="N14" i="92"/>
  <c r="K14" i="92"/>
  <c r="J14" i="92"/>
  <c r="I14" i="92"/>
  <c r="O13" i="92"/>
  <c r="N13" i="92"/>
  <c r="K13" i="92"/>
  <c r="J13" i="92"/>
  <c r="I13" i="92"/>
  <c r="O12" i="92"/>
  <c r="N12" i="92"/>
  <c r="K12" i="92"/>
  <c r="J12" i="92"/>
  <c r="I12" i="92"/>
  <c r="O11" i="92"/>
  <c r="N11" i="92"/>
  <c r="K11" i="92"/>
  <c r="J11" i="92"/>
  <c r="I11" i="92"/>
  <c r="O10" i="92"/>
  <c r="N10" i="92"/>
  <c r="K10" i="92"/>
  <c r="J10" i="92"/>
  <c r="I10" i="92"/>
  <c r="O9" i="92"/>
  <c r="N9" i="92"/>
  <c r="K9" i="92"/>
  <c r="J9" i="92"/>
  <c r="I9" i="92"/>
  <c r="O8" i="92"/>
  <c r="N8" i="92"/>
  <c r="K8" i="92"/>
  <c r="J8" i="92"/>
  <c r="I8" i="92"/>
  <c r="O7" i="92"/>
  <c r="N7" i="92"/>
  <c r="K7" i="92"/>
  <c r="J7" i="92"/>
  <c r="I7" i="92"/>
  <c r="O6" i="92"/>
  <c r="N6" i="92"/>
  <c r="K6" i="92"/>
  <c r="J6" i="92"/>
  <c r="I6" i="92"/>
  <c r="E40" i="92"/>
  <c r="E39" i="92"/>
  <c r="E38" i="92"/>
  <c r="E37" i="92"/>
  <c r="E36" i="92"/>
  <c r="E35" i="92"/>
  <c r="E34" i="92"/>
  <c r="E33" i="92"/>
  <c r="E32" i="92"/>
  <c r="E31" i="92"/>
  <c r="E30" i="92"/>
  <c r="E29" i="92"/>
  <c r="E28" i="92"/>
  <c r="E27" i="92"/>
  <c r="E26" i="92"/>
  <c r="E25" i="92"/>
  <c r="E24" i="92"/>
  <c r="E23" i="92"/>
  <c r="E22" i="92"/>
  <c r="E21" i="92"/>
  <c r="E20" i="92"/>
  <c r="E19" i="92"/>
  <c r="E18" i="92"/>
  <c r="E17" i="92"/>
  <c r="E16" i="92"/>
  <c r="E15" i="92"/>
  <c r="E14" i="92"/>
  <c r="E13" i="92"/>
  <c r="E12" i="92"/>
  <c r="E11" i="92"/>
  <c r="E10" i="92"/>
  <c r="E9" i="92"/>
  <c r="E8" i="92"/>
  <c r="E7" i="92"/>
  <c r="E6" i="92"/>
  <c r="O40" i="33"/>
  <c r="N40" i="33"/>
  <c r="K40" i="33"/>
  <c r="J40" i="33"/>
  <c r="I40" i="33"/>
  <c r="O39" i="33"/>
  <c r="N39" i="33"/>
  <c r="K39" i="33"/>
  <c r="J39" i="33"/>
  <c r="I39" i="33"/>
  <c r="O38" i="33"/>
  <c r="N38" i="33"/>
  <c r="K38" i="33"/>
  <c r="J38" i="33"/>
  <c r="I38" i="33"/>
  <c r="O37" i="33"/>
  <c r="N37" i="33"/>
  <c r="K37" i="33"/>
  <c r="J37" i="33"/>
  <c r="I37" i="33"/>
  <c r="O36" i="33"/>
  <c r="N36" i="33"/>
  <c r="K36" i="33"/>
  <c r="J36" i="33"/>
  <c r="I36" i="33"/>
  <c r="O35" i="33"/>
  <c r="N35" i="33"/>
  <c r="K35" i="33"/>
  <c r="J35" i="33"/>
  <c r="I35" i="33"/>
  <c r="O34" i="33"/>
  <c r="N34" i="33"/>
  <c r="K34" i="33"/>
  <c r="J34" i="33"/>
  <c r="I34" i="33"/>
  <c r="O33" i="33"/>
  <c r="N33" i="33"/>
  <c r="K33" i="33"/>
  <c r="J33" i="33"/>
  <c r="I33" i="33"/>
  <c r="O32" i="33"/>
  <c r="N32" i="33"/>
  <c r="K32" i="33"/>
  <c r="J32" i="33"/>
  <c r="I32" i="33"/>
  <c r="O31" i="33"/>
  <c r="N31" i="33"/>
  <c r="K31" i="33"/>
  <c r="J31" i="33"/>
  <c r="I31" i="33"/>
  <c r="O30" i="33"/>
  <c r="N30" i="33"/>
  <c r="K30" i="33"/>
  <c r="J30" i="33"/>
  <c r="I30" i="33"/>
  <c r="O29" i="33"/>
  <c r="N29" i="33"/>
  <c r="K29" i="33"/>
  <c r="J29" i="33"/>
  <c r="I29" i="33"/>
  <c r="O28" i="33"/>
  <c r="N28" i="33"/>
  <c r="K28" i="33"/>
  <c r="J28" i="33"/>
  <c r="I28" i="33"/>
  <c r="O27" i="33"/>
  <c r="N27" i="33"/>
  <c r="K27" i="33"/>
  <c r="J27" i="33"/>
  <c r="I27" i="33"/>
  <c r="O26" i="33"/>
  <c r="N26" i="33"/>
  <c r="K26" i="33"/>
  <c r="J26" i="33"/>
  <c r="I26" i="33"/>
  <c r="O25" i="33"/>
  <c r="N25" i="33"/>
  <c r="K25" i="33"/>
  <c r="J25" i="33"/>
  <c r="I25" i="33"/>
  <c r="O24" i="33"/>
  <c r="N24" i="33"/>
  <c r="K24" i="33"/>
  <c r="J24" i="33"/>
  <c r="I24" i="33"/>
  <c r="O23" i="33"/>
  <c r="N23" i="33"/>
  <c r="K23" i="33"/>
  <c r="J23" i="33"/>
  <c r="I23" i="33"/>
  <c r="O22" i="33"/>
  <c r="N22" i="33"/>
  <c r="K22" i="33"/>
  <c r="J22" i="33"/>
  <c r="I22" i="33"/>
  <c r="O21" i="33"/>
  <c r="N21" i="33"/>
  <c r="K21" i="33"/>
  <c r="J21" i="33"/>
  <c r="I21" i="33"/>
  <c r="O20" i="33"/>
  <c r="N20" i="33"/>
  <c r="K20" i="33"/>
  <c r="J20" i="33"/>
  <c r="I20" i="33"/>
  <c r="O19" i="33"/>
  <c r="N19" i="33"/>
  <c r="K19" i="33"/>
  <c r="J19" i="33"/>
  <c r="I19" i="33"/>
  <c r="O18" i="33"/>
  <c r="N18" i="33"/>
  <c r="K18" i="33"/>
  <c r="J18" i="33"/>
  <c r="I18" i="33"/>
  <c r="O17" i="33"/>
  <c r="N17" i="33"/>
  <c r="K17" i="33"/>
  <c r="J17" i="33"/>
  <c r="I17" i="33"/>
  <c r="O16" i="33"/>
  <c r="N16" i="33"/>
  <c r="K16" i="33"/>
  <c r="J16" i="33"/>
  <c r="I16" i="33"/>
  <c r="O15" i="33"/>
  <c r="N15" i="33"/>
  <c r="K15" i="33"/>
  <c r="J15" i="33"/>
  <c r="I15" i="33"/>
  <c r="O14" i="33"/>
  <c r="N14" i="33"/>
  <c r="K14" i="33"/>
  <c r="J14" i="33"/>
  <c r="I14" i="33"/>
  <c r="O13" i="33"/>
  <c r="N13" i="33"/>
  <c r="K13" i="33"/>
  <c r="J13" i="33"/>
  <c r="I13" i="33"/>
  <c r="O12" i="33"/>
  <c r="N12" i="33"/>
  <c r="K12" i="33"/>
  <c r="J12" i="33"/>
  <c r="I12" i="33"/>
  <c r="O11" i="33"/>
  <c r="N11" i="33"/>
  <c r="K11" i="33"/>
  <c r="J11" i="33"/>
  <c r="I11" i="33"/>
  <c r="O10" i="33"/>
  <c r="N10" i="33"/>
  <c r="K10" i="33"/>
  <c r="J10" i="33"/>
  <c r="I10" i="33"/>
  <c r="O9" i="33"/>
  <c r="N9" i="33"/>
  <c r="K9" i="33"/>
  <c r="J9" i="33"/>
  <c r="I9" i="33"/>
  <c r="O8" i="33"/>
  <c r="N8" i="33"/>
  <c r="K8" i="33"/>
  <c r="J8" i="33"/>
  <c r="I8" i="33"/>
  <c r="O7" i="33"/>
  <c r="N7" i="33"/>
  <c r="K7" i="33"/>
  <c r="J7" i="33"/>
  <c r="I7" i="33"/>
  <c r="O6" i="33"/>
  <c r="N6" i="33"/>
  <c r="K6" i="33"/>
  <c r="J6" i="33"/>
  <c r="I6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O40" i="85"/>
  <c r="N40" i="85"/>
  <c r="K40" i="85"/>
  <c r="J40" i="85"/>
  <c r="I40" i="85"/>
  <c r="O39" i="85"/>
  <c r="N39" i="85"/>
  <c r="K39" i="85"/>
  <c r="J39" i="85"/>
  <c r="I39" i="85"/>
  <c r="O38" i="85"/>
  <c r="N38" i="85"/>
  <c r="K38" i="85"/>
  <c r="J38" i="85"/>
  <c r="I38" i="85"/>
  <c r="O37" i="85"/>
  <c r="N37" i="85"/>
  <c r="K37" i="85"/>
  <c r="J37" i="85"/>
  <c r="I37" i="85"/>
  <c r="O36" i="85"/>
  <c r="N36" i="85"/>
  <c r="K36" i="85"/>
  <c r="J36" i="85"/>
  <c r="I36" i="85"/>
  <c r="O35" i="85"/>
  <c r="N35" i="85"/>
  <c r="K35" i="85"/>
  <c r="J35" i="85"/>
  <c r="I35" i="85"/>
  <c r="O34" i="85"/>
  <c r="N34" i="85"/>
  <c r="K34" i="85"/>
  <c r="J34" i="85"/>
  <c r="I34" i="85"/>
  <c r="O33" i="85"/>
  <c r="N33" i="85"/>
  <c r="K33" i="85"/>
  <c r="J33" i="85"/>
  <c r="I33" i="85"/>
  <c r="O32" i="85"/>
  <c r="N32" i="85"/>
  <c r="K32" i="85"/>
  <c r="J32" i="85"/>
  <c r="I32" i="85"/>
  <c r="O31" i="85"/>
  <c r="N31" i="85"/>
  <c r="K31" i="85"/>
  <c r="J31" i="85"/>
  <c r="I31" i="85"/>
  <c r="O30" i="85"/>
  <c r="N30" i="85"/>
  <c r="K30" i="85"/>
  <c r="J30" i="85"/>
  <c r="I30" i="85"/>
  <c r="O29" i="85"/>
  <c r="N29" i="85"/>
  <c r="K29" i="85"/>
  <c r="J29" i="85"/>
  <c r="I29" i="85"/>
  <c r="O28" i="85"/>
  <c r="N28" i="85"/>
  <c r="K28" i="85"/>
  <c r="J28" i="85"/>
  <c r="I28" i="85"/>
  <c r="O27" i="85"/>
  <c r="N27" i="85"/>
  <c r="K27" i="85"/>
  <c r="J27" i="85"/>
  <c r="I27" i="85"/>
  <c r="O26" i="85"/>
  <c r="N26" i="85"/>
  <c r="K26" i="85"/>
  <c r="J26" i="85"/>
  <c r="I26" i="85"/>
  <c r="O25" i="85"/>
  <c r="N25" i="85"/>
  <c r="K25" i="85"/>
  <c r="J25" i="85"/>
  <c r="I25" i="85"/>
  <c r="O24" i="85"/>
  <c r="N24" i="85"/>
  <c r="K24" i="85"/>
  <c r="J24" i="85"/>
  <c r="I24" i="85"/>
  <c r="O23" i="85"/>
  <c r="N23" i="85"/>
  <c r="K23" i="85"/>
  <c r="J23" i="85"/>
  <c r="I23" i="85"/>
  <c r="O22" i="85"/>
  <c r="N22" i="85"/>
  <c r="K22" i="85"/>
  <c r="J22" i="85"/>
  <c r="I22" i="85"/>
  <c r="O21" i="85"/>
  <c r="N21" i="85"/>
  <c r="K21" i="85"/>
  <c r="J21" i="85"/>
  <c r="I21" i="85"/>
  <c r="O20" i="85"/>
  <c r="N20" i="85"/>
  <c r="K20" i="85"/>
  <c r="J20" i="85"/>
  <c r="I20" i="85"/>
  <c r="O19" i="85"/>
  <c r="N19" i="85"/>
  <c r="K19" i="85"/>
  <c r="J19" i="85"/>
  <c r="I19" i="85"/>
  <c r="O18" i="85"/>
  <c r="N18" i="85"/>
  <c r="K18" i="85"/>
  <c r="J18" i="85"/>
  <c r="I18" i="85"/>
  <c r="O17" i="85"/>
  <c r="N17" i="85"/>
  <c r="K17" i="85"/>
  <c r="J17" i="85"/>
  <c r="I17" i="85"/>
  <c r="O16" i="85"/>
  <c r="N16" i="85"/>
  <c r="K16" i="85"/>
  <c r="J16" i="85"/>
  <c r="I16" i="85"/>
  <c r="O15" i="85"/>
  <c r="N15" i="85"/>
  <c r="K15" i="85"/>
  <c r="J15" i="85"/>
  <c r="I15" i="85"/>
  <c r="O14" i="85"/>
  <c r="N14" i="85"/>
  <c r="K14" i="85"/>
  <c r="J14" i="85"/>
  <c r="I14" i="85"/>
  <c r="O13" i="85"/>
  <c r="N13" i="85"/>
  <c r="K13" i="85"/>
  <c r="J13" i="85"/>
  <c r="I13" i="85"/>
  <c r="O12" i="85"/>
  <c r="N12" i="85"/>
  <c r="K12" i="85"/>
  <c r="J12" i="85"/>
  <c r="I12" i="85"/>
  <c r="O11" i="85"/>
  <c r="N11" i="85"/>
  <c r="K11" i="85"/>
  <c r="J11" i="85"/>
  <c r="I11" i="85"/>
  <c r="O10" i="85"/>
  <c r="N10" i="85"/>
  <c r="K10" i="85"/>
  <c r="J10" i="85"/>
  <c r="I10" i="85"/>
  <c r="O9" i="85"/>
  <c r="N9" i="85"/>
  <c r="K9" i="85"/>
  <c r="J9" i="85"/>
  <c r="I9" i="85"/>
  <c r="O8" i="85"/>
  <c r="N8" i="85"/>
  <c r="K8" i="85"/>
  <c r="J8" i="85"/>
  <c r="I8" i="85"/>
  <c r="O7" i="85"/>
  <c r="N7" i="85"/>
  <c r="K7" i="85"/>
  <c r="J7" i="85"/>
  <c r="I7" i="85"/>
  <c r="O6" i="85"/>
  <c r="N6" i="85"/>
  <c r="K6" i="85"/>
  <c r="J6" i="85"/>
  <c r="I6" i="85"/>
  <c r="E40" i="85"/>
  <c r="E39" i="85"/>
  <c r="E38" i="85"/>
  <c r="E37" i="85"/>
  <c r="E36" i="85"/>
  <c r="E35" i="85"/>
  <c r="E34" i="85"/>
  <c r="E33" i="85"/>
  <c r="E32" i="85"/>
  <c r="E31" i="85"/>
  <c r="E30" i="85"/>
  <c r="E29" i="85"/>
  <c r="E28" i="85"/>
  <c r="E27" i="85"/>
  <c r="E26" i="85"/>
  <c r="E25" i="85"/>
  <c r="E24" i="85"/>
  <c r="E23" i="85"/>
  <c r="E22" i="85"/>
  <c r="E21" i="85"/>
  <c r="E20" i="85"/>
  <c r="E19" i="85"/>
  <c r="E18" i="85"/>
  <c r="E17" i="85"/>
  <c r="E16" i="85"/>
  <c r="E15" i="85"/>
  <c r="E14" i="85"/>
  <c r="E13" i="85"/>
  <c r="E12" i="85"/>
  <c r="E11" i="85"/>
  <c r="E10" i="85"/>
  <c r="E9" i="85"/>
  <c r="E8" i="85"/>
  <c r="E7" i="85"/>
  <c r="E6" i="85"/>
  <c r="O40" i="18"/>
  <c r="N40" i="18"/>
  <c r="K40" i="18"/>
  <c r="J40" i="18"/>
  <c r="I40" i="18"/>
  <c r="O39" i="18"/>
  <c r="N39" i="18"/>
  <c r="K39" i="18"/>
  <c r="J39" i="18"/>
  <c r="I39" i="18"/>
  <c r="O38" i="18"/>
  <c r="N38" i="18"/>
  <c r="K38" i="18"/>
  <c r="J38" i="18"/>
  <c r="I38" i="18"/>
  <c r="O37" i="18"/>
  <c r="N37" i="18"/>
  <c r="K37" i="18"/>
  <c r="J37" i="18"/>
  <c r="I37" i="18"/>
  <c r="O36" i="18"/>
  <c r="N36" i="18"/>
  <c r="K36" i="18"/>
  <c r="J36" i="18"/>
  <c r="I36" i="18"/>
  <c r="O35" i="18"/>
  <c r="N35" i="18"/>
  <c r="K35" i="18"/>
  <c r="J35" i="18"/>
  <c r="I35" i="18"/>
  <c r="O34" i="18"/>
  <c r="N34" i="18"/>
  <c r="K34" i="18"/>
  <c r="J34" i="18"/>
  <c r="I34" i="18"/>
  <c r="O33" i="18"/>
  <c r="N33" i="18"/>
  <c r="K33" i="18"/>
  <c r="J33" i="18"/>
  <c r="I33" i="18"/>
  <c r="O32" i="18"/>
  <c r="N32" i="18"/>
  <c r="K32" i="18"/>
  <c r="J32" i="18"/>
  <c r="I32" i="18"/>
  <c r="O31" i="18"/>
  <c r="N31" i="18"/>
  <c r="K31" i="18"/>
  <c r="J31" i="18"/>
  <c r="I31" i="18"/>
  <c r="O30" i="18"/>
  <c r="N30" i="18"/>
  <c r="K30" i="18"/>
  <c r="J30" i="18"/>
  <c r="I30" i="18"/>
  <c r="O29" i="18"/>
  <c r="N29" i="18"/>
  <c r="K29" i="18"/>
  <c r="J29" i="18"/>
  <c r="I29" i="18"/>
  <c r="O28" i="18"/>
  <c r="N28" i="18"/>
  <c r="K28" i="18"/>
  <c r="J28" i="18"/>
  <c r="I28" i="18"/>
  <c r="O27" i="18"/>
  <c r="N27" i="18"/>
  <c r="K27" i="18"/>
  <c r="J27" i="18"/>
  <c r="I27" i="18"/>
  <c r="O26" i="18"/>
  <c r="N26" i="18"/>
  <c r="K26" i="18"/>
  <c r="J26" i="18"/>
  <c r="I26" i="18"/>
  <c r="O25" i="18"/>
  <c r="N25" i="18"/>
  <c r="K25" i="18"/>
  <c r="J25" i="18"/>
  <c r="I25" i="18"/>
  <c r="O24" i="18"/>
  <c r="N24" i="18"/>
  <c r="K24" i="18"/>
  <c r="J24" i="18"/>
  <c r="I24" i="18"/>
  <c r="O23" i="18"/>
  <c r="N23" i="18"/>
  <c r="K23" i="18"/>
  <c r="J23" i="18"/>
  <c r="I23" i="18"/>
  <c r="O22" i="18"/>
  <c r="N22" i="18"/>
  <c r="K22" i="18"/>
  <c r="J22" i="18"/>
  <c r="I22" i="18"/>
  <c r="O21" i="18"/>
  <c r="N21" i="18"/>
  <c r="K21" i="18"/>
  <c r="J21" i="18"/>
  <c r="I21" i="18"/>
  <c r="O20" i="18"/>
  <c r="N20" i="18"/>
  <c r="K20" i="18"/>
  <c r="J20" i="18"/>
  <c r="I20" i="18"/>
  <c r="O19" i="18"/>
  <c r="N19" i="18"/>
  <c r="K19" i="18"/>
  <c r="J19" i="18"/>
  <c r="I19" i="18"/>
  <c r="O18" i="18"/>
  <c r="N18" i="18"/>
  <c r="K18" i="18"/>
  <c r="J18" i="18"/>
  <c r="I18" i="18"/>
  <c r="O17" i="18"/>
  <c r="N17" i="18"/>
  <c r="K17" i="18"/>
  <c r="J17" i="18"/>
  <c r="I17" i="18"/>
  <c r="O16" i="18"/>
  <c r="N16" i="18"/>
  <c r="K16" i="18"/>
  <c r="J16" i="18"/>
  <c r="I16" i="18"/>
  <c r="O15" i="18"/>
  <c r="N15" i="18"/>
  <c r="K15" i="18"/>
  <c r="J15" i="18"/>
  <c r="I15" i="18"/>
  <c r="O14" i="18"/>
  <c r="N14" i="18"/>
  <c r="K14" i="18"/>
  <c r="J14" i="18"/>
  <c r="I14" i="18"/>
  <c r="O13" i="18"/>
  <c r="N13" i="18"/>
  <c r="K13" i="18"/>
  <c r="J13" i="18"/>
  <c r="I13" i="18"/>
  <c r="O12" i="18"/>
  <c r="N12" i="18"/>
  <c r="K12" i="18"/>
  <c r="J12" i="18"/>
  <c r="I12" i="18"/>
  <c r="O11" i="18"/>
  <c r="N11" i="18"/>
  <c r="K11" i="18"/>
  <c r="J11" i="18"/>
  <c r="I11" i="18"/>
  <c r="O10" i="18"/>
  <c r="N10" i="18"/>
  <c r="K10" i="18"/>
  <c r="J10" i="18"/>
  <c r="I10" i="18"/>
  <c r="O9" i="18"/>
  <c r="N9" i="18"/>
  <c r="K9" i="18"/>
  <c r="J9" i="18"/>
  <c r="I9" i="18"/>
  <c r="O8" i="18"/>
  <c r="N8" i="18"/>
  <c r="K8" i="18"/>
  <c r="J8" i="18"/>
  <c r="I8" i="18"/>
  <c r="O7" i="18"/>
  <c r="N7" i="18"/>
  <c r="K7" i="18"/>
  <c r="J7" i="18"/>
  <c r="I7" i="18"/>
  <c r="O6" i="18"/>
  <c r="N6" i="18"/>
  <c r="K6" i="18"/>
  <c r="J6" i="18"/>
  <c r="I6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40" i="67"/>
  <c r="E39" i="67"/>
  <c r="E38" i="67"/>
  <c r="E37" i="67"/>
  <c r="E36" i="67"/>
  <c r="E35" i="67"/>
  <c r="E34" i="67"/>
  <c r="E33" i="67"/>
  <c r="E32" i="67"/>
  <c r="E31" i="67"/>
  <c r="E30" i="67"/>
  <c r="E29" i="67"/>
  <c r="E28" i="67"/>
  <c r="E27" i="67"/>
  <c r="E26" i="67"/>
  <c r="E25" i="67"/>
  <c r="E24" i="67"/>
  <c r="E23" i="67"/>
  <c r="E22" i="67"/>
  <c r="E21" i="67"/>
  <c r="E20" i="67"/>
  <c r="E19" i="67"/>
  <c r="E18" i="67"/>
  <c r="E17" i="67"/>
  <c r="E16" i="67"/>
  <c r="E15" i="67"/>
  <c r="E14" i="67"/>
  <c r="E13" i="67"/>
  <c r="E12" i="67"/>
  <c r="E11" i="67"/>
  <c r="E10" i="67"/>
  <c r="E9" i="67"/>
  <c r="E7" i="67"/>
  <c r="O40" i="67"/>
  <c r="N40" i="67"/>
  <c r="K40" i="67"/>
  <c r="J40" i="67"/>
  <c r="I40" i="67"/>
  <c r="O39" i="67"/>
  <c r="N39" i="67"/>
  <c r="K39" i="67"/>
  <c r="J39" i="67"/>
  <c r="I39" i="67"/>
  <c r="O38" i="67"/>
  <c r="N38" i="67"/>
  <c r="K38" i="67"/>
  <c r="J38" i="67"/>
  <c r="I38" i="67"/>
  <c r="O37" i="67"/>
  <c r="N37" i="67"/>
  <c r="K37" i="67"/>
  <c r="J37" i="67"/>
  <c r="I37" i="67"/>
  <c r="O36" i="67"/>
  <c r="N36" i="67"/>
  <c r="K36" i="67"/>
  <c r="J36" i="67"/>
  <c r="I36" i="67"/>
  <c r="O35" i="67"/>
  <c r="N35" i="67"/>
  <c r="K35" i="67"/>
  <c r="J35" i="67"/>
  <c r="I35" i="67"/>
  <c r="O34" i="67"/>
  <c r="N34" i="67"/>
  <c r="K34" i="67"/>
  <c r="J34" i="67"/>
  <c r="I34" i="67"/>
  <c r="O33" i="67"/>
  <c r="N33" i="67"/>
  <c r="K33" i="67"/>
  <c r="J33" i="67"/>
  <c r="I33" i="67"/>
  <c r="O32" i="67"/>
  <c r="N32" i="67"/>
  <c r="K32" i="67"/>
  <c r="J32" i="67"/>
  <c r="I32" i="67"/>
  <c r="O31" i="67"/>
  <c r="N31" i="67"/>
  <c r="K31" i="67"/>
  <c r="J31" i="67"/>
  <c r="I31" i="67"/>
  <c r="O30" i="67"/>
  <c r="N30" i="67"/>
  <c r="K30" i="67"/>
  <c r="J30" i="67"/>
  <c r="I30" i="67"/>
  <c r="O29" i="67"/>
  <c r="N29" i="67"/>
  <c r="K29" i="67"/>
  <c r="J29" i="67"/>
  <c r="I29" i="67"/>
  <c r="O28" i="67"/>
  <c r="N28" i="67"/>
  <c r="K28" i="67"/>
  <c r="J28" i="67"/>
  <c r="I28" i="67"/>
  <c r="O27" i="67"/>
  <c r="N27" i="67"/>
  <c r="K27" i="67"/>
  <c r="J27" i="67"/>
  <c r="I27" i="67"/>
  <c r="O26" i="67"/>
  <c r="N26" i="67"/>
  <c r="K26" i="67"/>
  <c r="J26" i="67"/>
  <c r="I26" i="67"/>
  <c r="O25" i="67"/>
  <c r="N25" i="67"/>
  <c r="K25" i="67"/>
  <c r="J25" i="67"/>
  <c r="I25" i="67"/>
  <c r="O24" i="67"/>
  <c r="N24" i="67"/>
  <c r="K24" i="67"/>
  <c r="J24" i="67"/>
  <c r="I24" i="67"/>
  <c r="O23" i="67"/>
  <c r="N23" i="67"/>
  <c r="K23" i="67"/>
  <c r="J23" i="67"/>
  <c r="I23" i="67"/>
  <c r="O22" i="67"/>
  <c r="N22" i="67"/>
  <c r="K22" i="67"/>
  <c r="J22" i="67"/>
  <c r="I22" i="67"/>
  <c r="O21" i="67"/>
  <c r="N21" i="67"/>
  <c r="K21" i="67"/>
  <c r="J21" i="67"/>
  <c r="I21" i="67"/>
  <c r="O20" i="67"/>
  <c r="N20" i="67"/>
  <c r="K20" i="67"/>
  <c r="J20" i="67"/>
  <c r="I20" i="67"/>
  <c r="O19" i="67"/>
  <c r="N19" i="67"/>
  <c r="K19" i="67"/>
  <c r="J19" i="67"/>
  <c r="I19" i="67"/>
  <c r="O18" i="67"/>
  <c r="N18" i="67"/>
  <c r="K18" i="67"/>
  <c r="J18" i="67"/>
  <c r="I18" i="67"/>
  <c r="O17" i="67"/>
  <c r="N17" i="67"/>
  <c r="K17" i="67"/>
  <c r="J17" i="67"/>
  <c r="I17" i="67"/>
  <c r="O16" i="67"/>
  <c r="N16" i="67"/>
  <c r="K16" i="67"/>
  <c r="J16" i="67"/>
  <c r="I16" i="67"/>
  <c r="O15" i="67"/>
  <c r="N15" i="67"/>
  <c r="K15" i="67"/>
  <c r="J15" i="67"/>
  <c r="I15" i="67"/>
  <c r="O14" i="67"/>
  <c r="N14" i="67"/>
  <c r="K14" i="67"/>
  <c r="J14" i="67"/>
  <c r="I14" i="67"/>
  <c r="O13" i="67"/>
  <c r="N13" i="67"/>
  <c r="K13" i="67"/>
  <c r="J13" i="67"/>
  <c r="I13" i="67"/>
  <c r="O12" i="67"/>
  <c r="N12" i="67"/>
  <c r="K12" i="67"/>
  <c r="J12" i="67"/>
  <c r="I12" i="67"/>
  <c r="O11" i="67"/>
  <c r="N11" i="67"/>
  <c r="K11" i="67"/>
  <c r="J11" i="67"/>
  <c r="I11" i="67"/>
  <c r="O10" i="67"/>
  <c r="N10" i="67"/>
  <c r="K10" i="67"/>
  <c r="J10" i="67"/>
  <c r="I10" i="67"/>
  <c r="O9" i="67"/>
  <c r="N9" i="67"/>
  <c r="K9" i="67"/>
  <c r="J9" i="67"/>
  <c r="I9" i="67"/>
  <c r="O8" i="67"/>
  <c r="N8" i="67"/>
  <c r="K8" i="67"/>
  <c r="J8" i="67"/>
  <c r="I8" i="67"/>
  <c r="O7" i="67"/>
  <c r="N7" i="67"/>
  <c r="K7" i="67"/>
  <c r="J7" i="67"/>
  <c r="I7" i="67"/>
  <c r="O6" i="67"/>
  <c r="N6" i="67"/>
  <c r="K6" i="67"/>
  <c r="J6" i="67"/>
  <c r="I6" i="67"/>
  <c r="O40" i="77"/>
  <c r="N40" i="77"/>
  <c r="K40" i="77"/>
  <c r="J40" i="77"/>
  <c r="I40" i="77"/>
  <c r="O39" i="77"/>
  <c r="N39" i="77"/>
  <c r="K39" i="77"/>
  <c r="J39" i="77"/>
  <c r="I39" i="77"/>
  <c r="O38" i="77"/>
  <c r="N38" i="77"/>
  <c r="K38" i="77"/>
  <c r="J38" i="77"/>
  <c r="I38" i="77"/>
  <c r="O37" i="77"/>
  <c r="N37" i="77"/>
  <c r="K37" i="77"/>
  <c r="J37" i="77"/>
  <c r="I37" i="77"/>
  <c r="O36" i="77"/>
  <c r="N36" i="77"/>
  <c r="K36" i="77"/>
  <c r="J36" i="77"/>
  <c r="I36" i="77"/>
  <c r="O35" i="77"/>
  <c r="N35" i="77"/>
  <c r="K35" i="77"/>
  <c r="J35" i="77"/>
  <c r="I35" i="77"/>
  <c r="O34" i="77"/>
  <c r="N34" i="77"/>
  <c r="K34" i="77"/>
  <c r="J34" i="77"/>
  <c r="I34" i="77"/>
  <c r="O33" i="77"/>
  <c r="N33" i="77"/>
  <c r="K33" i="77"/>
  <c r="J33" i="77"/>
  <c r="I33" i="77"/>
  <c r="O32" i="77"/>
  <c r="N32" i="77"/>
  <c r="K32" i="77"/>
  <c r="J32" i="77"/>
  <c r="I32" i="77"/>
  <c r="O31" i="77"/>
  <c r="N31" i="77"/>
  <c r="K31" i="77"/>
  <c r="J31" i="77"/>
  <c r="I31" i="77"/>
  <c r="O30" i="77"/>
  <c r="N30" i="77"/>
  <c r="K30" i="77"/>
  <c r="J30" i="77"/>
  <c r="I30" i="77"/>
  <c r="O29" i="77"/>
  <c r="N29" i="77"/>
  <c r="K29" i="77"/>
  <c r="J29" i="77"/>
  <c r="I29" i="77"/>
  <c r="O28" i="77"/>
  <c r="N28" i="77"/>
  <c r="K28" i="77"/>
  <c r="J28" i="77"/>
  <c r="I28" i="77"/>
  <c r="O27" i="77"/>
  <c r="N27" i="77"/>
  <c r="K27" i="77"/>
  <c r="J27" i="77"/>
  <c r="I27" i="77"/>
  <c r="O26" i="77"/>
  <c r="N26" i="77"/>
  <c r="K26" i="77"/>
  <c r="J26" i="77"/>
  <c r="I26" i="77"/>
  <c r="O25" i="77"/>
  <c r="N25" i="77"/>
  <c r="K25" i="77"/>
  <c r="J25" i="77"/>
  <c r="I25" i="77"/>
  <c r="O24" i="77"/>
  <c r="N24" i="77"/>
  <c r="K24" i="77"/>
  <c r="J24" i="77"/>
  <c r="I24" i="77"/>
  <c r="O23" i="77"/>
  <c r="N23" i="77"/>
  <c r="K23" i="77"/>
  <c r="J23" i="77"/>
  <c r="I23" i="77"/>
  <c r="O22" i="77"/>
  <c r="N22" i="77"/>
  <c r="K22" i="77"/>
  <c r="J22" i="77"/>
  <c r="I22" i="77"/>
  <c r="O21" i="77"/>
  <c r="N21" i="77"/>
  <c r="K21" i="77"/>
  <c r="J21" i="77"/>
  <c r="I21" i="77"/>
  <c r="O20" i="77"/>
  <c r="N20" i="77"/>
  <c r="K20" i="77"/>
  <c r="J20" i="77"/>
  <c r="I20" i="77"/>
  <c r="O19" i="77"/>
  <c r="N19" i="77"/>
  <c r="K19" i="77"/>
  <c r="J19" i="77"/>
  <c r="I19" i="77"/>
  <c r="O18" i="77"/>
  <c r="N18" i="77"/>
  <c r="K18" i="77"/>
  <c r="J18" i="77"/>
  <c r="I18" i="77"/>
  <c r="O17" i="77"/>
  <c r="N17" i="77"/>
  <c r="K17" i="77"/>
  <c r="J17" i="77"/>
  <c r="I17" i="77"/>
  <c r="O16" i="77"/>
  <c r="N16" i="77"/>
  <c r="K16" i="77"/>
  <c r="J16" i="77"/>
  <c r="I16" i="77"/>
  <c r="O15" i="77"/>
  <c r="N15" i="77"/>
  <c r="K15" i="77"/>
  <c r="J15" i="77"/>
  <c r="I15" i="77"/>
  <c r="O14" i="77"/>
  <c r="N14" i="77"/>
  <c r="K14" i="77"/>
  <c r="J14" i="77"/>
  <c r="I14" i="77"/>
  <c r="O13" i="77"/>
  <c r="N13" i="77"/>
  <c r="K13" i="77"/>
  <c r="J13" i="77"/>
  <c r="I13" i="77"/>
  <c r="O12" i="77"/>
  <c r="N12" i="77"/>
  <c r="K12" i="77"/>
  <c r="J12" i="77"/>
  <c r="I12" i="77"/>
  <c r="O11" i="77"/>
  <c r="N11" i="77"/>
  <c r="K11" i="77"/>
  <c r="J11" i="77"/>
  <c r="I11" i="77"/>
  <c r="O10" i="77"/>
  <c r="N10" i="77"/>
  <c r="K10" i="77"/>
  <c r="J10" i="77"/>
  <c r="I10" i="77"/>
  <c r="O9" i="77"/>
  <c r="N9" i="77"/>
  <c r="K9" i="77"/>
  <c r="J9" i="77"/>
  <c r="I9" i="77"/>
  <c r="O8" i="77"/>
  <c r="N8" i="77"/>
  <c r="K8" i="77"/>
  <c r="J8" i="77"/>
  <c r="I8" i="77"/>
  <c r="O7" i="77"/>
  <c r="N7" i="77"/>
  <c r="K7" i="77"/>
  <c r="J7" i="77"/>
  <c r="I7" i="77"/>
  <c r="O6" i="77"/>
  <c r="N6" i="77"/>
  <c r="K6" i="77"/>
  <c r="J6" i="77"/>
  <c r="I6" i="77"/>
  <c r="E40" i="77"/>
  <c r="E39" i="77"/>
  <c r="E38" i="77"/>
  <c r="E37" i="77"/>
  <c r="E36" i="77"/>
  <c r="E35" i="77"/>
  <c r="E34" i="77"/>
  <c r="E33" i="77"/>
  <c r="E32" i="77"/>
  <c r="E31" i="77"/>
  <c r="E30" i="77"/>
  <c r="E29" i="77"/>
  <c r="E28" i="77"/>
  <c r="E27" i="77"/>
  <c r="E26" i="77"/>
  <c r="E25" i="77"/>
  <c r="E24" i="77"/>
  <c r="E23" i="77"/>
  <c r="E22" i="77"/>
  <c r="E21" i="77"/>
  <c r="E20" i="77"/>
  <c r="E19" i="77"/>
  <c r="E18" i="77"/>
  <c r="E17" i="77"/>
  <c r="E16" i="77"/>
  <c r="E15" i="77"/>
  <c r="E14" i="77"/>
  <c r="E13" i="77"/>
  <c r="E12" i="77"/>
  <c r="E11" i="77"/>
  <c r="E10" i="77"/>
  <c r="E9" i="77"/>
  <c r="E8" i="77"/>
  <c r="E7" i="77"/>
  <c r="E6" i="77"/>
  <c r="O40" i="44"/>
  <c r="N40" i="44"/>
  <c r="K40" i="44"/>
  <c r="J40" i="44"/>
  <c r="I40" i="44"/>
  <c r="O39" i="44"/>
  <c r="N39" i="44"/>
  <c r="K39" i="44"/>
  <c r="J39" i="44"/>
  <c r="I39" i="44"/>
  <c r="O38" i="44"/>
  <c r="N38" i="44"/>
  <c r="K38" i="44"/>
  <c r="J38" i="44"/>
  <c r="I38" i="44"/>
  <c r="O37" i="44"/>
  <c r="N37" i="44"/>
  <c r="K37" i="44"/>
  <c r="J37" i="44"/>
  <c r="I37" i="44"/>
  <c r="O36" i="44"/>
  <c r="N36" i="44"/>
  <c r="K36" i="44"/>
  <c r="J36" i="44"/>
  <c r="I36" i="44"/>
  <c r="O35" i="44"/>
  <c r="N35" i="44"/>
  <c r="K35" i="44"/>
  <c r="J35" i="44"/>
  <c r="I35" i="44"/>
  <c r="O34" i="44"/>
  <c r="N34" i="44"/>
  <c r="K34" i="44"/>
  <c r="J34" i="44"/>
  <c r="I34" i="44"/>
  <c r="O33" i="44"/>
  <c r="N33" i="44"/>
  <c r="K33" i="44"/>
  <c r="J33" i="44"/>
  <c r="I33" i="44"/>
  <c r="O32" i="44"/>
  <c r="N32" i="44"/>
  <c r="K32" i="44"/>
  <c r="J32" i="44"/>
  <c r="I32" i="44"/>
  <c r="O31" i="44"/>
  <c r="N31" i="44"/>
  <c r="K31" i="44"/>
  <c r="J31" i="44"/>
  <c r="I31" i="44"/>
  <c r="O30" i="44"/>
  <c r="N30" i="44"/>
  <c r="K30" i="44"/>
  <c r="J30" i="44"/>
  <c r="I30" i="44"/>
  <c r="O29" i="44"/>
  <c r="N29" i="44"/>
  <c r="K29" i="44"/>
  <c r="J29" i="44"/>
  <c r="I29" i="44"/>
  <c r="O28" i="44"/>
  <c r="N28" i="44"/>
  <c r="K28" i="44"/>
  <c r="J28" i="44"/>
  <c r="I28" i="44"/>
  <c r="O27" i="44"/>
  <c r="N27" i="44"/>
  <c r="K27" i="44"/>
  <c r="J27" i="44"/>
  <c r="I27" i="44"/>
  <c r="O26" i="44"/>
  <c r="N26" i="44"/>
  <c r="K26" i="44"/>
  <c r="J26" i="44"/>
  <c r="I26" i="44"/>
  <c r="O25" i="44"/>
  <c r="N25" i="44"/>
  <c r="K25" i="44"/>
  <c r="J25" i="44"/>
  <c r="I25" i="44"/>
  <c r="O24" i="44"/>
  <c r="N24" i="44"/>
  <c r="K24" i="44"/>
  <c r="J24" i="44"/>
  <c r="I24" i="44"/>
  <c r="O23" i="44"/>
  <c r="N23" i="44"/>
  <c r="K23" i="44"/>
  <c r="J23" i="44"/>
  <c r="I23" i="44"/>
  <c r="O22" i="44"/>
  <c r="N22" i="44"/>
  <c r="K22" i="44"/>
  <c r="J22" i="44"/>
  <c r="I22" i="44"/>
  <c r="O21" i="44"/>
  <c r="N21" i="44"/>
  <c r="K21" i="44"/>
  <c r="J21" i="44"/>
  <c r="I21" i="44"/>
  <c r="O20" i="44"/>
  <c r="N20" i="44"/>
  <c r="K20" i="44"/>
  <c r="J20" i="44"/>
  <c r="I20" i="44"/>
  <c r="O19" i="44"/>
  <c r="N19" i="44"/>
  <c r="K19" i="44"/>
  <c r="J19" i="44"/>
  <c r="I19" i="44"/>
  <c r="O18" i="44"/>
  <c r="N18" i="44"/>
  <c r="K18" i="44"/>
  <c r="J18" i="44"/>
  <c r="I18" i="44"/>
  <c r="O17" i="44"/>
  <c r="N17" i="44"/>
  <c r="K17" i="44"/>
  <c r="J17" i="44"/>
  <c r="I17" i="44"/>
  <c r="O16" i="44"/>
  <c r="N16" i="44"/>
  <c r="K16" i="44"/>
  <c r="J16" i="44"/>
  <c r="I16" i="44"/>
  <c r="O15" i="44"/>
  <c r="N15" i="44"/>
  <c r="K15" i="44"/>
  <c r="J15" i="44"/>
  <c r="I15" i="44"/>
  <c r="O14" i="44"/>
  <c r="N14" i="44"/>
  <c r="K14" i="44"/>
  <c r="J14" i="44"/>
  <c r="I14" i="44"/>
  <c r="O13" i="44"/>
  <c r="N13" i="44"/>
  <c r="K13" i="44"/>
  <c r="J13" i="44"/>
  <c r="I13" i="44"/>
  <c r="O12" i="44"/>
  <c r="N12" i="44"/>
  <c r="K12" i="44"/>
  <c r="J12" i="44"/>
  <c r="I12" i="44"/>
  <c r="O11" i="44"/>
  <c r="N11" i="44"/>
  <c r="K11" i="44"/>
  <c r="J11" i="44"/>
  <c r="I11" i="44"/>
  <c r="O10" i="44"/>
  <c r="N10" i="44"/>
  <c r="K10" i="44"/>
  <c r="J10" i="44"/>
  <c r="I10" i="44"/>
  <c r="O9" i="44"/>
  <c r="N9" i="44"/>
  <c r="K9" i="44"/>
  <c r="J9" i="44"/>
  <c r="I9" i="44"/>
  <c r="O8" i="44"/>
  <c r="N8" i="44"/>
  <c r="K8" i="44"/>
  <c r="J8" i="44"/>
  <c r="I8" i="44"/>
  <c r="O7" i="44"/>
  <c r="N7" i="44"/>
  <c r="K7" i="44"/>
  <c r="J7" i="44"/>
  <c r="I7" i="44"/>
  <c r="O6" i="44"/>
  <c r="N6" i="44"/>
  <c r="K6" i="44"/>
  <c r="J6" i="44"/>
  <c r="I6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40" i="66"/>
  <c r="E39" i="66"/>
  <c r="E38" i="66"/>
  <c r="E37" i="66"/>
  <c r="E36" i="66"/>
  <c r="E35" i="66"/>
  <c r="E34" i="66"/>
  <c r="E33" i="66"/>
  <c r="E32" i="66"/>
  <c r="E31" i="66"/>
  <c r="E30" i="66"/>
  <c r="E29" i="66"/>
  <c r="E28" i="66"/>
  <c r="E27" i="66"/>
  <c r="E26" i="66"/>
  <c r="E25" i="66"/>
  <c r="E24" i="66"/>
  <c r="E23" i="66"/>
  <c r="E22" i="66"/>
  <c r="E21" i="66"/>
  <c r="E20" i="66"/>
  <c r="E19" i="66"/>
  <c r="E18" i="66"/>
  <c r="E17" i="66"/>
  <c r="E16" i="66"/>
  <c r="E15" i="66"/>
  <c r="E14" i="66"/>
  <c r="E13" i="66"/>
  <c r="E12" i="66"/>
  <c r="E11" i="66"/>
  <c r="E10" i="66"/>
  <c r="E9" i="66"/>
  <c r="E7" i="66"/>
  <c r="O40" i="66"/>
  <c r="N40" i="66"/>
  <c r="K40" i="66"/>
  <c r="J40" i="66"/>
  <c r="I40" i="66"/>
  <c r="O39" i="66"/>
  <c r="N39" i="66"/>
  <c r="K39" i="66"/>
  <c r="J39" i="66"/>
  <c r="I39" i="66"/>
  <c r="O38" i="66"/>
  <c r="N38" i="66"/>
  <c r="K38" i="66"/>
  <c r="J38" i="66"/>
  <c r="I38" i="66"/>
  <c r="O37" i="66"/>
  <c r="N37" i="66"/>
  <c r="K37" i="66"/>
  <c r="J37" i="66"/>
  <c r="I37" i="66"/>
  <c r="O36" i="66"/>
  <c r="N36" i="66"/>
  <c r="K36" i="66"/>
  <c r="J36" i="66"/>
  <c r="I36" i="66"/>
  <c r="O35" i="66"/>
  <c r="N35" i="66"/>
  <c r="K35" i="66"/>
  <c r="J35" i="66"/>
  <c r="I35" i="66"/>
  <c r="O34" i="66"/>
  <c r="N34" i="66"/>
  <c r="K34" i="66"/>
  <c r="J34" i="66"/>
  <c r="I34" i="66"/>
  <c r="O33" i="66"/>
  <c r="N33" i="66"/>
  <c r="K33" i="66"/>
  <c r="J33" i="66"/>
  <c r="I33" i="66"/>
  <c r="O32" i="66"/>
  <c r="N32" i="66"/>
  <c r="K32" i="66"/>
  <c r="J32" i="66"/>
  <c r="I32" i="66"/>
  <c r="O31" i="66"/>
  <c r="N31" i="66"/>
  <c r="K31" i="66"/>
  <c r="J31" i="66"/>
  <c r="I31" i="66"/>
  <c r="O30" i="66"/>
  <c r="N30" i="66"/>
  <c r="K30" i="66"/>
  <c r="J30" i="66"/>
  <c r="I30" i="66"/>
  <c r="O29" i="66"/>
  <c r="N29" i="66"/>
  <c r="K29" i="66"/>
  <c r="J29" i="66"/>
  <c r="I29" i="66"/>
  <c r="O28" i="66"/>
  <c r="N28" i="66"/>
  <c r="K28" i="66"/>
  <c r="J28" i="66"/>
  <c r="I28" i="66"/>
  <c r="O27" i="66"/>
  <c r="N27" i="66"/>
  <c r="K27" i="66"/>
  <c r="J27" i="66"/>
  <c r="I27" i="66"/>
  <c r="O26" i="66"/>
  <c r="N26" i="66"/>
  <c r="K26" i="66"/>
  <c r="J26" i="66"/>
  <c r="I26" i="66"/>
  <c r="O25" i="66"/>
  <c r="N25" i="66"/>
  <c r="K25" i="66"/>
  <c r="J25" i="66"/>
  <c r="I25" i="66"/>
  <c r="O24" i="66"/>
  <c r="N24" i="66"/>
  <c r="K24" i="66"/>
  <c r="J24" i="66"/>
  <c r="I24" i="66"/>
  <c r="O23" i="66"/>
  <c r="N23" i="66"/>
  <c r="K23" i="66"/>
  <c r="J23" i="66"/>
  <c r="I23" i="66"/>
  <c r="O22" i="66"/>
  <c r="N22" i="66"/>
  <c r="K22" i="66"/>
  <c r="J22" i="66"/>
  <c r="I22" i="66"/>
  <c r="O21" i="66"/>
  <c r="N21" i="66"/>
  <c r="K21" i="66"/>
  <c r="J21" i="66"/>
  <c r="I21" i="66"/>
  <c r="O20" i="66"/>
  <c r="N20" i="66"/>
  <c r="K20" i="66"/>
  <c r="J20" i="66"/>
  <c r="I20" i="66"/>
  <c r="O19" i="66"/>
  <c r="N19" i="66"/>
  <c r="K19" i="66"/>
  <c r="J19" i="66"/>
  <c r="I19" i="66"/>
  <c r="O18" i="66"/>
  <c r="N18" i="66"/>
  <c r="K18" i="66"/>
  <c r="J18" i="66"/>
  <c r="I18" i="66"/>
  <c r="O17" i="66"/>
  <c r="N17" i="66"/>
  <c r="K17" i="66"/>
  <c r="J17" i="66"/>
  <c r="I17" i="66"/>
  <c r="O16" i="66"/>
  <c r="N16" i="66"/>
  <c r="K16" i="66"/>
  <c r="J16" i="66"/>
  <c r="I16" i="66"/>
  <c r="O15" i="66"/>
  <c r="N15" i="66"/>
  <c r="K15" i="66"/>
  <c r="J15" i="66"/>
  <c r="I15" i="66"/>
  <c r="O14" i="66"/>
  <c r="N14" i="66"/>
  <c r="K14" i="66"/>
  <c r="J14" i="66"/>
  <c r="I14" i="66"/>
  <c r="O13" i="66"/>
  <c r="N13" i="66"/>
  <c r="K13" i="66"/>
  <c r="J13" i="66"/>
  <c r="I13" i="66"/>
  <c r="O12" i="66"/>
  <c r="N12" i="66"/>
  <c r="K12" i="66"/>
  <c r="J12" i="66"/>
  <c r="I12" i="66"/>
  <c r="O11" i="66"/>
  <c r="N11" i="66"/>
  <c r="K11" i="66"/>
  <c r="J11" i="66"/>
  <c r="I11" i="66"/>
  <c r="O10" i="66"/>
  <c r="N10" i="66"/>
  <c r="K10" i="66"/>
  <c r="J10" i="66"/>
  <c r="I10" i="66"/>
  <c r="O9" i="66"/>
  <c r="N9" i="66"/>
  <c r="K9" i="66"/>
  <c r="J9" i="66"/>
  <c r="I9" i="66"/>
  <c r="O8" i="66"/>
  <c r="N8" i="66"/>
  <c r="K8" i="66"/>
  <c r="J8" i="66"/>
  <c r="I8" i="66"/>
  <c r="O7" i="66"/>
  <c r="N7" i="66"/>
  <c r="K7" i="66"/>
  <c r="J7" i="66"/>
  <c r="I7" i="66"/>
  <c r="O6" i="66"/>
  <c r="N6" i="66"/>
  <c r="K6" i="66"/>
  <c r="J6" i="66"/>
  <c r="I6" i="66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7" i="25"/>
  <c r="O40" i="25"/>
  <c r="N40" i="25"/>
  <c r="K40" i="25"/>
  <c r="J40" i="25"/>
  <c r="I40" i="25"/>
  <c r="O39" i="25"/>
  <c r="N39" i="25"/>
  <c r="K39" i="25"/>
  <c r="J39" i="25"/>
  <c r="I39" i="25"/>
  <c r="O38" i="25"/>
  <c r="N38" i="25"/>
  <c r="K38" i="25"/>
  <c r="J38" i="25"/>
  <c r="I38" i="25"/>
  <c r="O37" i="25"/>
  <c r="N37" i="25"/>
  <c r="K37" i="25"/>
  <c r="J37" i="25"/>
  <c r="I37" i="25"/>
  <c r="O36" i="25"/>
  <c r="N36" i="25"/>
  <c r="K36" i="25"/>
  <c r="J36" i="25"/>
  <c r="I36" i="25"/>
  <c r="O35" i="25"/>
  <c r="N35" i="25"/>
  <c r="K35" i="25"/>
  <c r="J35" i="25"/>
  <c r="I35" i="25"/>
  <c r="O34" i="25"/>
  <c r="N34" i="25"/>
  <c r="K34" i="25"/>
  <c r="J34" i="25"/>
  <c r="I34" i="25"/>
  <c r="O33" i="25"/>
  <c r="N33" i="25"/>
  <c r="K33" i="25"/>
  <c r="J33" i="25"/>
  <c r="I33" i="25"/>
  <c r="O32" i="25"/>
  <c r="N32" i="25"/>
  <c r="K32" i="25"/>
  <c r="J32" i="25"/>
  <c r="I32" i="25"/>
  <c r="O31" i="25"/>
  <c r="N31" i="25"/>
  <c r="K31" i="25"/>
  <c r="J31" i="25"/>
  <c r="I31" i="25"/>
  <c r="O30" i="25"/>
  <c r="N30" i="25"/>
  <c r="K30" i="25"/>
  <c r="J30" i="25"/>
  <c r="I30" i="25"/>
  <c r="O29" i="25"/>
  <c r="N29" i="25"/>
  <c r="K29" i="25"/>
  <c r="J29" i="25"/>
  <c r="I29" i="25"/>
  <c r="O28" i="25"/>
  <c r="N28" i="25"/>
  <c r="K28" i="25"/>
  <c r="J28" i="25"/>
  <c r="I28" i="25"/>
  <c r="O27" i="25"/>
  <c r="N27" i="25"/>
  <c r="K27" i="25"/>
  <c r="J27" i="25"/>
  <c r="I27" i="25"/>
  <c r="O26" i="25"/>
  <c r="N26" i="25"/>
  <c r="K26" i="25"/>
  <c r="J26" i="25"/>
  <c r="I26" i="25"/>
  <c r="O25" i="25"/>
  <c r="N25" i="25"/>
  <c r="K25" i="25"/>
  <c r="J25" i="25"/>
  <c r="I25" i="25"/>
  <c r="O24" i="25"/>
  <c r="N24" i="25"/>
  <c r="K24" i="25"/>
  <c r="J24" i="25"/>
  <c r="I24" i="25"/>
  <c r="O23" i="25"/>
  <c r="N23" i="25"/>
  <c r="K23" i="25"/>
  <c r="J23" i="25"/>
  <c r="I23" i="25"/>
  <c r="O22" i="25"/>
  <c r="N22" i="25"/>
  <c r="K22" i="25"/>
  <c r="J22" i="25"/>
  <c r="I22" i="25"/>
  <c r="O21" i="25"/>
  <c r="N21" i="25"/>
  <c r="K21" i="25"/>
  <c r="J21" i="25"/>
  <c r="I21" i="25"/>
  <c r="O20" i="25"/>
  <c r="N20" i="25"/>
  <c r="K20" i="25"/>
  <c r="J20" i="25"/>
  <c r="I20" i="25"/>
  <c r="O19" i="25"/>
  <c r="N19" i="25"/>
  <c r="K19" i="25"/>
  <c r="J19" i="25"/>
  <c r="I19" i="25"/>
  <c r="O18" i="25"/>
  <c r="N18" i="25"/>
  <c r="K18" i="25"/>
  <c r="J18" i="25"/>
  <c r="I18" i="25"/>
  <c r="O17" i="25"/>
  <c r="N17" i="25"/>
  <c r="K17" i="25"/>
  <c r="J17" i="25"/>
  <c r="I17" i="25"/>
  <c r="O16" i="25"/>
  <c r="N16" i="25"/>
  <c r="K16" i="25"/>
  <c r="J16" i="25"/>
  <c r="I16" i="25"/>
  <c r="O15" i="25"/>
  <c r="N15" i="25"/>
  <c r="K15" i="25"/>
  <c r="J15" i="25"/>
  <c r="I15" i="25"/>
  <c r="O14" i="25"/>
  <c r="N14" i="25"/>
  <c r="K14" i="25"/>
  <c r="J14" i="25"/>
  <c r="I14" i="25"/>
  <c r="O13" i="25"/>
  <c r="N13" i="25"/>
  <c r="K13" i="25"/>
  <c r="J13" i="25"/>
  <c r="I13" i="25"/>
  <c r="O12" i="25"/>
  <c r="N12" i="25"/>
  <c r="K12" i="25"/>
  <c r="J12" i="25"/>
  <c r="I12" i="25"/>
  <c r="O11" i="25"/>
  <c r="N11" i="25"/>
  <c r="K11" i="25"/>
  <c r="J11" i="25"/>
  <c r="I11" i="25"/>
  <c r="O10" i="25"/>
  <c r="N10" i="25"/>
  <c r="K10" i="25"/>
  <c r="J10" i="25"/>
  <c r="I10" i="25"/>
  <c r="O9" i="25"/>
  <c r="N9" i="25"/>
  <c r="K9" i="25"/>
  <c r="J9" i="25"/>
  <c r="I9" i="25"/>
  <c r="O8" i="25"/>
  <c r="N8" i="25"/>
  <c r="K8" i="25"/>
  <c r="J8" i="25"/>
  <c r="I8" i="25"/>
  <c r="O7" i="25"/>
  <c r="N7" i="25"/>
  <c r="K7" i="25"/>
  <c r="J7" i="25"/>
  <c r="I7" i="25"/>
  <c r="O6" i="25"/>
  <c r="N6" i="25"/>
  <c r="K6" i="25"/>
  <c r="J6" i="25"/>
  <c r="I6" i="25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O40" i="56"/>
  <c r="N40" i="56"/>
  <c r="K40" i="56"/>
  <c r="J40" i="56"/>
  <c r="I40" i="56"/>
  <c r="O39" i="56"/>
  <c r="N39" i="56"/>
  <c r="K39" i="56"/>
  <c r="J39" i="56"/>
  <c r="I39" i="56"/>
  <c r="O38" i="56"/>
  <c r="N38" i="56"/>
  <c r="K38" i="56"/>
  <c r="J38" i="56"/>
  <c r="I38" i="56"/>
  <c r="O37" i="56"/>
  <c r="N37" i="56"/>
  <c r="K37" i="56"/>
  <c r="J37" i="56"/>
  <c r="I37" i="56"/>
  <c r="O36" i="56"/>
  <c r="N36" i="56"/>
  <c r="K36" i="56"/>
  <c r="J36" i="56"/>
  <c r="I36" i="56"/>
  <c r="O35" i="56"/>
  <c r="N35" i="56"/>
  <c r="K35" i="56"/>
  <c r="J35" i="56"/>
  <c r="I35" i="56"/>
  <c r="O34" i="56"/>
  <c r="N34" i="56"/>
  <c r="K34" i="56"/>
  <c r="J34" i="56"/>
  <c r="I34" i="56"/>
  <c r="O33" i="56"/>
  <c r="N33" i="56"/>
  <c r="K33" i="56"/>
  <c r="J33" i="56"/>
  <c r="I33" i="56"/>
  <c r="O32" i="56"/>
  <c r="N32" i="56"/>
  <c r="K32" i="56"/>
  <c r="J32" i="56"/>
  <c r="I32" i="56"/>
  <c r="O31" i="56"/>
  <c r="N31" i="56"/>
  <c r="K31" i="56"/>
  <c r="J31" i="56"/>
  <c r="I31" i="56"/>
  <c r="O30" i="56"/>
  <c r="N30" i="56"/>
  <c r="K30" i="56"/>
  <c r="J30" i="56"/>
  <c r="I30" i="56"/>
  <c r="O29" i="56"/>
  <c r="N29" i="56"/>
  <c r="K29" i="56"/>
  <c r="J29" i="56"/>
  <c r="I29" i="56"/>
  <c r="O28" i="56"/>
  <c r="N28" i="56"/>
  <c r="K28" i="56"/>
  <c r="J28" i="56"/>
  <c r="I28" i="56"/>
  <c r="O27" i="56"/>
  <c r="N27" i="56"/>
  <c r="K27" i="56"/>
  <c r="J27" i="56"/>
  <c r="I27" i="56"/>
  <c r="O26" i="56"/>
  <c r="N26" i="56"/>
  <c r="K26" i="56"/>
  <c r="J26" i="56"/>
  <c r="I26" i="56"/>
  <c r="O25" i="56"/>
  <c r="N25" i="56"/>
  <c r="K25" i="56"/>
  <c r="J25" i="56"/>
  <c r="I25" i="56"/>
  <c r="O24" i="56"/>
  <c r="N24" i="56"/>
  <c r="K24" i="56"/>
  <c r="J24" i="56"/>
  <c r="I24" i="56"/>
  <c r="O23" i="56"/>
  <c r="N23" i="56"/>
  <c r="K23" i="56"/>
  <c r="J23" i="56"/>
  <c r="I23" i="56"/>
  <c r="O22" i="56"/>
  <c r="N22" i="56"/>
  <c r="K22" i="56"/>
  <c r="J22" i="56"/>
  <c r="I22" i="56"/>
  <c r="O21" i="56"/>
  <c r="N21" i="56"/>
  <c r="K21" i="56"/>
  <c r="J21" i="56"/>
  <c r="I21" i="56"/>
  <c r="O20" i="56"/>
  <c r="N20" i="56"/>
  <c r="K20" i="56"/>
  <c r="J20" i="56"/>
  <c r="I20" i="56"/>
  <c r="O19" i="56"/>
  <c r="N19" i="56"/>
  <c r="K19" i="56"/>
  <c r="J19" i="56"/>
  <c r="I19" i="56"/>
  <c r="O18" i="56"/>
  <c r="N18" i="56"/>
  <c r="K18" i="56"/>
  <c r="J18" i="56"/>
  <c r="I18" i="56"/>
  <c r="O17" i="56"/>
  <c r="N17" i="56"/>
  <c r="K17" i="56"/>
  <c r="J17" i="56"/>
  <c r="I17" i="56"/>
  <c r="O16" i="56"/>
  <c r="N16" i="56"/>
  <c r="K16" i="56"/>
  <c r="J16" i="56"/>
  <c r="I16" i="56"/>
  <c r="O15" i="56"/>
  <c r="N15" i="56"/>
  <c r="K15" i="56"/>
  <c r="J15" i="56"/>
  <c r="I15" i="56"/>
  <c r="O14" i="56"/>
  <c r="N14" i="56"/>
  <c r="K14" i="56"/>
  <c r="J14" i="56"/>
  <c r="I14" i="56"/>
  <c r="O13" i="56"/>
  <c r="N13" i="56"/>
  <c r="K13" i="56"/>
  <c r="J13" i="56"/>
  <c r="I13" i="56"/>
  <c r="O12" i="56"/>
  <c r="N12" i="56"/>
  <c r="K12" i="56"/>
  <c r="J12" i="56"/>
  <c r="I12" i="56"/>
  <c r="O11" i="56"/>
  <c r="N11" i="56"/>
  <c r="K11" i="56"/>
  <c r="J11" i="56"/>
  <c r="I11" i="56"/>
  <c r="O10" i="56"/>
  <c r="N10" i="56"/>
  <c r="K10" i="56"/>
  <c r="J10" i="56"/>
  <c r="I10" i="56"/>
  <c r="O9" i="56"/>
  <c r="N9" i="56"/>
  <c r="K9" i="56"/>
  <c r="J9" i="56"/>
  <c r="I9" i="56"/>
  <c r="O8" i="56"/>
  <c r="N8" i="56"/>
  <c r="K8" i="56"/>
  <c r="J8" i="56"/>
  <c r="I8" i="56"/>
  <c r="O7" i="56"/>
  <c r="N7" i="56"/>
  <c r="K7" i="56"/>
  <c r="J7" i="56"/>
  <c r="I7" i="56"/>
  <c r="O6" i="56"/>
  <c r="N6" i="56"/>
  <c r="K6" i="56"/>
  <c r="J6" i="56"/>
  <c r="I6" i="56"/>
  <c r="O40" i="72"/>
  <c r="N40" i="72"/>
  <c r="K40" i="72"/>
  <c r="J40" i="72"/>
  <c r="I40" i="72"/>
  <c r="O39" i="72"/>
  <c r="N39" i="72"/>
  <c r="K39" i="72"/>
  <c r="J39" i="72"/>
  <c r="I39" i="72"/>
  <c r="O38" i="72"/>
  <c r="N38" i="72"/>
  <c r="K38" i="72"/>
  <c r="J38" i="72"/>
  <c r="I38" i="72"/>
  <c r="O37" i="72"/>
  <c r="N37" i="72"/>
  <c r="K37" i="72"/>
  <c r="J37" i="72"/>
  <c r="I37" i="72"/>
  <c r="O36" i="72"/>
  <c r="N36" i="72"/>
  <c r="K36" i="72"/>
  <c r="J36" i="72"/>
  <c r="I36" i="72"/>
  <c r="O35" i="72"/>
  <c r="N35" i="72"/>
  <c r="K35" i="72"/>
  <c r="J35" i="72"/>
  <c r="I35" i="72"/>
  <c r="O34" i="72"/>
  <c r="N34" i="72"/>
  <c r="K34" i="72"/>
  <c r="J34" i="72"/>
  <c r="I34" i="72"/>
  <c r="O33" i="72"/>
  <c r="N33" i="72"/>
  <c r="K33" i="72"/>
  <c r="J33" i="72"/>
  <c r="I33" i="72"/>
  <c r="O32" i="72"/>
  <c r="N32" i="72"/>
  <c r="K32" i="72"/>
  <c r="J32" i="72"/>
  <c r="I32" i="72"/>
  <c r="O31" i="72"/>
  <c r="N31" i="72"/>
  <c r="K31" i="72"/>
  <c r="J31" i="72"/>
  <c r="I31" i="72"/>
  <c r="O30" i="72"/>
  <c r="N30" i="72"/>
  <c r="K30" i="72"/>
  <c r="J30" i="72"/>
  <c r="I30" i="72"/>
  <c r="O29" i="72"/>
  <c r="N29" i="72"/>
  <c r="K29" i="72"/>
  <c r="J29" i="72"/>
  <c r="I29" i="72"/>
  <c r="O28" i="72"/>
  <c r="N28" i="72"/>
  <c r="K28" i="72"/>
  <c r="J28" i="72"/>
  <c r="I28" i="72"/>
  <c r="O27" i="72"/>
  <c r="N27" i="72"/>
  <c r="K27" i="72"/>
  <c r="J27" i="72"/>
  <c r="I27" i="72"/>
  <c r="O26" i="72"/>
  <c r="N26" i="72"/>
  <c r="K26" i="72"/>
  <c r="J26" i="72"/>
  <c r="I26" i="72"/>
  <c r="O25" i="72"/>
  <c r="N25" i="72"/>
  <c r="K25" i="72"/>
  <c r="J25" i="72"/>
  <c r="I25" i="72"/>
  <c r="O24" i="72"/>
  <c r="N24" i="72"/>
  <c r="K24" i="72"/>
  <c r="J24" i="72"/>
  <c r="I24" i="72"/>
  <c r="O23" i="72"/>
  <c r="N23" i="72"/>
  <c r="K23" i="72"/>
  <c r="J23" i="72"/>
  <c r="I23" i="72"/>
  <c r="O22" i="72"/>
  <c r="N22" i="72"/>
  <c r="K22" i="72"/>
  <c r="J22" i="72"/>
  <c r="I22" i="72"/>
  <c r="O21" i="72"/>
  <c r="N21" i="72"/>
  <c r="K21" i="72"/>
  <c r="J21" i="72"/>
  <c r="I21" i="72"/>
  <c r="O20" i="72"/>
  <c r="N20" i="72"/>
  <c r="K20" i="72"/>
  <c r="J20" i="72"/>
  <c r="I20" i="72"/>
  <c r="O19" i="72"/>
  <c r="N19" i="72"/>
  <c r="K19" i="72"/>
  <c r="J19" i="72"/>
  <c r="I19" i="72"/>
  <c r="O18" i="72"/>
  <c r="N18" i="72"/>
  <c r="K18" i="72"/>
  <c r="J18" i="72"/>
  <c r="I18" i="72"/>
  <c r="O17" i="72"/>
  <c r="N17" i="72"/>
  <c r="K17" i="72"/>
  <c r="J17" i="72"/>
  <c r="I17" i="72"/>
  <c r="O16" i="72"/>
  <c r="N16" i="72"/>
  <c r="K16" i="72"/>
  <c r="J16" i="72"/>
  <c r="I16" i="72"/>
  <c r="O15" i="72"/>
  <c r="N15" i="72"/>
  <c r="K15" i="72"/>
  <c r="J15" i="72"/>
  <c r="I15" i="72"/>
  <c r="O14" i="72"/>
  <c r="N14" i="72"/>
  <c r="K14" i="72"/>
  <c r="J14" i="72"/>
  <c r="I14" i="72"/>
  <c r="O13" i="72"/>
  <c r="N13" i="72"/>
  <c r="K13" i="72"/>
  <c r="J13" i="72"/>
  <c r="I13" i="72"/>
  <c r="O12" i="72"/>
  <c r="N12" i="72"/>
  <c r="K12" i="72"/>
  <c r="J12" i="72"/>
  <c r="I12" i="72"/>
  <c r="O11" i="72"/>
  <c r="N11" i="72"/>
  <c r="K11" i="72"/>
  <c r="J11" i="72"/>
  <c r="I11" i="72"/>
  <c r="O10" i="72"/>
  <c r="N10" i="72"/>
  <c r="K10" i="72"/>
  <c r="J10" i="72"/>
  <c r="I10" i="72"/>
  <c r="O9" i="72"/>
  <c r="N9" i="72"/>
  <c r="K9" i="72"/>
  <c r="J9" i="72"/>
  <c r="I9" i="72"/>
  <c r="O8" i="72"/>
  <c r="N8" i="72"/>
  <c r="K8" i="72"/>
  <c r="J8" i="72"/>
  <c r="I8" i="72"/>
  <c r="O7" i="72"/>
  <c r="N7" i="72"/>
  <c r="K7" i="72"/>
  <c r="J7" i="72"/>
  <c r="I7" i="72"/>
  <c r="O6" i="72"/>
  <c r="N6" i="72"/>
  <c r="K6" i="72"/>
  <c r="J6" i="72"/>
  <c r="I6" i="72"/>
  <c r="E40" i="72"/>
  <c r="E39" i="72"/>
  <c r="E38" i="72"/>
  <c r="E37" i="72"/>
  <c r="E36" i="72"/>
  <c r="E35" i="72"/>
  <c r="E34" i="72"/>
  <c r="E33" i="72"/>
  <c r="E32" i="72"/>
  <c r="E31" i="72"/>
  <c r="E30" i="72"/>
  <c r="E29" i="72"/>
  <c r="E28" i="72"/>
  <c r="E27" i="72"/>
  <c r="E26" i="72"/>
  <c r="E25" i="72"/>
  <c r="E24" i="72"/>
  <c r="E23" i="72"/>
  <c r="E22" i="72"/>
  <c r="E21" i="72"/>
  <c r="E20" i="72"/>
  <c r="E19" i="72"/>
  <c r="E18" i="72"/>
  <c r="E17" i="72"/>
  <c r="E16" i="72"/>
  <c r="E15" i="72"/>
  <c r="E14" i="72"/>
  <c r="E13" i="72"/>
  <c r="E12" i="72"/>
  <c r="E11" i="72"/>
  <c r="E10" i="72"/>
  <c r="E9" i="72"/>
  <c r="E8" i="72"/>
  <c r="E7" i="72"/>
  <c r="E6" i="72"/>
  <c r="O40" i="55"/>
  <c r="N40" i="55"/>
  <c r="K40" i="55"/>
  <c r="J40" i="55"/>
  <c r="I40" i="55"/>
  <c r="O39" i="55"/>
  <c r="N39" i="55"/>
  <c r="K39" i="55"/>
  <c r="J39" i="55"/>
  <c r="I39" i="55"/>
  <c r="O38" i="55"/>
  <c r="N38" i="55"/>
  <c r="K38" i="55"/>
  <c r="J38" i="55"/>
  <c r="I38" i="55"/>
  <c r="O37" i="55"/>
  <c r="N37" i="55"/>
  <c r="K37" i="55"/>
  <c r="J37" i="55"/>
  <c r="I37" i="55"/>
  <c r="O36" i="55"/>
  <c r="N36" i="55"/>
  <c r="K36" i="55"/>
  <c r="J36" i="55"/>
  <c r="I36" i="55"/>
  <c r="O35" i="55"/>
  <c r="N35" i="55"/>
  <c r="K35" i="55"/>
  <c r="J35" i="55"/>
  <c r="I35" i="55"/>
  <c r="O34" i="55"/>
  <c r="N34" i="55"/>
  <c r="K34" i="55"/>
  <c r="J34" i="55"/>
  <c r="I34" i="55"/>
  <c r="O33" i="55"/>
  <c r="N33" i="55"/>
  <c r="K33" i="55"/>
  <c r="J33" i="55"/>
  <c r="I33" i="55"/>
  <c r="O32" i="55"/>
  <c r="N32" i="55"/>
  <c r="K32" i="55"/>
  <c r="J32" i="55"/>
  <c r="I32" i="55"/>
  <c r="O31" i="55"/>
  <c r="N31" i="55"/>
  <c r="K31" i="55"/>
  <c r="J31" i="55"/>
  <c r="I31" i="55"/>
  <c r="O30" i="55"/>
  <c r="N30" i="55"/>
  <c r="K30" i="55"/>
  <c r="J30" i="55"/>
  <c r="I30" i="55"/>
  <c r="O29" i="55"/>
  <c r="N29" i="55"/>
  <c r="K29" i="55"/>
  <c r="J29" i="55"/>
  <c r="I29" i="55"/>
  <c r="O28" i="55"/>
  <c r="N28" i="55"/>
  <c r="K28" i="55"/>
  <c r="J28" i="55"/>
  <c r="I28" i="55"/>
  <c r="O27" i="55"/>
  <c r="N27" i="55"/>
  <c r="K27" i="55"/>
  <c r="J27" i="55"/>
  <c r="I27" i="55"/>
  <c r="O26" i="55"/>
  <c r="N26" i="55"/>
  <c r="K26" i="55"/>
  <c r="J26" i="55"/>
  <c r="I26" i="55"/>
  <c r="O25" i="55"/>
  <c r="N25" i="55"/>
  <c r="K25" i="55"/>
  <c r="J25" i="55"/>
  <c r="I25" i="55"/>
  <c r="O24" i="55"/>
  <c r="N24" i="55"/>
  <c r="K24" i="55"/>
  <c r="J24" i="55"/>
  <c r="I24" i="55"/>
  <c r="O23" i="55"/>
  <c r="N23" i="55"/>
  <c r="K23" i="55"/>
  <c r="J23" i="55"/>
  <c r="I23" i="55"/>
  <c r="O22" i="55"/>
  <c r="N22" i="55"/>
  <c r="K22" i="55"/>
  <c r="J22" i="55"/>
  <c r="I22" i="55"/>
  <c r="O21" i="55"/>
  <c r="N21" i="55"/>
  <c r="K21" i="55"/>
  <c r="J21" i="55"/>
  <c r="I21" i="55"/>
  <c r="O20" i="55"/>
  <c r="N20" i="55"/>
  <c r="K20" i="55"/>
  <c r="J20" i="55"/>
  <c r="I20" i="55"/>
  <c r="O19" i="55"/>
  <c r="N19" i="55"/>
  <c r="K19" i="55"/>
  <c r="J19" i="55"/>
  <c r="I19" i="55"/>
  <c r="O18" i="55"/>
  <c r="N18" i="55"/>
  <c r="K18" i="55"/>
  <c r="J18" i="55"/>
  <c r="I18" i="55"/>
  <c r="O17" i="55"/>
  <c r="N17" i="55"/>
  <c r="K17" i="55"/>
  <c r="J17" i="55"/>
  <c r="I17" i="55"/>
  <c r="O16" i="55"/>
  <c r="N16" i="55"/>
  <c r="K16" i="55"/>
  <c r="J16" i="55"/>
  <c r="I16" i="55"/>
  <c r="O15" i="55"/>
  <c r="N15" i="55"/>
  <c r="K15" i="55"/>
  <c r="J15" i="55"/>
  <c r="I15" i="55"/>
  <c r="O14" i="55"/>
  <c r="N14" i="55"/>
  <c r="K14" i="55"/>
  <c r="J14" i="55"/>
  <c r="I14" i="55"/>
  <c r="O13" i="55"/>
  <c r="N13" i="55"/>
  <c r="K13" i="55"/>
  <c r="J13" i="55"/>
  <c r="I13" i="55"/>
  <c r="O12" i="55"/>
  <c r="N12" i="55"/>
  <c r="K12" i="55"/>
  <c r="J12" i="55"/>
  <c r="I12" i="55"/>
  <c r="O11" i="55"/>
  <c r="N11" i="55"/>
  <c r="K11" i="55"/>
  <c r="J11" i="55"/>
  <c r="I11" i="55"/>
  <c r="O10" i="55"/>
  <c r="N10" i="55"/>
  <c r="K10" i="55"/>
  <c r="J10" i="55"/>
  <c r="I10" i="55"/>
  <c r="O9" i="55"/>
  <c r="N9" i="55"/>
  <c r="K9" i="55"/>
  <c r="J9" i="55"/>
  <c r="I9" i="55"/>
  <c r="O8" i="55"/>
  <c r="N8" i="55"/>
  <c r="K8" i="55"/>
  <c r="J8" i="55"/>
  <c r="I8" i="55"/>
  <c r="O7" i="55"/>
  <c r="N7" i="55"/>
  <c r="K7" i="55"/>
  <c r="J7" i="55"/>
  <c r="I7" i="55"/>
  <c r="O6" i="55"/>
  <c r="N6" i="55"/>
  <c r="K6" i="55"/>
  <c r="J6" i="55"/>
  <c r="I6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1" i="55"/>
  <c r="E20" i="55"/>
  <c r="E19" i="55"/>
  <c r="E18" i="55"/>
  <c r="E17" i="55"/>
  <c r="E16" i="55"/>
  <c r="E15" i="55"/>
  <c r="E14" i="55"/>
  <c r="E13" i="55"/>
  <c r="E12" i="55"/>
  <c r="E11" i="55"/>
  <c r="E10" i="55"/>
  <c r="E8" i="55"/>
  <c r="E7" i="55"/>
  <c r="E6" i="55"/>
  <c r="O40" i="14"/>
  <c r="N40" i="14"/>
  <c r="K40" i="14"/>
  <c r="J40" i="14"/>
  <c r="I40" i="14"/>
  <c r="O39" i="14"/>
  <c r="N39" i="14"/>
  <c r="K39" i="14"/>
  <c r="J39" i="14"/>
  <c r="I39" i="14"/>
  <c r="O38" i="14"/>
  <c r="N38" i="14"/>
  <c r="K38" i="14"/>
  <c r="J38" i="14"/>
  <c r="I38" i="14"/>
  <c r="O37" i="14"/>
  <c r="N37" i="14"/>
  <c r="K37" i="14"/>
  <c r="J37" i="14"/>
  <c r="I37" i="14"/>
  <c r="O36" i="14"/>
  <c r="N36" i="14"/>
  <c r="K36" i="14"/>
  <c r="J36" i="14"/>
  <c r="I36" i="14"/>
  <c r="O35" i="14"/>
  <c r="N35" i="14"/>
  <c r="K35" i="14"/>
  <c r="J35" i="14"/>
  <c r="I35" i="14"/>
  <c r="O34" i="14"/>
  <c r="N34" i="14"/>
  <c r="K34" i="14"/>
  <c r="J34" i="14"/>
  <c r="I34" i="14"/>
  <c r="O33" i="14"/>
  <c r="N33" i="14"/>
  <c r="K33" i="14"/>
  <c r="J33" i="14"/>
  <c r="I33" i="14"/>
  <c r="O32" i="14"/>
  <c r="N32" i="14"/>
  <c r="K32" i="14"/>
  <c r="J32" i="14"/>
  <c r="I32" i="14"/>
  <c r="O31" i="14"/>
  <c r="N31" i="14"/>
  <c r="K31" i="14"/>
  <c r="J31" i="14"/>
  <c r="I31" i="14"/>
  <c r="O30" i="14"/>
  <c r="N30" i="14"/>
  <c r="K30" i="14"/>
  <c r="J30" i="14"/>
  <c r="I30" i="14"/>
  <c r="O29" i="14"/>
  <c r="N29" i="14"/>
  <c r="K29" i="14"/>
  <c r="J29" i="14"/>
  <c r="I29" i="14"/>
  <c r="O28" i="14"/>
  <c r="N28" i="14"/>
  <c r="K28" i="14"/>
  <c r="J28" i="14"/>
  <c r="I28" i="14"/>
  <c r="O27" i="14"/>
  <c r="N27" i="14"/>
  <c r="K27" i="14"/>
  <c r="J27" i="14"/>
  <c r="I27" i="14"/>
  <c r="O26" i="14"/>
  <c r="N26" i="14"/>
  <c r="K26" i="14"/>
  <c r="J26" i="14"/>
  <c r="I26" i="14"/>
  <c r="O25" i="14"/>
  <c r="N25" i="14"/>
  <c r="K25" i="14"/>
  <c r="J25" i="14"/>
  <c r="I25" i="14"/>
  <c r="O24" i="14"/>
  <c r="N24" i="14"/>
  <c r="K24" i="14"/>
  <c r="J24" i="14"/>
  <c r="I24" i="14"/>
  <c r="O23" i="14"/>
  <c r="N23" i="14"/>
  <c r="K23" i="14"/>
  <c r="J23" i="14"/>
  <c r="I23" i="14"/>
  <c r="O22" i="14"/>
  <c r="N22" i="14"/>
  <c r="K22" i="14"/>
  <c r="J22" i="14"/>
  <c r="I22" i="14"/>
  <c r="O21" i="14"/>
  <c r="N21" i="14"/>
  <c r="K21" i="14"/>
  <c r="J21" i="14"/>
  <c r="I21" i="14"/>
  <c r="O20" i="14"/>
  <c r="N20" i="14"/>
  <c r="K20" i="14"/>
  <c r="J20" i="14"/>
  <c r="I20" i="14"/>
  <c r="O19" i="14"/>
  <c r="N19" i="14"/>
  <c r="K19" i="14"/>
  <c r="J19" i="14"/>
  <c r="I19" i="14"/>
  <c r="O18" i="14"/>
  <c r="N18" i="14"/>
  <c r="K18" i="14"/>
  <c r="J18" i="14"/>
  <c r="I18" i="14"/>
  <c r="O17" i="14"/>
  <c r="N17" i="14"/>
  <c r="K17" i="14"/>
  <c r="J17" i="14"/>
  <c r="I17" i="14"/>
  <c r="O16" i="14"/>
  <c r="N16" i="14"/>
  <c r="K16" i="14"/>
  <c r="J16" i="14"/>
  <c r="I16" i="14"/>
  <c r="O15" i="14"/>
  <c r="N15" i="14"/>
  <c r="K15" i="14"/>
  <c r="J15" i="14"/>
  <c r="I15" i="14"/>
  <c r="O14" i="14"/>
  <c r="N14" i="14"/>
  <c r="K14" i="14"/>
  <c r="J14" i="14"/>
  <c r="I14" i="14"/>
  <c r="O13" i="14"/>
  <c r="N13" i="14"/>
  <c r="K13" i="14"/>
  <c r="J13" i="14"/>
  <c r="I13" i="14"/>
  <c r="O12" i="14"/>
  <c r="N12" i="14"/>
  <c r="K12" i="14"/>
  <c r="J12" i="14"/>
  <c r="I12" i="14"/>
  <c r="O11" i="14"/>
  <c r="N11" i="14"/>
  <c r="K11" i="14"/>
  <c r="J11" i="14"/>
  <c r="I11" i="14"/>
  <c r="O10" i="14"/>
  <c r="N10" i="14"/>
  <c r="K10" i="14"/>
  <c r="J10" i="14"/>
  <c r="I10" i="14"/>
  <c r="O9" i="14"/>
  <c r="N9" i="14"/>
  <c r="K9" i="14"/>
  <c r="J9" i="14"/>
  <c r="I9" i="14"/>
  <c r="O8" i="14"/>
  <c r="N8" i="14"/>
  <c r="K8" i="14"/>
  <c r="J8" i="14"/>
  <c r="I8" i="14"/>
  <c r="O7" i="14"/>
  <c r="N7" i="14"/>
  <c r="K7" i="14"/>
  <c r="J7" i="14"/>
  <c r="I7" i="14"/>
  <c r="O6" i="14"/>
  <c r="N6" i="14"/>
  <c r="K6" i="14"/>
  <c r="J6" i="14"/>
  <c r="I6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O40" i="13"/>
  <c r="N40" i="13"/>
  <c r="K40" i="13"/>
  <c r="J40" i="13"/>
  <c r="I40" i="13"/>
  <c r="O39" i="13"/>
  <c r="N39" i="13"/>
  <c r="K39" i="13"/>
  <c r="J39" i="13"/>
  <c r="I39" i="13"/>
  <c r="O38" i="13"/>
  <c r="N38" i="13"/>
  <c r="K38" i="13"/>
  <c r="J38" i="13"/>
  <c r="I38" i="13"/>
  <c r="O37" i="13"/>
  <c r="N37" i="13"/>
  <c r="K37" i="13"/>
  <c r="J37" i="13"/>
  <c r="I37" i="13"/>
  <c r="O36" i="13"/>
  <c r="N36" i="13"/>
  <c r="K36" i="13"/>
  <c r="J36" i="13"/>
  <c r="I36" i="13"/>
  <c r="O35" i="13"/>
  <c r="N35" i="13"/>
  <c r="K35" i="13"/>
  <c r="J35" i="13"/>
  <c r="I35" i="13"/>
  <c r="O34" i="13"/>
  <c r="N34" i="13"/>
  <c r="K34" i="13"/>
  <c r="J34" i="13"/>
  <c r="I34" i="13"/>
  <c r="O33" i="13"/>
  <c r="N33" i="13"/>
  <c r="K33" i="13"/>
  <c r="J33" i="13"/>
  <c r="I33" i="13"/>
  <c r="O32" i="13"/>
  <c r="N32" i="13"/>
  <c r="K32" i="13"/>
  <c r="J32" i="13"/>
  <c r="I32" i="13"/>
  <c r="O31" i="13"/>
  <c r="N31" i="13"/>
  <c r="K31" i="13"/>
  <c r="J31" i="13"/>
  <c r="I31" i="13"/>
  <c r="O30" i="13"/>
  <c r="N30" i="13"/>
  <c r="K30" i="13"/>
  <c r="J30" i="13"/>
  <c r="I30" i="13"/>
  <c r="O29" i="13"/>
  <c r="N29" i="13"/>
  <c r="K29" i="13"/>
  <c r="J29" i="13"/>
  <c r="I29" i="13"/>
  <c r="O28" i="13"/>
  <c r="N28" i="13"/>
  <c r="K28" i="13"/>
  <c r="J28" i="13"/>
  <c r="I28" i="13"/>
  <c r="O27" i="13"/>
  <c r="N27" i="13"/>
  <c r="K27" i="13"/>
  <c r="J27" i="13"/>
  <c r="I27" i="13"/>
  <c r="O26" i="13"/>
  <c r="N26" i="13"/>
  <c r="K26" i="13"/>
  <c r="J26" i="13"/>
  <c r="I26" i="13"/>
  <c r="O25" i="13"/>
  <c r="N25" i="13"/>
  <c r="K25" i="13"/>
  <c r="J25" i="13"/>
  <c r="I25" i="13"/>
  <c r="O24" i="13"/>
  <c r="N24" i="13"/>
  <c r="K24" i="13"/>
  <c r="J24" i="13"/>
  <c r="I24" i="13"/>
  <c r="O23" i="13"/>
  <c r="N23" i="13"/>
  <c r="K23" i="13"/>
  <c r="J23" i="13"/>
  <c r="I23" i="13"/>
  <c r="O22" i="13"/>
  <c r="N22" i="13"/>
  <c r="K22" i="13"/>
  <c r="J22" i="13"/>
  <c r="I22" i="13"/>
  <c r="O21" i="13"/>
  <c r="N21" i="13"/>
  <c r="K21" i="13"/>
  <c r="J21" i="13"/>
  <c r="I21" i="13"/>
  <c r="O20" i="13"/>
  <c r="N20" i="13"/>
  <c r="K20" i="13"/>
  <c r="J20" i="13"/>
  <c r="I20" i="13"/>
  <c r="O19" i="13"/>
  <c r="N19" i="13"/>
  <c r="K19" i="13"/>
  <c r="J19" i="13"/>
  <c r="I19" i="13"/>
  <c r="O18" i="13"/>
  <c r="N18" i="13"/>
  <c r="K18" i="13"/>
  <c r="J18" i="13"/>
  <c r="I18" i="13"/>
  <c r="O17" i="13"/>
  <c r="N17" i="13"/>
  <c r="K17" i="13"/>
  <c r="J17" i="13"/>
  <c r="I17" i="13"/>
  <c r="O16" i="13"/>
  <c r="N16" i="13"/>
  <c r="K16" i="13"/>
  <c r="J16" i="13"/>
  <c r="I16" i="13"/>
  <c r="O15" i="13"/>
  <c r="N15" i="13"/>
  <c r="K15" i="13"/>
  <c r="J15" i="13"/>
  <c r="I15" i="13"/>
  <c r="O14" i="13"/>
  <c r="N14" i="13"/>
  <c r="K14" i="13"/>
  <c r="J14" i="13"/>
  <c r="I14" i="13"/>
  <c r="O13" i="13"/>
  <c r="N13" i="13"/>
  <c r="K13" i="13"/>
  <c r="J13" i="13"/>
  <c r="I13" i="13"/>
  <c r="O12" i="13"/>
  <c r="N12" i="13"/>
  <c r="K12" i="13"/>
  <c r="J12" i="13"/>
  <c r="I12" i="13"/>
  <c r="O11" i="13"/>
  <c r="N11" i="13"/>
  <c r="K11" i="13"/>
  <c r="J11" i="13"/>
  <c r="I11" i="13"/>
  <c r="O10" i="13"/>
  <c r="N10" i="13"/>
  <c r="K10" i="13"/>
  <c r="J10" i="13"/>
  <c r="I10" i="13"/>
  <c r="O9" i="13"/>
  <c r="N9" i="13"/>
  <c r="K9" i="13"/>
  <c r="J9" i="13"/>
  <c r="I9" i="13"/>
  <c r="O8" i="13"/>
  <c r="N8" i="13"/>
  <c r="K8" i="13"/>
  <c r="J8" i="13"/>
  <c r="I8" i="13"/>
  <c r="O7" i="13"/>
  <c r="N7" i="13"/>
  <c r="K7" i="13"/>
  <c r="J7" i="13"/>
  <c r="I7" i="13"/>
  <c r="O6" i="13"/>
  <c r="N6" i="13"/>
  <c r="K6" i="13"/>
  <c r="J6" i="13"/>
  <c r="I6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O40" i="70"/>
  <c r="N40" i="70"/>
  <c r="K40" i="70"/>
  <c r="J40" i="70"/>
  <c r="I40" i="70"/>
  <c r="O39" i="70"/>
  <c r="N39" i="70"/>
  <c r="K39" i="70"/>
  <c r="J39" i="70"/>
  <c r="I39" i="70"/>
  <c r="O38" i="70"/>
  <c r="N38" i="70"/>
  <c r="K38" i="70"/>
  <c r="J38" i="70"/>
  <c r="I38" i="70"/>
  <c r="O37" i="70"/>
  <c r="N37" i="70"/>
  <c r="K37" i="70"/>
  <c r="J37" i="70"/>
  <c r="I37" i="70"/>
  <c r="O36" i="70"/>
  <c r="N36" i="70"/>
  <c r="K36" i="70"/>
  <c r="J36" i="70"/>
  <c r="I36" i="70"/>
  <c r="O35" i="70"/>
  <c r="N35" i="70"/>
  <c r="K35" i="70"/>
  <c r="J35" i="70"/>
  <c r="I35" i="70"/>
  <c r="O34" i="70"/>
  <c r="N34" i="70"/>
  <c r="K34" i="70"/>
  <c r="J34" i="70"/>
  <c r="I34" i="70"/>
  <c r="O33" i="70"/>
  <c r="N33" i="70"/>
  <c r="K33" i="70"/>
  <c r="J33" i="70"/>
  <c r="I33" i="70"/>
  <c r="O32" i="70"/>
  <c r="N32" i="70"/>
  <c r="K32" i="70"/>
  <c r="J32" i="70"/>
  <c r="I32" i="70"/>
  <c r="O31" i="70"/>
  <c r="N31" i="70"/>
  <c r="K31" i="70"/>
  <c r="J31" i="70"/>
  <c r="I31" i="70"/>
  <c r="O30" i="70"/>
  <c r="N30" i="70"/>
  <c r="K30" i="70"/>
  <c r="J30" i="70"/>
  <c r="I30" i="70"/>
  <c r="O29" i="70"/>
  <c r="N29" i="70"/>
  <c r="K29" i="70"/>
  <c r="J29" i="70"/>
  <c r="I29" i="70"/>
  <c r="O28" i="70"/>
  <c r="N28" i="70"/>
  <c r="K28" i="70"/>
  <c r="J28" i="70"/>
  <c r="I28" i="70"/>
  <c r="O27" i="70"/>
  <c r="N27" i="70"/>
  <c r="K27" i="70"/>
  <c r="J27" i="70"/>
  <c r="I27" i="70"/>
  <c r="O26" i="70"/>
  <c r="N26" i="70"/>
  <c r="K26" i="70"/>
  <c r="J26" i="70"/>
  <c r="I26" i="70"/>
  <c r="O25" i="70"/>
  <c r="N25" i="70"/>
  <c r="K25" i="70"/>
  <c r="J25" i="70"/>
  <c r="I25" i="70"/>
  <c r="O24" i="70"/>
  <c r="N24" i="70"/>
  <c r="K24" i="70"/>
  <c r="J24" i="70"/>
  <c r="I24" i="70"/>
  <c r="O23" i="70"/>
  <c r="N23" i="70"/>
  <c r="K23" i="70"/>
  <c r="J23" i="70"/>
  <c r="I23" i="70"/>
  <c r="O22" i="70"/>
  <c r="N22" i="70"/>
  <c r="K22" i="70"/>
  <c r="J22" i="70"/>
  <c r="I22" i="70"/>
  <c r="O21" i="70"/>
  <c r="N21" i="70"/>
  <c r="K21" i="70"/>
  <c r="J21" i="70"/>
  <c r="I21" i="70"/>
  <c r="O20" i="70"/>
  <c r="N20" i="70"/>
  <c r="K20" i="70"/>
  <c r="J20" i="70"/>
  <c r="I20" i="70"/>
  <c r="O19" i="70"/>
  <c r="N19" i="70"/>
  <c r="K19" i="70"/>
  <c r="J19" i="70"/>
  <c r="I19" i="70"/>
  <c r="O18" i="70"/>
  <c r="N18" i="70"/>
  <c r="K18" i="70"/>
  <c r="J18" i="70"/>
  <c r="I18" i="70"/>
  <c r="O17" i="70"/>
  <c r="N17" i="70"/>
  <c r="K17" i="70"/>
  <c r="J17" i="70"/>
  <c r="I17" i="70"/>
  <c r="O16" i="70"/>
  <c r="N16" i="70"/>
  <c r="K16" i="70"/>
  <c r="J16" i="70"/>
  <c r="I16" i="70"/>
  <c r="O15" i="70"/>
  <c r="N15" i="70"/>
  <c r="K15" i="70"/>
  <c r="J15" i="70"/>
  <c r="I15" i="70"/>
  <c r="O14" i="70"/>
  <c r="N14" i="70"/>
  <c r="K14" i="70"/>
  <c r="J14" i="70"/>
  <c r="I14" i="70"/>
  <c r="O13" i="70"/>
  <c r="N13" i="70"/>
  <c r="K13" i="70"/>
  <c r="J13" i="70"/>
  <c r="I13" i="70"/>
  <c r="O12" i="70"/>
  <c r="N12" i="70"/>
  <c r="K12" i="70"/>
  <c r="J12" i="70"/>
  <c r="I12" i="70"/>
  <c r="O11" i="70"/>
  <c r="N11" i="70"/>
  <c r="K11" i="70"/>
  <c r="J11" i="70"/>
  <c r="I11" i="70"/>
  <c r="O10" i="70"/>
  <c r="N10" i="70"/>
  <c r="K10" i="70"/>
  <c r="J10" i="70"/>
  <c r="I10" i="70"/>
  <c r="O9" i="70"/>
  <c r="N9" i="70"/>
  <c r="K9" i="70"/>
  <c r="J9" i="70"/>
  <c r="I9" i="70"/>
  <c r="O8" i="70"/>
  <c r="N8" i="70"/>
  <c r="K8" i="70"/>
  <c r="J8" i="70"/>
  <c r="I8" i="70"/>
  <c r="O7" i="70"/>
  <c r="N7" i="70"/>
  <c r="K7" i="70"/>
  <c r="J7" i="70"/>
  <c r="I7" i="70"/>
  <c r="O6" i="70"/>
  <c r="N6" i="70"/>
  <c r="K6" i="70"/>
  <c r="J6" i="70"/>
  <c r="I6" i="70"/>
  <c r="E40" i="70"/>
  <c r="E39" i="70"/>
  <c r="E38" i="70"/>
  <c r="E37" i="70"/>
  <c r="E36" i="70"/>
  <c r="E35" i="70"/>
  <c r="E34" i="70"/>
  <c r="E33" i="70"/>
  <c r="E32" i="70"/>
  <c r="E31" i="70"/>
  <c r="E30" i="70"/>
  <c r="E29" i="70"/>
  <c r="E28" i="70"/>
  <c r="E27" i="70"/>
  <c r="E26" i="70"/>
  <c r="E25" i="70"/>
  <c r="E24" i="70"/>
  <c r="E23" i="70"/>
  <c r="E22" i="70"/>
  <c r="E21" i="70"/>
  <c r="E20" i="70"/>
  <c r="E19" i="70"/>
  <c r="E18" i="70"/>
  <c r="E17" i="70"/>
  <c r="E16" i="70"/>
  <c r="E15" i="70"/>
  <c r="E14" i="70"/>
  <c r="E13" i="70"/>
  <c r="E12" i="70"/>
  <c r="E11" i="70"/>
  <c r="E10" i="70"/>
  <c r="E9" i="70"/>
  <c r="E8" i="70"/>
  <c r="E7" i="70"/>
  <c r="E6" i="70"/>
  <c r="O40" i="71"/>
  <c r="N40" i="71"/>
  <c r="K40" i="71"/>
  <c r="J40" i="71"/>
  <c r="I40" i="71"/>
  <c r="O39" i="71"/>
  <c r="N39" i="71"/>
  <c r="K39" i="71"/>
  <c r="J39" i="71"/>
  <c r="I39" i="71"/>
  <c r="O38" i="71"/>
  <c r="N38" i="71"/>
  <c r="K38" i="71"/>
  <c r="J38" i="71"/>
  <c r="I38" i="71"/>
  <c r="O37" i="71"/>
  <c r="N37" i="71"/>
  <c r="K37" i="71"/>
  <c r="J37" i="71"/>
  <c r="I37" i="71"/>
  <c r="O36" i="71"/>
  <c r="N36" i="71"/>
  <c r="K36" i="71"/>
  <c r="J36" i="71"/>
  <c r="I36" i="71"/>
  <c r="O35" i="71"/>
  <c r="N35" i="71"/>
  <c r="K35" i="71"/>
  <c r="J35" i="71"/>
  <c r="I35" i="71"/>
  <c r="O34" i="71"/>
  <c r="N34" i="71"/>
  <c r="K34" i="71"/>
  <c r="J34" i="71"/>
  <c r="I34" i="71"/>
  <c r="O33" i="71"/>
  <c r="N33" i="71"/>
  <c r="K33" i="71"/>
  <c r="J33" i="71"/>
  <c r="I33" i="71"/>
  <c r="O32" i="71"/>
  <c r="N32" i="71"/>
  <c r="K32" i="71"/>
  <c r="J32" i="71"/>
  <c r="I32" i="71"/>
  <c r="O31" i="71"/>
  <c r="N31" i="71"/>
  <c r="K31" i="71"/>
  <c r="J31" i="71"/>
  <c r="I31" i="71"/>
  <c r="O30" i="71"/>
  <c r="N30" i="71"/>
  <c r="K30" i="71"/>
  <c r="J30" i="71"/>
  <c r="I30" i="71"/>
  <c r="O29" i="71"/>
  <c r="N29" i="71"/>
  <c r="K29" i="71"/>
  <c r="J29" i="71"/>
  <c r="I29" i="71"/>
  <c r="O28" i="71"/>
  <c r="N28" i="71"/>
  <c r="K28" i="71"/>
  <c r="J28" i="71"/>
  <c r="I28" i="71"/>
  <c r="O27" i="71"/>
  <c r="N27" i="71"/>
  <c r="K27" i="71"/>
  <c r="J27" i="71"/>
  <c r="I27" i="71"/>
  <c r="O26" i="71"/>
  <c r="N26" i="71"/>
  <c r="K26" i="71"/>
  <c r="J26" i="71"/>
  <c r="I26" i="71"/>
  <c r="O25" i="71"/>
  <c r="N25" i="71"/>
  <c r="K25" i="71"/>
  <c r="J25" i="71"/>
  <c r="I25" i="71"/>
  <c r="O24" i="71"/>
  <c r="N24" i="71"/>
  <c r="K24" i="71"/>
  <c r="J24" i="71"/>
  <c r="I24" i="71"/>
  <c r="O23" i="71"/>
  <c r="N23" i="71"/>
  <c r="K23" i="71"/>
  <c r="J23" i="71"/>
  <c r="I23" i="71"/>
  <c r="O22" i="71"/>
  <c r="N22" i="71"/>
  <c r="K22" i="71"/>
  <c r="J22" i="71"/>
  <c r="I22" i="71"/>
  <c r="O21" i="71"/>
  <c r="N21" i="71"/>
  <c r="K21" i="71"/>
  <c r="J21" i="71"/>
  <c r="I21" i="71"/>
  <c r="O20" i="71"/>
  <c r="N20" i="71"/>
  <c r="K20" i="71"/>
  <c r="J20" i="71"/>
  <c r="I20" i="71"/>
  <c r="O19" i="71"/>
  <c r="N19" i="71"/>
  <c r="K19" i="71"/>
  <c r="J19" i="71"/>
  <c r="I19" i="71"/>
  <c r="O18" i="71"/>
  <c r="N18" i="71"/>
  <c r="K18" i="71"/>
  <c r="J18" i="71"/>
  <c r="I18" i="71"/>
  <c r="O17" i="71"/>
  <c r="N17" i="71"/>
  <c r="K17" i="71"/>
  <c r="J17" i="71"/>
  <c r="I17" i="71"/>
  <c r="O16" i="71"/>
  <c r="N16" i="71"/>
  <c r="K16" i="71"/>
  <c r="J16" i="71"/>
  <c r="I16" i="71"/>
  <c r="O15" i="71"/>
  <c r="N15" i="71"/>
  <c r="K15" i="71"/>
  <c r="J15" i="71"/>
  <c r="I15" i="71"/>
  <c r="O14" i="71"/>
  <c r="N14" i="71"/>
  <c r="K14" i="71"/>
  <c r="J14" i="71"/>
  <c r="I14" i="71"/>
  <c r="O13" i="71"/>
  <c r="N13" i="71"/>
  <c r="K13" i="71"/>
  <c r="J13" i="71"/>
  <c r="I13" i="71"/>
  <c r="O12" i="71"/>
  <c r="N12" i="71"/>
  <c r="K12" i="71"/>
  <c r="J12" i="71"/>
  <c r="I12" i="71"/>
  <c r="O11" i="71"/>
  <c r="N11" i="71"/>
  <c r="K11" i="71"/>
  <c r="J11" i="71"/>
  <c r="I11" i="71"/>
  <c r="O10" i="71"/>
  <c r="N10" i="71"/>
  <c r="K10" i="71"/>
  <c r="J10" i="71"/>
  <c r="I10" i="71"/>
  <c r="O9" i="71"/>
  <c r="N9" i="71"/>
  <c r="K9" i="71"/>
  <c r="J9" i="71"/>
  <c r="I9" i="71"/>
  <c r="O8" i="71"/>
  <c r="N8" i="71"/>
  <c r="K8" i="71"/>
  <c r="J8" i="71"/>
  <c r="I8" i="71"/>
  <c r="O7" i="71"/>
  <c r="N7" i="71"/>
  <c r="K7" i="71"/>
  <c r="J7" i="71"/>
  <c r="I7" i="71"/>
  <c r="O6" i="71"/>
  <c r="N6" i="71"/>
  <c r="K6" i="71"/>
  <c r="J6" i="71"/>
  <c r="I6" i="71"/>
  <c r="E38" i="71"/>
  <c r="E37" i="71"/>
  <c r="E36" i="71"/>
  <c r="E35" i="71"/>
  <c r="E34" i="71"/>
  <c r="E33" i="71"/>
  <c r="E32" i="71"/>
  <c r="E31" i="71"/>
  <c r="E30" i="71"/>
  <c r="E29" i="71"/>
  <c r="E28" i="71"/>
  <c r="E27" i="71"/>
  <c r="E26" i="71"/>
  <c r="E25" i="71"/>
  <c r="E24" i="71"/>
  <c r="E23" i="71"/>
  <c r="E22" i="71"/>
  <c r="E21" i="71"/>
  <c r="E20" i="71"/>
  <c r="E19" i="71"/>
  <c r="E18" i="71"/>
  <c r="E17" i="71"/>
  <c r="E16" i="71"/>
  <c r="E15" i="71"/>
  <c r="E14" i="71"/>
  <c r="E13" i="71"/>
  <c r="E12" i="71"/>
  <c r="E11" i="71"/>
  <c r="E10" i="71"/>
  <c r="E9" i="71"/>
  <c r="E8" i="71"/>
  <c r="E7" i="71"/>
  <c r="E6" i="71"/>
  <c r="O40" i="17"/>
  <c r="N40" i="17"/>
  <c r="K40" i="17"/>
  <c r="J40" i="17"/>
  <c r="I40" i="17"/>
  <c r="O39" i="17"/>
  <c r="N39" i="17"/>
  <c r="K39" i="17"/>
  <c r="J39" i="17"/>
  <c r="I39" i="17"/>
  <c r="O38" i="17"/>
  <c r="N38" i="17"/>
  <c r="K38" i="17"/>
  <c r="J38" i="17"/>
  <c r="I38" i="17"/>
  <c r="O37" i="17"/>
  <c r="N37" i="17"/>
  <c r="K37" i="17"/>
  <c r="J37" i="17"/>
  <c r="I37" i="17"/>
  <c r="O36" i="17"/>
  <c r="N36" i="17"/>
  <c r="K36" i="17"/>
  <c r="J36" i="17"/>
  <c r="I36" i="17"/>
  <c r="O35" i="17"/>
  <c r="N35" i="17"/>
  <c r="K35" i="17"/>
  <c r="J35" i="17"/>
  <c r="I35" i="17"/>
  <c r="O34" i="17"/>
  <c r="N34" i="17"/>
  <c r="K34" i="17"/>
  <c r="J34" i="17"/>
  <c r="I34" i="17"/>
  <c r="O33" i="17"/>
  <c r="N33" i="17"/>
  <c r="K33" i="17"/>
  <c r="J33" i="17"/>
  <c r="I33" i="17"/>
  <c r="O32" i="17"/>
  <c r="N32" i="17"/>
  <c r="K32" i="17"/>
  <c r="J32" i="17"/>
  <c r="I32" i="17"/>
  <c r="O31" i="17"/>
  <c r="N31" i="17"/>
  <c r="K31" i="17"/>
  <c r="J31" i="17"/>
  <c r="I31" i="17"/>
  <c r="O30" i="17"/>
  <c r="N30" i="17"/>
  <c r="K30" i="17"/>
  <c r="J30" i="17"/>
  <c r="I30" i="17"/>
  <c r="O29" i="17"/>
  <c r="N29" i="17"/>
  <c r="K29" i="17"/>
  <c r="J29" i="17"/>
  <c r="I29" i="17"/>
  <c r="O28" i="17"/>
  <c r="N28" i="17"/>
  <c r="K28" i="17"/>
  <c r="J28" i="17"/>
  <c r="I28" i="17"/>
  <c r="O27" i="17"/>
  <c r="N27" i="17"/>
  <c r="K27" i="17"/>
  <c r="J27" i="17"/>
  <c r="I27" i="17"/>
  <c r="O26" i="17"/>
  <c r="N26" i="17"/>
  <c r="K26" i="17"/>
  <c r="J26" i="17"/>
  <c r="I26" i="17"/>
  <c r="O25" i="17"/>
  <c r="N25" i="17"/>
  <c r="K25" i="17"/>
  <c r="J25" i="17"/>
  <c r="I25" i="17"/>
  <c r="O24" i="17"/>
  <c r="N24" i="17"/>
  <c r="K24" i="17"/>
  <c r="J24" i="17"/>
  <c r="I24" i="17"/>
  <c r="O23" i="17"/>
  <c r="N23" i="17"/>
  <c r="K23" i="17"/>
  <c r="J23" i="17"/>
  <c r="I23" i="17"/>
  <c r="O22" i="17"/>
  <c r="N22" i="17"/>
  <c r="K22" i="17"/>
  <c r="J22" i="17"/>
  <c r="I22" i="17"/>
  <c r="O21" i="17"/>
  <c r="N21" i="17"/>
  <c r="K21" i="17"/>
  <c r="J21" i="17"/>
  <c r="I21" i="17"/>
  <c r="O20" i="17"/>
  <c r="N20" i="17"/>
  <c r="K20" i="17"/>
  <c r="J20" i="17"/>
  <c r="I20" i="17"/>
  <c r="O19" i="17"/>
  <c r="N19" i="17"/>
  <c r="K19" i="17"/>
  <c r="J19" i="17"/>
  <c r="I19" i="17"/>
  <c r="O18" i="17"/>
  <c r="N18" i="17"/>
  <c r="K18" i="17"/>
  <c r="J18" i="17"/>
  <c r="I18" i="17"/>
  <c r="O17" i="17"/>
  <c r="N17" i="17"/>
  <c r="K17" i="17"/>
  <c r="J17" i="17"/>
  <c r="I17" i="17"/>
  <c r="O16" i="17"/>
  <c r="N16" i="17"/>
  <c r="K16" i="17"/>
  <c r="J16" i="17"/>
  <c r="I16" i="17"/>
  <c r="O15" i="17"/>
  <c r="N15" i="17"/>
  <c r="K15" i="17"/>
  <c r="J15" i="17"/>
  <c r="I15" i="17"/>
  <c r="O14" i="17"/>
  <c r="N14" i="17"/>
  <c r="K14" i="17"/>
  <c r="J14" i="17"/>
  <c r="I14" i="17"/>
  <c r="O13" i="17"/>
  <c r="N13" i="17"/>
  <c r="K13" i="17"/>
  <c r="J13" i="17"/>
  <c r="I13" i="17"/>
  <c r="O12" i="17"/>
  <c r="N12" i="17"/>
  <c r="K12" i="17"/>
  <c r="J12" i="17"/>
  <c r="I12" i="17"/>
  <c r="O11" i="17"/>
  <c r="N11" i="17"/>
  <c r="K11" i="17"/>
  <c r="J11" i="17"/>
  <c r="I11" i="17"/>
  <c r="O10" i="17"/>
  <c r="N10" i="17"/>
  <c r="K10" i="17"/>
  <c r="J10" i="17"/>
  <c r="I10" i="17"/>
  <c r="O9" i="17"/>
  <c r="N9" i="17"/>
  <c r="K9" i="17"/>
  <c r="J9" i="17"/>
  <c r="I9" i="17"/>
  <c r="O8" i="17"/>
  <c r="N8" i="17"/>
  <c r="K8" i="17"/>
  <c r="J8" i="17"/>
  <c r="I8" i="17"/>
  <c r="O7" i="17"/>
  <c r="N7" i="17"/>
  <c r="K7" i="17"/>
  <c r="J7" i="17"/>
  <c r="I7" i="17"/>
  <c r="O6" i="17"/>
  <c r="N6" i="17"/>
  <c r="K6" i="17"/>
  <c r="J6" i="17"/>
  <c r="I6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O40" i="27"/>
  <c r="N40" i="27"/>
  <c r="K40" i="27"/>
  <c r="J40" i="27"/>
  <c r="I40" i="27"/>
  <c r="O39" i="27"/>
  <c r="N39" i="27"/>
  <c r="K39" i="27"/>
  <c r="J39" i="27"/>
  <c r="I39" i="27"/>
  <c r="O38" i="27"/>
  <c r="N38" i="27"/>
  <c r="K38" i="27"/>
  <c r="J38" i="27"/>
  <c r="I38" i="27"/>
  <c r="O37" i="27"/>
  <c r="N37" i="27"/>
  <c r="K37" i="27"/>
  <c r="J37" i="27"/>
  <c r="I37" i="27"/>
  <c r="O36" i="27"/>
  <c r="N36" i="27"/>
  <c r="K36" i="27"/>
  <c r="J36" i="27"/>
  <c r="I36" i="27"/>
  <c r="O35" i="27"/>
  <c r="N35" i="27"/>
  <c r="K35" i="27"/>
  <c r="J35" i="27"/>
  <c r="I35" i="27"/>
  <c r="O34" i="27"/>
  <c r="N34" i="27"/>
  <c r="K34" i="27"/>
  <c r="J34" i="27"/>
  <c r="I34" i="27"/>
  <c r="O33" i="27"/>
  <c r="N33" i="27"/>
  <c r="K33" i="27"/>
  <c r="J33" i="27"/>
  <c r="I33" i="27"/>
  <c r="O32" i="27"/>
  <c r="N32" i="27"/>
  <c r="K32" i="27"/>
  <c r="J32" i="27"/>
  <c r="I32" i="27"/>
  <c r="O31" i="27"/>
  <c r="N31" i="27"/>
  <c r="K31" i="27"/>
  <c r="J31" i="27"/>
  <c r="I31" i="27"/>
  <c r="O30" i="27"/>
  <c r="N30" i="27"/>
  <c r="K30" i="27"/>
  <c r="J30" i="27"/>
  <c r="I30" i="27"/>
  <c r="O29" i="27"/>
  <c r="N29" i="27"/>
  <c r="K29" i="27"/>
  <c r="J29" i="27"/>
  <c r="I29" i="27"/>
  <c r="O28" i="27"/>
  <c r="N28" i="27"/>
  <c r="K28" i="27"/>
  <c r="J28" i="27"/>
  <c r="I28" i="27"/>
  <c r="O27" i="27"/>
  <c r="N27" i="27"/>
  <c r="K27" i="27"/>
  <c r="J27" i="27"/>
  <c r="I27" i="27"/>
  <c r="O26" i="27"/>
  <c r="N26" i="27"/>
  <c r="K26" i="27"/>
  <c r="J26" i="27"/>
  <c r="I26" i="27"/>
  <c r="O25" i="27"/>
  <c r="N25" i="27"/>
  <c r="K25" i="27"/>
  <c r="J25" i="27"/>
  <c r="I25" i="27"/>
  <c r="O24" i="27"/>
  <c r="N24" i="27"/>
  <c r="K24" i="27"/>
  <c r="J24" i="27"/>
  <c r="I24" i="27"/>
  <c r="O23" i="27"/>
  <c r="N23" i="27"/>
  <c r="K23" i="27"/>
  <c r="J23" i="27"/>
  <c r="I23" i="27"/>
  <c r="O22" i="27"/>
  <c r="N22" i="27"/>
  <c r="K22" i="27"/>
  <c r="J22" i="27"/>
  <c r="I22" i="27"/>
  <c r="O21" i="27"/>
  <c r="N21" i="27"/>
  <c r="K21" i="27"/>
  <c r="J21" i="27"/>
  <c r="I21" i="27"/>
  <c r="O20" i="27"/>
  <c r="N20" i="27"/>
  <c r="K20" i="27"/>
  <c r="J20" i="27"/>
  <c r="I20" i="27"/>
  <c r="O19" i="27"/>
  <c r="N19" i="27"/>
  <c r="K19" i="27"/>
  <c r="J19" i="27"/>
  <c r="I19" i="27"/>
  <c r="O18" i="27"/>
  <c r="N18" i="27"/>
  <c r="K18" i="27"/>
  <c r="J18" i="27"/>
  <c r="I18" i="27"/>
  <c r="O17" i="27"/>
  <c r="N17" i="27"/>
  <c r="K17" i="27"/>
  <c r="J17" i="27"/>
  <c r="I17" i="27"/>
  <c r="O16" i="27"/>
  <c r="N16" i="27"/>
  <c r="K16" i="27"/>
  <c r="J16" i="27"/>
  <c r="I16" i="27"/>
  <c r="O15" i="27"/>
  <c r="N15" i="27"/>
  <c r="K15" i="27"/>
  <c r="J15" i="27"/>
  <c r="I15" i="27"/>
  <c r="O14" i="27"/>
  <c r="N14" i="27"/>
  <c r="K14" i="27"/>
  <c r="J14" i="27"/>
  <c r="I14" i="27"/>
  <c r="O13" i="27"/>
  <c r="N13" i="27"/>
  <c r="K13" i="27"/>
  <c r="J13" i="27"/>
  <c r="I13" i="27"/>
  <c r="O12" i="27"/>
  <c r="N12" i="27"/>
  <c r="K12" i="27"/>
  <c r="J12" i="27"/>
  <c r="I12" i="27"/>
  <c r="O11" i="27"/>
  <c r="N11" i="27"/>
  <c r="K11" i="27"/>
  <c r="J11" i="27"/>
  <c r="I11" i="27"/>
  <c r="O10" i="27"/>
  <c r="N10" i="27"/>
  <c r="K10" i="27"/>
  <c r="J10" i="27"/>
  <c r="I10" i="27"/>
  <c r="O9" i="27"/>
  <c r="N9" i="27"/>
  <c r="K9" i="27"/>
  <c r="J9" i="27"/>
  <c r="I9" i="27"/>
  <c r="O8" i="27"/>
  <c r="N8" i="27"/>
  <c r="K8" i="27"/>
  <c r="J8" i="27"/>
  <c r="I8" i="27"/>
  <c r="O7" i="27"/>
  <c r="N7" i="27"/>
  <c r="K7" i="27"/>
  <c r="J7" i="27"/>
  <c r="I7" i="27"/>
  <c r="O6" i="27"/>
  <c r="N6" i="27"/>
  <c r="K6" i="27"/>
  <c r="J6" i="27"/>
  <c r="I6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40" i="69"/>
  <c r="E39" i="69"/>
  <c r="E38" i="69"/>
  <c r="E37" i="69"/>
  <c r="E36" i="69"/>
  <c r="E35" i="69"/>
  <c r="E34" i="69"/>
  <c r="E33" i="69"/>
  <c r="E32" i="69"/>
  <c r="E31" i="69"/>
  <c r="E30" i="69"/>
  <c r="E29" i="69"/>
  <c r="E28" i="69"/>
  <c r="E27" i="69"/>
  <c r="E26" i="69"/>
  <c r="E25" i="69"/>
  <c r="E24" i="69"/>
  <c r="E23" i="69"/>
  <c r="E22" i="69"/>
  <c r="E21" i="69"/>
  <c r="E20" i="69"/>
  <c r="E19" i="69"/>
  <c r="E18" i="69"/>
  <c r="E17" i="69"/>
  <c r="E16" i="69"/>
  <c r="E15" i="69"/>
  <c r="E14" i="69"/>
  <c r="E13" i="69"/>
  <c r="E12" i="69"/>
  <c r="E11" i="69"/>
  <c r="E10" i="69"/>
  <c r="E9" i="69"/>
  <c r="E7" i="69"/>
  <c r="O40" i="69"/>
  <c r="N40" i="69"/>
  <c r="K40" i="69"/>
  <c r="J40" i="69"/>
  <c r="I40" i="69"/>
  <c r="O39" i="69"/>
  <c r="N39" i="69"/>
  <c r="K39" i="69"/>
  <c r="J39" i="69"/>
  <c r="I39" i="69"/>
  <c r="O38" i="69"/>
  <c r="N38" i="69"/>
  <c r="K38" i="69"/>
  <c r="J38" i="69"/>
  <c r="I38" i="69"/>
  <c r="O37" i="69"/>
  <c r="N37" i="69"/>
  <c r="K37" i="69"/>
  <c r="J37" i="69"/>
  <c r="I37" i="69"/>
  <c r="O36" i="69"/>
  <c r="N36" i="69"/>
  <c r="K36" i="69"/>
  <c r="J36" i="69"/>
  <c r="I36" i="69"/>
  <c r="O35" i="69"/>
  <c r="N35" i="69"/>
  <c r="K35" i="69"/>
  <c r="J35" i="69"/>
  <c r="I35" i="69"/>
  <c r="O34" i="69"/>
  <c r="N34" i="69"/>
  <c r="K34" i="69"/>
  <c r="J34" i="69"/>
  <c r="I34" i="69"/>
  <c r="O33" i="69"/>
  <c r="N33" i="69"/>
  <c r="K33" i="69"/>
  <c r="J33" i="69"/>
  <c r="I33" i="69"/>
  <c r="O32" i="69"/>
  <c r="N32" i="69"/>
  <c r="K32" i="69"/>
  <c r="J32" i="69"/>
  <c r="I32" i="69"/>
  <c r="O31" i="69"/>
  <c r="N31" i="69"/>
  <c r="K31" i="69"/>
  <c r="J31" i="69"/>
  <c r="I31" i="69"/>
  <c r="O30" i="69"/>
  <c r="N30" i="69"/>
  <c r="K30" i="69"/>
  <c r="J30" i="69"/>
  <c r="I30" i="69"/>
  <c r="O29" i="69"/>
  <c r="N29" i="69"/>
  <c r="K29" i="69"/>
  <c r="J29" i="69"/>
  <c r="I29" i="69"/>
  <c r="O28" i="69"/>
  <c r="N28" i="69"/>
  <c r="K28" i="69"/>
  <c r="J28" i="69"/>
  <c r="I28" i="69"/>
  <c r="O27" i="69"/>
  <c r="N27" i="69"/>
  <c r="K27" i="69"/>
  <c r="J27" i="69"/>
  <c r="I27" i="69"/>
  <c r="O26" i="69"/>
  <c r="N26" i="69"/>
  <c r="K26" i="69"/>
  <c r="J26" i="69"/>
  <c r="I26" i="69"/>
  <c r="O25" i="69"/>
  <c r="N25" i="69"/>
  <c r="K25" i="69"/>
  <c r="J25" i="69"/>
  <c r="I25" i="69"/>
  <c r="O24" i="69"/>
  <c r="N24" i="69"/>
  <c r="K24" i="69"/>
  <c r="J24" i="69"/>
  <c r="I24" i="69"/>
  <c r="O23" i="69"/>
  <c r="N23" i="69"/>
  <c r="K23" i="69"/>
  <c r="J23" i="69"/>
  <c r="I23" i="69"/>
  <c r="O22" i="69"/>
  <c r="N22" i="69"/>
  <c r="K22" i="69"/>
  <c r="J22" i="69"/>
  <c r="I22" i="69"/>
  <c r="O21" i="69"/>
  <c r="N21" i="69"/>
  <c r="K21" i="69"/>
  <c r="J21" i="69"/>
  <c r="I21" i="69"/>
  <c r="O20" i="69"/>
  <c r="N20" i="69"/>
  <c r="K20" i="69"/>
  <c r="J20" i="69"/>
  <c r="I20" i="69"/>
  <c r="O19" i="69"/>
  <c r="N19" i="69"/>
  <c r="K19" i="69"/>
  <c r="J19" i="69"/>
  <c r="I19" i="69"/>
  <c r="O18" i="69"/>
  <c r="N18" i="69"/>
  <c r="K18" i="69"/>
  <c r="J18" i="69"/>
  <c r="I18" i="69"/>
  <c r="O17" i="69"/>
  <c r="N17" i="69"/>
  <c r="K17" i="69"/>
  <c r="J17" i="69"/>
  <c r="I17" i="69"/>
  <c r="O16" i="69"/>
  <c r="N16" i="69"/>
  <c r="K16" i="69"/>
  <c r="J16" i="69"/>
  <c r="I16" i="69"/>
  <c r="O15" i="69"/>
  <c r="N15" i="69"/>
  <c r="K15" i="69"/>
  <c r="J15" i="69"/>
  <c r="I15" i="69"/>
  <c r="O14" i="69"/>
  <c r="N14" i="69"/>
  <c r="K14" i="69"/>
  <c r="J14" i="69"/>
  <c r="I14" i="69"/>
  <c r="O13" i="69"/>
  <c r="N13" i="69"/>
  <c r="K13" i="69"/>
  <c r="J13" i="69"/>
  <c r="I13" i="69"/>
  <c r="O12" i="69"/>
  <c r="N12" i="69"/>
  <c r="K12" i="69"/>
  <c r="J12" i="69"/>
  <c r="I12" i="69"/>
  <c r="O11" i="69"/>
  <c r="N11" i="69"/>
  <c r="K11" i="69"/>
  <c r="J11" i="69"/>
  <c r="I11" i="69"/>
  <c r="O10" i="69"/>
  <c r="N10" i="69"/>
  <c r="K10" i="69"/>
  <c r="J10" i="69"/>
  <c r="I10" i="69"/>
  <c r="O9" i="69"/>
  <c r="N9" i="69"/>
  <c r="K9" i="69"/>
  <c r="J9" i="69"/>
  <c r="I9" i="69"/>
  <c r="O8" i="69"/>
  <c r="N8" i="69"/>
  <c r="K8" i="69"/>
  <c r="J8" i="69"/>
  <c r="I8" i="69"/>
  <c r="O7" i="69"/>
  <c r="N7" i="69"/>
  <c r="K7" i="69"/>
  <c r="J7" i="69"/>
  <c r="I7" i="69"/>
  <c r="O6" i="69"/>
  <c r="N6" i="69"/>
  <c r="K6" i="69"/>
  <c r="J6" i="69"/>
  <c r="I6" i="69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O40" i="54"/>
  <c r="N40" i="54"/>
  <c r="K40" i="54"/>
  <c r="J40" i="54"/>
  <c r="I40" i="54"/>
  <c r="O39" i="54"/>
  <c r="N39" i="54"/>
  <c r="K39" i="54"/>
  <c r="J39" i="54"/>
  <c r="I39" i="54"/>
  <c r="O38" i="54"/>
  <c r="N38" i="54"/>
  <c r="K38" i="54"/>
  <c r="J38" i="54"/>
  <c r="I38" i="54"/>
  <c r="O37" i="54"/>
  <c r="N37" i="54"/>
  <c r="K37" i="54"/>
  <c r="J37" i="54"/>
  <c r="I37" i="54"/>
  <c r="O36" i="54"/>
  <c r="N36" i="54"/>
  <c r="K36" i="54"/>
  <c r="J36" i="54"/>
  <c r="I36" i="54"/>
  <c r="O35" i="54"/>
  <c r="N35" i="54"/>
  <c r="K35" i="54"/>
  <c r="J35" i="54"/>
  <c r="I35" i="54"/>
  <c r="O34" i="54"/>
  <c r="N34" i="54"/>
  <c r="K34" i="54"/>
  <c r="J34" i="54"/>
  <c r="I34" i="54"/>
  <c r="O33" i="54"/>
  <c r="N33" i="54"/>
  <c r="K33" i="54"/>
  <c r="J33" i="54"/>
  <c r="I33" i="54"/>
  <c r="O32" i="54"/>
  <c r="N32" i="54"/>
  <c r="K32" i="54"/>
  <c r="J32" i="54"/>
  <c r="I32" i="54"/>
  <c r="O31" i="54"/>
  <c r="N31" i="54"/>
  <c r="K31" i="54"/>
  <c r="J31" i="54"/>
  <c r="I31" i="54"/>
  <c r="O30" i="54"/>
  <c r="N30" i="54"/>
  <c r="K30" i="54"/>
  <c r="J30" i="54"/>
  <c r="I30" i="54"/>
  <c r="O29" i="54"/>
  <c r="N29" i="54"/>
  <c r="K29" i="54"/>
  <c r="J29" i="54"/>
  <c r="I29" i="54"/>
  <c r="O28" i="54"/>
  <c r="N28" i="54"/>
  <c r="K28" i="54"/>
  <c r="J28" i="54"/>
  <c r="I28" i="54"/>
  <c r="O27" i="54"/>
  <c r="N27" i="54"/>
  <c r="K27" i="54"/>
  <c r="J27" i="54"/>
  <c r="I27" i="54"/>
  <c r="O26" i="54"/>
  <c r="N26" i="54"/>
  <c r="K26" i="54"/>
  <c r="J26" i="54"/>
  <c r="I26" i="54"/>
  <c r="O25" i="54"/>
  <c r="N25" i="54"/>
  <c r="K25" i="54"/>
  <c r="J25" i="54"/>
  <c r="I25" i="54"/>
  <c r="O24" i="54"/>
  <c r="N24" i="54"/>
  <c r="K24" i="54"/>
  <c r="J24" i="54"/>
  <c r="I24" i="54"/>
  <c r="O23" i="54"/>
  <c r="N23" i="54"/>
  <c r="K23" i="54"/>
  <c r="J23" i="54"/>
  <c r="I23" i="54"/>
  <c r="O22" i="54"/>
  <c r="N22" i="54"/>
  <c r="K22" i="54"/>
  <c r="J22" i="54"/>
  <c r="I22" i="54"/>
  <c r="O21" i="54"/>
  <c r="N21" i="54"/>
  <c r="K21" i="54"/>
  <c r="J21" i="54"/>
  <c r="I21" i="54"/>
  <c r="O20" i="54"/>
  <c r="N20" i="54"/>
  <c r="K20" i="54"/>
  <c r="J20" i="54"/>
  <c r="I20" i="54"/>
  <c r="O19" i="54"/>
  <c r="N19" i="54"/>
  <c r="K19" i="54"/>
  <c r="J19" i="54"/>
  <c r="I19" i="54"/>
  <c r="O18" i="54"/>
  <c r="N18" i="54"/>
  <c r="K18" i="54"/>
  <c r="J18" i="54"/>
  <c r="I18" i="54"/>
  <c r="O17" i="54"/>
  <c r="N17" i="54"/>
  <c r="K17" i="54"/>
  <c r="J17" i="54"/>
  <c r="I17" i="54"/>
  <c r="O16" i="54"/>
  <c r="N16" i="54"/>
  <c r="K16" i="54"/>
  <c r="J16" i="54"/>
  <c r="I16" i="54"/>
  <c r="O15" i="54"/>
  <c r="N15" i="54"/>
  <c r="K15" i="54"/>
  <c r="J15" i="54"/>
  <c r="I15" i="54"/>
  <c r="O14" i="54"/>
  <c r="N14" i="54"/>
  <c r="K14" i="54"/>
  <c r="J14" i="54"/>
  <c r="I14" i="54"/>
  <c r="O13" i="54"/>
  <c r="N13" i="54"/>
  <c r="K13" i="54"/>
  <c r="J13" i="54"/>
  <c r="I13" i="54"/>
  <c r="O12" i="54"/>
  <c r="N12" i="54"/>
  <c r="K12" i="54"/>
  <c r="J12" i="54"/>
  <c r="I12" i="54"/>
  <c r="O11" i="54"/>
  <c r="N11" i="54"/>
  <c r="K11" i="54"/>
  <c r="J11" i="54"/>
  <c r="I11" i="54"/>
  <c r="O10" i="54"/>
  <c r="N10" i="54"/>
  <c r="K10" i="54"/>
  <c r="J10" i="54"/>
  <c r="I10" i="54"/>
  <c r="O9" i="54"/>
  <c r="N9" i="54"/>
  <c r="K9" i="54"/>
  <c r="J9" i="54"/>
  <c r="I9" i="54"/>
  <c r="O8" i="54"/>
  <c r="N8" i="54"/>
  <c r="K8" i="54"/>
  <c r="J8" i="54"/>
  <c r="I8" i="54"/>
  <c r="O7" i="54"/>
  <c r="N7" i="54"/>
  <c r="K7" i="54"/>
  <c r="J7" i="54"/>
  <c r="I7" i="54"/>
  <c r="O6" i="54"/>
  <c r="N6" i="54"/>
  <c r="K6" i="54"/>
  <c r="J6" i="54"/>
  <c r="I6" i="54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O40" i="42"/>
  <c r="N40" i="42"/>
  <c r="K40" i="42"/>
  <c r="J40" i="42"/>
  <c r="I40" i="42"/>
  <c r="O39" i="42"/>
  <c r="N39" i="42"/>
  <c r="K39" i="42"/>
  <c r="J39" i="42"/>
  <c r="I39" i="42"/>
  <c r="O38" i="42"/>
  <c r="N38" i="42"/>
  <c r="K38" i="42"/>
  <c r="J38" i="42"/>
  <c r="I38" i="42"/>
  <c r="O37" i="42"/>
  <c r="N37" i="42"/>
  <c r="K37" i="42"/>
  <c r="J37" i="42"/>
  <c r="I37" i="42"/>
  <c r="O36" i="42"/>
  <c r="N36" i="42"/>
  <c r="K36" i="42"/>
  <c r="J36" i="42"/>
  <c r="I36" i="42"/>
  <c r="O35" i="42"/>
  <c r="N35" i="42"/>
  <c r="K35" i="42"/>
  <c r="J35" i="42"/>
  <c r="I35" i="42"/>
  <c r="O34" i="42"/>
  <c r="N34" i="42"/>
  <c r="K34" i="42"/>
  <c r="J34" i="42"/>
  <c r="I34" i="42"/>
  <c r="O33" i="42"/>
  <c r="N33" i="42"/>
  <c r="K33" i="42"/>
  <c r="J33" i="42"/>
  <c r="I33" i="42"/>
  <c r="O32" i="42"/>
  <c r="N32" i="42"/>
  <c r="K32" i="42"/>
  <c r="J32" i="42"/>
  <c r="I32" i="42"/>
  <c r="O31" i="42"/>
  <c r="N31" i="42"/>
  <c r="K31" i="42"/>
  <c r="J31" i="42"/>
  <c r="I31" i="42"/>
  <c r="O30" i="42"/>
  <c r="N30" i="42"/>
  <c r="K30" i="42"/>
  <c r="J30" i="42"/>
  <c r="I30" i="42"/>
  <c r="O29" i="42"/>
  <c r="N29" i="42"/>
  <c r="K29" i="42"/>
  <c r="J29" i="42"/>
  <c r="I29" i="42"/>
  <c r="O28" i="42"/>
  <c r="N28" i="42"/>
  <c r="K28" i="42"/>
  <c r="J28" i="42"/>
  <c r="I28" i="42"/>
  <c r="O27" i="42"/>
  <c r="N27" i="42"/>
  <c r="K27" i="42"/>
  <c r="J27" i="42"/>
  <c r="I27" i="42"/>
  <c r="O26" i="42"/>
  <c r="N26" i="42"/>
  <c r="K26" i="42"/>
  <c r="J26" i="42"/>
  <c r="I26" i="42"/>
  <c r="O25" i="42"/>
  <c r="N25" i="42"/>
  <c r="K25" i="42"/>
  <c r="J25" i="42"/>
  <c r="I25" i="42"/>
  <c r="O24" i="42"/>
  <c r="N24" i="42"/>
  <c r="K24" i="42"/>
  <c r="J24" i="42"/>
  <c r="I24" i="42"/>
  <c r="O23" i="42"/>
  <c r="N23" i="42"/>
  <c r="K23" i="42"/>
  <c r="J23" i="42"/>
  <c r="I23" i="42"/>
  <c r="O22" i="42"/>
  <c r="N22" i="42"/>
  <c r="K22" i="42"/>
  <c r="J22" i="42"/>
  <c r="I22" i="42"/>
  <c r="O21" i="42"/>
  <c r="N21" i="42"/>
  <c r="K21" i="42"/>
  <c r="J21" i="42"/>
  <c r="I21" i="42"/>
  <c r="O20" i="42"/>
  <c r="N20" i="42"/>
  <c r="K20" i="42"/>
  <c r="J20" i="42"/>
  <c r="I20" i="42"/>
  <c r="O19" i="42"/>
  <c r="N19" i="42"/>
  <c r="K19" i="42"/>
  <c r="J19" i="42"/>
  <c r="I19" i="42"/>
  <c r="O18" i="42"/>
  <c r="N18" i="42"/>
  <c r="K18" i="42"/>
  <c r="J18" i="42"/>
  <c r="I18" i="42"/>
  <c r="O17" i="42"/>
  <c r="N17" i="42"/>
  <c r="K17" i="42"/>
  <c r="J17" i="42"/>
  <c r="I17" i="42"/>
  <c r="O16" i="42"/>
  <c r="N16" i="42"/>
  <c r="K16" i="42"/>
  <c r="J16" i="42"/>
  <c r="I16" i="42"/>
  <c r="O15" i="42"/>
  <c r="N15" i="42"/>
  <c r="K15" i="42"/>
  <c r="J15" i="42"/>
  <c r="I15" i="42"/>
  <c r="O14" i="42"/>
  <c r="N14" i="42"/>
  <c r="K14" i="42"/>
  <c r="J14" i="42"/>
  <c r="I14" i="42"/>
  <c r="O13" i="42"/>
  <c r="N13" i="42"/>
  <c r="K13" i="42"/>
  <c r="J13" i="42"/>
  <c r="I13" i="42"/>
  <c r="O12" i="42"/>
  <c r="N12" i="42"/>
  <c r="K12" i="42"/>
  <c r="J12" i="42"/>
  <c r="I12" i="42"/>
  <c r="O11" i="42"/>
  <c r="N11" i="42"/>
  <c r="K11" i="42"/>
  <c r="J11" i="42"/>
  <c r="I11" i="42"/>
  <c r="O10" i="42"/>
  <c r="N10" i="42"/>
  <c r="K10" i="42"/>
  <c r="J10" i="42"/>
  <c r="I10" i="42"/>
  <c r="O9" i="42"/>
  <c r="N9" i="42"/>
  <c r="K9" i="42"/>
  <c r="J9" i="42"/>
  <c r="I9" i="42"/>
  <c r="O8" i="42"/>
  <c r="N8" i="42"/>
  <c r="K8" i="42"/>
  <c r="J8" i="42"/>
  <c r="I8" i="42"/>
  <c r="O7" i="42"/>
  <c r="N7" i="42"/>
  <c r="K7" i="42"/>
  <c r="J7" i="42"/>
  <c r="I7" i="42"/>
  <c r="O6" i="42"/>
  <c r="N6" i="42"/>
  <c r="K6" i="42"/>
  <c r="J6" i="42"/>
  <c r="I6" i="42"/>
  <c r="E40" i="82"/>
  <c r="E39" i="82"/>
  <c r="E38" i="82"/>
  <c r="E37" i="82"/>
  <c r="E36" i="82"/>
  <c r="E35" i="82"/>
  <c r="E34" i="82"/>
  <c r="E33" i="82"/>
  <c r="E32" i="82"/>
  <c r="E31" i="82"/>
  <c r="E30" i="82"/>
  <c r="E29" i="82"/>
  <c r="E28" i="82"/>
  <c r="E27" i="82"/>
  <c r="E26" i="82"/>
  <c r="E25" i="82"/>
  <c r="E24" i="82"/>
  <c r="E23" i="82"/>
  <c r="E22" i="82"/>
  <c r="E21" i="82"/>
  <c r="E20" i="82"/>
  <c r="E19" i="82"/>
  <c r="E18" i="82"/>
  <c r="E17" i="82"/>
  <c r="E16" i="82"/>
  <c r="E15" i="82"/>
  <c r="E14" i="82"/>
  <c r="E13" i="82"/>
  <c r="E12" i="82"/>
  <c r="E11" i="82"/>
  <c r="E10" i="82"/>
  <c r="E9" i="82"/>
  <c r="E7" i="82"/>
  <c r="O40" i="82"/>
  <c r="N40" i="82"/>
  <c r="K40" i="82"/>
  <c r="J40" i="82"/>
  <c r="I40" i="82"/>
  <c r="O39" i="82"/>
  <c r="N39" i="82"/>
  <c r="K39" i="82"/>
  <c r="J39" i="82"/>
  <c r="I39" i="82"/>
  <c r="O38" i="82"/>
  <c r="N38" i="82"/>
  <c r="K38" i="82"/>
  <c r="J38" i="82"/>
  <c r="I38" i="82"/>
  <c r="O37" i="82"/>
  <c r="N37" i="82"/>
  <c r="K37" i="82"/>
  <c r="J37" i="82"/>
  <c r="I37" i="82"/>
  <c r="O36" i="82"/>
  <c r="N36" i="82"/>
  <c r="K36" i="82"/>
  <c r="J36" i="82"/>
  <c r="I36" i="82"/>
  <c r="O35" i="82"/>
  <c r="N35" i="82"/>
  <c r="K35" i="82"/>
  <c r="J35" i="82"/>
  <c r="I35" i="82"/>
  <c r="O34" i="82"/>
  <c r="N34" i="82"/>
  <c r="K34" i="82"/>
  <c r="J34" i="82"/>
  <c r="I34" i="82"/>
  <c r="O33" i="82"/>
  <c r="N33" i="82"/>
  <c r="K33" i="82"/>
  <c r="J33" i="82"/>
  <c r="I33" i="82"/>
  <c r="O32" i="82"/>
  <c r="N32" i="82"/>
  <c r="K32" i="82"/>
  <c r="J32" i="82"/>
  <c r="I32" i="82"/>
  <c r="O31" i="82"/>
  <c r="N31" i="82"/>
  <c r="K31" i="82"/>
  <c r="J31" i="82"/>
  <c r="I31" i="82"/>
  <c r="O30" i="82"/>
  <c r="N30" i="82"/>
  <c r="K30" i="82"/>
  <c r="J30" i="82"/>
  <c r="I30" i="82"/>
  <c r="O29" i="82"/>
  <c r="N29" i="82"/>
  <c r="K29" i="82"/>
  <c r="J29" i="82"/>
  <c r="I29" i="82"/>
  <c r="O28" i="82"/>
  <c r="N28" i="82"/>
  <c r="K28" i="82"/>
  <c r="J28" i="82"/>
  <c r="I28" i="82"/>
  <c r="O27" i="82"/>
  <c r="N27" i="82"/>
  <c r="K27" i="82"/>
  <c r="J27" i="82"/>
  <c r="I27" i="82"/>
  <c r="O26" i="82"/>
  <c r="N26" i="82"/>
  <c r="K26" i="82"/>
  <c r="J26" i="82"/>
  <c r="I26" i="82"/>
  <c r="O25" i="82"/>
  <c r="N25" i="82"/>
  <c r="K25" i="82"/>
  <c r="J25" i="82"/>
  <c r="I25" i="82"/>
  <c r="O24" i="82"/>
  <c r="N24" i="82"/>
  <c r="K24" i="82"/>
  <c r="J24" i="82"/>
  <c r="I24" i="82"/>
  <c r="O23" i="82"/>
  <c r="N23" i="82"/>
  <c r="K23" i="82"/>
  <c r="J23" i="82"/>
  <c r="I23" i="82"/>
  <c r="O22" i="82"/>
  <c r="N22" i="82"/>
  <c r="K22" i="82"/>
  <c r="J22" i="82"/>
  <c r="I22" i="82"/>
  <c r="O21" i="82"/>
  <c r="N21" i="82"/>
  <c r="K21" i="82"/>
  <c r="J21" i="82"/>
  <c r="I21" i="82"/>
  <c r="O20" i="82"/>
  <c r="N20" i="82"/>
  <c r="K20" i="82"/>
  <c r="J20" i="82"/>
  <c r="I20" i="82"/>
  <c r="O19" i="82"/>
  <c r="N19" i="82"/>
  <c r="K19" i="82"/>
  <c r="J19" i="82"/>
  <c r="I19" i="82"/>
  <c r="O18" i="82"/>
  <c r="N18" i="82"/>
  <c r="K18" i="82"/>
  <c r="J18" i="82"/>
  <c r="I18" i="82"/>
  <c r="O17" i="82"/>
  <c r="N17" i="82"/>
  <c r="K17" i="82"/>
  <c r="J17" i="82"/>
  <c r="I17" i="82"/>
  <c r="O16" i="82"/>
  <c r="N16" i="82"/>
  <c r="K16" i="82"/>
  <c r="J16" i="82"/>
  <c r="I16" i="82"/>
  <c r="O15" i="82"/>
  <c r="N15" i="82"/>
  <c r="K15" i="82"/>
  <c r="J15" i="82"/>
  <c r="I15" i="82"/>
  <c r="O14" i="82"/>
  <c r="N14" i="82"/>
  <c r="K14" i="82"/>
  <c r="J14" i="82"/>
  <c r="I14" i="82"/>
  <c r="O13" i="82"/>
  <c r="N13" i="82"/>
  <c r="K13" i="82"/>
  <c r="J13" i="82"/>
  <c r="I13" i="82"/>
  <c r="O12" i="82"/>
  <c r="N12" i="82"/>
  <c r="K12" i="82"/>
  <c r="J12" i="82"/>
  <c r="I12" i="82"/>
  <c r="O11" i="82"/>
  <c r="N11" i="82"/>
  <c r="K11" i="82"/>
  <c r="J11" i="82"/>
  <c r="I11" i="82"/>
  <c r="O10" i="82"/>
  <c r="N10" i="82"/>
  <c r="K10" i="82"/>
  <c r="J10" i="82"/>
  <c r="I10" i="82"/>
  <c r="O9" i="82"/>
  <c r="N9" i="82"/>
  <c r="K9" i="82"/>
  <c r="J9" i="82"/>
  <c r="I9" i="82"/>
  <c r="O8" i="82"/>
  <c r="N8" i="82"/>
  <c r="K8" i="82"/>
  <c r="J8" i="82"/>
  <c r="I8" i="82"/>
  <c r="O7" i="82"/>
  <c r="N7" i="82"/>
  <c r="K7" i="82"/>
  <c r="J7" i="82"/>
  <c r="I7" i="82"/>
  <c r="O6" i="82"/>
  <c r="N6" i="82"/>
  <c r="K6" i="82"/>
  <c r="J6" i="82"/>
  <c r="I6" i="82"/>
  <c r="E40" i="74"/>
  <c r="E39" i="74"/>
  <c r="E38" i="74"/>
  <c r="E37" i="74"/>
  <c r="E36" i="74"/>
  <c r="E35" i="74"/>
  <c r="E34" i="74"/>
  <c r="E33" i="74"/>
  <c r="E32" i="74"/>
  <c r="E31" i="74"/>
  <c r="E30" i="74"/>
  <c r="E29" i="74"/>
  <c r="E28" i="74"/>
  <c r="E27" i="74"/>
  <c r="E26" i="74"/>
  <c r="E25" i="74"/>
  <c r="E24" i="74"/>
  <c r="E23" i="74"/>
  <c r="E22" i="74"/>
  <c r="E21" i="74"/>
  <c r="E20" i="74"/>
  <c r="E19" i="74"/>
  <c r="E18" i="74"/>
  <c r="E17" i="74"/>
  <c r="E16" i="74"/>
  <c r="E15" i="74"/>
  <c r="E14" i="74"/>
  <c r="E13" i="74"/>
  <c r="E12" i="74"/>
  <c r="E11" i="74"/>
  <c r="E10" i="74"/>
  <c r="E9" i="74"/>
  <c r="E7" i="74"/>
  <c r="O40" i="74"/>
  <c r="N40" i="74"/>
  <c r="K40" i="74"/>
  <c r="J40" i="74"/>
  <c r="I40" i="74"/>
  <c r="O39" i="74"/>
  <c r="N39" i="74"/>
  <c r="K39" i="74"/>
  <c r="J39" i="74"/>
  <c r="I39" i="74"/>
  <c r="O38" i="74"/>
  <c r="N38" i="74"/>
  <c r="K38" i="74"/>
  <c r="J38" i="74"/>
  <c r="I38" i="74"/>
  <c r="O37" i="74"/>
  <c r="N37" i="74"/>
  <c r="K37" i="74"/>
  <c r="J37" i="74"/>
  <c r="I37" i="74"/>
  <c r="O36" i="74"/>
  <c r="N36" i="74"/>
  <c r="K36" i="74"/>
  <c r="J36" i="74"/>
  <c r="I36" i="74"/>
  <c r="O35" i="74"/>
  <c r="N35" i="74"/>
  <c r="K35" i="74"/>
  <c r="J35" i="74"/>
  <c r="I35" i="74"/>
  <c r="O34" i="74"/>
  <c r="N34" i="74"/>
  <c r="K34" i="74"/>
  <c r="J34" i="74"/>
  <c r="I34" i="74"/>
  <c r="O33" i="74"/>
  <c r="N33" i="74"/>
  <c r="K33" i="74"/>
  <c r="J33" i="74"/>
  <c r="I33" i="74"/>
  <c r="O32" i="74"/>
  <c r="N32" i="74"/>
  <c r="K32" i="74"/>
  <c r="J32" i="74"/>
  <c r="I32" i="74"/>
  <c r="O31" i="74"/>
  <c r="N31" i="74"/>
  <c r="K31" i="74"/>
  <c r="J31" i="74"/>
  <c r="I31" i="74"/>
  <c r="O30" i="74"/>
  <c r="N30" i="74"/>
  <c r="K30" i="74"/>
  <c r="J30" i="74"/>
  <c r="I30" i="74"/>
  <c r="O29" i="74"/>
  <c r="N29" i="74"/>
  <c r="K29" i="74"/>
  <c r="J29" i="74"/>
  <c r="I29" i="74"/>
  <c r="O28" i="74"/>
  <c r="N28" i="74"/>
  <c r="K28" i="74"/>
  <c r="J28" i="74"/>
  <c r="I28" i="74"/>
  <c r="O27" i="74"/>
  <c r="N27" i="74"/>
  <c r="K27" i="74"/>
  <c r="J27" i="74"/>
  <c r="I27" i="74"/>
  <c r="O26" i="74"/>
  <c r="N26" i="74"/>
  <c r="K26" i="74"/>
  <c r="J26" i="74"/>
  <c r="I26" i="74"/>
  <c r="O25" i="74"/>
  <c r="N25" i="74"/>
  <c r="K25" i="74"/>
  <c r="J25" i="74"/>
  <c r="I25" i="74"/>
  <c r="O24" i="74"/>
  <c r="N24" i="74"/>
  <c r="K24" i="74"/>
  <c r="J24" i="74"/>
  <c r="I24" i="74"/>
  <c r="O23" i="74"/>
  <c r="N23" i="74"/>
  <c r="K23" i="74"/>
  <c r="J23" i="74"/>
  <c r="I23" i="74"/>
  <c r="O22" i="74"/>
  <c r="N22" i="74"/>
  <c r="K22" i="74"/>
  <c r="J22" i="74"/>
  <c r="I22" i="74"/>
  <c r="O21" i="74"/>
  <c r="N21" i="74"/>
  <c r="K21" i="74"/>
  <c r="J21" i="74"/>
  <c r="I21" i="74"/>
  <c r="O20" i="74"/>
  <c r="N20" i="74"/>
  <c r="K20" i="74"/>
  <c r="J20" i="74"/>
  <c r="I20" i="74"/>
  <c r="O19" i="74"/>
  <c r="N19" i="74"/>
  <c r="K19" i="74"/>
  <c r="J19" i="74"/>
  <c r="I19" i="74"/>
  <c r="O18" i="74"/>
  <c r="N18" i="74"/>
  <c r="K18" i="74"/>
  <c r="J18" i="74"/>
  <c r="I18" i="74"/>
  <c r="O17" i="74"/>
  <c r="N17" i="74"/>
  <c r="K17" i="74"/>
  <c r="J17" i="74"/>
  <c r="I17" i="74"/>
  <c r="O16" i="74"/>
  <c r="N16" i="74"/>
  <c r="K16" i="74"/>
  <c r="J16" i="74"/>
  <c r="I16" i="74"/>
  <c r="O15" i="74"/>
  <c r="N15" i="74"/>
  <c r="K15" i="74"/>
  <c r="J15" i="74"/>
  <c r="I15" i="74"/>
  <c r="O14" i="74"/>
  <c r="N14" i="74"/>
  <c r="K14" i="74"/>
  <c r="J14" i="74"/>
  <c r="I14" i="74"/>
  <c r="O13" i="74"/>
  <c r="N13" i="74"/>
  <c r="K13" i="74"/>
  <c r="J13" i="74"/>
  <c r="I13" i="74"/>
  <c r="O12" i="74"/>
  <c r="N12" i="74"/>
  <c r="K12" i="74"/>
  <c r="J12" i="74"/>
  <c r="I12" i="74"/>
  <c r="O11" i="74"/>
  <c r="N11" i="74"/>
  <c r="K11" i="74"/>
  <c r="J11" i="74"/>
  <c r="I11" i="74"/>
  <c r="O10" i="74"/>
  <c r="N10" i="74"/>
  <c r="K10" i="74"/>
  <c r="J10" i="74"/>
  <c r="I10" i="74"/>
  <c r="O9" i="74"/>
  <c r="N9" i="74"/>
  <c r="K9" i="74"/>
  <c r="J9" i="74"/>
  <c r="I9" i="74"/>
  <c r="O8" i="74"/>
  <c r="N8" i="74"/>
  <c r="K8" i="74"/>
  <c r="J8" i="74"/>
  <c r="I8" i="74"/>
  <c r="O7" i="74"/>
  <c r="N7" i="74"/>
  <c r="K7" i="74"/>
  <c r="J7" i="74"/>
  <c r="I7" i="74"/>
  <c r="O6" i="74"/>
  <c r="N6" i="74"/>
  <c r="K6" i="74"/>
  <c r="J6" i="74"/>
  <c r="I6" i="74"/>
  <c r="O40" i="93"/>
  <c r="N40" i="93"/>
  <c r="K40" i="93"/>
  <c r="J40" i="93"/>
  <c r="I40" i="93"/>
  <c r="O39" i="93"/>
  <c r="N39" i="93"/>
  <c r="K39" i="93"/>
  <c r="J39" i="93"/>
  <c r="I39" i="93"/>
  <c r="O38" i="93"/>
  <c r="N38" i="93"/>
  <c r="K38" i="93"/>
  <c r="J38" i="93"/>
  <c r="I38" i="93"/>
  <c r="O37" i="93"/>
  <c r="N37" i="93"/>
  <c r="K37" i="93"/>
  <c r="J37" i="93"/>
  <c r="I37" i="93"/>
  <c r="O36" i="93"/>
  <c r="N36" i="93"/>
  <c r="K36" i="93"/>
  <c r="J36" i="93"/>
  <c r="I36" i="93"/>
  <c r="O35" i="93"/>
  <c r="N35" i="93"/>
  <c r="K35" i="93"/>
  <c r="J35" i="93"/>
  <c r="I35" i="93"/>
  <c r="O34" i="93"/>
  <c r="N34" i="93"/>
  <c r="K34" i="93"/>
  <c r="J34" i="93"/>
  <c r="I34" i="93"/>
  <c r="O33" i="93"/>
  <c r="N33" i="93"/>
  <c r="K33" i="93"/>
  <c r="J33" i="93"/>
  <c r="I33" i="93"/>
  <c r="O32" i="93"/>
  <c r="N32" i="93"/>
  <c r="K32" i="93"/>
  <c r="J32" i="93"/>
  <c r="I32" i="93"/>
  <c r="O31" i="93"/>
  <c r="N31" i="93"/>
  <c r="K31" i="93"/>
  <c r="J31" i="93"/>
  <c r="I31" i="93"/>
  <c r="O30" i="93"/>
  <c r="N30" i="93"/>
  <c r="K30" i="93"/>
  <c r="J30" i="93"/>
  <c r="I30" i="93"/>
  <c r="O29" i="93"/>
  <c r="N29" i="93"/>
  <c r="K29" i="93"/>
  <c r="J29" i="93"/>
  <c r="I29" i="93"/>
  <c r="O28" i="93"/>
  <c r="N28" i="93"/>
  <c r="K28" i="93"/>
  <c r="J28" i="93"/>
  <c r="I28" i="93"/>
  <c r="O27" i="93"/>
  <c r="N27" i="93"/>
  <c r="K27" i="93"/>
  <c r="J27" i="93"/>
  <c r="I27" i="93"/>
  <c r="O26" i="93"/>
  <c r="N26" i="93"/>
  <c r="K26" i="93"/>
  <c r="J26" i="93"/>
  <c r="I26" i="93"/>
  <c r="O25" i="93"/>
  <c r="N25" i="93"/>
  <c r="K25" i="93"/>
  <c r="J25" i="93"/>
  <c r="I25" i="93"/>
  <c r="O24" i="93"/>
  <c r="N24" i="93"/>
  <c r="K24" i="93"/>
  <c r="J24" i="93"/>
  <c r="I24" i="93"/>
  <c r="O23" i="93"/>
  <c r="N23" i="93"/>
  <c r="K23" i="93"/>
  <c r="J23" i="93"/>
  <c r="I23" i="93"/>
  <c r="O22" i="93"/>
  <c r="N22" i="93"/>
  <c r="K22" i="93"/>
  <c r="J22" i="93"/>
  <c r="I22" i="93"/>
  <c r="O21" i="93"/>
  <c r="N21" i="93"/>
  <c r="K21" i="93"/>
  <c r="J21" i="93"/>
  <c r="I21" i="93"/>
  <c r="O20" i="93"/>
  <c r="N20" i="93"/>
  <c r="K20" i="93"/>
  <c r="J20" i="93"/>
  <c r="I20" i="93"/>
  <c r="O19" i="93"/>
  <c r="N19" i="93"/>
  <c r="K19" i="93"/>
  <c r="J19" i="93"/>
  <c r="I19" i="93"/>
  <c r="O18" i="93"/>
  <c r="N18" i="93"/>
  <c r="K18" i="93"/>
  <c r="J18" i="93"/>
  <c r="I18" i="93"/>
  <c r="O17" i="93"/>
  <c r="N17" i="93"/>
  <c r="K17" i="93"/>
  <c r="J17" i="93"/>
  <c r="I17" i="93"/>
  <c r="O16" i="93"/>
  <c r="N16" i="93"/>
  <c r="K16" i="93"/>
  <c r="J16" i="93"/>
  <c r="I16" i="93"/>
  <c r="O15" i="93"/>
  <c r="N15" i="93"/>
  <c r="K15" i="93"/>
  <c r="J15" i="93"/>
  <c r="I15" i="93"/>
  <c r="O14" i="93"/>
  <c r="N14" i="93"/>
  <c r="K14" i="93"/>
  <c r="J14" i="93"/>
  <c r="I14" i="93"/>
  <c r="O13" i="93"/>
  <c r="N13" i="93"/>
  <c r="K13" i="93"/>
  <c r="J13" i="93"/>
  <c r="I13" i="93"/>
  <c r="O12" i="93"/>
  <c r="N12" i="93"/>
  <c r="K12" i="93"/>
  <c r="J12" i="93"/>
  <c r="I12" i="93"/>
  <c r="O11" i="93"/>
  <c r="N11" i="93"/>
  <c r="K11" i="93"/>
  <c r="J11" i="93"/>
  <c r="I11" i="93"/>
  <c r="O10" i="93"/>
  <c r="N10" i="93"/>
  <c r="K10" i="93"/>
  <c r="J10" i="93"/>
  <c r="I10" i="93"/>
  <c r="O9" i="93"/>
  <c r="N9" i="93"/>
  <c r="K9" i="93"/>
  <c r="J9" i="93"/>
  <c r="I9" i="93"/>
  <c r="O8" i="93"/>
  <c r="N8" i="93"/>
  <c r="K8" i="93"/>
  <c r="J8" i="93"/>
  <c r="I8" i="93"/>
  <c r="O7" i="93"/>
  <c r="N7" i="93"/>
  <c r="K7" i="93"/>
  <c r="J7" i="93"/>
  <c r="I7" i="93"/>
  <c r="O6" i="93"/>
  <c r="N6" i="93"/>
  <c r="K6" i="93"/>
  <c r="J6" i="93"/>
  <c r="I6" i="93"/>
  <c r="E40" i="93"/>
  <c r="E39" i="93"/>
  <c r="E38" i="93"/>
  <c r="E37" i="93"/>
  <c r="E36" i="93"/>
  <c r="E35" i="93"/>
  <c r="E34" i="93"/>
  <c r="E33" i="93"/>
  <c r="E32" i="93"/>
  <c r="E31" i="93"/>
  <c r="E30" i="93"/>
  <c r="E29" i="93"/>
  <c r="E28" i="93"/>
  <c r="E27" i="93"/>
  <c r="E26" i="93"/>
  <c r="E25" i="93"/>
  <c r="E24" i="93"/>
  <c r="E23" i="93"/>
  <c r="E22" i="93"/>
  <c r="E21" i="93"/>
  <c r="E20" i="93"/>
  <c r="E19" i="93"/>
  <c r="E18" i="93"/>
  <c r="E17" i="93"/>
  <c r="E16" i="93"/>
  <c r="E15" i="93"/>
  <c r="E14" i="93"/>
  <c r="E13" i="93"/>
  <c r="E12" i="93"/>
  <c r="E11" i="93"/>
  <c r="E10" i="93"/>
  <c r="E9" i="93"/>
  <c r="E8" i="93"/>
  <c r="E7" i="93"/>
  <c r="E6" i="93"/>
  <c r="O40" i="73"/>
  <c r="N40" i="73"/>
  <c r="K40" i="73"/>
  <c r="J40" i="73"/>
  <c r="I40" i="73"/>
  <c r="O39" i="73"/>
  <c r="N39" i="73"/>
  <c r="K39" i="73"/>
  <c r="J39" i="73"/>
  <c r="I39" i="73"/>
  <c r="O38" i="73"/>
  <c r="N38" i="73"/>
  <c r="K38" i="73"/>
  <c r="J38" i="73"/>
  <c r="I38" i="73"/>
  <c r="O37" i="73"/>
  <c r="N37" i="73"/>
  <c r="K37" i="73"/>
  <c r="J37" i="73"/>
  <c r="I37" i="73"/>
  <c r="O36" i="73"/>
  <c r="N36" i="73"/>
  <c r="K36" i="73"/>
  <c r="J36" i="73"/>
  <c r="I36" i="73"/>
  <c r="O35" i="73"/>
  <c r="N35" i="73"/>
  <c r="K35" i="73"/>
  <c r="J35" i="73"/>
  <c r="I35" i="73"/>
  <c r="O34" i="73"/>
  <c r="N34" i="73"/>
  <c r="K34" i="73"/>
  <c r="J34" i="73"/>
  <c r="I34" i="73"/>
  <c r="O33" i="73"/>
  <c r="N33" i="73"/>
  <c r="K33" i="73"/>
  <c r="J33" i="73"/>
  <c r="I33" i="73"/>
  <c r="O32" i="73"/>
  <c r="N32" i="73"/>
  <c r="K32" i="73"/>
  <c r="J32" i="73"/>
  <c r="I32" i="73"/>
  <c r="O31" i="73"/>
  <c r="N31" i="73"/>
  <c r="K31" i="73"/>
  <c r="J31" i="73"/>
  <c r="I31" i="73"/>
  <c r="O30" i="73"/>
  <c r="N30" i="73"/>
  <c r="K30" i="73"/>
  <c r="J30" i="73"/>
  <c r="I30" i="73"/>
  <c r="O29" i="73"/>
  <c r="N29" i="73"/>
  <c r="K29" i="73"/>
  <c r="J29" i="73"/>
  <c r="I29" i="73"/>
  <c r="O28" i="73"/>
  <c r="N28" i="73"/>
  <c r="K28" i="73"/>
  <c r="J28" i="73"/>
  <c r="I28" i="73"/>
  <c r="O27" i="73"/>
  <c r="N27" i="73"/>
  <c r="K27" i="73"/>
  <c r="J27" i="73"/>
  <c r="I27" i="73"/>
  <c r="O26" i="73"/>
  <c r="N26" i="73"/>
  <c r="K26" i="73"/>
  <c r="J26" i="73"/>
  <c r="I26" i="73"/>
  <c r="O25" i="73"/>
  <c r="N25" i="73"/>
  <c r="K25" i="73"/>
  <c r="J25" i="73"/>
  <c r="I25" i="73"/>
  <c r="O24" i="73"/>
  <c r="N24" i="73"/>
  <c r="K24" i="73"/>
  <c r="J24" i="73"/>
  <c r="I24" i="73"/>
  <c r="O23" i="73"/>
  <c r="N23" i="73"/>
  <c r="K23" i="73"/>
  <c r="J23" i="73"/>
  <c r="I23" i="73"/>
  <c r="O22" i="73"/>
  <c r="N22" i="73"/>
  <c r="K22" i="73"/>
  <c r="J22" i="73"/>
  <c r="I22" i="73"/>
  <c r="O21" i="73"/>
  <c r="N21" i="73"/>
  <c r="K21" i="73"/>
  <c r="J21" i="73"/>
  <c r="I21" i="73"/>
  <c r="O20" i="73"/>
  <c r="N20" i="73"/>
  <c r="K20" i="73"/>
  <c r="J20" i="73"/>
  <c r="I20" i="73"/>
  <c r="O19" i="73"/>
  <c r="N19" i="73"/>
  <c r="K19" i="73"/>
  <c r="J19" i="73"/>
  <c r="I19" i="73"/>
  <c r="O18" i="73"/>
  <c r="N18" i="73"/>
  <c r="K18" i="73"/>
  <c r="J18" i="73"/>
  <c r="I18" i="73"/>
  <c r="O17" i="73"/>
  <c r="N17" i="73"/>
  <c r="K17" i="73"/>
  <c r="J17" i="73"/>
  <c r="I17" i="73"/>
  <c r="O16" i="73"/>
  <c r="N16" i="73"/>
  <c r="K16" i="73"/>
  <c r="J16" i="73"/>
  <c r="I16" i="73"/>
  <c r="O15" i="73"/>
  <c r="N15" i="73"/>
  <c r="K15" i="73"/>
  <c r="J15" i="73"/>
  <c r="I15" i="73"/>
  <c r="O14" i="73"/>
  <c r="N14" i="73"/>
  <c r="K14" i="73"/>
  <c r="J14" i="73"/>
  <c r="I14" i="73"/>
  <c r="O13" i="73"/>
  <c r="N13" i="73"/>
  <c r="K13" i="73"/>
  <c r="J13" i="73"/>
  <c r="I13" i="73"/>
  <c r="O12" i="73"/>
  <c r="N12" i="73"/>
  <c r="K12" i="73"/>
  <c r="J12" i="73"/>
  <c r="I12" i="73"/>
  <c r="O11" i="73"/>
  <c r="N11" i="73"/>
  <c r="K11" i="73"/>
  <c r="J11" i="73"/>
  <c r="I11" i="73"/>
  <c r="O10" i="73"/>
  <c r="N10" i="73"/>
  <c r="K10" i="73"/>
  <c r="J10" i="73"/>
  <c r="I10" i="73"/>
  <c r="O9" i="73"/>
  <c r="N9" i="73"/>
  <c r="K9" i="73"/>
  <c r="J9" i="73"/>
  <c r="I9" i="73"/>
  <c r="O8" i="73"/>
  <c r="N8" i="73"/>
  <c r="K8" i="73"/>
  <c r="J8" i="73"/>
  <c r="I8" i="73"/>
  <c r="O7" i="73"/>
  <c r="N7" i="73"/>
  <c r="K7" i="73"/>
  <c r="J7" i="73"/>
  <c r="I7" i="73"/>
  <c r="O6" i="73"/>
  <c r="N6" i="73"/>
  <c r="K6" i="73"/>
  <c r="J6" i="73"/>
  <c r="I6" i="73"/>
  <c r="E40" i="73"/>
  <c r="E39" i="73"/>
  <c r="E38" i="73"/>
  <c r="E37" i="73"/>
  <c r="E36" i="73"/>
  <c r="E35" i="73"/>
  <c r="E34" i="73"/>
  <c r="E33" i="73"/>
  <c r="E32" i="73"/>
  <c r="E31" i="73"/>
  <c r="E30" i="73"/>
  <c r="E29" i="73"/>
  <c r="E28" i="73"/>
  <c r="E27" i="73"/>
  <c r="E26" i="73"/>
  <c r="E25" i="73"/>
  <c r="E24" i="73"/>
  <c r="E23" i="73"/>
  <c r="E22" i="73"/>
  <c r="E21" i="73"/>
  <c r="E20" i="73"/>
  <c r="E19" i="73"/>
  <c r="E18" i="73"/>
  <c r="E17" i="73"/>
  <c r="E16" i="73"/>
  <c r="E15" i="73"/>
  <c r="E14" i="73"/>
  <c r="E13" i="73"/>
  <c r="E12" i="73"/>
  <c r="E11" i="73"/>
  <c r="E10" i="73"/>
  <c r="E9" i="73"/>
  <c r="E8" i="73"/>
  <c r="E7" i="73"/>
  <c r="E6" i="73"/>
  <c r="O40" i="11"/>
  <c r="N40" i="11"/>
  <c r="K40" i="11"/>
  <c r="J40" i="11"/>
  <c r="I40" i="11"/>
  <c r="O39" i="11"/>
  <c r="N39" i="11"/>
  <c r="K39" i="11"/>
  <c r="J39" i="11"/>
  <c r="I39" i="11"/>
  <c r="O38" i="11"/>
  <c r="N38" i="11"/>
  <c r="K38" i="11"/>
  <c r="J38" i="11"/>
  <c r="I38" i="11"/>
  <c r="O37" i="11"/>
  <c r="N37" i="11"/>
  <c r="K37" i="11"/>
  <c r="J37" i="11"/>
  <c r="I37" i="11"/>
  <c r="O36" i="11"/>
  <c r="N36" i="11"/>
  <c r="K36" i="11"/>
  <c r="J36" i="11"/>
  <c r="I36" i="11"/>
  <c r="O35" i="11"/>
  <c r="N35" i="11"/>
  <c r="K35" i="11"/>
  <c r="J35" i="11"/>
  <c r="I35" i="11"/>
  <c r="O34" i="11"/>
  <c r="N34" i="11"/>
  <c r="K34" i="11"/>
  <c r="J34" i="11"/>
  <c r="I34" i="11"/>
  <c r="O33" i="11"/>
  <c r="N33" i="11"/>
  <c r="K33" i="11"/>
  <c r="J33" i="11"/>
  <c r="I33" i="11"/>
  <c r="O32" i="11"/>
  <c r="N32" i="11"/>
  <c r="K32" i="11"/>
  <c r="J32" i="11"/>
  <c r="I32" i="11"/>
  <c r="O31" i="11"/>
  <c r="N31" i="11"/>
  <c r="K31" i="11"/>
  <c r="J31" i="11"/>
  <c r="I31" i="11"/>
  <c r="O30" i="11"/>
  <c r="N30" i="11"/>
  <c r="K30" i="11"/>
  <c r="J30" i="11"/>
  <c r="I30" i="11"/>
  <c r="O29" i="11"/>
  <c r="N29" i="11"/>
  <c r="K29" i="11"/>
  <c r="J29" i="11"/>
  <c r="I29" i="11"/>
  <c r="O28" i="11"/>
  <c r="N28" i="11"/>
  <c r="K28" i="11"/>
  <c r="J28" i="11"/>
  <c r="I28" i="11"/>
  <c r="O27" i="11"/>
  <c r="N27" i="11"/>
  <c r="K27" i="11"/>
  <c r="J27" i="11"/>
  <c r="I27" i="11"/>
  <c r="O26" i="11"/>
  <c r="N26" i="11"/>
  <c r="K26" i="11"/>
  <c r="J26" i="11"/>
  <c r="I26" i="11"/>
  <c r="O25" i="11"/>
  <c r="N25" i="11"/>
  <c r="K25" i="11"/>
  <c r="J25" i="11"/>
  <c r="I25" i="11"/>
  <c r="O24" i="11"/>
  <c r="N24" i="11"/>
  <c r="K24" i="11"/>
  <c r="J24" i="11"/>
  <c r="I24" i="11"/>
  <c r="O23" i="11"/>
  <c r="N23" i="11"/>
  <c r="K23" i="11"/>
  <c r="J23" i="11"/>
  <c r="I23" i="11"/>
  <c r="O22" i="11"/>
  <c r="N22" i="11"/>
  <c r="K22" i="11"/>
  <c r="J22" i="11"/>
  <c r="I22" i="11"/>
  <c r="O21" i="11"/>
  <c r="N21" i="11"/>
  <c r="K21" i="11"/>
  <c r="J21" i="11"/>
  <c r="I21" i="11"/>
  <c r="O20" i="11"/>
  <c r="N20" i="11"/>
  <c r="K20" i="11"/>
  <c r="J20" i="11"/>
  <c r="I20" i="11"/>
  <c r="O19" i="11"/>
  <c r="N19" i="11"/>
  <c r="K19" i="11"/>
  <c r="J19" i="11"/>
  <c r="I19" i="11"/>
  <c r="O18" i="11"/>
  <c r="N18" i="11"/>
  <c r="K18" i="11"/>
  <c r="J18" i="11"/>
  <c r="I18" i="11"/>
  <c r="O17" i="11"/>
  <c r="N17" i="11"/>
  <c r="K17" i="11"/>
  <c r="J17" i="11"/>
  <c r="I17" i="11"/>
  <c r="O16" i="11"/>
  <c r="N16" i="11"/>
  <c r="K16" i="11"/>
  <c r="J16" i="11"/>
  <c r="I16" i="11"/>
  <c r="O15" i="11"/>
  <c r="N15" i="11"/>
  <c r="K15" i="11"/>
  <c r="J15" i="11"/>
  <c r="I15" i="11"/>
  <c r="O14" i="11"/>
  <c r="N14" i="11"/>
  <c r="K14" i="11"/>
  <c r="J14" i="11"/>
  <c r="I14" i="11"/>
  <c r="O13" i="11"/>
  <c r="N13" i="11"/>
  <c r="K13" i="11"/>
  <c r="J13" i="11"/>
  <c r="I13" i="11"/>
  <c r="O12" i="11"/>
  <c r="N12" i="11"/>
  <c r="K12" i="11"/>
  <c r="J12" i="11"/>
  <c r="I12" i="11"/>
  <c r="O11" i="11"/>
  <c r="N11" i="11"/>
  <c r="K11" i="11"/>
  <c r="J11" i="11"/>
  <c r="I11" i="11"/>
  <c r="O10" i="11"/>
  <c r="N10" i="11"/>
  <c r="K10" i="11"/>
  <c r="J10" i="11"/>
  <c r="I10" i="11"/>
  <c r="O9" i="11"/>
  <c r="N9" i="11"/>
  <c r="K9" i="11"/>
  <c r="J9" i="11"/>
  <c r="I9" i="11"/>
  <c r="O8" i="11"/>
  <c r="N8" i="11"/>
  <c r="K8" i="11"/>
  <c r="J8" i="11"/>
  <c r="I8" i="11"/>
  <c r="O7" i="11"/>
  <c r="N7" i="11"/>
  <c r="K7" i="11"/>
  <c r="J7" i="11"/>
  <c r="I7" i="11"/>
  <c r="O6" i="11"/>
  <c r="N6" i="11"/>
  <c r="K6" i="11"/>
  <c r="J6" i="11"/>
  <c r="I6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O40" i="10"/>
  <c r="N40" i="10"/>
  <c r="K40" i="10"/>
  <c r="J40" i="10"/>
  <c r="I40" i="10"/>
  <c r="O39" i="10"/>
  <c r="N39" i="10"/>
  <c r="K39" i="10"/>
  <c r="J39" i="10"/>
  <c r="I39" i="10"/>
  <c r="O38" i="10"/>
  <c r="N38" i="10"/>
  <c r="K38" i="10"/>
  <c r="J38" i="10"/>
  <c r="I38" i="10"/>
  <c r="O37" i="10"/>
  <c r="N37" i="10"/>
  <c r="K37" i="10"/>
  <c r="J37" i="10"/>
  <c r="I37" i="10"/>
  <c r="O36" i="10"/>
  <c r="N36" i="10"/>
  <c r="K36" i="10"/>
  <c r="J36" i="10"/>
  <c r="I36" i="10"/>
  <c r="O35" i="10"/>
  <c r="N35" i="10"/>
  <c r="K35" i="10"/>
  <c r="J35" i="10"/>
  <c r="I35" i="10"/>
  <c r="O34" i="10"/>
  <c r="N34" i="10"/>
  <c r="K34" i="10"/>
  <c r="J34" i="10"/>
  <c r="I34" i="10"/>
  <c r="O33" i="10"/>
  <c r="N33" i="10"/>
  <c r="K33" i="10"/>
  <c r="J33" i="10"/>
  <c r="I33" i="10"/>
  <c r="O32" i="10"/>
  <c r="N32" i="10"/>
  <c r="K32" i="10"/>
  <c r="J32" i="10"/>
  <c r="I32" i="10"/>
  <c r="O31" i="10"/>
  <c r="N31" i="10"/>
  <c r="K31" i="10"/>
  <c r="J31" i="10"/>
  <c r="I31" i="10"/>
  <c r="O30" i="10"/>
  <c r="N30" i="10"/>
  <c r="K30" i="10"/>
  <c r="J30" i="10"/>
  <c r="I30" i="10"/>
  <c r="O29" i="10"/>
  <c r="N29" i="10"/>
  <c r="K29" i="10"/>
  <c r="J29" i="10"/>
  <c r="I29" i="10"/>
  <c r="O28" i="10"/>
  <c r="N28" i="10"/>
  <c r="K28" i="10"/>
  <c r="J28" i="10"/>
  <c r="I28" i="10"/>
  <c r="O27" i="10"/>
  <c r="N27" i="10"/>
  <c r="K27" i="10"/>
  <c r="J27" i="10"/>
  <c r="I27" i="10"/>
  <c r="O26" i="10"/>
  <c r="N26" i="10"/>
  <c r="K26" i="10"/>
  <c r="J26" i="10"/>
  <c r="I26" i="10"/>
  <c r="O25" i="10"/>
  <c r="N25" i="10"/>
  <c r="K25" i="10"/>
  <c r="J25" i="10"/>
  <c r="I25" i="10"/>
  <c r="O24" i="10"/>
  <c r="N24" i="10"/>
  <c r="K24" i="10"/>
  <c r="J24" i="10"/>
  <c r="I24" i="10"/>
  <c r="O23" i="10"/>
  <c r="N23" i="10"/>
  <c r="K23" i="10"/>
  <c r="J23" i="10"/>
  <c r="I23" i="10"/>
  <c r="O22" i="10"/>
  <c r="N22" i="10"/>
  <c r="K22" i="10"/>
  <c r="J22" i="10"/>
  <c r="I22" i="10"/>
  <c r="O21" i="10"/>
  <c r="N21" i="10"/>
  <c r="K21" i="10"/>
  <c r="J21" i="10"/>
  <c r="I21" i="10"/>
  <c r="O20" i="10"/>
  <c r="N20" i="10"/>
  <c r="K20" i="10"/>
  <c r="J20" i="10"/>
  <c r="I20" i="10"/>
  <c r="O19" i="10"/>
  <c r="N19" i="10"/>
  <c r="K19" i="10"/>
  <c r="J19" i="10"/>
  <c r="I19" i="10"/>
  <c r="O18" i="10"/>
  <c r="N18" i="10"/>
  <c r="K18" i="10"/>
  <c r="J18" i="10"/>
  <c r="I18" i="10"/>
  <c r="O17" i="10"/>
  <c r="N17" i="10"/>
  <c r="K17" i="10"/>
  <c r="J17" i="10"/>
  <c r="I17" i="10"/>
  <c r="O16" i="10"/>
  <c r="N16" i="10"/>
  <c r="K16" i="10"/>
  <c r="J16" i="10"/>
  <c r="I16" i="10"/>
  <c r="O15" i="10"/>
  <c r="N15" i="10"/>
  <c r="K15" i="10"/>
  <c r="J15" i="10"/>
  <c r="I15" i="10"/>
  <c r="O14" i="10"/>
  <c r="N14" i="10"/>
  <c r="K14" i="10"/>
  <c r="J14" i="10"/>
  <c r="I14" i="10"/>
  <c r="O13" i="10"/>
  <c r="N13" i="10"/>
  <c r="K13" i="10"/>
  <c r="J13" i="10"/>
  <c r="I13" i="10"/>
  <c r="O12" i="10"/>
  <c r="N12" i="10"/>
  <c r="K12" i="10"/>
  <c r="J12" i="10"/>
  <c r="I12" i="10"/>
  <c r="O11" i="10"/>
  <c r="N11" i="10"/>
  <c r="K11" i="10"/>
  <c r="J11" i="10"/>
  <c r="I11" i="10"/>
  <c r="O10" i="10"/>
  <c r="N10" i="10"/>
  <c r="K10" i="10"/>
  <c r="J10" i="10"/>
  <c r="I10" i="10"/>
  <c r="O9" i="10"/>
  <c r="N9" i="10"/>
  <c r="K9" i="10"/>
  <c r="J9" i="10"/>
  <c r="I9" i="10"/>
  <c r="O8" i="10"/>
  <c r="N8" i="10"/>
  <c r="K8" i="10"/>
  <c r="J8" i="10"/>
  <c r="I8" i="10"/>
  <c r="O7" i="10"/>
  <c r="N7" i="10"/>
  <c r="K7" i="10"/>
  <c r="J7" i="10"/>
  <c r="I7" i="10"/>
  <c r="O6" i="10"/>
  <c r="N6" i="10"/>
  <c r="K6" i="10"/>
  <c r="J6" i="10"/>
  <c r="I6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O40" i="28"/>
  <c r="N40" i="28"/>
  <c r="K40" i="28"/>
  <c r="J40" i="28"/>
  <c r="I40" i="28"/>
  <c r="O39" i="28"/>
  <c r="N39" i="28"/>
  <c r="K39" i="28"/>
  <c r="J39" i="28"/>
  <c r="I39" i="28"/>
  <c r="O38" i="28"/>
  <c r="N38" i="28"/>
  <c r="K38" i="28"/>
  <c r="J38" i="28"/>
  <c r="I38" i="28"/>
  <c r="O37" i="28"/>
  <c r="N37" i="28"/>
  <c r="K37" i="28"/>
  <c r="J37" i="28"/>
  <c r="I37" i="28"/>
  <c r="O36" i="28"/>
  <c r="N36" i="28"/>
  <c r="K36" i="28"/>
  <c r="J36" i="28"/>
  <c r="I36" i="28"/>
  <c r="O35" i="28"/>
  <c r="N35" i="28"/>
  <c r="K35" i="28"/>
  <c r="J35" i="28"/>
  <c r="I35" i="28"/>
  <c r="O34" i="28"/>
  <c r="N34" i="28"/>
  <c r="K34" i="28"/>
  <c r="J34" i="28"/>
  <c r="I34" i="28"/>
  <c r="O33" i="28"/>
  <c r="N33" i="28"/>
  <c r="K33" i="28"/>
  <c r="J33" i="28"/>
  <c r="I33" i="28"/>
  <c r="O32" i="28"/>
  <c r="N32" i="28"/>
  <c r="K32" i="28"/>
  <c r="J32" i="28"/>
  <c r="I32" i="28"/>
  <c r="O31" i="28"/>
  <c r="N31" i="28"/>
  <c r="K31" i="28"/>
  <c r="J31" i="28"/>
  <c r="I31" i="28"/>
  <c r="O30" i="28"/>
  <c r="N30" i="28"/>
  <c r="K30" i="28"/>
  <c r="J30" i="28"/>
  <c r="I30" i="28"/>
  <c r="O29" i="28"/>
  <c r="N29" i="28"/>
  <c r="K29" i="28"/>
  <c r="J29" i="28"/>
  <c r="I29" i="28"/>
  <c r="O28" i="28"/>
  <c r="N28" i="28"/>
  <c r="K28" i="28"/>
  <c r="J28" i="28"/>
  <c r="I28" i="28"/>
  <c r="O27" i="28"/>
  <c r="N27" i="28"/>
  <c r="K27" i="28"/>
  <c r="J27" i="28"/>
  <c r="I27" i="28"/>
  <c r="O26" i="28"/>
  <c r="N26" i="28"/>
  <c r="K26" i="28"/>
  <c r="J26" i="28"/>
  <c r="I26" i="28"/>
  <c r="O25" i="28"/>
  <c r="N25" i="28"/>
  <c r="K25" i="28"/>
  <c r="J25" i="28"/>
  <c r="I25" i="28"/>
  <c r="O24" i="28"/>
  <c r="N24" i="28"/>
  <c r="K24" i="28"/>
  <c r="J24" i="28"/>
  <c r="I24" i="28"/>
  <c r="O23" i="28"/>
  <c r="N23" i="28"/>
  <c r="K23" i="28"/>
  <c r="J23" i="28"/>
  <c r="I23" i="28"/>
  <c r="O22" i="28"/>
  <c r="N22" i="28"/>
  <c r="K22" i="28"/>
  <c r="J22" i="28"/>
  <c r="I22" i="28"/>
  <c r="O21" i="28"/>
  <c r="N21" i="28"/>
  <c r="K21" i="28"/>
  <c r="J21" i="28"/>
  <c r="I21" i="28"/>
  <c r="O20" i="28"/>
  <c r="N20" i="28"/>
  <c r="K20" i="28"/>
  <c r="J20" i="28"/>
  <c r="I20" i="28"/>
  <c r="O19" i="28"/>
  <c r="N19" i="28"/>
  <c r="K19" i="28"/>
  <c r="J19" i="28"/>
  <c r="I19" i="28"/>
  <c r="O18" i="28"/>
  <c r="N18" i="28"/>
  <c r="K18" i="28"/>
  <c r="J18" i="28"/>
  <c r="I18" i="28"/>
  <c r="O17" i="28"/>
  <c r="N17" i="28"/>
  <c r="K17" i="28"/>
  <c r="J17" i="28"/>
  <c r="I17" i="28"/>
  <c r="O16" i="28"/>
  <c r="N16" i="28"/>
  <c r="K16" i="28"/>
  <c r="J16" i="28"/>
  <c r="I16" i="28"/>
  <c r="O15" i="28"/>
  <c r="N15" i="28"/>
  <c r="K15" i="28"/>
  <c r="J15" i="28"/>
  <c r="I15" i="28"/>
  <c r="O14" i="28"/>
  <c r="N14" i="28"/>
  <c r="K14" i="28"/>
  <c r="J14" i="28"/>
  <c r="I14" i="28"/>
  <c r="O13" i="28"/>
  <c r="N13" i="28"/>
  <c r="K13" i="28"/>
  <c r="J13" i="28"/>
  <c r="I13" i="28"/>
  <c r="O12" i="28"/>
  <c r="N12" i="28"/>
  <c r="K12" i="28"/>
  <c r="J12" i="28"/>
  <c r="I12" i="28"/>
  <c r="O11" i="28"/>
  <c r="N11" i="28"/>
  <c r="K11" i="28"/>
  <c r="J11" i="28"/>
  <c r="I11" i="28"/>
  <c r="O10" i="28"/>
  <c r="N10" i="28"/>
  <c r="K10" i="28"/>
  <c r="J10" i="28"/>
  <c r="I10" i="28"/>
  <c r="O9" i="28"/>
  <c r="N9" i="28"/>
  <c r="K9" i="28"/>
  <c r="J9" i="28"/>
  <c r="I9" i="28"/>
  <c r="O8" i="28"/>
  <c r="N8" i="28"/>
  <c r="K8" i="28"/>
  <c r="J8" i="28"/>
  <c r="I8" i="28"/>
  <c r="O7" i="28"/>
  <c r="N7" i="28"/>
  <c r="K7" i="28"/>
  <c r="J7" i="28"/>
  <c r="I7" i="28"/>
  <c r="O6" i="28"/>
  <c r="N6" i="28"/>
  <c r="K6" i="28"/>
  <c r="J6" i="28"/>
  <c r="I6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O40" i="64"/>
  <c r="N40" i="64"/>
  <c r="K40" i="64"/>
  <c r="J40" i="64"/>
  <c r="I40" i="64"/>
  <c r="O39" i="64"/>
  <c r="N39" i="64"/>
  <c r="K39" i="64"/>
  <c r="J39" i="64"/>
  <c r="I39" i="64"/>
  <c r="O38" i="64"/>
  <c r="N38" i="64"/>
  <c r="K38" i="64"/>
  <c r="J38" i="64"/>
  <c r="I38" i="64"/>
  <c r="O37" i="64"/>
  <c r="N37" i="64"/>
  <c r="K37" i="64"/>
  <c r="J37" i="64"/>
  <c r="I37" i="64"/>
  <c r="O36" i="64"/>
  <c r="N36" i="64"/>
  <c r="K36" i="64"/>
  <c r="J36" i="64"/>
  <c r="I36" i="64"/>
  <c r="O35" i="64"/>
  <c r="N35" i="64"/>
  <c r="K35" i="64"/>
  <c r="J35" i="64"/>
  <c r="I35" i="64"/>
  <c r="O34" i="64"/>
  <c r="N34" i="64"/>
  <c r="K34" i="64"/>
  <c r="J34" i="64"/>
  <c r="I34" i="64"/>
  <c r="O33" i="64"/>
  <c r="N33" i="64"/>
  <c r="K33" i="64"/>
  <c r="J33" i="64"/>
  <c r="I33" i="64"/>
  <c r="O32" i="64"/>
  <c r="N32" i="64"/>
  <c r="K32" i="64"/>
  <c r="J32" i="64"/>
  <c r="I32" i="64"/>
  <c r="O31" i="64"/>
  <c r="N31" i="64"/>
  <c r="K31" i="64"/>
  <c r="J31" i="64"/>
  <c r="I31" i="64"/>
  <c r="O30" i="64"/>
  <c r="N30" i="64"/>
  <c r="K30" i="64"/>
  <c r="J30" i="64"/>
  <c r="I30" i="64"/>
  <c r="O29" i="64"/>
  <c r="N29" i="64"/>
  <c r="K29" i="64"/>
  <c r="J29" i="64"/>
  <c r="I29" i="64"/>
  <c r="O28" i="64"/>
  <c r="N28" i="64"/>
  <c r="K28" i="64"/>
  <c r="J28" i="64"/>
  <c r="I28" i="64"/>
  <c r="O27" i="64"/>
  <c r="N27" i="64"/>
  <c r="K27" i="64"/>
  <c r="J27" i="64"/>
  <c r="I27" i="64"/>
  <c r="O26" i="64"/>
  <c r="N26" i="64"/>
  <c r="K26" i="64"/>
  <c r="J26" i="64"/>
  <c r="I26" i="64"/>
  <c r="O25" i="64"/>
  <c r="N25" i="64"/>
  <c r="K25" i="64"/>
  <c r="J25" i="64"/>
  <c r="I25" i="64"/>
  <c r="O24" i="64"/>
  <c r="N24" i="64"/>
  <c r="K24" i="64"/>
  <c r="J24" i="64"/>
  <c r="I24" i="64"/>
  <c r="O23" i="64"/>
  <c r="N23" i="64"/>
  <c r="K23" i="64"/>
  <c r="J23" i="64"/>
  <c r="I23" i="64"/>
  <c r="O22" i="64"/>
  <c r="N22" i="64"/>
  <c r="K22" i="64"/>
  <c r="J22" i="64"/>
  <c r="I22" i="64"/>
  <c r="O21" i="64"/>
  <c r="N21" i="64"/>
  <c r="K21" i="64"/>
  <c r="J21" i="64"/>
  <c r="I21" i="64"/>
  <c r="O20" i="64"/>
  <c r="N20" i="64"/>
  <c r="K20" i="64"/>
  <c r="J20" i="64"/>
  <c r="I20" i="64"/>
  <c r="O19" i="64"/>
  <c r="N19" i="64"/>
  <c r="K19" i="64"/>
  <c r="J19" i="64"/>
  <c r="I19" i="64"/>
  <c r="O18" i="64"/>
  <c r="N18" i="64"/>
  <c r="K18" i="64"/>
  <c r="J18" i="64"/>
  <c r="I18" i="64"/>
  <c r="O17" i="64"/>
  <c r="N17" i="64"/>
  <c r="K17" i="64"/>
  <c r="J17" i="64"/>
  <c r="I17" i="64"/>
  <c r="O16" i="64"/>
  <c r="N16" i="64"/>
  <c r="K16" i="64"/>
  <c r="J16" i="64"/>
  <c r="I16" i="64"/>
  <c r="O15" i="64"/>
  <c r="N15" i="64"/>
  <c r="K15" i="64"/>
  <c r="J15" i="64"/>
  <c r="I15" i="64"/>
  <c r="O14" i="64"/>
  <c r="N14" i="64"/>
  <c r="K14" i="64"/>
  <c r="J14" i="64"/>
  <c r="I14" i="64"/>
  <c r="O13" i="64"/>
  <c r="N13" i="64"/>
  <c r="K13" i="64"/>
  <c r="J13" i="64"/>
  <c r="I13" i="64"/>
  <c r="O12" i="64"/>
  <c r="N12" i="64"/>
  <c r="K12" i="64"/>
  <c r="J12" i="64"/>
  <c r="I12" i="64"/>
  <c r="O11" i="64"/>
  <c r="N11" i="64"/>
  <c r="K11" i="64"/>
  <c r="J11" i="64"/>
  <c r="I11" i="64"/>
  <c r="O10" i="64"/>
  <c r="N10" i="64"/>
  <c r="K10" i="64"/>
  <c r="J10" i="64"/>
  <c r="I10" i="64"/>
  <c r="O9" i="64"/>
  <c r="N9" i="64"/>
  <c r="K9" i="64"/>
  <c r="J9" i="64"/>
  <c r="I9" i="64"/>
  <c r="O8" i="64"/>
  <c r="N8" i="64"/>
  <c r="K8" i="64"/>
  <c r="J8" i="64"/>
  <c r="I8" i="64"/>
  <c r="O7" i="64"/>
  <c r="N7" i="64"/>
  <c r="K7" i="64"/>
  <c r="J7" i="64"/>
  <c r="I7" i="64"/>
  <c r="O6" i="64"/>
  <c r="N6" i="64"/>
  <c r="K6" i="64"/>
  <c r="J6" i="64"/>
  <c r="I6" i="64"/>
  <c r="O40" i="16"/>
  <c r="N40" i="16"/>
  <c r="K40" i="16"/>
  <c r="J40" i="16"/>
  <c r="I40" i="16"/>
  <c r="O39" i="16"/>
  <c r="N39" i="16"/>
  <c r="K39" i="16"/>
  <c r="J39" i="16"/>
  <c r="I39" i="16"/>
  <c r="O38" i="16"/>
  <c r="N38" i="16"/>
  <c r="K38" i="16"/>
  <c r="J38" i="16"/>
  <c r="I38" i="16"/>
  <c r="O37" i="16"/>
  <c r="N37" i="16"/>
  <c r="K37" i="16"/>
  <c r="J37" i="16"/>
  <c r="I37" i="16"/>
  <c r="O36" i="16"/>
  <c r="N36" i="16"/>
  <c r="K36" i="16"/>
  <c r="J36" i="16"/>
  <c r="I36" i="16"/>
  <c r="O35" i="16"/>
  <c r="N35" i="16"/>
  <c r="K35" i="16"/>
  <c r="J35" i="16"/>
  <c r="I35" i="16"/>
  <c r="O34" i="16"/>
  <c r="N34" i="16"/>
  <c r="K34" i="16"/>
  <c r="J34" i="16"/>
  <c r="I34" i="16"/>
  <c r="O33" i="16"/>
  <c r="N33" i="16"/>
  <c r="K33" i="16"/>
  <c r="J33" i="16"/>
  <c r="I33" i="16"/>
  <c r="O32" i="16"/>
  <c r="N32" i="16"/>
  <c r="K32" i="16"/>
  <c r="J32" i="16"/>
  <c r="I32" i="16"/>
  <c r="O31" i="16"/>
  <c r="N31" i="16"/>
  <c r="K31" i="16"/>
  <c r="J31" i="16"/>
  <c r="I31" i="16"/>
  <c r="O30" i="16"/>
  <c r="N30" i="16"/>
  <c r="K30" i="16"/>
  <c r="J30" i="16"/>
  <c r="I30" i="16"/>
  <c r="O29" i="16"/>
  <c r="N29" i="16"/>
  <c r="K29" i="16"/>
  <c r="J29" i="16"/>
  <c r="I29" i="16"/>
  <c r="O28" i="16"/>
  <c r="N28" i="16"/>
  <c r="K28" i="16"/>
  <c r="J28" i="16"/>
  <c r="I28" i="16"/>
  <c r="O27" i="16"/>
  <c r="N27" i="16"/>
  <c r="K27" i="16"/>
  <c r="J27" i="16"/>
  <c r="I27" i="16"/>
  <c r="O26" i="16"/>
  <c r="N26" i="16"/>
  <c r="K26" i="16"/>
  <c r="J26" i="16"/>
  <c r="I26" i="16"/>
  <c r="O25" i="16"/>
  <c r="N25" i="16"/>
  <c r="K25" i="16"/>
  <c r="J25" i="16"/>
  <c r="I25" i="16"/>
  <c r="O24" i="16"/>
  <c r="N24" i="16"/>
  <c r="K24" i="16"/>
  <c r="J24" i="16"/>
  <c r="I24" i="16"/>
  <c r="O23" i="16"/>
  <c r="N23" i="16"/>
  <c r="K23" i="16"/>
  <c r="J23" i="16"/>
  <c r="I23" i="16"/>
  <c r="O22" i="16"/>
  <c r="N22" i="16"/>
  <c r="K22" i="16"/>
  <c r="J22" i="16"/>
  <c r="I22" i="16"/>
  <c r="O21" i="16"/>
  <c r="N21" i="16"/>
  <c r="K21" i="16"/>
  <c r="J21" i="16"/>
  <c r="I21" i="16"/>
  <c r="O20" i="16"/>
  <c r="N20" i="16"/>
  <c r="K20" i="16"/>
  <c r="J20" i="16"/>
  <c r="I20" i="16"/>
  <c r="O19" i="16"/>
  <c r="N19" i="16"/>
  <c r="K19" i="16"/>
  <c r="J19" i="16"/>
  <c r="I19" i="16"/>
  <c r="O18" i="16"/>
  <c r="N18" i="16"/>
  <c r="K18" i="16"/>
  <c r="J18" i="16"/>
  <c r="I18" i="16"/>
  <c r="O17" i="16"/>
  <c r="N17" i="16"/>
  <c r="K17" i="16"/>
  <c r="J17" i="16"/>
  <c r="I17" i="16"/>
  <c r="O16" i="16"/>
  <c r="N16" i="16"/>
  <c r="K16" i="16"/>
  <c r="J16" i="16"/>
  <c r="I16" i="16"/>
  <c r="O15" i="16"/>
  <c r="N15" i="16"/>
  <c r="K15" i="16"/>
  <c r="J15" i="16"/>
  <c r="I15" i="16"/>
  <c r="O14" i="16"/>
  <c r="N14" i="16"/>
  <c r="K14" i="16"/>
  <c r="J14" i="16"/>
  <c r="I14" i="16"/>
  <c r="O13" i="16"/>
  <c r="N13" i="16"/>
  <c r="K13" i="16"/>
  <c r="J13" i="16"/>
  <c r="I13" i="16"/>
  <c r="O12" i="16"/>
  <c r="N12" i="16"/>
  <c r="K12" i="16"/>
  <c r="J12" i="16"/>
  <c r="I12" i="16"/>
  <c r="O11" i="16"/>
  <c r="N11" i="16"/>
  <c r="K11" i="16"/>
  <c r="J11" i="16"/>
  <c r="I11" i="16"/>
  <c r="O10" i="16"/>
  <c r="N10" i="16"/>
  <c r="K10" i="16"/>
  <c r="J10" i="16"/>
  <c r="I10" i="16"/>
  <c r="O9" i="16"/>
  <c r="N9" i="16"/>
  <c r="K9" i="16"/>
  <c r="J9" i="16"/>
  <c r="I9" i="16"/>
  <c r="O8" i="16"/>
  <c r="N8" i="16"/>
  <c r="K8" i="16"/>
  <c r="J8" i="16"/>
  <c r="I8" i="16"/>
  <c r="O7" i="16"/>
  <c r="N7" i="16"/>
  <c r="K7" i="16"/>
  <c r="J7" i="16"/>
  <c r="I7" i="16"/>
  <c r="O6" i="16"/>
  <c r="N6" i="16"/>
  <c r="K6" i="16"/>
  <c r="J6" i="16"/>
  <c r="I6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O40" i="15"/>
  <c r="N40" i="15"/>
  <c r="K40" i="15"/>
  <c r="J40" i="15"/>
  <c r="I40" i="15"/>
  <c r="O39" i="15"/>
  <c r="N39" i="15"/>
  <c r="K39" i="15"/>
  <c r="J39" i="15"/>
  <c r="I39" i="15"/>
  <c r="O38" i="15"/>
  <c r="N38" i="15"/>
  <c r="K38" i="15"/>
  <c r="J38" i="15"/>
  <c r="I38" i="15"/>
  <c r="O37" i="15"/>
  <c r="N37" i="15"/>
  <c r="K37" i="15"/>
  <c r="J37" i="15"/>
  <c r="I37" i="15"/>
  <c r="O36" i="15"/>
  <c r="N36" i="15"/>
  <c r="K36" i="15"/>
  <c r="J36" i="15"/>
  <c r="I36" i="15"/>
  <c r="O35" i="15"/>
  <c r="N35" i="15"/>
  <c r="K35" i="15"/>
  <c r="J35" i="15"/>
  <c r="I35" i="15"/>
  <c r="O34" i="15"/>
  <c r="N34" i="15"/>
  <c r="K34" i="15"/>
  <c r="J34" i="15"/>
  <c r="I34" i="15"/>
  <c r="O33" i="15"/>
  <c r="N33" i="15"/>
  <c r="K33" i="15"/>
  <c r="J33" i="15"/>
  <c r="I33" i="15"/>
  <c r="O32" i="15"/>
  <c r="N32" i="15"/>
  <c r="K32" i="15"/>
  <c r="J32" i="15"/>
  <c r="I32" i="15"/>
  <c r="O31" i="15"/>
  <c r="N31" i="15"/>
  <c r="K31" i="15"/>
  <c r="J31" i="15"/>
  <c r="I31" i="15"/>
  <c r="O30" i="15"/>
  <c r="N30" i="15"/>
  <c r="K30" i="15"/>
  <c r="J30" i="15"/>
  <c r="I30" i="15"/>
  <c r="O29" i="15"/>
  <c r="N29" i="15"/>
  <c r="K29" i="15"/>
  <c r="J29" i="15"/>
  <c r="I29" i="15"/>
  <c r="O28" i="15"/>
  <c r="N28" i="15"/>
  <c r="K28" i="15"/>
  <c r="J28" i="15"/>
  <c r="I28" i="15"/>
  <c r="O27" i="15"/>
  <c r="N27" i="15"/>
  <c r="K27" i="15"/>
  <c r="J27" i="15"/>
  <c r="I27" i="15"/>
  <c r="O26" i="15"/>
  <c r="N26" i="15"/>
  <c r="K26" i="15"/>
  <c r="J26" i="15"/>
  <c r="I26" i="15"/>
  <c r="O25" i="15"/>
  <c r="N25" i="15"/>
  <c r="K25" i="15"/>
  <c r="J25" i="15"/>
  <c r="I25" i="15"/>
  <c r="O24" i="15"/>
  <c r="N24" i="15"/>
  <c r="K24" i="15"/>
  <c r="J24" i="15"/>
  <c r="I24" i="15"/>
  <c r="O23" i="15"/>
  <c r="N23" i="15"/>
  <c r="K23" i="15"/>
  <c r="J23" i="15"/>
  <c r="I23" i="15"/>
  <c r="O22" i="15"/>
  <c r="N22" i="15"/>
  <c r="K22" i="15"/>
  <c r="J22" i="15"/>
  <c r="I22" i="15"/>
  <c r="O21" i="15"/>
  <c r="N21" i="15"/>
  <c r="K21" i="15"/>
  <c r="J21" i="15"/>
  <c r="I21" i="15"/>
  <c r="O20" i="15"/>
  <c r="N20" i="15"/>
  <c r="K20" i="15"/>
  <c r="J20" i="15"/>
  <c r="I20" i="15"/>
  <c r="O19" i="15"/>
  <c r="N19" i="15"/>
  <c r="K19" i="15"/>
  <c r="J19" i="15"/>
  <c r="I19" i="15"/>
  <c r="O18" i="15"/>
  <c r="N18" i="15"/>
  <c r="K18" i="15"/>
  <c r="J18" i="15"/>
  <c r="I18" i="15"/>
  <c r="O17" i="15"/>
  <c r="N17" i="15"/>
  <c r="K17" i="15"/>
  <c r="J17" i="15"/>
  <c r="I17" i="15"/>
  <c r="O16" i="15"/>
  <c r="N16" i="15"/>
  <c r="K16" i="15"/>
  <c r="J16" i="15"/>
  <c r="I16" i="15"/>
  <c r="O15" i="15"/>
  <c r="N15" i="15"/>
  <c r="K15" i="15"/>
  <c r="J15" i="15"/>
  <c r="I15" i="15"/>
  <c r="O14" i="15"/>
  <c r="N14" i="15"/>
  <c r="K14" i="15"/>
  <c r="J14" i="15"/>
  <c r="I14" i="15"/>
  <c r="O13" i="15"/>
  <c r="N13" i="15"/>
  <c r="K13" i="15"/>
  <c r="J13" i="15"/>
  <c r="I13" i="15"/>
  <c r="O12" i="15"/>
  <c r="N12" i="15"/>
  <c r="K12" i="15"/>
  <c r="J12" i="15"/>
  <c r="I12" i="15"/>
  <c r="O11" i="15"/>
  <c r="N11" i="15"/>
  <c r="K11" i="15"/>
  <c r="J11" i="15"/>
  <c r="I11" i="15"/>
  <c r="O10" i="15"/>
  <c r="N10" i="15"/>
  <c r="K10" i="15"/>
  <c r="J10" i="15"/>
  <c r="I10" i="15"/>
  <c r="O9" i="15"/>
  <c r="N9" i="15"/>
  <c r="K9" i="15"/>
  <c r="J9" i="15"/>
  <c r="I9" i="15"/>
  <c r="O8" i="15"/>
  <c r="N8" i="15"/>
  <c r="K8" i="15"/>
  <c r="J8" i="15"/>
  <c r="I8" i="15"/>
  <c r="O7" i="15"/>
  <c r="N7" i="15"/>
  <c r="K7" i="15"/>
  <c r="J7" i="15"/>
  <c r="I7" i="15"/>
  <c r="O6" i="15"/>
  <c r="N6" i="15"/>
  <c r="K6" i="15"/>
  <c r="J6" i="15"/>
  <c r="I6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O40" i="12"/>
  <c r="N40" i="12"/>
  <c r="K40" i="12"/>
  <c r="J40" i="12"/>
  <c r="I40" i="12"/>
  <c r="O39" i="12"/>
  <c r="N39" i="12"/>
  <c r="K39" i="12"/>
  <c r="J39" i="12"/>
  <c r="I39" i="12"/>
  <c r="O38" i="12"/>
  <c r="N38" i="12"/>
  <c r="K38" i="12"/>
  <c r="J38" i="12"/>
  <c r="I38" i="12"/>
  <c r="O37" i="12"/>
  <c r="N37" i="12"/>
  <c r="K37" i="12"/>
  <c r="J37" i="12"/>
  <c r="I37" i="12"/>
  <c r="O36" i="12"/>
  <c r="N36" i="12"/>
  <c r="K36" i="12"/>
  <c r="J36" i="12"/>
  <c r="I36" i="12"/>
  <c r="O35" i="12"/>
  <c r="N35" i="12"/>
  <c r="K35" i="12"/>
  <c r="J35" i="12"/>
  <c r="I35" i="12"/>
  <c r="O34" i="12"/>
  <c r="N34" i="12"/>
  <c r="K34" i="12"/>
  <c r="J34" i="12"/>
  <c r="I34" i="12"/>
  <c r="O33" i="12"/>
  <c r="N33" i="12"/>
  <c r="K33" i="12"/>
  <c r="J33" i="12"/>
  <c r="I33" i="12"/>
  <c r="O32" i="12"/>
  <c r="N32" i="12"/>
  <c r="K32" i="12"/>
  <c r="J32" i="12"/>
  <c r="I32" i="12"/>
  <c r="O31" i="12"/>
  <c r="N31" i="12"/>
  <c r="K31" i="12"/>
  <c r="J31" i="12"/>
  <c r="I31" i="12"/>
  <c r="O30" i="12"/>
  <c r="N30" i="12"/>
  <c r="K30" i="12"/>
  <c r="J30" i="12"/>
  <c r="I30" i="12"/>
  <c r="O29" i="12"/>
  <c r="N29" i="12"/>
  <c r="K29" i="12"/>
  <c r="J29" i="12"/>
  <c r="I29" i="12"/>
  <c r="O28" i="12"/>
  <c r="N28" i="12"/>
  <c r="K28" i="12"/>
  <c r="J28" i="12"/>
  <c r="I28" i="12"/>
  <c r="O27" i="12"/>
  <c r="N27" i="12"/>
  <c r="K27" i="12"/>
  <c r="J27" i="12"/>
  <c r="I27" i="12"/>
  <c r="O26" i="12"/>
  <c r="N26" i="12"/>
  <c r="K26" i="12"/>
  <c r="J26" i="12"/>
  <c r="I26" i="12"/>
  <c r="O25" i="12"/>
  <c r="N25" i="12"/>
  <c r="K25" i="12"/>
  <c r="J25" i="12"/>
  <c r="I25" i="12"/>
  <c r="O24" i="12"/>
  <c r="N24" i="12"/>
  <c r="K24" i="12"/>
  <c r="J24" i="12"/>
  <c r="I24" i="12"/>
  <c r="O23" i="12"/>
  <c r="N23" i="12"/>
  <c r="K23" i="12"/>
  <c r="J23" i="12"/>
  <c r="I23" i="12"/>
  <c r="O22" i="12"/>
  <c r="N22" i="12"/>
  <c r="K22" i="12"/>
  <c r="J22" i="12"/>
  <c r="I22" i="12"/>
  <c r="O21" i="12"/>
  <c r="N21" i="12"/>
  <c r="K21" i="12"/>
  <c r="J21" i="12"/>
  <c r="I21" i="12"/>
  <c r="O20" i="12"/>
  <c r="N20" i="12"/>
  <c r="K20" i="12"/>
  <c r="J20" i="12"/>
  <c r="I20" i="12"/>
  <c r="O19" i="12"/>
  <c r="N19" i="12"/>
  <c r="K19" i="12"/>
  <c r="J19" i="12"/>
  <c r="I19" i="12"/>
  <c r="O18" i="12"/>
  <c r="N18" i="12"/>
  <c r="K18" i="12"/>
  <c r="J18" i="12"/>
  <c r="I18" i="12"/>
  <c r="O17" i="12"/>
  <c r="N17" i="12"/>
  <c r="K17" i="12"/>
  <c r="J17" i="12"/>
  <c r="I17" i="12"/>
  <c r="O16" i="12"/>
  <c r="N16" i="12"/>
  <c r="K16" i="12"/>
  <c r="J16" i="12"/>
  <c r="I16" i="12"/>
  <c r="O15" i="12"/>
  <c r="N15" i="12"/>
  <c r="K15" i="12"/>
  <c r="J15" i="12"/>
  <c r="I15" i="12"/>
  <c r="O14" i="12"/>
  <c r="N14" i="12"/>
  <c r="K14" i="12"/>
  <c r="J14" i="12"/>
  <c r="I14" i="12"/>
  <c r="O13" i="12"/>
  <c r="N13" i="12"/>
  <c r="K13" i="12"/>
  <c r="J13" i="12"/>
  <c r="I13" i="12"/>
  <c r="O12" i="12"/>
  <c r="N12" i="12"/>
  <c r="K12" i="12"/>
  <c r="J12" i="12"/>
  <c r="I12" i="12"/>
  <c r="O11" i="12"/>
  <c r="N11" i="12"/>
  <c r="K11" i="12"/>
  <c r="J11" i="12"/>
  <c r="I11" i="12"/>
  <c r="O10" i="12"/>
  <c r="N10" i="12"/>
  <c r="K10" i="12"/>
  <c r="J10" i="12"/>
  <c r="I10" i="12"/>
  <c r="O9" i="12"/>
  <c r="N9" i="12"/>
  <c r="K9" i="12"/>
  <c r="J9" i="12"/>
  <c r="I9" i="12"/>
  <c r="O8" i="12"/>
  <c r="N8" i="12"/>
  <c r="K8" i="12"/>
  <c r="J8" i="12"/>
  <c r="I8" i="12"/>
  <c r="O7" i="12"/>
  <c r="N7" i="12"/>
  <c r="K7" i="12"/>
  <c r="J7" i="12"/>
  <c r="I7" i="12"/>
  <c r="O6" i="12"/>
  <c r="N6" i="12"/>
  <c r="K6" i="12"/>
  <c r="J6" i="12"/>
  <c r="I6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O40" i="26"/>
  <c r="N40" i="26"/>
  <c r="K40" i="26"/>
  <c r="J40" i="26"/>
  <c r="I40" i="26"/>
  <c r="O39" i="26"/>
  <c r="N39" i="26"/>
  <c r="K39" i="26"/>
  <c r="J39" i="26"/>
  <c r="I39" i="26"/>
  <c r="O38" i="26"/>
  <c r="N38" i="26"/>
  <c r="K38" i="26"/>
  <c r="J38" i="26"/>
  <c r="I38" i="26"/>
  <c r="O37" i="26"/>
  <c r="N37" i="26"/>
  <c r="K37" i="26"/>
  <c r="J37" i="26"/>
  <c r="I37" i="26"/>
  <c r="O36" i="26"/>
  <c r="N36" i="26"/>
  <c r="K36" i="26"/>
  <c r="J36" i="26"/>
  <c r="I36" i="26"/>
  <c r="O35" i="26"/>
  <c r="N35" i="26"/>
  <c r="K35" i="26"/>
  <c r="J35" i="26"/>
  <c r="I35" i="26"/>
  <c r="O34" i="26"/>
  <c r="N34" i="26"/>
  <c r="K34" i="26"/>
  <c r="J34" i="26"/>
  <c r="I34" i="26"/>
  <c r="O33" i="26"/>
  <c r="N33" i="26"/>
  <c r="K33" i="26"/>
  <c r="J33" i="26"/>
  <c r="I33" i="26"/>
  <c r="O32" i="26"/>
  <c r="N32" i="26"/>
  <c r="K32" i="26"/>
  <c r="J32" i="26"/>
  <c r="I32" i="26"/>
  <c r="O31" i="26"/>
  <c r="N31" i="26"/>
  <c r="K31" i="26"/>
  <c r="J31" i="26"/>
  <c r="I31" i="26"/>
  <c r="O30" i="26"/>
  <c r="N30" i="26"/>
  <c r="K30" i="26"/>
  <c r="J30" i="26"/>
  <c r="I30" i="26"/>
  <c r="O29" i="26"/>
  <c r="N29" i="26"/>
  <c r="K29" i="26"/>
  <c r="J29" i="26"/>
  <c r="I29" i="26"/>
  <c r="O28" i="26"/>
  <c r="N28" i="26"/>
  <c r="K28" i="26"/>
  <c r="J28" i="26"/>
  <c r="I28" i="26"/>
  <c r="O27" i="26"/>
  <c r="N27" i="26"/>
  <c r="K27" i="26"/>
  <c r="J27" i="26"/>
  <c r="I27" i="26"/>
  <c r="O26" i="26"/>
  <c r="N26" i="26"/>
  <c r="K26" i="26"/>
  <c r="J26" i="26"/>
  <c r="I26" i="26"/>
  <c r="O25" i="26"/>
  <c r="N25" i="26"/>
  <c r="K25" i="26"/>
  <c r="J25" i="26"/>
  <c r="I25" i="26"/>
  <c r="O24" i="26"/>
  <c r="N24" i="26"/>
  <c r="K24" i="26"/>
  <c r="J24" i="26"/>
  <c r="I24" i="26"/>
  <c r="O23" i="26"/>
  <c r="N23" i="26"/>
  <c r="K23" i="26"/>
  <c r="J23" i="26"/>
  <c r="I23" i="26"/>
  <c r="O22" i="26"/>
  <c r="N22" i="26"/>
  <c r="K22" i="26"/>
  <c r="J22" i="26"/>
  <c r="I22" i="26"/>
  <c r="O21" i="26"/>
  <c r="N21" i="26"/>
  <c r="K21" i="26"/>
  <c r="J21" i="26"/>
  <c r="I21" i="26"/>
  <c r="O20" i="26"/>
  <c r="N20" i="26"/>
  <c r="K20" i="26"/>
  <c r="J20" i="26"/>
  <c r="I20" i="26"/>
  <c r="O19" i="26"/>
  <c r="N19" i="26"/>
  <c r="K19" i="26"/>
  <c r="J19" i="26"/>
  <c r="I19" i="26"/>
  <c r="O18" i="26"/>
  <c r="N18" i="26"/>
  <c r="K18" i="26"/>
  <c r="J18" i="26"/>
  <c r="I18" i="26"/>
  <c r="O17" i="26"/>
  <c r="N17" i="26"/>
  <c r="K17" i="26"/>
  <c r="J17" i="26"/>
  <c r="I17" i="26"/>
  <c r="O16" i="26"/>
  <c r="N16" i="26"/>
  <c r="K16" i="26"/>
  <c r="J16" i="26"/>
  <c r="I16" i="26"/>
  <c r="O15" i="26"/>
  <c r="N15" i="26"/>
  <c r="K15" i="26"/>
  <c r="J15" i="26"/>
  <c r="I15" i="26"/>
  <c r="O14" i="26"/>
  <c r="N14" i="26"/>
  <c r="K14" i="26"/>
  <c r="J14" i="26"/>
  <c r="I14" i="26"/>
  <c r="O13" i="26"/>
  <c r="N13" i="26"/>
  <c r="K13" i="26"/>
  <c r="J13" i="26"/>
  <c r="I13" i="26"/>
  <c r="O12" i="26"/>
  <c r="N12" i="26"/>
  <c r="K12" i="26"/>
  <c r="J12" i="26"/>
  <c r="I12" i="26"/>
  <c r="O11" i="26"/>
  <c r="N11" i="26"/>
  <c r="K11" i="26"/>
  <c r="J11" i="26"/>
  <c r="I11" i="26"/>
  <c r="O10" i="26"/>
  <c r="N10" i="26"/>
  <c r="K10" i="26"/>
  <c r="J10" i="26"/>
  <c r="I10" i="26"/>
  <c r="O9" i="26"/>
  <c r="N9" i="26"/>
  <c r="K9" i="26"/>
  <c r="J9" i="26"/>
  <c r="I9" i="26"/>
  <c r="O8" i="26"/>
  <c r="N8" i="26"/>
  <c r="K8" i="26"/>
  <c r="J8" i="26"/>
  <c r="I8" i="26"/>
  <c r="O7" i="26"/>
  <c r="N7" i="26"/>
  <c r="K7" i="26"/>
  <c r="J7" i="26"/>
  <c r="I7" i="26"/>
  <c r="O6" i="26"/>
  <c r="N6" i="26"/>
  <c r="K6" i="26"/>
  <c r="J6" i="26"/>
  <c r="I6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O40" i="29"/>
  <c r="N40" i="29"/>
  <c r="K40" i="29"/>
  <c r="J40" i="29"/>
  <c r="I40" i="29"/>
  <c r="O39" i="29"/>
  <c r="N39" i="29"/>
  <c r="K39" i="29"/>
  <c r="J39" i="29"/>
  <c r="I39" i="29"/>
  <c r="O38" i="29"/>
  <c r="N38" i="29"/>
  <c r="K38" i="29"/>
  <c r="J38" i="29"/>
  <c r="I38" i="29"/>
  <c r="O37" i="29"/>
  <c r="N37" i="29"/>
  <c r="K37" i="29"/>
  <c r="J37" i="29"/>
  <c r="I37" i="29"/>
  <c r="O36" i="29"/>
  <c r="N36" i="29"/>
  <c r="K36" i="29"/>
  <c r="J36" i="29"/>
  <c r="I36" i="29"/>
  <c r="O35" i="29"/>
  <c r="N35" i="29"/>
  <c r="K35" i="29"/>
  <c r="J35" i="29"/>
  <c r="I35" i="29"/>
  <c r="O34" i="29"/>
  <c r="N34" i="29"/>
  <c r="K34" i="29"/>
  <c r="J34" i="29"/>
  <c r="I34" i="29"/>
  <c r="O33" i="29"/>
  <c r="N33" i="29"/>
  <c r="K33" i="29"/>
  <c r="J33" i="29"/>
  <c r="I33" i="29"/>
  <c r="O32" i="29"/>
  <c r="N32" i="29"/>
  <c r="K32" i="29"/>
  <c r="J32" i="29"/>
  <c r="I32" i="29"/>
  <c r="O31" i="29"/>
  <c r="N31" i="29"/>
  <c r="K31" i="29"/>
  <c r="J31" i="29"/>
  <c r="I31" i="29"/>
  <c r="O30" i="29"/>
  <c r="N30" i="29"/>
  <c r="K30" i="29"/>
  <c r="J30" i="29"/>
  <c r="I30" i="29"/>
  <c r="O29" i="29"/>
  <c r="N29" i="29"/>
  <c r="K29" i="29"/>
  <c r="J29" i="29"/>
  <c r="I29" i="29"/>
  <c r="O28" i="29"/>
  <c r="N28" i="29"/>
  <c r="K28" i="29"/>
  <c r="J28" i="29"/>
  <c r="I28" i="29"/>
  <c r="O27" i="29"/>
  <c r="N27" i="29"/>
  <c r="K27" i="29"/>
  <c r="J27" i="29"/>
  <c r="I27" i="29"/>
  <c r="O26" i="29"/>
  <c r="N26" i="29"/>
  <c r="K26" i="29"/>
  <c r="J26" i="29"/>
  <c r="I26" i="29"/>
  <c r="O25" i="29"/>
  <c r="N25" i="29"/>
  <c r="K25" i="29"/>
  <c r="J25" i="29"/>
  <c r="I25" i="29"/>
  <c r="O24" i="29"/>
  <c r="N24" i="29"/>
  <c r="K24" i="29"/>
  <c r="J24" i="29"/>
  <c r="I24" i="29"/>
  <c r="O23" i="29"/>
  <c r="N23" i="29"/>
  <c r="K23" i="29"/>
  <c r="J23" i="29"/>
  <c r="I23" i="29"/>
  <c r="O22" i="29"/>
  <c r="N22" i="29"/>
  <c r="K22" i="29"/>
  <c r="J22" i="29"/>
  <c r="I22" i="29"/>
  <c r="O21" i="29"/>
  <c r="N21" i="29"/>
  <c r="K21" i="29"/>
  <c r="J21" i="29"/>
  <c r="I21" i="29"/>
  <c r="O20" i="29"/>
  <c r="N20" i="29"/>
  <c r="K20" i="29"/>
  <c r="J20" i="29"/>
  <c r="I20" i="29"/>
  <c r="O19" i="29"/>
  <c r="N19" i="29"/>
  <c r="K19" i="29"/>
  <c r="J19" i="29"/>
  <c r="I19" i="29"/>
  <c r="O18" i="29"/>
  <c r="N18" i="29"/>
  <c r="K18" i="29"/>
  <c r="J18" i="29"/>
  <c r="I18" i="29"/>
  <c r="O17" i="29"/>
  <c r="N17" i="29"/>
  <c r="K17" i="29"/>
  <c r="J17" i="29"/>
  <c r="I17" i="29"/>
  <c r="O16" i="29"/>
  <c r="N16" i="29"/>
  <c r="K16" i="29"/>
  <c r="J16" i="29"/>
  <c r="I16" i="29"/>
  <c r="O15" i="29"/>
  <c r="N15" i="29"/>
  <c r="K15" i="29"/>
  <c r="J15" i="29"/>
  <c r="I15" i="29"/>
  <c r="O14" i="29"/>
  <c r="N14" i="29"/>
  <c r="K14" i="29"/>
  <c r="J14" i="29"/>
  <c r="I14" i="29"/>
  <c r="O13" i="29"/>
  <c r="N13" i="29"/>
  <c r="K13" i="29"/>
  <c r="J13" i="29"/>
  <c r="I13" i="29"/>
  <c r="O12" i="29"/>
  <c r="N12" i="29"/>
  <c r="K12" i="29"/>
  <c r="J12" i="29"/>
  <c r="I12" i="29"/>
  <c r="O11" i="29"/>
  <c r="N11" i="29"/>
  <c r="K11" i="29"/>
  <c r="J11" i="29"/>
  <c r="I11" i="29"/>
  <c r="O10" i="29"/>
  <c r="N10" i="29"/>
  <c r="K10" i="29"/>
  <c r="J10" i="29"/>
  <c r="I10" i="29"/>
  <c r="O9" i="29"/>
  <c r="N9" i="29"/>
  <c r="K9" i="29"/>
  <c r="J9" i="29"/>
  <c r="I9" i="29"/>
  <c r="O8" i="29"/>
  <c r="N8" i="29"/>
  <c r="K8" i="29"/>
  <c r="J8" i="29"/>
  <c r="I8" i="29"/>
  <c r="O7" i="29"/>
  <c r="N7" i="29"/>
  <c r="K7" i="29"/>
  <c r="J7" i="29"/>
  <c r="I7" i="29"/>
  <c r="O6" i="29"/>
  <c r="N6" i="29"/>
  <c r="K6" i="29"/>
  <c r="J6" i="29"/>
  <c r="I6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6" i="29"/>
  <c r="O40" i="88"/>
  <c r="N40" i="88"/>
  <c r="K40" i="88"/>
  <c r="J40" i="88"/>
  <c r="I40" i="88"/>
  <c r="O39" i="88"/>
  <c r="N39" i="88"/>
  <c r="K39" i="88"/>
  <c r="J39" i="88"/>
  <c r="I39" i="88"/>
  <c r="O38" i="88"/>
  <c r="N38" i="88"/>
  <c r="K38" i="88"/>
  <c r="J38" i="88"/>
  <c r="I38" i="88"/>
  <c r="O37" i="88"/>
  <c r="N37" i="88"/>
  <c r="K37" i="88"/>
  <c r="J37" i="88"/>
  <c r="I37" i="88"/>
  <c r="O36" i="88"/>
  <c r="N36" i="88"/>
  <c r="K36" i="88"/>
  <c r="J36" i="88"/>
  <c r="I36" i="88"/>
  <c r="O35" i="88"/>
  <c r="N35" i="88"/>
  <c r="K35" i="88"/>
  <c r="J35" i="88"/>
  <c r="I35" i="88"/>
  <c r="O34" i="88"/>
  <c r="N34" i="88"/>
  <c r="K34" i="88"/>
  <c r="J34" i="88"/>
  <c r="I34" i="88"/>
  <c r="O33" i="88"/>
  <c r="N33" i="88"/>
  <c r="K33" i="88"/>
  <c r="J33" i="88"/>
  <c r="I33" i="88"/>
  <c r="O32" i="88"/>
  <c r="N32" i="88"/>
  <c r="K32" i="88"/>
  <c r="J32" i="88"/>
  <c r="I32" i="88"/>
  <c r="O31" i="88"/>
  <c r="N31" i="88"/>
  <c r="K31" i="88"/>
  <c r="J31" i="88"/>
  <c r="I31" i="88"/>
  <c r="O30" i="88"/>
  <c r="N30" i="88"/>
  <c r="K30" i="88"/>
  <c r="J30" i="88"/>
  <c r="I30" i="88"/>
  <c r="O29" i="88"/>
  <c r="N29" i="88"/>
  <c r="K29" i="88"/>
  <c r="J29" i="88"/>
  <c r="I29" i="88"/>
  <c r="O28" i="88"/>
  <c r="N28" i="88"/>
  <c r="K28" i="88"/>
  <c r="J28" i="88"/>
  <c r="I28" i="88"/>
  <c r="O27" i="88"/>
  <c r="N27" i="88"/>
  <c r="K27" i="88"/>
  <c r="J27" i="88"/>
  <c r="I27" i="88"/>
  <c r="O26" i="88"/>
  <c r="N26" i="88"/>
  <c r="K26" i="88"/>
  <c r="J26" i="88"/>
  <c r="I26" i="88"/>
  <c r="O25" i="88"/>
  <c r="N25" i="88"/>
  <c r="K25" i="88"/>
  <c r="J25" i="88"/>
  <c r="I25" i="88"/>
  <c r="O24" i="88"/>
  <c r="N24" i="88"/>
  <c r="K24" i="88"/>
  <c r="J24" i="88"/>
  <c r="I24" i="88"/>
  <c r="O23" i="88"/>
  <c r="N23" i="88"/>
  <c r="K23" i="88"/>
  <c r="J23" i="88"/>
  <c r="I23" i="88"/>
  <c r="O22" i="88"/>
  <c r="N22" i="88"/>
  <c r="K22" i="88"/>
  <c r="J22" i="88"/>
  <c r="I22" i="88"/>
  <c r="O21" i="88"/>
  <c r="N21" i="88"/>
  <c r="K21" i="88"/>
  <c r="J21" i="88"/>
  <c r="I21" i="88"/>
  <c r="O20" i="88"/>
  <c r="N20" i="88"/>
  <c r="K20" i="88"/>
  <c r="J20" i="88"/>
  <c r="I20" i="88"/>
  <c r="O19" i="88"/>
  <c r="N19" i="88"/>
  <c r="K19" i="88"/>
  <c r="J19" i="88"/>
  <c r="I19" i="88"/>
  <c r="O18" i="88"/>
  <c r="N18" i="88"/>
  <c r="K18" i="88"/>
  <c r="J18" i="88"/>
  <c r="I18" i="88"/>
  <c r="O17" i="88"/>
  <c r="N17" i="88"/>
  <c r="K17" i="88"/>
  <c r="J17" i="88"/>
  <c r="I17" i="88"/>
  <c r="O16" i="88"/>
  <c r="N16" i="88"/>
  <c r="K16" i="88"/>
  <c r="J16" i="88"/>
  <c r="I16" i="88"/>
  <c r="O15" i="88"/>
  <c r="N15" i="88"/>
  <c r="K15" i="88"/>
  <c r="J15" i="88"/>
  <c r="I15" i="88"/>
  <c r="O14" i="88"/>
  <c r="N14" i="88"/>
  <c r="K14" i="88"/>
  <c r="J14" i="88"/>
  <c r="I14" i="88"/>
  <c r="O13" i="88"/>
  <c r="N13" i="88"/>
  <c r="K13" i="88"/>
  <c r="J13" i="88"/>
  <c r="I13" i="88"/>
  <c r="O12" i="88"/>
  <c r="N12" i="88"/>
  <c r="K12" i="88"/>
  <c r="J12" i="88"/>
  <c r="I12" i="88"/>
  <c r="O11" i="88"/>
  <c r="N11" i="88"/>
  <c r="K11" i="88"/>
  <c r="J11" i="88"/>
  <c r="I11" i="88"/>
  <c r="O10" i="88"/>
  <c r="N10" i="88"/>
  <c r="K10" i="88"/>
  <c r="J10" i="88"/>
  <c r="I10" i="88"/>
  <c r="O9" i="88"/>
  <c r="N9" i="88"/>
  <c r="K9" i="88"/>
  <c r="J9" i="88"/>
  <c r="I9" i="88"/>
  <c r="O8" i="88"/>
  <c r="N8" i="88"/>
  <c r="K8" i="88"/>
  <c r="J8" i="88"/>
  <c r="I8" i="88"/>
  <c r="O7" i="88"/>
  <c r="N7" i="88"/>
  <c r="K7" i="88"/>
  <c r="J7" i="88"/>
  <c r="I7" i="88"/>
  <c r="O6" i="88"/>
  <c r="N6" i="88"/>
  <c r="K6" i="88"/>
  <c r="J6" i="88"/>
  <c r="I6" i="88"/>
  <c r="E40" i="88"/>
  <c r="E39" i="88"/>
  <c r="E38" i="88"/>
  <c r="E37" i="88"/>
  <c r="E36" i="88"/>
  <c r="E35" i="88"/>
  <c r="E34" i="88"/>
  <c r="E33" i="88"/>
  <c r="E32" i="88"/>
  <c r="E31" i="88"/>
  <c r="E30" i="88"/>
  <c r="E29" i="88"/>
  <c r="E28" i="88"/>
  <c r="E27" i="88"/>
  <c r="E26" i="88"/>
  <c r="E25" i="88"/>
  <c r="E24" i="88"/>
  <c r="E23" i="88"/>
  <c r="E22" i="88"/>
  <c r="E21" i="88"/>
  <c r="E20" i="88"/>
  <c r="E19" i="88"/>
  <c r="E18" i="88"/>
  <c r="E17" i="88"/>
  <c r="E16" i="88"/>
  <c r="E15" i="88"/>
  <c r="E14" i="88"/>
  <c r="E13" i="88"/>
  <c r="E12" i="88"/>
  <c r="E11" i="88"/>
  <c r="E10" i="88"/>
  <c r="E9" i="88"/>
  <c r="E8" i="88"/>
  <c r="E7" i="88"/>
  <c r="E6" i="88"/>
  <c r="O40" i="84"/>
  <c r="N40" i="84"/>
  <c r="K40" i="84"/>
  <c r="J40" i="84"/>
  <c r="I40" i="84"/>
  <c r="O39" i="84"/>
  <c r="N39" i="84"/>
  <c r="K39" i="84"/>
  <c r="J39" i="84"/>
  <c r="I39" i="84"/>
  <c r="O38" i="84"/>
  <c r="N38" i="84"/>
  <c r="K38" i="84"/>
  <c r="J38" i="84"/>
  <c r="I38" i="84"/>
  <c r="O37" i="84"/>
  <c r="N37" i="84"/>
  <c r="K37" i="84"/>
  <c r="J37" i="84"/>
  <c r="I37" i="84"/>
  <c r="O36" i="84"/>
  <c r="N36" i="84"/>
  <c r="K36" i="84"/>
  <c r="J36" i="84"/>
  <c r="I36" i="84"/>
  <c r="O35" i="84"/>
  <c r="N35" i="84"/>
  <c r="K35" i="84"/>
  <c r="J35" i="84"/>
  <c r="I35" i="84"/>
  <c r="O34" i="84"/>
  <c r="N34" i="84"/>
  <c r="K34" i="84"/>
  <c r="J34" i="84"/>
  <c r="I34" i="84"/>
  <c r="O33" i="84"/>
  <c r="N33" i="84"/>
  <c r="K33" i="84"/>
  <c r="J33" i="84"/>
  <c r="I33" i="84"/>
  <c r="O32" i="84"/>
  <c r="N32" i="84"/>
  <c r="K32" i="84"/>
  <c r="J32" i="84"/>
  <c r="I32" i="84"/>
  <c r="O31" i="84"/>
  <c r="N31" i="84"/>
  <c r="K31" i="84"/>
  <c r="J31" i="84"/>
  <c r="I31" i="84"/>
  <c r="O30" i="84"/>
  <c r="N30" i="84"/>
  <c r="K30" i="84"/>
  <c r="J30" i="84"/>
  <c r="I30" i="84"/>
  <c r="O29" i="84"/>
  <c r="N29" i="84"/>
  <c r="K29" i="84"/>
  <c r="J29" i="84"/>
  <c r="I29" i="84"/>
  <c r="O28" i="84"/>
  <c r="N28" i="84"/>
  <c r="K28" i="84"/>
  <c r="J28" i="84"/>
  <c r="I28" i="84"/>
  <c r="O27" i="84"/>
  <c r="N27" i="84"/>
  <c r="K27" i="84"/>
  <c r="J27" i="84"/>
  <c r="I27" i="84"/>
  <c r="O26" i="84"/>
  <c r="N26" i="84"/>
  <c r="K26" i="84"/>
  <c r="J26" i="84"/>
  <c r="I26" i="84"/>
  <c r="O25" i="84"/>
  <c r="N25" i="84"/>
  <c r="K25" i="84"/>
  <c r="J25" i="84"/>
  <c r="I25" i="84"/>
  <c r="O24" i="84"/>
  <c r="N24" i="84"/>
  <c r="K24" i="84"/>
  <c r="J24" i="84"/>
  <c r="I24" i="84"/>
  <c r="O23" i="84"/>
  <c r="N23" i="84"/>
  <c r="K23" i="84"/>
  <c r="J23" i="84"/>
  <c r="I23" i="84"/>
  <c r="O22" i="84"/>
  <c r="N22" i="84"/>
  <c r="K22" i="84"/>
  <c r="J22" i="84"/>
  <c r="I22" i="84"/>
  <c r="O21" i="84"/>
  <c r="N21" i="84"/>
  <c r="K21" i="84"/>
  <c r="J21" i="84"/>
  <c r="I21" i="84"/>
  <c r="O20" i="84"/>
  <c r="N20" i="84"/>
  <c r="K20" i="84"/>
  <c r="J20" i="84"/>
  <c r="I20" i="84"/>
  <c r="O19" i="84"/>
  <c r="N19" i="84"/>
  <c r="K19" i="84"/>
  <c r="J19" i="84"/>
  <c r="I19" i="84"/>
  <c r="O18" i="84"/>
  <c r="N18" i="84"/>
  <c r="K18" i="84"/>
  <c r="J18" i="84"/>
  <c r="I18" i="84"/>
  <c r="O17" i="84"/>
  <c r="N17" i="84"/>
  <c r="K17" i="84"/>
  <c r="J17" i="84"/>
  <c r="I17" i="84"/>
  <c r="O16" i="84"/>
  <c r="N16" i="84"/>
  <c r="K16" i="84"/>
  <c r="J16" i="84"/>
  <c r="I16" i="84"/>
  <c r="O15" i="84"/>
  <c r="N15" i="84"/>
  <c r="K15" i="84"/>
  <c r="J15" i="84"/>
  <c r="I15" i="84"/>
  <c r="O14" i="84"/>
  <c r="N14" i="84"/>
  <c r="K14" i="84"/>
  <c r="J14" i="84"/>
  <c r="I14" i="84"/>
  <c r="O13" i="84"/>
  <c r="N13" i="84"/>
  <c r="K13" i="84"/>
  <c r="J13" i="84"/>
  <c r="I13" i="84"/>
  <c r="O12" i="84"/>
  <c r="N12" i="84"/>
  <c r="K12" i="84"/>
  <c r="J12" i="84"/>
  <c r="I12" i="84"/>
  <c r="O11" i="84"/>
  <c r="N11" i="84"/>
  <c r="K11" i="84"/>
  <c r="J11" i="84"/>
  <c r="I11" i="84"/>
  <c r="O10" i="84"/>
  <c r="N10" i="84"/>
  <c r="K10" i="84"/>
  <c r="J10" i="84"/>
  <c r="I10" i="84"/>
  <c r="O9" i="84"/>
  <c r="N9" i="84"/>
  <c r="K9" i="84"/>
  <c r="J9" i="84"/>
  <c r="I9" i="84"/>
  <c r="O8" i="84"/>
  <c r="N8" i="84"/>
  <c r="K8" i="84"/>
  <c r="J8" i="84"/>
  <c r="I8" i="84"/>
  <c r="O7" i="84"/>
  <c r="N7" i="84"/>
  <c r="K7" i="84"/>
  <c r="J7" i="84"/>
  <c r="I7" i="84"/>
  <c r="O6" i="84"/>
  <c r="N6" i="84"/>
  <c r="K6" i="84"/>
  <c r="J6" i="84"/>
  <c r="I6" i="84"/>
  <c r="E40" i="84"/>
  <c r="E39" i="84"/>
  <c r="E38" i="84"/>
  <c r="E37" i="84"/>
  <c r="E36" i="84"/>
  <c r="E35" i="84"/>
  <c r="E34" i="84"/>
  <c r="E33" i="84"/>
  <c r="E32" i="84"/>
  <c r="E31" i="84"/>
  <c r="E30" i="84"/>
  <c r="E29" i="84"/>
  <c r="E28" i="84"/>
  <c r="E27" i="84"/>
  <c r="E26" i="84"/>
  <c r="E25" i="84"/>
  <c r="E24" i="84"/>
  <c r="E23" i="84"/>
  <c r="E22" i="84"/>
  <c r="E21" i="84"/>
  <c r="E20" i="84"/>
  <c r="E19" i="84"/>
  <c r="E18" i="84"/>
  <c r="E17" i="84"/>
  <c r="E16" i="84"/>
  <c r="E15" i="84"/>
  <c r="E14" i="84"/>
  <c r="E13" i="84"/>
  <c r="E12" i="84"/>
  <c r="E11" i="84"/>
  <c r="E10" i="84"/>
  <c r="E9" i="84"/>
  <c r="E8" i="84"/>
  <c r="E7" i="84"/>
  <c r="E6" i="84"/>
  <c r="O40" i="24"/>
  <c r="N40" i="24"/>
  <c r="K40" i="24"/>
  <c r="J40" i="24"/>
  <c r="I40" i="24"/>
  <c r="O39" i="24"/>
  <c r="N39" i="24"/>
  <c r="K39" i="24"/>
  <c r="J39" i="24"/>
  <c r="I39" i="24"/>
  <c r="O38" i="24"/>
  <c r="N38" i="24"/>
  <c r="K38" i="24"/>
  <c r="J38" i="24"/>
  <c r="I38" i="24"/>
  <c r="O37" i="24"/>
  <c r="N37" i="24"/>
  <c r="K37" i="24"/>
  <c r="J37" i="24"/>
  <c r="I37" i="24"/>
  <c r="O36" i="24"/>
  <c r="N36" i="24"/>
  <c r="K36" i="24"/>
  <c r="J36" i="24"/>
  <c r="I36" i="24"/>
  <c r="O35" i="24"/>
  <c r="N35" i="24"/>
  <c r="K35" i="24"/>
  <c r="J35" i="24"/>
  <c r="I35" i="24"/>
  <c r="O34" i="24"/>
  <c r="N34" i="24"/>
  <c r="K34" i="24"/>
  <c r="J34" i="24"/>
  <c r="I34" i="24"/>
  <c r="O33" i="24"/>
  <c r="N33" i="24"/>
  <c r="K33" i="24"/>
  <c r="J33" i="24"/>
  <c r="I33" i="24"/>
  <c r="O32" i="24"/>
  <c r="N32" i="24"/>
  <c r="K32" i="24"/>
  <c r="J32" i="24"/>
  <c r="I32" i="24"/>
  <c r="O31" i="24"/>
  <c r="N31" i="24"/>
  <c r="K31" i="24"/>
  <c r="J31" i="24"/>
  <c r="I31" i="24"/>
  <c r="O30" i="24"/>
  <c r="N30" i="24"/>
  <c r="K30" i="24"/>
  <c r="J30" i="24"/>
  <c r="I30" i="24"/>
  <c r="O29" i="24"/>
  <c r="N29" i="24"/>
  <c r="K29" i="24"/>
  <c r="J29" i="24"/>
  <c r="I29" i="24"/>
  <c r="O28" i="24"/>
  <c r="N28" i="24"/>
  <c r="K28" i="24"/>
  <c r="J28" i="24"/>
  <c r="I28" i="24"/>
  <c r="O27" i="24"/>
  <c r="N27" i="24"/>
  <c r="K27" i="24"/>
  <c r="J27" i="24"/>
  <c r="I27" i="24"/>
  <c r="O26" i="24"/>
  <c r="N26" i="24"/>
  <c r="K26" i="24"/>
  <c r="J26" i="24"/>
  <c r="I26" i="24"/>
  <c r="O25" i="24"/>
  <c r="N25" i="24"/>
  <c r="K25" i="24"/>
  <c r="J25" i="24"/>
  <c r="I25" i="24"/>
  <c r="O24" i="24"/>
  <c r="N24" i="24"/>
  <c r="K24" i="24"/>
  <c r="J24" i="24"/>
  <c r="I24" i="24"/>
  <c r="O23" i="24"/>
  <c r="N23" i="24"/>
  <c r="K23" i="24"/>
  <c r="J23" i="24"/>
  <c r="I23" i="24"/>
  <c r="O22" i="24"/>
  <c r="N22" i="24"/>
  <c r="K22" i="24"/>
  <c r="J22" i="24"/>
  <c r="I22" i="24"/>
  <c r="O21" i="24"/>
  <c r="N21" i="24"/>
  <c r="K21" i="24"/>
  <c r="J21" i="24"/>
  <c r="I21" i="24"/>
  <c r="O20" i="24"/>
  <c r="N20" i="24"/>
  <c r="K20" i="24"/>
  <c r="J20" i="24"/>
  <c r="I20" i="24"/>
  <c r="O19" i="24"/>
  <c r="N19" i="24"/>
  <c r="K19" i="24"/>
  <c r="J19" i="24"/>
  <c r="I19" i="24"/>
  <c r="O18" i="24"/>
  <c r="N18" i="24"/>
  <c r="K18" i="24"/>
  <c r="J18" i="24"/>
  <c r="I18" i="24"/>
  <c r="O17" i="24"/>
  <c r="N17" i="24"/>
  <c r="K17" i="24"/>
  <c r="J17" i="24"/>
  <c r="I17" i="24"/>
  <c r="O16" i="24"/>
  <c r="N16" i="24"/>
  <c r="K16" i="24"/>
  <c r="J16" i="24"/>
  <c r="I16" i="24"/>
  <c r="O15" i="24"/>
  <c r="N15" i="24"/>
  <c r="K15" i="24"/>
  <c r="J15" i="24"/>
  <c r="I15" i="24"/>
  <c r="O14" i="24"/>
  <c r="N14" i="24"/>
  <c r="K14" i="24"/>
  <c r="J14" i="24"/>
  <c r="I14" i="24"/>
  <c r="O13" i="24"/>
  <c r="N13" i="24"/>
  <c r="K13" i="24"/>
  <c r="J13" i="24"/>
  <c r="I13" i="24"/>
  <c r="O12" i="24"/>
  <c r="N12" i="24"/>
  <c r="K12" i="24"/>
  <c r="J12" i="24"/>
  <c r="I12" i="24"/>
  <c r="O11" i="24"/>
  <c r="N11" i="24"/>
  <c r="K11" i="24"/>
  <c r="J11" i="24"/>
  <c r="I11" i="24"/>
  <c r="O10" i="24"/>
  <c r="N10" i="24"/>
  <c r="K10" i="24"/>
  <c r="J10" i="24"/>
  <c r="I10" i="24"/>
  <c r="O9" i="24"/>
  <c r="N9" i="24"/>
  <c r="K9" i="24"/>
  <c r="J9" i="24"/>
  <c r="I9" i="24"/>
  <c r="O8" i="24"/>
  <c r="N8" i="24"/>
  <c r="K8" i="24"/>
  <c r="J8" i="24"/>
  <c r="I8" i="24"/>
  <c r="O7" i="24"/>
  <c r="N7" i="24"/>
  <c r="K7" i="24"/>
  <c r="J7" i="24"/>
  <c r="I7" i="24"/>
  <c r="O6" i="24"/>
  <c r="N6" i="24"/>
  <c r="K6" i="24"/>
  <c r="J6" i="24"/>
  <c r="I6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40" i="90"/>
  <c r="E39" i="90"/>
  <c r="E38" i="90"/>
  <c r="E37" i="90"/>
  <c r="E36" i="90"/>
  <c r="E35" i="90"/>
  <c r="E34" i="90"/>
  <c r="E33" i="90"/>
  <c r="E32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O40" i="90"/>
  <c r="N40" i="90"/>
  <c r="K40" i="90"/>
  <c r="J40" i="90"/>
  <c r="I40" i="90"/>
  <c r="O39" i="90"/>
  <c r="N39" i="90"/>
  <c r="K39" i="90"/>
  <c r="J39" i="90"/>
  <c r="I39" i="90"/>
  <c r="O38" i="90"/>
  <c r="N38" i="90"/>
  <c r="K38" i="90"/>
  <c r="J38" i="90"/>
  <c r="I38" i="90"/>
  <c r="O37" i="90"/>
  <c r="N37" i="90"/>
  <c r="K37" i="90"/>
  <c r="J37" i="90"/>
  <c r="I37" i="90"/>
  <c r="O36" i="90"/>
  <c r="N36" i="90"/>
  <c r="K36" i="90"/>
  <c r="J36" i="90"/>
  <c r="I36" i="90"/>
  <c r="O35" i="90"/>
  <c r="N35" i="90"/>
  <c r="K35" i="90"/>
  <c r="J35" i="90"/>
  <c r="I35" i="90"/>
  <c r="O34" i="90"/>
  <c r="N34" i="90"/>
  <c r="K34" i="90"/>
  <c r="J34" i="90"/>
  <c r="I34" i="90"/>
  <c r="O33" i="90"/>
  <c r="N33" i="90"/>
  <c r="K33" i="90"/>
  <c r="J33" i="90"/>
  <c r="I33" i="90"/>
  <c r="O32" i="90"/>
  <c r="N32" i="90"/>
  <c r="K32" i="90"/>
  <c r="J32" i="90"/>
  <c r="I32" i="90"/>
  <c r="O31" i="90"/>
  <c r="N31" i="90"/>
  <c r="K31" i="90"/>
  <c r="J31" i="90"/>
  <c r="I31" i="90"/>
  <c r="O30" i="90"/>
  <c r="N30" i="90"/>
  <c r="K30" i="90"/>
  <c r="J30" i="90"/>
  <c r="I30" i="90"/>
  <c r="O29" i="90"/>
  <c r="N29" i="90"/>
  <c r="K29" i="90"/>
  <c r="J29" i="90"/>
  <c r="I29" i="90"/>
  <c r="O28" i="90"/>
  <c r="N28" i="90"/>
  <c r="K28" i="90"/>
  <c r="J28" i="90"/>
  <c r="I28" i="90"/>
  <c r="O27" i="90"/>
  <c r="N27" i="90"/>
  <c r="K27" i="90"/>
  <c r="J27" i="90"/>
  <c r="I27" i="90"/>
  <c r="O26" i="90"/>
  <c r="N26" i="90"/>
  <c r="K26" i="90"/>
  <c r="J26" i="90"/>
  <c r="I26" i="90"/>
  <c r="O25" i="90"/>
  <c r="N25" i="90"/>
  <c r="K25" i="90"/>
  <c r="J25" i="90"/>
  <c r="I25" i="90"/>
  <c r="O24" i="90"/>
  <c r="N24" i="90"/>
  <c r="K24" i="90"/>
  <c r="J24" i="90"/>
  <c r="I24" i="90"/>
  <c r="O23" i="90"/>
  <c r="N23" i="90"/>
  <c r="K23" i="90"/>
  <c r="J23" i="90"/>
  <c r="I23" i="90"/>
  <c r="O22" i="90"/>
  <c r="N22" i="90"/>
  <c r="K22" i="90"/>
  <c r="J22" i="90"/>
  <c r="I22" i="90"/>
  <c r="O21" i="90"/>
  <c r="N21" i="90"/>
  <c r="K21" i="90"/>
  <c r="J21" i="90"/>
  <c r="I21" i="90"/>
  <c r="O20" i="90"/>
  <c r="N20" i="90"/>
  <c r="K20" i="90"/>
  <c r="J20" i="90"/>
  <c r="I20" i="90"/>
  <c r="O19" i="90"/>
  <c r="N19" i="90"/>
  <c r="K19" i="90"/>
  <c r="J19" i="90"/>
  <c r="I19" i="90"/>
  <c r="O18" i="90"/>
  <c r="N18" i="90"/>
  <c r="K18" i="90"/>
  <c r="J18" i="90"/>
  <c r="I18" i="90"/>
  <c r="O17" i="90"/>
  <c r="N17" i="90"/>
  <c r="K17" i="90"/>
  <c r="J17" i="90"/>
  <c r="I17" i="90"/>
  <c r="O16" i="90"/>
  <c r="N16" i="90"/>
  <c r="K16" i="90"/>
  <c r="J16" i="90"/>
  <c r="I16" i="90"/>
  <c r="O15" i="90"/>
  <c r="N15" i="90"/>
  <c r="K15" i="90"/>
  <c r="J15" i="90"/>
  <c r="I15" i="90"/>
  <c r="O14" i="90"/>
  <c r="N14" i="90"/>
  <c r="K14" i="90"/>
  <c r="J14" i="90"/>
  <c r="I14" i="90"/>
  <c r="O13" i="90"/>
  <c r="N13" i="90"/>
  <c r="K13" i="90"/>
  <c r="J13" i="90"/>
  <c r="I13" i="90"/>
  <c r="O12" i="90"/>
  <c r="N12" i="90"/>
  <c r="K12" i="90"/>
  <c r="J12" i="90"/>
  <c r="I12" i="90"/>
  <c r="O11" i="90"/>
  <c r="N11" i="90"/>
  <c r="K11" i="90"/>
  <c r="J11" i="90"/>
  <c r="I11" i="90"/>
  <c r="O10" i="90"/>
  <c r="N10" i="90"/>
  <c r="K10" i="90"/>
  <c r="J10" i="90"/>
  <c r="I10" i="90"/>
  <c r="O9" i="90"/>
  <c r="N9" i="90"/>
  <c r="K9" i="90"/>
  <c r="J9" i="90"/>
  <c r="I9" i="90"/>
  <c r="O8" i="90"/>
  <c r="N8" i="90"/>
  <c r="K8" i="90"/>
  <c r="J8" i="90"/>
  <c r="I8" i="90"/>
  <c r="O7" i="90"/>
  <c r="N7" i="90"/>
  <c r="K7" i="90"/>
  <c r="J7" i="90"/>
  <c r="I7" i="90"/>
  <c r="O6" i="90"/>
  <c r="N6" i="90"/>
  <c r="K6" i="90"/>
  <c r="J6" i="90"/>
  <c r="I6" i="90"/>
  <c r="O40" i="4"/>
  <c r="N40" i="4"/>
  <c r="K40" i="4"/>
  <c r="J40" i="4"/>
  <c r="I40" i="4"/>
  <c r="O39" i="4"/>
  <c r="N39" i="4"/>
  <c r="K39" i="4"/>
  <c r="J39" i="4"/>
  <c r="I39" i="4"/>
  <c r="O38" i="4"/>
  <c r="N38" i="4"/>
  <c r="K38" i="4"/>
  <c r="J38" i="4"/>
  <c r="I38" i="4"/>
  <c r="O37" i="4"/>
  <c r="N37" i="4"/>
  <c r="K37" i="4"/>
  <c r="J37" i="4"/>
  <c r="I37" i="4"/>
  <c r="O36" i="4"/>
  <c r="N36" i="4"/>
  <c r="K36" i="4"/>
  <c r="J36" i="4"/>
  <c r="I36" i="4"/>
  <c r="O35" i="4"/>
  <c r="N35" i="4"/>
  <c r="K35" i="4"/>
  <c r="J35" i="4"/>
  <c r="I35" i="4"/>
  <c r="O34" i="4"/>
  <c r="N34" i="4"/>
  <c r="K34" i="4"/>
  <c r="J34" i="4"/>
  <c r="I34" i="4"/>
  <c r="O33" i="4"/>
  <c r="N33" i="4"/>
  <c r="K33" i="4"/>
  <c r="J33" i="4"/>
  <c r="I33" i="4"/>
  <c r="O32" i="4"/>
  <c r="N32" i="4"/>
  <c r="K32" i="4"/>
  <c r="J32" i="4"/>
  <c r="I32" i="4"/>
  <c r="O31" i="4"/>
  <c r="N31" i="4"/>
  <c r="K31" i="4"/>
  <c r="J31" i="4"/>
  <c r="I31" i="4"/>
  <c r="O30" i="4"/>
  <c r="N30" i="4"/>
  <c r="K30" i="4"/>
  <c r="J30" i="4"/>
  <c r="I30" i="4"/>
  <c r="O29" i="4"/>
  <c r="N29" i="4"/>
  <c r="K29" i="4"/>
  <c r="J29" i="4"/>
  <c r="I29" i="4"/>
  <c r="O28" i="4"/>
  <c r="N28" i="4"/>
  <c r="K28" i="4"/>
  <c r="J28" i="4"/>
  <c r="I28" i="4"/>
  <c r="O27" i="4"/>
  <c r="N27" i="4"/>
  <c r="K27" i="4"/>
  <c r="J27" i="4"/>
  <c r="I27" i="4"/>
  <c r="O26" i="4"/>
  <c r="N26" i="4"/>
  <c r="K26" i="4"/>
  <c r="J26" i="4"/>
  <c r="I26" i="4"/>
  <c r="O25" i="4"/>
  <c r="N25" i="4"/>
  <c r="K25" i="4"/>
  <c r="J25" i="4"/>
  <c r="I25" i="4"/>
  <c r="O24" i="4"/>
  <c r="N24" i="4"/>
  <c r="K24" i="4"/>
  <c r="J24" i="4"/>
  <c r="I24" i="4"/>
  <c r="O23" i="4"/>
  <c r="N23" i="4"/>
  <c r="K23" i="4"/>
  <c r="J23" i="4"/>
  <c r="I23" i="4"/>
  <c r="O22" i="4"/>
  <c r="N22" i="4"/>
  <c r="K22" i="4"/>
  <c r="J22" i="4"/>
  <c r="I22" i="4"/>
  <c r="O21" i="4"/>
  <c r="N21" i="4"/>
  <c r="K21" i="4"/>
  <c r="J21" i="4"/>
  <c r="I21" i="4"/>
  <c r="O20" i="4"/>
  <c r="N20" i="4"/>
  <c r="K20" i="4"/>
  <c r="J20" i="4"/>
  <c r="I20" i="4"/>
  <c r="O19" i="4"/>
  <c r="N19" i="4"/>
  <c r="K19" i="4"/>
  <c r="J19" i="4"/>
  <c r="I19" i="4"/>
  <c r="O18" i="4"/>
  <c r="N18" i="4"/>
  <c r="K18" i="4"/>
  <c r="J18" i="4"/>
  <c r="I18" i="4"/>
  <c r="O17" i="4"/>
  <c r="N17" i="4"/>
  <c r="K17" i="4"/>
  <c r="J17" i="4"/>
  <c r="I17" i="4"/>
  <c r="O16" i="4"/>
  <c r="N16" i="4"/>
  <c r="K16" i="4"/>
  <c r="J16" i="4"/>
  <c r="I16" i="4"/>
  <c r="O15" i="4"/>
  <c r="N15" i="4"/>
  <c r="K15" i="4"/>
  <c r="J15" i="4"/>
  <c r="I15" i="4"/>
  <c r="O14" i="4"/>
  <c r="N14" i="4"/>
  <c r="K14" i="4"/>
  <c r="J14" i="4"/>
  <c r="I14" i="4"/>
  <c r="O13" i="4"/>
  <c r="N13" i="4"/>
  <c r="K13" i="4"/>
  <c r="J13" i="4"/>
  <c r="I13" i="4"/>
  <c r="O12" i="4"/>
  <c r="N12" i="4"/>
  <c r="K12" i="4"/>
  <c r="J12" i="4"/>
  <c r="I12" i="4"/>
  <c r="O11" i="4"/>
  <c r="N11" i="4"/>
  <c r="K11" i="4"/>
  <c r="J11" i="4"/>
  <c r="I11" i="4"/>
  <c r="O10" i="4"/>
  <c r="N10" i="4"/>
  <c r="K10" i="4"/>
  <c r="J10" i="4"/>
  <c r="I10" i="4"/>
  <c r="O9" i="4"/>
  <c r="N9" i="4"/>
  <c r="K9" i="4"/>
  <c r="J9" i="4"/>
  <c r="I9" i="4"/>
  <c r="O8" i="4"/>
  <c r="N8" i="4"/>
  <c r="K8" i="4"/>
  <c r="J8" i="4"/>
  <c r="I8" i="4"/>
  <c r="O7" i="4"/>
  <c r="N7" i="4"/>
  <c r="K7" i="4"/>
  <c r="J7" i="4"/>
  <c r="I7" i="4"/>
  <c r="O6" i="4"/>
  <c r="N6" i="4"/>
  <c r="K6" i="4"/>
  <c r="J6" i="4"/>
  <c r="I6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O40" i="53"/>
  <c r="N40" i="53"/>
  <c r="K40" i="53"/>
  <c r="J40" i="53"/>
  <c r="I40" i="53"/>
  <c r="O39" i="53"/>
  <c r="N39" i="53"/>
  <c r="K39" i="53"/>
  <c r="J39" i="53"/>
  <c r="I39" i="53"/>
  <c r="O38" i="53"/>
  <c r="N38" i="53"/>
  <c r="K38" i="53"/>
  <c r="J38" i="53"/>
  <c r="I38" i="53"/>
  <c r="O37" i="53"/>
  <c r="N37" i="53"/>
  <c r="K37" i="53"/>
  <c r="J37" i="53"/>
  <c r="I37" i="53"/>
  <c r="O36" i="53"/>
  <c r="N36" i="53"/>
  <c r="K36" i="53"/>
  <c r="J36" i="53"/>
  <c r="I36" i="53"/>
  <c r="O35" i="53"/>
  <c r="N35" i="53"/>
  <c r="K35" i="53"/>
  <c r="J35" i="53"/>
  <c r="I35" i="53"/>
  <c r="O34" i="53"/>
  <c r="N34" i="53"/>
  <c r="K34" i="53"/>
  <c r="J34" i="53"/>
  <c r="I34" i="53"/>
  <c r="O33" i="53"/>
  <c r="N33" i="53"/>
  <c r="K33" i="53"/>
  <c r="J33" i="53"/>
  <c r="I33" i="53"/>
  <c r="O32" i="53"/>
  <c r="N32" i="53"/>
  <c r="K32" i="53"/>
  <c r="J32" i="53"/>
  <c r="I32" i="53"/>
  <c r="O31" i="53"/>
  <c r="N31" i="53"/>
  <c r="K31" i="53"/>
  <c r="J31" i="53"/>
  <c r="I31" i="53"/>
  <c r="O30" i="53"/>
  <c r="N30" i="53"/>
  <c r="K30" i="53"/>
  <c r="J30" i="53"/>
  <c r="I30" i="53"/>
  <c r="O29" i="53"/>
  <c r="N29" i="53"/>
  <c r="K29" i="53"/>
  <c r="J29" i="53"/>
  <c r="I29" i="53"/>
  <c r="O28" i="53"/>
  <c r="N28" i="53"/>
  <c r="K28" i="53"/>
  <c r="J28" i="53"/>
  <c r="I28" i="53"/>
  <c r="O27" i="53"/>
  <c r="N27" i="53"/>
  <c r="K27" i="53"/>
  <c r="J27" i="53"/>
  <c r="I27" i="53"/>
  <c r="O26" i="53"/>
  <c r="N26" i="53"/>
  <c r="K26" i="53"/>
  <c r="J26" i="53"/>
  <c r="I26" i="53"/>
  <c r="O25" i="53"/>
  <c r="N25" i="53"/>
  <c r="K25" i="53"/>
  <c r="J25" i="53"/>
  <c r="I25" i="53"/>
  <c r="O24" i="53"/>
  <c r="N24" i="53"/>
  <c r="K24" i="53"/>
  <c r="J24" i="53"/>
  <c r="I24" i="53"/>
  <c r="O23" i="53"/>
  <c r="N23" i="53"/>
  <c r="K23" i="53"/>
  <c r="J23" i="53"/>
  <c r="I23" i="53"/>
  <c r="O22" i="53"/>
  <c r="N22" i="53"/>
  <c r="K22" i="53"/>
  <c r="J22" i="53"/>
  <c r="I22" i="53"/>
  <c r="O21" i="53"/>
  <c r="N21" i="53"/>
  <c r="K21" i="53"/>
  <c r="J21" i="53"/>
  <c r="I21" i="53"/>
  <c r="O20" i="53"/>
  <c r="N20" i="53"/>
  <c r="K20" i="53"/>
  <c r="J20" i="53"/>
  <c r="I20" i="53"/>
  <c r="O19" i="53"/>
  <c r="N19" i="53"/>
  <c r="K19" i="53"/>
  <c r="J19" i="53"/>
  <c r="I19" i="53"/>
  <c r="O18" i="53"/>
  <c r="N18" i="53"/>
  <c r="K18" i="53"/>
  <c r="J18" i="53"/>
  <c r="I18" i="53"/>
  <c r="O17" i="53"/>
  <c r="N17" i="53"/>
  <c r="K17" i="53"/>
  <c r="J17" i="53"/>
  <c r="I17" i="53"/>
  <c r="O16" i="53"/>
  <c r="N16" i="53"/>
  <c r="K16" i="53"/>
  <c r="J16" i="53"/>
  <c r="I16" i="53"/>
  <c r="O15" i="53"/>
  <c r="N15" i="53"/>
  <c r="K15" i="53"/>
  <c r="J15" i="53"/>
  <c r="I15" i="53"/>
  <c r="O14" i="53"/>
  <c r="N14" i="53"/>
  <c r="K14" i="53"/>
  <c r="J14" i="53"/>
  <c r="I14" i="53"/>
  <c r="O13" i="53"/>
  <c r="N13" i="53"/>
  <c r="K13" i="53"/>
  <c r="J13" i="53"/>
  <c r="I13" i="53"/>
  <c r="O12" i="53"/>
  <c r="N12" i="53"/>
  <c r="K12" i="53"/>
  <c r="J12" i="53"/>
  <c r="I12" i="53"/>
  <c r="O11" i="53"/>
  <c r="N11" i="53"/>
  <c r="K11" i="53"/>
  <c r="J11" i="53"/>
  <c r="I11" i="53"/>
  <c r="O10" i="53"/>
  <c r="N10" i="53"/>
  <c r="K10" i="53"/>
  <c r="J10" i="53"/>
  <c r="I10" i="53"/>
  <c r="O9" i="53"/>
  <c r="N9" i="53"/>
  <c r="K9" i="53"/>
  <c r="J9" i="53"/>
  <c r="I9" i="53"/>
  <c r="O8" i="53"/>
  <c r="N8" i="53"/>
  <c r="K8" i="53"/>
  <c r="J8" i="53"/>
  <c r="I8" i="53"/>
  <c r="O7" i="53"/>
  <c r="N7" i="53"/>
  <c r="K7" i="53"/>
  <c r="J7" i="53"/>
  <c r="I7" i="53"/>
  <c r="O6" i="53"/>
  <c r="N6" i="53"/>
  <c r="K6" i="53"/>
  <c r="J6" i="53"/>
  <c r="I6" i="53"/>
  <c r="O44" i="89"/>
  <c r="N44" i="89"/>
  <c r="K44" i="89"/>
  <c r="J44" i="89"/>
  <c r="I44" i="89"/>
  <c r="O43" i="89"/>
  <c r="N43" i="89"/>
  <c r="K43" i="89"/>
  <c r="J43" i="89"/>
  <c r="I43" i="89"/>
  <c r="O42" i="89"/>
  <c r="N42" i="89"/>
  <c r="K42" i="89"/>
  <c r="J42" i="89"/>
  <c r="I42" i="89"/>
  <c r="O41" i="89"/>
  <c r="N41" i="89"/>
  <c r="K41" i="89"/>
  <c r="J41" i="89"/>
  <c r="I41" i="89"/>
  <c r="O40" i="89"/>
  <c r="N40" i="89"/>
  <c r="K40" i="89"/>
  <c r="J40" i="89"/>
  <c r="I40" i="89"/>
  <c r="O39" i="89"/>
  <c r="N39" i="89"/>
  <c r="K39" i="89"/>
  <c r="J39" i="89"/>
  <c r="I39" i="89"/>
  <c r="O38" i="89"/>
  <c r="N38" i="89"/>
  <c r="K38" i="89"/>
  <c r="J38" i="89"/>
  <c r="I38" i="89"/>
  <c r="O37" i="89"/>
  <c r="N37" i="89"/>
  <c r="K37" i="89"/>
  <c r="J37" i="89"/>
  <c r="I37" i="89"/>
  <c r="O36" i="89"/>
  <c r="N36" i="89"/>
  <c r="K36" i="89"/>
  <c r="J36" i="89"/>
  <c r="I36" i="89"/>
  <c r="O35" i="89"/>
  <c r="N35" i="89"/>
  <c r="K35" i="89"/>
  <c r="J35" i="89"/>
  <c r="I35" i="89"/>
  <c r="O34" i="89"/>
  <c r="N34" i="89"/>
  <c r="K34" i="89"/>
  <c r="J34" i="89"/>
  <c r="I34" i="89"/>
  <c r="O33" i="89"/>
  <c r="N33" i="89"/>
  <c r="K33" i="89"/>
  <c r="J33" i="89"/>
  <c r="I33" i="89"/>
  <c r="O32" i="89"/>
  <c r="N32" i="89"/>
  <c r="K32" i="89"/>
  <c r="J32" i="89"/>
  <c r="I32" i="89"/>
  <c r="O31" i="89"/>
  <c r="N31" i="89"/>
  <c r="K31" i="89"/>
  <c r="J31" i="89"/>
  <c r="I31" i="89"/>
  <c r="O30" i="89"/>
  <c r="N30" i="89"/>
  <c r="K30" i="89"/>
  <c r="J30" i="89"/>
  <c r="I30" i="89"/>
  <c r="O29" i="89"/>
  <c r="N29" i="89"/>
  <c r="K29" i="89"/>
  <c r="J29" i="89"/>
  <c r="I29" i="89"/>
  <c r="O28" i="89"/>
  <c r="N28" i="89"/>
  <c r="K28" i="89"/>
  <c r="J28" i="89"/>
  <c r="I28" i="89"/>
  <c r="O27" i="89"/>
  <c r="N27" i="89"/>
  <c r="K27" i="89"/>
  <c r="J27" i="89"/>
  <c r="I27" i="89"/>
  <c r="O26" i="89"/>
  <c r="N26" i="89"/>
  <c r="K26" i="89"/>
  <c r="J26" i="89"/>
  <c r="I26" i="89"/>
  <c r="O25" i="89"/>
  <c r="N25" i="89"/>
  <c r="K25" i="89"/>
  <c r="J25" i="89"/>
  <c r="I25" i="89"/>
  <c r="O24" i="89"/>
  <c r="N24" i="89"/>
  <c r="K24" i="89"/>
  <c r="J24" i="89"/>
  <c r="I24" i="89"/>
  <c r="O23" i="89"/>
  <c r="N23" i="89"/>
  <c r="K23" i="89"/>
  <c r="J23" i="89"/>
  <c r="I23" i="89"/>
  <c r="O22" i="89"/>
  <c r="N22" i="89"/>
  <c r="K22" i="89"/>
  <c r="J22" i="89"/>
  <c r="I22" i="89"/>
  <c r="O21" i="89"/>
  <c r="N21" i="89"/>
  <c r="K21" i="89"/>
  <c r="J21" i="89"/>
  <c r="I21" i="89"/>
  <c r="O20" i="89"/>
  <c r="N20" i="89"/>
  <c r="K20" i="89"/>
  <c r="J20" i="89"/>
  <c r="I20" i="89"/>
  <c r="O19" i="89"/>
  <c r="N19" i="89"/>
  <c r="K19" i="89"/>
  <c r="J19" i="89"/>
  <c r="I19" i="89"/>
  <c r="O18" i="89"/>
  <c r="N18" i="89"/>
  <c r="K18" i="89"/>
  <c r="J18" i="89"/>
  <c r="I18" i="89"/>
  <c r="O17" i="89"/>
  <c r="N17" i="89"/>
  <c r="K17" i="89"/>
  <c r="J17" i="89"/>
  <c r="I17" i="89"/>
  <c r="O16" i="89"/>
  <c r="N16" i="89"/>
  <c r="K16" i="89"/>
  <c r="J16" i="89"/>
  <c r="I16" i="89"/>
  <c r="O15" i="89"/>
  <c r="N15" i="89"/>
  <c r="K15" i="89"/>
  <c r="J15" i="89"/>
  <c r="I15" i="89"/>
  <c r="O14" i="89"/>
  <c r="N14" i="89"/>
  <c r="K14" i="89"/>
  <c r="J14" i="89"/>
  <c r="I14" i="89"/>
  <c r="O13" i="89"/>
  <c r="N13" i="89"/>
  <c r="K13" i="89"/>
  <c r="J13" i="89"/>
  <c r="I13" i="89"/>
  <c r="O12" i="89"/>
  <c r="N12" i="89"/>
  <c r="K12" i="89"/>
  <c r="J12" i="89"/>
  <c r="I12" i="89"/>
  <c r="O11" i="89"/>
  <c r="N11" i="89"/>
  <c r="K11" i="89"/>
  <c r="J11" i="89"/>
  <c r="I11" i="89"/>
  <c r="I10" i="89"/>
  <c r="O9" i="89"/>
  <c r="N9" i="89"/>
  <c r="K9" i="89"/>
  <c r="J9" i="89"/>
  <c r="I9" i="89"/>
  <c r="O8" i="89"/>
  <c r="N8" i="89"/>
  <c r="K8" i="89"/>
  <c r="J8" i="89"/>
  <c r="I8" i="89"/>
  <c r="O7" i="89"/>
  <c r="N7" i="89"/>
  <c r="K7" i="89"/>
  <c r="J7" i="89"/>
  <c r="I7" i="89"/>
  <c r="O6" i="89"/>
  <c r="N6" i="89"/>
  <c r="K6" i="89"/>
  <c r="J6" i="89"/>
  <c r="I6" i="89"/>
  <c r="E44" i="89"/>
  <c r="E43" i="89"/>
  <c r="E42" i="89"/>
  <c r="E41" i="89"/>
  <c r="E40" i="89"/>
  <c r="E39" i="89"/>
  <c r="E38" i="89"/>
  <c r="E37" i="89"/>
  <c r="E36" i="89"/>
  <c r="E35" i="89"/>
  <c r="E34" i="89"/>
  <c r="E33" i="89"/>
  <c r="E32" i="89"/>
  <c r="E31" i="89"/>
  <c r="E30" i="89"/>
  <c r="E29" i="89"/>
  <c r="E28" i="89"/>
  <c r="E27" i="89"/>
  <c r="E26" i="89"/>
  <c r="E25" i="89"/>
  <c r="E24" i="89"/>
  <c r="E23" i="89"/>
  <c r="E22" i="89"/>
  <c r="E21" i="89"/>
  <c r="E20" i="89"/>
  <c r="E19" i="89"/>
  <c r="E18" i="89"/>
  <c r="E17" i="89"/>
  <c r="E16" i="89"/>
  <c r="E15" i="89"/>
  <c r="E14" i="89"/>
  <c r="E13" i="89"/>
  <c r="E12" i="89"/>
  <c r="E11" i="89"/>
  <c r="E10" i="89"/>
  <c r="E9" i="89"/>
  <c r="E8" i="89"/>
  <c r="E7" i="89"/>
  <c r="E6" i="89"/>
  <c r="O44" i="35"/>
  <c r="N44" i="35"/>
  <c r="K44" i="35"/>
  <c r="J44" i="35"/>
  <c r="I44" i="35"/>
  <c r="O43" i="35"/>
  <c r="N43" i="35"/>
  <c r="K43" i="35"/>
  <c r="J43" i="35"/>
  <c r="I43" i="35"/>
  <c r="O42" i="35"/>
  <c r="N42" i="35"/>
  <c r="K42" i="35"/>
  <c r="J42" i="35"/>
  <c r="I42" i="35"/>
  <c r="O41" i="35"/>
  <c r="N41" i="35"/>
  <c r="K41" i="35"/>
  <c r="J41" i="35"/>
  <c r="I41" i="35"/>
  <c r="O40" i="35"/>
  <c r="N40" i="35"/>
  <c r="K40" i="35"/>
  <c r="J40" i="35"/>
  <c r="I40" i="35"/>
  <c r="O39" i="35"/>
  <c r="N39" i="35"/>
  <c r="K39" i="35"/>
  <c r="J39" i="35"/>
  <c r="I39" i="35"/>
  <c r="O38" i="35"/>
  <c r="N38" i="35"/>
  <c r="K38" i="35"/>
  <c r="J38" i="35"/>
  <c r="I38" i="35"/>
  <c r="O37" i="35"/>
  <c r="N37" i="35"/>
  <c r="K37" i="35"/>
  <c r="J37" i="35"/>
  <c r="I37" i="35"/>
  <c r="O36" i="35"/>
  <c r="N36" i="35"/>
  <c r="K36" i="35"/>
  <c r="J36" i="35"/>
  <c r="I36" i="35"/>
  <c r="O35" i="35"/>
  <c r="N35" i="35"/>
  <c r="K35" i="35"/>
  <c r="J35" i="35"/>
  <c r="I35" i="35"/>
  <c r="O34" i="35"/>
  <c r="N34" i="35"/>
  <c r="K34" i="35"/>
  <c r="J34" i="35"/>
  <c r="I34" i="35"/>
  <c r="O33" i="35"/>
  <c r="N33" i="35"/>
  <c r="K33" i="35"/>
  <c r="J33" i="35"/>
  <c r="I33" i="35"/>
  <c r="O32" i="35"/>
  <c r="N32" i="35"/>
  <c r="K32" i="35"/>
  <c r="J32" i="35"/>
  <c r="I32" i="35"/>
  <c r="O31" i="35"/>
  <c r="N31" i="35"/>
  <c r="K31" i="35"/>
  <c r="J31" i="35"/>
  <c r="I31" i="35"/>
  <c r="O30" i="35"/>
  <c r="N30" i="35"/>
  <c r="K30" i="35"/>
  <c r="J30" i="35"/>
  <c r="I30" i="35"/>
  <c r="O29" i="35"/>
  <c r="N29" i="35"/>
  <c r="K29" i="35"/>
  <c r="J29" i="35"/>
  <c r="I29" i="35"/>
  <c r="O28" i="35"/>
  <c r="N28" i="35"/>
  <c r="K28" i="35"/>
  <c r="J28" i="35"/>
  <c r="I28" i="35"/>
  <c r="O27" i="35"/>
  <c r="N27" i="35"/>
  <c r="K27" i="35"/>
  <c r="J27" i="35"/>
  <c r="I27" i="35"/>
  <c r="O26" i="35"/>
  <c r="N26" i="35"/>
  <c r="K26" i="35"/>
  <c r="J26" i="35"/>
  <c r="I26" i="35"/>
  <c r="O25" i="35"/>
  <c r="N25" i="35"/>
  <c r="K25" i="35"/>
  <c r="J25" i="35"/>
  <c r="I25" i="35"/>
  <c r="O24" i="35"/>
  <c r="N24" i="35"/>
  <c r="K24" i="35"/>
  <c r="J24" i="35"/>
  <c r="I24" i="35"/>
  <c r="O23" i="35"/>
  <c r="N23" i="35"/>
  <c r="K23" i="35"/>
  <c r="J23" i="35"/>
  <c r="I23" i="35"/>
  <c r="O22" i="35"/>
  <c r="N22" i="35"/>
  <c r="K22" i="35"/>
  <c r="J22" i="35"/>
  <c r="I22" i="35"/>
  <c r="O21" i="35"/>
  <c r="N21" i="35"/>
  <c r="K21" i="35"/>
  <c r="J21" i="35"/>
  <c r="I21" i="35"/>
  <c r="O20" i="35"/>
  <c r="N20" i="35"/>
  <c r="K20" i="35"/>
  <c r="J20" i="35"/>
  <c r="I20" i="35"/>
  <c r="O19" i="35"/>
  <c r="N19" i="35"/>
  <c r="K19" i="35"/>
  <c r="J19" i="35"/>
  <c r="I19" i="35"/>
  <c r="O18" i="35"/>
  <c r="N18" i="35"/>
  <c r="K18" i="35"/>
  <c r="J18" i="35"/>
  <c r="I18" i="35"/>
  <c r="O17" i="35"/>
  <c r="N17" i="35"/>
  <c r="K17" i="35"/>
  <c r="J17" i="35"/>
  <c r="I17" i="35"/>
  <c r="O16" i="35"/>
  <c r="N16" i="35"/>
  <c r="K16" i="35"/>
  <c r="J16" i="35"/>
  <c r="I16" i="35"/>
  <c r="O15" i="35"/>
  <c r="N15" i="35"/>
  <c r="K15" i="35"/>
  <c r="J15" i="35"/>
  <c r="I15" i="35"/>
  <c r="O14" i="35"/>
  <c r="N14" i="35"/>
  <c r="K14" i="35"/>
  <c r="J14" i="35"/>
  <c r="I14" i="35"/>
  <c r="O13" i="35"/>
  <c r="N13" i="35"/>
  <c r="K13" i="35"/>
  <c r="J13" i="35"/>
  <c r="I13" i="35"/>
  <c r="O12" i="35"/>
  <c r="N12" i="35"/>
  <c r="K12" i="35"/>
  <c r="J12" i="35"/>
  <c r="I12" i="35"/>
  <c r="O11" i="35"/>
  <c r="N11" i="35"/>
  <c r="K11" i="35"/>
  <c r="J11" i="35"/>
  <c r="I11" i="35"/>
  <c r="O9" i="35"/>
  <c r="N9" i="35"/>
  <c r="K9" i="35"/>
  <c r="J9" i="35"/>
  <c r="I9" i="35"/>
  <c r="O8" i="35"/>
  <c r="N8" i="35"/>
  <c r="K8" i="35"/>
  <c r="J8" i="35"/>
  <c r="I8" i="35"/>
  <c r="O7" i="35"/>
  <c r="N7" i="35"/>
  <c r="K7" i="35"/>
  <c r="J7" i="35"/>
  <c r="I7" i="35"/>
  <c r="O6" i="35"/>
  <c r="N6" i="35"/>
  <c r="K6" i="35"/>
  <c r="J6" i="35"/>
  <c r="I6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9" i="35"/>
  <c r="E8" i="35"/>
  <c r="E7" i="35"/>
  <c r="E6" i="35"/>
  <c r="O40" i="83"/>
  <c r="N40" i="83"/>
  <c r="K40" i="83"/>
  <c r="J40" i="83"/>
  <c r="I40" i="83"/>
  <c r="O39" i="83"/>
  <c r="N39" i="83"/>
  <c r="K39" i="83"/>
  <c r="J39" i="83"/>
  <c r="I39" i="83"/>
  <c r="O38" i="83"/>
  <c r="N38" i="83"/>
  <c r="K38" i="83"/>
  <c r="J38" i="83"/>
  <c r="I38" i="83"/>
  <c r="O37" i="83"/>
  <c r="N37" i="83"/>
  <c r="K37" i="83"/>
  <c r="J37" i="83"/>
  <c r="I37" i="83"/>
  <c r="O36" i="83"/>
  <c r="N36" i="83"/>
  <c r="K36" i="83"/>
  <c r="J36" i="83"/>
  <c r="I36" i="83"/>
  <c r="O35" i="83"/>
  <c r="N35" i="83"/>
  <c r="K35" i="83"/>
  <c r="J35" i="83"/>
  <c r="I35" i="83"/>
  <c r="O34" i="83"/>
  <c r="N34" i="83"/>
  <c r="K34" i="83"/>
  <c r="J34" i="83"/>
  <c r="I34" i="83"/>
  <c r="O33" i="83"/>
  <c r="N33" i="83"/>
  <c r="K33" i="83"/>
  <c r="J33" i="83"/>
  <c r="I33" i="83"/>
  <c r="O32" i="83"/>
  <c r="N32" i="83"/>
  <c r="K32" i="83"/>
  <c r="J32" i="83"/>
  <c r="I32" i="83"/>
  <c r="O31" i="83"/>
  <c r="N31" i="83"/>
  <c r="K31" i="83"/>
  <c r="J31" i="83"/>
  <c r="I31" i="83"/>
  <c r="O30" i="83"/>
  <c r="N30" i="83"/>
  <c r="K30" i="83"/>
  <c r="J30" i="83"/>
  <c r="I30" i="83"/>
  <c r="O29" i="83"/>
  <c r="N29" i="83"/>
  <c r="K29" i="83"/>
  <c r="J29" i="83"/>
  <c r="I29" i="83"/>
  <c r="O28" i="83"/>
  <c r="N28" i="83"/>
  <c r="K28" i="83"/>
  <c r="J28" i="83"/>
  <c r="I28" i="83"/>
  <c r="O27" i="83"/>
  <c r="N27" i="83"/>
  <c r="K27" i="83"/>
  <c r="J27" i="83"/>
  <c r="I27" i="83"/>
  <c r="O26" i="83"/>
  <c r="N26" i="83"/>
  <c r="K26" i="83"/>
  <c r="J26" i="83"/>
  <c r="I26" i="83"/>
  <c r="O25" i="83"/>
  <c r="N25" i="83"/>
  <c r="K25" i="83"/>
  <c r="J25" i="83"/>
  <c r="I25" i="83"/>
  <c r="O24" i="83"/>
  <c r="N24" i="83"/>
  <c r="K24" i="83"/>
  <c r="J24" i="83"/>
  <c r="I24" i="83"/>
  <c r="O23" i="83"/>
  <c r="N23" i="83"/>
  <c r="K23" i="83"/>
  <c r="J23" i="83"/>
  <c r="I23" i="83"/>
  <c r="O22" i="83"/>
  <c r="N22" i="83"/>
  <c r="K22" i="83"/>
  <c r="J22" i="83"/>
  <c r="I22" i="83"/>
  <c r="O21" i="83"/>
  <c r="N21" i="83"/>
  <c r="K21" i="83"/>
  <c r="J21" i="83"/>
  <c r="I21" i="83"/>
  <c r="O20" i="83"/>
  <c r="N20" i="83"/>
  <c r="K20" i="83"/>
  <c r="J20" i="83"/>
  <c r="I20" i="83"/>
  <c r="O19" i="83"/>
  <c r="N19" i="83"/>
  <c r="K19" i="83"/>
  <c r="J19" i="83"/>
  <c r="I19" i="83"/>
  <c r="O18" i="83"/>
  <c r="N18" i="83"/>
  <c r="K18" i="83"/>
  <c r="J18" i="83"/>
  <c r="I18" i="83"/>
  <c r="O17" i="83"/>
  <c r="N17" i="83"/>
  <c r="K17" i="83"/>
  <c r="J17" i="83"/>
  <c r="I17" i="83"/>
  <c r="O16" i="83"/>
  <c r="N16" i="83"/>
  <c r="K16" i="83"/>
  <c r="J16" i="83"/>
  <c r="I16" i="83"/>
  <c r="O15" i="83"/>
  <c r="N15" i="83"/>
  <c r="K15" i="83"/>
  <c r="J15" i="83"/>
  <c r="I15" i="83"/>
  <c r="O14" i="83"/>
  <c r="N14" i="83"/>
  <c r="K14" i="83"/>
  <c r="J14" i="83"/>
  <c r="I14" i="83"/>
  <c r="O13" i="83"/>
  <c r="N13" i="83"/>
  <c r="K13" i="83"/>
  <c r="J13" i="83"/>
  <c r="I13" i="83"/>
  <c r="O12" i="83"/>
  <c r="N12" i="83"/>
  <c r="K12" i="83"/>
  <c r="J12" i="83"/>
  <c r="I12" i="83"/>
  <c r="O11" i="83"/>
  <c r="N11" i="83"/>
  <c r="K11" i="83"/>
  <c r="J11" i="83"/>
  <c r="I11" i="83"/>
  <c r="O10" i="83"/>
  <c r="N10" i="83"/>
  <c r="K10" i="83"/>
  <c r="J10" i="83"/>
  <c r="I10" i="83"/>
  <c r="O9" i="83"/>
  <c r="N9" i="83"/>
  <c r="K9" i="83"/>
  <c r="J9" i="83"/>
  <c r="I9" i="83"/>
  <c r="O8" i="83"/>
  <c r="N8" i="83"/>
  <c r="K8" i="83"/>
  <c r="J8" i="83"/>
  <c r="I8" i="83"/>
  <c r="O7" i="83"/>
  <c r="N7" i="83"/>
  <c r="K7" i="83"/>
  <c r="J7" i="83"/>
  <c r="I7" i="83"/>
  <c r="O6" i="83"/>
  <c r="N6" i="83"/>
  <c r="K6" i="83"/>
  <c r="J6" i="83"/>
  <c r="I6" i="83"/>
  <c r="E40" i="83"/>
  <c r="E39" i="83"/>
  <c r="E38" i="83"/>
  <c r="E37" i="83"/>
  <c r="E36" i="83"/>
  <c r="E35" i="83"/>
  <c r="E34" i="83"/>
  <c r="E33" i="83"/>
  <c r="E32" i="83"/>
  <c r="E31" i="83"/>
  <c r="E30" i="83"/>
  <c r="E29" i="83"/>
  <c r="E28" i="83"/>
  <c r="E27" i="83"/>
  <c r="E26" i="83"/>
  <c r="E25" i="83"/>
  <c r="E24" i="83"/>
  <c r="E23" i="83"/>
  <c r="E22" i="83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E8" i="83"/>
  <c r="E7" i="83"/>
  <c r="E6" i="83"/>
  <c r="O40" i="2"/>
  <c r="N40" i="2"/>
  <c r="K40" i="2"/>
  <c r="J40" i="2"/>
  <c r="I40" i="2"/>
  <c r="O39" i="2"/>
  <c r="N39" i="2"/>
  <c r="K39" i="2"/>
  <c r="J39" i="2"/>
  <c r="I39" i="2"/>
  <c r="O38" i="2"/>
  <c r="N38" i="2"/>
  <c r="K38" i="2"/>
  <c r="J38" i="2"/>
  <c r="I38" i="2"/>
  <c r="O37" i="2"/>
  <c r="N37" i="2"/>
  <c r="K37" i="2"/>
  <c r="J37" i="2"/>
  <c r="I37" i="2"/>
  <c r="O36" i="2"/>
  <c r="N36" i="2"/>
  <c r="K36" i="2"/>
  <c r="J36" i="2"/>
  <c r="I36" i="2"/>
  <c r="O35" i="2"/>
  <c r="N35" i="2"/>
  <c r="K35" i="2"/>
  <c r="J35" i="2"/>
  <c r="I35" i="2"/>
  <c r="O34" i="2"/>
  <c r="N34" i="2"/>
  <c r="K34" i="2"/>
  <c r="J34" i="2"/>
  <c r="I34" i="2"/>
  <c r="O33" i="2"/>
  <c r="N33" i="2"/>
  <c r="K33" i="2"/>
  <c r="J33" i="2"/>
  <c r="I33" i="2"/>
  <c r="O32" i="2"/>
  <c r="N32" i="2"/>
  <c r="K32" i="2"/>
  <c r="J32" i="2"/>
  <c r="I32" i="2"/>
  <c r="O31" i="2"/>
  <c r="N31" i="2"/>
  <c r="K31" i="2"/>
  <c r="J31" i="2"/>
  <c r="I31" i="2"/>
  <c r="O30" i="2"/>
  <c r="N30" i="2"/>
  <c r="K30" i="2"/>
  <c r="J30" i="2"/>
  <c r="I30" i="2"/>
  <c r="O29" i="2"/>
  <c r="N29" i="2"/>
  <c r="K29" i="2"/>
  <c r="J29" i="2"/>
  <c r="I29" i="2"/>
  <c r="O28" i="2"/>
  <c r="N28" i="2"/>
  <c r="K28" i="2"/>
  <c r="J28" i="2"/>
  <c r="I28" i="2"/>
  <c r="O27" i="2"/>
  <c r="N27" i="2"/>
  <c r="K27" i="2"/>
  <c r="J27" i="2"/>
  <c r="I27" i="2"/>
  <c r="O26" i="2"/>
  <c r="N26" i="2"/>
  <c r="K26" i="2"/>
  <c r="J26" i="2"/>
  <c r="I26" i="2"/>
  <c r="O25" i="2"/>
  <c r="N25" i="2"/>
  <c r="K25" i="2"/>
  <c r="J25" i="2"/>
  <c r="I25" i="2"/>
  <c r="O24" i="2"/>
  <c r="N24" i="2"/>
  <c r="K24" i="2"/>
  <c r="J24" i="2"/>
  <c r="I24" i="2"/>
  <c r="O23" i="2"/>
  <c r="N23" i="2"/>
  <c r="K23" i="2"/>
  <c r="J23" i="2"/>
  <c r="I23" i="2"/>
  <c r="O22" i="2"/>
  <c r="N22" i="2"/>
  <c r="K22" i="2"/>
  <c r="J22" i="2"/>
  <c r="I22" i="2"/>
  <c r="O21" i="2"/>
  <c r="N21" i="2"/>
  <c r="K21" i="2"/>
  <c r="J21" i="2"/>
  <c r="I21" i="2"/>
  <c r="O20" i="2"/>
  <c r="N20" i="2"/>
  <c r="K20" i="2"/>
  <c r="J20" i="2"/>
  <c r="I20" i="2"/>
  <c r="O19" i="2"/>
  <c r="N19" i="2"/>
  <c r="K19" i="2"/>
  <c r="J19" i="2"/>
  <c r="I19" i="2"/>
  <c r="O18" i="2"/>
  <c r="N18" i="2"/>
  <c r="K18" i="2"/>
  <c r="J18" i="2"/>
  <c r="I18" i="2"/>
  <c r="O17" i="2"/>
  <c r="N17" i="2"/>
  <c r="K17" i="2"/>
  <c r="J17" i="2"/>
  <c r="I17" i="2"/>
  <c r="O16" i="2"/>
  <c r="N16" i="2"/>
  <c r="K16" i="2"/>
  <c r="J16" i="2"/>
  <c r="I16" i="2"/>
  <c r="O15" i="2"/>
  <c r="N15" i="2"/>
  <c r="K15" i="2"/>
  <c r="J15" i="2"/>
  <c r="I15" i="2"/>
  <c r="O14" i="2"/>
  <c r="N14" i="2"/>
  <c r="K14" i="2"/>
  <c r="J14" i="2"/>
  <c r="I14" i="2"/>
  <c r="O13" i="2"/>
  <c r="N13" i="2"/>
  <c r="K13" i="2"/>
  <c r="J13" i="2"/>
  <c r="I13" i="2"/>
  <c r="O12" i="2"/>
  <c r="N12" i="2"/>
  <c r="K12" i="2"/>
  <c r="J12" i="2"/>
  <c r="I12" i="2"/>
  <c r="O11" i="2"/>
  <c r="N11" i="2"/>
  <c r="K11" i="2"/>
  <c r="J11" i="2"/>
  <c r="I11" i="2"/>
  <c r="O10" i="2"/>
  <c r="N10" i="2"/>
  <c r="K10" i="2"/>
  <c r="J10" i="2"/>
  <c r="I10" i="2"/>
  <c r="O9" i="2"/>
  <c r="N9" i="2"/>
  <c r="K9" i="2"/>
  <c r="J9" i="2"/>
  <c r="I9" i="2"/>
  <c r="O8" i="2"/>
  <c r="N8" i="2"/>
  <c r="K8" i="2"/>
  <c r="J8" i="2"/>
  <c r="I8" i="2"/>
  <c r="O7" i="2"/>
  <c r="N7" i="2"/>
  <c r="K7" i="2"/>
  <c r="J7" i="2"/>
  <c r="I7" i="2"/>
  <c r="O6" i="2"/>
  <c r="N6" i="2"/>
  <c r="K6" i="2"/>
  <c r="J6" i="2"/>
  <c r="I6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O40" i="76"/>
  <c r="N40" i="76"/>
  <c r="K40" i="76"/>
  <c r="J40" i="76"/>
  <c r="I40" i="76"/>
  <c r="O39" i="76"/>
  <c r="N39" i="76"/>
  <c r="K39" i="76"/>
  <c r="J39" i="76"/>
  <c r="I39" i="76"/>
  <c r="O38" i="76"/>
  <c r="N38" i="76"/>
  <c r="K38" i="76"/>
  <c r="J38" i="76"/>
  <c r="I38" i="76"/>
  <c r="O37" i="76"/>
  <c r="N37" i="76"/>
  <c r="K37" i="76"/>
  <c r="J37" i="76"/>
  <c r="I37" i="76"/>
  <c r="O36" i="76"/>
  <c r="N36" i="76"/>
  <c r="K36" i="76"/>
  <c r="J36" i="76"/>
  <c r="I36" i="76"/>
  <c r="O35" i="76"/>
  <c r="N35" i="76"/>
  <c r="K35" i="76"/>
  <c r="J35" i="76"/>
  <c r="I35" i="76"/>
  <c r="O34" i="76"/>
  <c r="N34" i="76"/>
  <c r="K34" i="76"/>
  <c r="J34" i="76"/>
  <c r="I34" i="76"/>
  <c r="O33" i="76"/>
  <c r="N33" i="76"/>
  <c r="K33" i="76"/>
  <c r="J33" i="76"/>
  <c r="I33" i="76"/>
  <c r="O32" i="76"/>
  <c r="N32" i="76"/>
  <c r="K32" i="76"/>
  <c r="J32" i="76"/>
  <c r="I32" i="76"/>
  <c r="O31" i="76"/>
  <c r="N31" i="76"/>
  <c r="K31" i="76"/>
  <c r="J31" i="76"/>
  <c r="I31" i="76"/>
  <c r="O30" i="76"/>
  <c r="N30" i="76"/>
  <c r="K30" i="76"/>
  <c r="J30" i="76"/>
  <c r="I30" i="76"/>
  <c r="O29" i="76"/>
  <c r="N29" i="76"/>
  <c r="K29" i="76"/>
  <c r="J29" i="76"/>
  <c r="I29" i="76"/>
  <c r="O28" i="76"/>
  <c r="N28" i="76"/>
  <c r="K28" i="76"/>
  <c r="J28" i="76"/>
  <c r="I28" i="76"/>
  <c r="O27" i="76"/>
  <c r="N27" i="76"/>
  <c r="K27" i="76"/>
  <c r="J27" i="76"/>
  <c r="I27" i="76"/>
  <c r="O26" i="76"/>
  <c r="N26" i="76"/>
  <c r="K26" i="76"/>
  <c r="J26" i="76"/>
  <c r="I26" i="76"/>
  <c r="O25" i="76"/>
  <c r="N25" i="76"/>
  <c r="K25" i="76"/>
  <c r="J25" i="76"/>
  <c r="I25" i="76"/>
  <c r="O24" i="76"/>
  <c r="N24" i="76"/>
  <c r="K24" i="76"/>
  <c r="J24" i="76"/>
  <c r="I24" i="76"/>
  <c r="O23" i="76"/>
  <c r="N23" i="76"/>
  <c r="K23" i="76"/>
  <c r="J23" i="76"/>
  <c r="I23" i="76"/>
  <c r="O22" i="76"/>
  <c r="N22" i="76"/>
  <c r="K22" i="76"/>
  <c r="J22" i="76"/>
  <c r="I22" i="76"/>
  <c r="O21" i="76"/>
  <c r="N21" i="76"/>
  <c r="K21" i="76"/>
  <c r="J21" i="76"/>
  <c r="I21" i="76"/>
  <c r="O20" i="76"/>
  <c r="N20" i="76"/>
  <c r="K20" i="76"/>
  <c r="J20" i="76"/>
  <c r="I20" i="76"/>
  <c r="O19" i="76"/>
  <c r="N19" i="76"/>
  <c r="K19" i="76"/>
  <c r="J19" i="76"/>
  <c r="I19" i="76"/>
  <c r="O18" i="76"/>
  <c r="N18" i="76"/>
  <c r="K18" i="76"/>
  <c r="J18" i="76"/>
  <c r="I18" i="76"/>
  <c r="O17" i="76"/>
  <c r="N17" i="76"/>
  <c r="K17" i="76"/>
  <c r="J17" i="76"/>
  <c r="I17" i="76"/>
  <c r="O16" i="76"/>
  <c r="N16" i="76"/>
  <c r="K16" i="76"/>
  <c r="J16" i="76"/>
  <c r="I16" i="76"/>
  <c r="O15" i="76"/>
  <c r="N15" i="76"/>
  <c r="K15" i="76"/>
  <c r="J15" i="76"/>
  <c r="I15" i="76"/>
  <c r="O14" i="76"/>
  <c r="N14" i="76"/>
  <c r="K14" i="76"/>
  <c r="J14" i="76"/>
  <c r="I14" i="76"/>
  <c r="O13" i="76"/>
  <c r="N13" i="76"/>
  <c r="K13" i="76"/>
  <c r="J13" i="76"/>
  <c r="I13" i="76"/>
  <c r="O12" i="76"/>
  <c r="N12" i="76"/>
  <c r="K12" i="76"/>
  <c r="J12" i="76"/>
  <c r="I12" i="76"/>
  <c r="O11" i="76"/>
  <c r="N11" i="76"/>
  <c r="K11" i="76"/>
  <c r="J11" i="76"/>
  <c r="I11" i="76"/>
  <c r="O10" i="76"/>
  <c r="N10" i="76"/>
  <c r="K10" i="76"/>
  <c r="J10" i="76"/>
  <c r="I10" i="76"/>
  <c r="O9" i="76"/>
  <c r="N9" i="76"/>
  <c r="K9" i="76"/>
  <c r="J9" i="76"/>
  <c r="I9" i="76"/>
  <c r="O8" i="76"/>
  <c r="N8" i="76"/>
  <c r="K8" i="76"/>
  <c r="J8" i="76"/>
  <c r="I8" i="76"/>
  <c r="O7" i="76"/>
  <c r="N7" i="76"/>
  <c r="K7" i="76"/>
  <c r="J7" i="76"/>
  <c r="I7" i="76"/>
  <c r="O6" i="76"/>
  <c r="N6" i="76"/>
  <c r="K6" i="76"/>
  <c r="J6" i="76"/>
  <c r="I6" i="76"/>
  <c r="E40" i="76"/>
  <c r="E39" i="76"/>
  <c r="E38" i="76"/>
  <c r="E37" i="76"/>
  <c r="E36" i="76"/>
  <c r="E35" i="76"/>
  <c r="E34" i="76"/>
  <c r="E33" i="76"/>
  <c r="E32" i="76"/>
  <c r="E31" i="76"/>
  <c r="E30" i="76"/>
  <c r="E29" i="76"/>
  <c r="E28" i="76"/>
  <c r="E27" i="76"/>
  <c r="E26" i="76"/>
  <c r="E25" i="76"/>
  <c r="E24" i="76"/>
  <c r="E23" i="76"/>
  <c r="E22" i="76"/>
  <c r="E21" i="76"/>
  <c r="E20" i="76"/>
  <c r="E19" i="76"/>
  <c r="E18" i="76"/>
  <c r="E17" i="76"/>
  <c r="E16" i="76"/>
  <c r="E15" i="76"/>
  <c r="E14" i="76"/>
  <c r="E13" i="76"/>
  <c r="E12" i="76"/>
  <c r="E11" i="76"/>
  <c r="E10" i="76"/>
  <c r="E9" i="76"/>
  <c r="E8" i="76"/>
  <c r="E7" i="76"/>
  <c r="E6" i="76"/>
  <c r="O40" i="5"/>
  <c r="N40" i="5"/>
  <c r="K40" i="5"/>
  <c r="J40" i="5"/>
  <c r="I40" i="5"/>
  <c r="O39" i="5"/>
  <c r="N39" i="5"/>
  <c r="K39" i="5"/>
  <c r="J39" i="5"/>
  <c r="I39" i="5"/>
  <c r="O38" i="5"/>
  <c r="N38" i="5"/>
  <c r="K38" i="5"/>
  <c r="J38" i="5"/>
  <c r="I38" i="5"/>
  <c r="O37" i="5"/>
  <c r="N37" i="5"/>
  <c r="K37" i="5"/>
  <c r="J37" i="5"/>
  <c r="I37" i="5"/>
  <c r="O36" i="5"/>
  <c r="N36" i="5"/>
  <c r="K36" i="5"/>
  <c r="J36" i="5"/>
  <c r="I36" i="5"/>
  <c r="O35" i="5"/>
  <c r="N35" i="5"/>
  <c r="K35" i="5"/>
  <c r="J35" i="5"/>
  <c r="I35" i="5"/>
  <c r="O34" i="5"/>
  <c r="N34" i="5"/>
  <c r="K34" i="5"/>
  <c r="J34" i="5"/>
  <c r="I34" i="5"/>
  <c r="O33" i="5"/>
  <c r="N33" i="5"/>
  <c r="K33" i="5"/>
  <c r="J33" i="5"/>
  <c r="I33" i="5"/>
  <c r="O32" i="5"/>
  <c r="N32" i="5"/>
  <c r="K32" i="5"/>
  <c r="J32" i="5"/>
  <c r="I32" i="5"/>
  <c r="O31" i="5"/>
  <c r="N31" i="5"/>
  <c r="K31" i="5"/>
  <c r="J31" i="5"/>
  <c r="I31" i="5"/>
  <c r="O30" i="5"/>
  <c r="N30" i="5"/>
  <c r="K30" i="5"/>
  <c r="J30" i="5"/>
  <c r="I30" i="5"/>
  <c r="O29" i="5"/>
  <c r="N29" i="5"/>
  <c r="K29" i="5"/>
  <c r="J29" i="5"/>
  <c r="I29" i="5"/>
  <c r="O28" i="5"/>
  <c r="N28" i="5"/>
  <c r="K28" i="5"/>
  <c r="J28" i="5"/>
  <c r="I28" i="5"/>
  <c r="O27" i="5"/>
  <c r="N27" i="5"/>
  <c r="K27" i="5"/>
  <c r="J27" i="5"/>
  <c r="I27" i="5"/>
  <c r="O26" i="5"/>
  <c r="N26" i="5"/>
  <c r="K26" i="5"/>
  <c r="J26" i="5"/>
  <c r="I26" i="5"/>
  <c r="O25" i="5"/>
  <c r="N25" i="5"/>
  <c r="K25" i="5"/>
  <c r="J25" i="5"/>
  <c r="I25" i="5"/>
  <c r="O24" i="5"/>
  <c r="N24" i="5"/>
  <c r="K24" i="5"/>
  <c r="J24" i="5"/>
  <c r="I24" i="5"/>
  <c r="O23" i="5"/>
  <c r="N23" i="5"/>
  <c r="K23" i="5"/>
  <c r="J23" i="5"/>
  <c r="I23" i="5"/>
  <c r="O22" i="5"/>
  <c r="N22" i="5"/>
  <c r="K22" i="5"/>
  <c r="J22" i="5"/>
  <c r="I22" i="5"/>
  <c r="O21" i="5"/>
  <c r="N21" i="5"/>
  <c r="K21" i="5"/>
  <c r="J21" i="5"/>
  <c r="I21" i="5"/>
  <c r="O20" i="5"/>
  <c r="N20" i="5"/>
  <c r="K20" i="5"/>
  <c r="J20" i="5"/>
  <c r="I20" i="5"/>
  <c r="O19" i="5"/>
  <c r="N19" i="5"/>
  <c r="K19" i="5"/>
  <c r="J19" i="5"/>
  <c r="I19" i="5"/>
  <c r="O18" i="5"/>
  <c r="N18" i="5"/>
  <c r="K18" i="5"/>
  <c r="J18" i="5"/>
  <c r="I18" i="5"/>
  <c r="O17" i="5"/>
  <c r="N17" i="5"/>
  <c r="K17" i="5"/>
  <c r="J17" i="5"/>
  <c r="I17" i="5"/>
  <c r="O16" i="5"/>
  <c r="N16" i="5"/>
  <c r="K16" i="5"/>
  <c r="J16" i="5"/>
  <c r="I16" i="5"/>
  <c r="O15" i="5"/>
  <c r="N15" i="5"/>
  <c r="K15" i="5"/>
  <c r="J15" i="5"/>
  <c r="I15" i="5"/>
  <c r="O14" i="5"/>
  <c r="N14" i="5"/>
  <c r="K14" i="5"/>
  <c r="J14" i="5"/>
  <c r="I14" i="5"/>
  <c r="O13" i="5"/>
  <c r="N13" i="5"/>
  <c r="K13" i="5"/>
  <c r="J13" i="5"/>
  <c r="I13" i="5"/>
  <c r="O12" i="5"/>
  <c r="N12" i="5"/>
  <c r="K12" i="5"/>
  <c r="J12" i="5"/>
  <c r="I12" i="5"/>
  <c r="O11" i="5"/>
  <c r="N11" i="5"/>
  <c r="K11" i="5"/>
  <c r="J11" i="5"/>
  <c r="I11" i="5"/>
  <c r="O10" i="5"/>
  <c r="N10" i="5"/>
  <c r="K10" i="5"/>
  <c r="J10" i="5"/>
  <c r="I10" i="5"/>
  <c r="O9" i="5"/>
  <c r="N9" i="5"/>
  <c r="K9" i="5"/>
  <c r="J9" i="5"/>
  <c r="I9" i="5"/>
  <c r="O8" i="5"/>
  <c r="N8" i="5"/>
  <c r="K8" i="5"/>
  <c r="J8" i="5"/>
  <c r="I8" i="5"/>
  <c r="O7" i="5"/>
  <c r="N7" i="5"/>
  <c r="K7" i="5"/>
  <c r="J7" i="5"/>
  <c r="I7" i="5"/>
  <c r="O6" i="5"/>
  <c r="N6" i="5"/>
  <c r="K6" i="5"/>
  <c r="J6" i="5"/>
  <c r="I6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O40" i="6"/>
  <c r="N40" i="6"/>
  <c r="K40" i="6"/>
  <c r="J40" i="6"/>
  <c r="I40" i="6"/>
  <c r="O39" i="6"/>
  <c r="N39" i="6"/>
  <c r="K39" i="6"/>
  <c r="J39" i="6"/>
  <c r="I39" i="6"/>
  <c r="O38" i="6"/>
  <c r="N38" i="6"/>
  <c r="K38" i="6"/>
  <c r="J38" i="6"/>
  <c r="I38" i="6"/>
  <c r="O37" i="6"/>
  <c r="N37" i="6"/>
  <c r="K37" i="6"/>
  <c r="J37" i="6"/>
  <c r="I37" i="6"/>
  <c r="O36" i="6"/>
  <c r="N36" i="6"/>
  <c r="K36" i="6"/>
  <c r="J36" i="6"/>
  <c r="I36" i="6"/>
  <c r="O35" i="6"/>
  <c r="N35" i="6"/>
  <c r="K35" i="6"/>
  <c r="J35" i="6"/>
  <c r="I35" i="6"/>
  <c r="O34" i="6"/>
  <c r="N34" i="6"/>
  <c r="K34" i="6"/>
  <c r="J34" i="6"/>
  <c r="I34" i="6"/>
  <c r="O33" i="6"/>
  <c r="N33" i="6"/>
  <c r="K33" i="6"/>
  <c r="J33" i="6"/>
  <c r="I33" i="6"/>
  <c r="O32" i="6"/>
  <c r="N32" i="6"/>
  <c r="K32" i="6"/>
  <c r="J32" i="6"/>
  <c r="I32" i="6"/>
  <c r="O31" i="6"/>
  <c r="N31" i="6"/>
  <c r="K31" i="6"/>
  <c r="J31" i="6"/>
  <c r="I31" i="6"/>
  <c r="O30" i="6"/>
  <c r="N30" i="6"/>
  <c r="K30" i="6"/>
  <c r="J30" i="6"/>
  <c r="I30" i="6"/>
  <c r="O29" i="6"/>
  <c r="N29" i="6"/>
  <c r="K29" i="6"/>
  <c r="J29" i="6"/>
  <c r="I29" i="6"/>
  <c r="O28" i="6"/>
  <c r="N28" i="6"/>
  <c r="K28" i="6"/>
  <c r="J28" i="6"/>
  <c r="I28" i="6"/>
  <c r="O27" i="6"/>
  <c r="N27" i="6"/>
  <c r="K27" i="6"/>
  <c r="J27" i="6"/>
  <c r="I27" i="6"/>
  <c r="O26" i="6"/>
  <c r="N26" i="6"/>
  <c r="K26" i="6"/>
  <c r="J26" i="6"/>
  <c r="I26" i="6"/>
  <c r="O25" i="6"/>
  <c r="N25" i="6"/>
  <c r="K25" i="6"/>
  <c r="J25" i="6"/>
  <c r="I25" i="6"/>
  <c r="O24" i="6"/>
  <c r="N24" i="6"/>
  <c r="K24" i="6"/>
  <c r="J24" i="6"/>
  <c r="I24" i="6"/>
  <c r="O23" i="6"/>
  <c r="N23" i="6"/>
  <c r="K23" i="6"/>
  <c r="J23" i="6"/>
  <c r="I23" i="6"/>
  <c r="O22" i="6"/>
  <c r="N22" i="6"/>
  <c r="K22" i="6"/>
  <c r="J22" i="6"/>
  <c r="I22" i="6"/>
  <c r="O21" i="6"/>
  <c r="N21" i="6"/>
  <c r="K21" i="6"/>
  <c r="J21" i="6"/>
  <c r="I21" i="6"/>
  <c r="O20" i="6"/>
  <c r="N20" i="6"/>
  <c r="K20" i="6"/>
  <c r="J20" i="6"/>
  <c r="I20" i="6"/>
  <c r="O19" i="6"/>
  <c r="N19" i="6"/>
  <c r="K19" i="6"/>
  <c r="J19" i="6"/>
  <c r="I19" i="6"/>
  <c r="O18" i="6"/>
  <c r="N18" i="6"/>
  <c r="K18" i="6"/>
  <c r="J18" i="6"/>
  <c r="I18" i="6"/>
  <c r="O17" i="6"/>
  <c r="N17" i="6"/>
  <c r="K17" i="6"/>
  <c r="J17" i="6"/>
  <c r="I17" i="6"/>
  <c r="O16" i="6"/>
  <c r="N16" i="6"/>
  <c r="K16" i="6"/>
  <c r="J16" i="6"/>
  <c r="I16" i="6"/>
  <c r="O15" i="6"/>
  <c r="N15" i="6"/>
  <c r="K15" i="6"/>
  <c r="J15" i="6"/>
  <c r="I15" i="6"/>
  <c r="O14" i="6"/>
  <c r="N14" i="6"/>
  <c r="K14" i="6"/>
  <c r="J14" i="6"/>
  <c r="I14" i="6"/>
  <c r="O13" i="6"/>
  <c r="N13" i="6"/>
  <c r="K13" i="6"/>
  <c r="J13" i="6"/>
  <c r="I13" i="6"/>
  <c r="O12" i="6"/>
  <c r="N12" i="6"/>
  <c r="K12" i="6"/>
  <c r="J12" i="6"/>
  <c r="I12" i="6"/>
  <c r="O11" i="6"/>
  <c r="N11" i="6"/>
  <c r="K11" i="6"/>
  <c r="J11" i="6"/>
  <c r="I11" i="6"/>
  <c r="O10" i="6"/>
  <c r="N10" i="6"/>
  <c r="K10" i="6"/>
  <c r="J10" i="6"/>
  <c r="I10" i="6"/>
  <c r="O9" i="6"/>
  <c r="N9" i="6"/>
  <c r="K9" i="6"/>
  <c r="J9" i="6"/>
  <c r="I9" i="6"/>
  <c r="O8" i="6"/>
  <c r="N8" i="6"/>
  <c r="K8" i="6"/>
  <c r="J8" i="6"/>
  <c r="I8" i="6"/>
  <c r="O7" i="6"/>
  <c r="N7" i="6"/>
  <c r="K7" i="6"/>
  <c r="J7" i="6"/>
  <c r="I7" i="6"/>
  <c r="O6" i="6"/>
  <c r="N6" i="6"/>
  <c r="K6" i="6"/>
  <c r="J6" i="6"/>
  <c r="I6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O40" i="79"/>
  <c r="N40" i="79"/>
  <c r="K40" i="79"/>
  <c r="J40" i="79"/>
  <c r="I40" i="79"/>
  <c r="O39" i="79"/>
  <c r="N39" i="79"/>
  <c r="K39" i="79"/>
  <c r="J39" i="79"/>
  <c r="I39" i="79"/>
  <c r="O38" i="79"/>
  <c r="N38" i="79"/>
  <c r="K38" i="79"/>
  <c r="J38" i="79"/>
  <c r="I38" i="79"/>
  <c r="O37" i="79"/>
  <c r="N37" i="79"/>
  <c r="K37" i="79"/>
  <c r="J37" i="79"/>
  <c r="I37" i="79"/>
  <c r="O36" i="79"/>
  <c r="N36" i="79"/>
  <c r="K36" i="79"/>
  <c r="J36" i="79"/>
  <c r="I36" i="79"/>
  <c r="O35" i="79"/>
  <c r="N35" i="79"/>
  <c r="K35" i="79"/>
  <c r="J35" i="79"/>
  <c r="I35" i="79"/>
  <c r="O34" i="79"/>
  <c r="N34" i="79"/>
  <c r="K34" i="79"/>
  <c r="J34" i="79"/>
  <c r="I34" i="79"/>
  <c r="O33" i="79"/>
  <c r="N33" i="79"/>
  <c r="K33" i="79"/>
  <c r="J33" i="79"/>
  <c r="I33" i="79"/>
  <c r="O32" i="79"/>
  <c r="N32" i="79"/>
  <c r="K32" i="79"/>
  <c r="J32" i="79"/>
  <c r="I32" i="79"/>
  <c r="O31" i="79"/>
  <c r="N31" i="79"/>
  <c r="K31" i="79"/>
  <c r="J31" i="79"/>
  <c r="I31" i="79"/>
  <c r="O30" i="79"/>
  <c r="N30" i="79"/>
  <c r="K30" i="79"/>
  <c r="J30" i="79"/>
  <c r="I30" i="79"/>
  <c r="O29" i="79"/>
  <c r="N29" i="79"/>
  <c r="K29" i="79"/>
  <c r="J29" i="79"/>
  <c r="I29" i="79"/>
  <c r="O28" i="79"/>
  <c r="N28" i="79"/>
  <c r="K28" i="79"/>
  <c r="J28" i="79"/>
  <c r="I28" i="79"/>
  <c r="O27" i="79"/>
  <c r="N27" i="79"/>
  <c r="K27" i="79"/>
  <c r="J27" i="79"/>
  <c r="I27" i="79"/>
  <c r="O26" i="79"/>
  <c r="N26" i="79"/>
  <c r="K26" i="79"/>
  <c r="J26" i="79"/>
  <c r="I26" i="79"/>
  <c r="O25" i="79"/>
  <c r="N25" i="79"/>
  <c r="K25" i="79"/>
  <c r="J25" i="79"/>
  <c r="I25" i="79"/>
  <c r="O24" i="79"/>
  <c r="N24" i="79"/>
  <c r="K24" i="79"/>
  <c r="J24" i="79"/>
  <c r="I24" i="79"/>
  <c r="O23" i="79"/>
  <c r="N23" i="79"/>
  <c r="K23" i="79"/>
  <c r="J23" i="79"/>
  <c r="I23" i="79"/>
  <c r="O22" i="79"/>
  <c r="N22" i="79"/>
  <c r="K22" i="79"/>
  <c r="J22" i="79"/>
  <c r="I22" i="79"/>
  <c r="O21" i="79"/>
  <c r="N21" i="79"/>
  <c r="K21" i="79"/>
  <c r="J21" i="79"/>
  <c r="I21" i="79"/>
  <c r="O20" i="79"/>
  <c r="N20" i="79"/>
  <c r="K20" i="79"/>
  <c r="J20" i="79"/>
  <c r="I20" i="79"/>
  <c r="O19" i="79"/>
  <c r="N19" i="79"/>
  <c r="K19" i="79"/>
  <c r="J19" i="79"/>
  <c r="I19" i="79"/>
  <c r="O18" i="79"/>
  <c r="N18" i="79"/>
  <c r="K18" i="79"/>
  <c r="J18" i="79"/>
  <c r="I18" i="79"/>
  <c r="O17" i="79"/>
  <c r="N17" i="79"/>
  <c r="K17" i="79"/>
  <c r="J17" i="79"/>
  <c r="I17" i="79"/>
  <c r="O16" i="79"/>
  <c r="N16" i="79"/>
  <c r="K16" i="79"/>
  <c r="J16" i="79"/>
  <c r="I16" i="79"/>
  <c r="O15" i="79"/>
  <c r="N15" i="79"/>
  <c r="K15" i="79"/>
  <c r="J15" i="79"/>
  <c r="I15" i="79"/>
  <c r="O14" i="79"/>
  <c r="N14" i="79"/>
  <c r="K14" i="79"/>
  <c r="J14" i="79"/>
  <c r="I14" i="79"/>
  <c r="O13" i="79"/>
  <c r="N13" i="79"/>
  <c r="K13" i="79"/>
  <c r="J13" i="79"/>
  <c r="I13" i="79"/>
  <c r="O12" i="79"/>
  <c r="N12" i="79"/>
  <c r="K12" i="79"/>
  <c r="J12" i="79"/>
  <c r="I12" i="79"/>
  <c r="O11" i="79"/>
  <c r="N11" i="79"/>
  <c r="K11" i="79"/>
  <c r="J11" i="79"/>
  <c r="I11" i="79"/>
  <c r="O10" i="79"/>
  <c r="N10" i="79"/>
  <c r="K10" i="79"/>
  <c r="J10" i="79"/>
  <c r="I10" i="79"/>
  <c r="O9" i="79"/>
  <c r="N9" i="79"/>
  <c r="K9" i="79"/>
  <c r="J9" i="79"/>
  <c r="I9" i="79"/>
  <c r="O8" i="79"/>
  <c r="N8" i="79"/>
  <c r="K8" i="79"/>
  <c r="J8" i="79"/>
  <c r="I8" i="79"/>
  <c r="O7" i="79"/>
  <c r="N7" i="79"/>
  <c r="K7" i="79"/>
  <c r="J7" i="79"/>
  <c r="I7" i="79"/>
  <c r="O6" i="79"/>
  <c r="N6" i="79"/>
  <c r="K6" i="79"/>
  <c r="J6" i="79"/>
  <c r="I6" i="79"/>
  <c r="E40" i="79"/>
  <c r="E39" i="79"/>
  <c r="E38" i="79"/>
  <c r="E37" i="79"/>
  <c r="E36" i="79"/>
  <c r="E35" i="79"/>
  <c r="E34" i="79"/>
  <c r="E33" i="79"/>
  <c r="E32" i="79"/>
  <c r="E31" i="79"/>
  <c r="E30" i="79"/>
  <c r="E29" i="79"/>
  <c r="E28" i="79"/>
  <c r="E27" i="79"/>
  <c r="E21" i="79"/>
  <c r="E20" i="79"/>
  <c r="E19" i="79"/>
  <c r="E18" i="79"/>
  <c r="E17" i="79"/>
  <c r="E16" i="79"/>
  <c r="E15" i="79"/>
  <c r="E14" i="79"/>
  <c r="E13" i="79"/>
  <c r="E12" i="79"/>
  <c r="E11" i="79"/>
  <c r="E10" i="79"/>
  <c r="E9" i="79"/>
  <c r="E8" i="79"/>
  <c r="E7" i="79"/>
  <c r="E6" i="79"/>
  <c r="H40" i="92"/>
  <c r="H39" i="92"/>
  <c r="H38" i="92"/>
  <c r="H37" i="92"/>
  <c r="H36" i="92"/>
  <c r="H35" i="92"/>
  <c r="H34" i="92"/>
  <c r="H33" i="92"/>
  <c r="H32" i="92"/>
  <c r="H31" i="92"/>
  <c r="H30" i="92"/>
  <c r="G3" i="92"/>
  <c r="H40" i="33"/>
  <c r="H39" i="33"/>
  <c r="H38" i="33"/>
  <c r="G3" i="33"/>
  <c r="H40" i="85"/>
  <c r="H39" i="85"/>
  <c r="H20" i="85"/>
  <c r="H6" i="85"/>
  <c r="G3" i="85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G3" i="18"/>
  <c r="H40" i="67"/>
  <c r="H39" i="67"/>
  <c r="H38" i="67"/>
  <c r="H37" i="67"/>
  <c r="H36" i="67"/>
  <c r="H35" i="67"/>
  <c r="H34" i="67"/>
  <c r="H8" i="67"/>
  <c r="H7" i="67"/>
  <c r="H6" i="67"/>
  <c r="G3" i="67"/>
  <c r="H40" i="77"/>
  <c r="H39" i="77"/>
  <c r="H38" i="77"/>
  <c r="H37" i="77"/>
  <c r="H36" i="77"/>
  <c r="H35" i="77"/>
  <c r="H34" i="77"/>
  <c r="H33" i="77"/>
  <c r="H32" i="77"/>
  <c r="H31" i="77"/>
  <c r="H30" i="77"/>
  <c r="H29" i="77"/>
  <c r="H28" i="77"/>
  <c r="H27" i="77"/>
  <c r="H26" i="77"/>
  <c r="H25" i="77"/>
  <c r="H24" i="77"/>
  <c r="H23" i="77"/>
  <c r="H22" i="77"/>
  <c r="H21" i="77"/>
  <c r="H20" i="77"/>
  <c r="H19" i="77"/>
  <c r="G3" i="77"/>
  <c r="H40" i="44"/>
  <c r="H39" i="44"/>
  <c r="H38" i="44"/>
  <c r="H37" i="44"/>
  <c r="H36" i="44"/>
  <c r="H35" i="44"/>
  <c r="H34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G3" i="44"/>
  <c r="H40" i="66"/>
  <c r="H39" i="66"/>
  <c r="H38" i="66"/>
  <c r="H8" i="66"/>
  <c r="H7" i="66"/>
  <c r="H6" i="66"/>
  <c r="G3" i="66"/>
  <c r="H40" i="25"/>
  <c r="H39" i="25"/>
  <c r="H38" i="25"/>
  <c r="H37" i="25"/>
  <c r="H36" i="25"/>
  <c r="H35" i="25"/>
  <c r="H34" i="25"/>
  <c r="H33" i="25"/>
  <c r="H31" i="25"/>
  <c r="H8" i="25"/>
  <c r="H7" i="25"/>
  <c r="H6" i="25"/>
  <c r="G3" i="25"/>
  <c r="H40" i="56"/>
  <c r="H39" i="56"/>
  <c r="H38" i="56"/>
  <c r="H37" i="56"/>
  <c r="H36" i="56"/>
  <c r="H35" i="56"/>
  <c r="H7" i="56"/>
  <c r="H6" i="56"/>
  <c r="G3" i="56"/>
  <c r="H40" i="72"/>
  <c r="H39" i="72"/>
  <c r="H38" i="72"/>
  <c r="H37" i="72"/>
  <c r="H36" i="72"/>
  <c r="H35" i="72"/>
  <c r="H34" i="72"/>
  <c r="H33" i="72"/>
  <c r="H32" i="72"/>
  <c r="H31" i="72"/>
  <c r="H30" i="72"/>
  <c r="H29" i="72"/>
  <c r="H28" i="72"/>
  <c r="H27" i="72"/>
  <c r="H26" i="72"/>
  <c r="H25" i="72"/>
  <c r="H24" i="72"/>
  <c r="H23" i="72"/>
  <c r="H22" i="72"/>
  <c r="H21" i="72"/>
  <c r="H20" i="72"/>
  <c r="H19" i="72"/>
  <c r="H18" i="72"/>
  <c r="H16" i="72"/>
  <c r="G3" i="72"/>
  <c r="H40" i="55"/>
  <c r="H39" i="55"/>
  <c r="H38" i="55"/>
  <c r="H37" i="55"/>
  <c r="H36" i="55"/>
  <c r="H35" i="55"/>
  <c r="H34" i="55"/>
  <c r="H33" i="55"/>
  <c r="H32" i="55"/>
  <c r="H31" i="55"/>
  <c r="H30" i="55"/>
  <c r="H29" i="55"/>
  <c r="H27" i="55"/>
  <c r="H23" i="55"/>
  <c r="H9" i="55"/>
  <c r="G3" i="55"/>
  <c r="H40" i="14"/>
  <c r="H39" i="14"/>
  <c r="G3" i="14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G3" i="13"/>
  <c r="H40" i="70"/>
  <c r="H39" i="70"/>
  <c r="H38" i="70"/>
  <c r="H31" i="70"/>
  <c r="H30" i="70"/>
  <c r="H26" i="70"/>
  <c r="H10" i="70"/>
  <c r="G3" i="70"/>
  <c r="H40" i="71"/>
  <c r="H39" i="71"/>
  <c r="H35" i="71"/>
  <c r="H33" i="71"/>
  <c r="H6" i="71"/>
  <c r="G3" i="71"/>
  <c r="H40" i="17"/>
  <c r="H39" i="17"/>
  <c r="H38" i="17"/>
  <c r="H37" i="17"/>
  <c r="H33" i="17"/>
  <c r="H31" i="17"/>
  <c r="H30" i="17"/>
  <c r="H6" i="17"/>
  <c r="G3" i="17"/>
  <c r="H40" i="27"/>
  <c r="H39" i="27"/>
  <c r="H38" i="27"/>
  <c r="H37" i="27"/>
  <c r="H36" i="27"/>
  <c r="H35" i="27"/>
  <c r="H34" i="27"/>
  <c r="H33" i="27"/>
  <c r="H32" i="27"/>
  <c r="H31" i="27"/>
  <c r="H30" i="27"/>
  <c r="H29" i="27"/>
  <c r="G3" i="27"/>
  <c r="H40" i="69"/>
  <c r="H39" i="69"/>
  <c r="H38" i="69"/>
  <c r="H37" i="69"/>
  <c r="H36" i="69"/>
  <c r="H35" i="69"/>
  <c r="H34" i="69"/>
  <c r="H33" i="69"/>
  <c r="H32" i="69"/>
  <c r="H31" i="69"/>
  <c r="H30" i="69"/>
  <c r="H29" i="69"/>
  <c r="H28" i="69"/>
  <c r="H27" i="69"/>
  <c r="H26" i="69"/>
  <c r="H25" i="69"/>
  <c r="H24" i="69"/>
  <c r="H23" i="69"/>
  <c r="H22" i="69"/>
  <c r="H21" i="69"/>
  <c r="H20" i="69"/>
  <c r="H19" i="69"/>
  <c r="H18" i="69"/>
  <c r="H17" i="69"/>
  <c r="H16" i="69"/>
  <c r="H12" i="69"/>
  <c r="H8" i="69"/>
  <c r="H7" i="69"/>
  <c r="H6" i="69"/>
  <c r="G3" i="69"/>
  <c r="H40" i="54"/>
  <c r="H39" i="54"/>
  <c r="H38" i="54"/>
  <c r="H37" i="54"/>
  <c r="H36" i="54"/>
  <c r="H8" i="54"/>
  <c r="H7" i="54"/>
  <c r="H6" i="54"/>
  <c r="G3" i="54"/>
  <c r="H40" i="42"/>
  <c r="H39" i="42"/>
  <c r="H38" i="42"/>
  <c r="H37" i="42"/>
  <c r="H36" i="42"/>
  <c r="H35" i="42"/>
  <c r="H34" i="42"/>
  <c r="H33" i="42"/>
  <c r="H32" i="42"/>
  <c r="H31" i="42"/>
  <c r="H30" i="42"/>
  <c r="H8" i="42"/>
  <c r="H7" i="42"/>
  <c r="H6" i="42"/>
  <c r="G3" i="42"/>
  <c r="H40" i="82"/>
  <c r="H39" i="82"/>
  <c r="H38" i="82"/>
  <c r="H37" i="82"/>
  <c r="H36" i="82"/>
  <c r="H35" i="82"/>
  <c r="H34" i="82"/>
  <c r="H33" i="82"/>
  <c r="H32" i="82"/>
  <c r="H31" i="82"/>
  <c r="H30" i="82"/>
  <c r="H29" i="82"/>
  <c r="H28" i="82"/>
  <c r="H27" i="82"/>
  <c r="H26" i="82"/>
  <c r="H25" i="82"/>
  <c r="H24" i="82"/>
  <c r="H23" i="82"/>
  <c r="H22" i="82"/>
  <c r="H21" i="82"/>
  <c r="H20" i="82"/>
  <c r="H19" i="82"/>
  <c r="H18" i="82"/>
  <c r="H17" i="82"/>
  <c r="H16" i="82"/>
  <c r="H15" i="82"/>
  <c r="H11" i="82"/>
  <c r="H8" i="82"/>
  <c r="H7" i="82"/>
  <c r="H6" i="82"/>
  <c r="G3" i="82"/>
  <c r="H40" i="74"/>
  <c r="H39" i="74"/>
  <c r="H38" i="74"/>
  <c r="H37" i="74"/>
  <c r="H36" i="74"/>
  <c r="H35" i="74"/>
  <c r="H34" i="74"/>
  <c r="H33" i="74"/>
  <c r="H32" i="74"/>
  <c r="H31" i="74"/>
  <c r="H30" i="74"/>
  <c r="H29" i="74"/>
  <c r="H28" i="74"/>
  <c r="H27" i="74"/>
  <c r="H8" i="74"/>
  <c r="H7" i="74"/>
  <c r="H6" i="74"/>
  <c r="G3" i="74"/>
  <c r="H40" i="93"/>
  <c r="H39" i="93"/>
  <c r="H38" i="93"/>
  <c r="H7" i="93"/>
  <c r="H6" i="93"/>
  <c r="G3" i="93"/>
  <c r="H40" i="73"/>
  <c r="H39" i="73"/>
  <c r="H38" i="73"/>
  <c r="H37" i="73"/>
  <c r="H36" i="73"/>
  <c r="H35" i="73"/>
  <c r="H34" i="73"/>
  <c r="H33" i="73"/>
  <c r="H32" i="73"/>
  <c r="H31" i="73"/>
  <c r="H30" i="73"/>
  <c r="H29" i="73"/>
  <c r="H28" i="73"/>
  <c r="H27" i="73"/>
  <c r="H26" i="73"/>
  <c r="H25" i="73"/>
  <c r="H24" i="73"/>
  <c r="H23" i="73"/>
  <c r="H22" i="73"/>
  <c r="H21" i="73"/>
  <c r="H20" i="73"/>
  <c r="G3" i="73"/>
  <c r="H40" i="11"/>
  <c r="H39" i="11"/>
  <c r="H38" i="11"/>
  <c r="G3" i="11"/>
  <c r="H40" i="10"/>
  <c r="H39" i="10"/>
  <c r="H38" i="10"/>
  <c r="H37" i="10"/>
  <c r="H36" i="10"/>
  <c r="H35" i="10"/>
  <c r="H34" i="10"/>
  <c r="G3" i="10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7" i="28"/>
  <c r="H6" i="28"/>
  <c r="G3" i="28"/>
  <c r="H40" i="64"/>
  <c r="H39" i="64"/>
  <c r="H38" i="64"/>
  <c r="H37" i="64"/>
  <c r="H27" i="64"/>
  <c r="H6" i="64"/>
  <c r="G3" i="64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G3" i="16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G3" i="15"/>
  <c r="H40" i="12"/>
  <c r="H39" i="12"/>
  <c r="H38" i="12"/>
  <c r="H37" i="12"/>
  <c r="H36" i="12"/>
  <c r="G3" i="12"/>
  <c r="H40" i="26"/>
  <c r="H39" i="26"/>
  <c r="H38" i="26"/>
  <c r="H37" i="26"/>
  <c r="H36" i="26"/>
  <c r="H35" i="26"/>
  <c r="H34" i="26"/>
  <c r="H33" i="26"/>
  <c r="H32" i="26"/>
  <c r="H31" i="26"/>
  <c r="H30" i="26"/>
  <c r="H29" i="26"/>
  <c r="H27" i="26"/>
  <c r="H7" i="26"/>
  <c r="H6" i="26"/>
  <c r="G3" i="26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3" i="29"/>
  <c r="H10" i="29"/>
  <c r="H7" i="29"/>
  <c r="H6" i="29"/>
  <c r="G3" i="29"/>
  <c r="H40" i="88"/>
  <c r="H39" i="88"/>
  <c r="H38" i="88"/>
  <c r="H37" i="88"/>
  <c r="H36" i="88"/>
  <c r="H35" i="88"/>
  <c r="H31" i="88"/>
  <c r="H6" i="88"/>
  <c r="G3" i="88"/>
  <c r="H40" i="84"/>
  <c r="H39" i="84"/>
  <c r="H38" i="84"/>
  <c r="H37" i="84"/>
  <c r="H36" i="84"/>
  <c r="H35" i="84"/>
  <c r="H34" i="84"/>
  <c r="H33" i="84"/>
  <c r="H32" i="84"/>
  <c r="H31" i="84"/>
  <c r="H30" i="84"/>
  <c r="H6" i="84"/>
  <c r="G3" i="84"/>
  <c r="H40" i="24"/>
  <c r="H39" i="24"/>
  <c r="H38" i="24"/>
  <c r="H37" i="24"/>
  <c r="H36" i="24"/>
  <c r="H35" i="24"/>
  <c r="H34" i="24"/>
  <c r="H33" i="24"/>
  <c r="H32" i="24"/>
  <c r="H31" i="24"/>
  <c r="G3" i="24"/>
  <c r="H40" i="90"/>
  <c r="H39" i="90"/>
  <c r="H38" i="90"/>
  <c r="H37" i="90"/>
  <c r="H36" i="90"/>
  <c r="H35" i="90"/>
  <c r="H34" i="90"/>
  <c r="H33" i="90"/>
  <c r="H32" i="90"/>
  <c r="H31" i="90"/>
  <c r="H30" i="90"/>
  <c r="H29" i="90"/>
  <c r="H28" i="90"/>
  <c r="H6" i="90"/>
  <c r="G3" i="90"/>
  <c r="H40" i="4"/>
  <c r="H39" i="4"/>
  <c r="H38" i="4"/>
  <c r="H37" i="4"/>
  <c r="H36" i="4"/>
  <c r="H35" i="4"/>
  <c r="H34" i="4"/>
  <c r="G3" i="4"/>
  <c r="H40" i="53"/>
  <c r="H39" i="53"/>
  <c r="H38" i="53"/>
  <c r="H37" i="53"/>
  <c r="H36" i="53"/>
  <c r="H35" i="53"/>
  <c r="H34" i="53"/>
  <c r="H33" i="53"/>
  <c r="H32" i="53"/>
  <c r="H31" i="53"/>
  <c r="H30" i="53"/>
  <c r="H29" i="53"/>
  <c r="H28" i="53"/>
  <c r="H27" i="53"/>
  <c r="H26" i="53"/>
  <c r="H7" i="53"/>
  <c r="H6" i="53"/>
  <c r="G3" i="53"/>
  <c r="H38" i="89"/>
  <c r="H10" i="89"/>
  <c r="G3" i="89"/>
  <c r="H10" i="35"/>
  <c r="G3" i="35"/>
  <c r="H40" i="83"/>
  <c r="H39" i="83"/>
  <c r="H38" i="83"/>
  <c r="H37" i="83"/>
  <c r="H36" i="83"/>
  <c r="H35" i="83"/>
  <c r="H34" i="83"/>
  <c r="H33" i="83"/>
  <c r="H32" i="83"/>
  <c r="H31" i="83"/>
  <c r="H30" i="83"/>
  <c r="H29" i="83"/>
  <c r="H28" i="83"/>
  <c r="H27" i="83"/>
  <c r="H26" i="83"/>
  <c r="H25" i="83"/>
  <c r="H24" i="83"/>
  <c r="H23" i="83"/>
  <c r="H22" i="83"/>
  <c r="H21" i="83"/>
  <c r="H20" i="83"/>
  <c r="H19" i="83"/>
  <c r="H18" i="83"/>
  <c r="H17" i="83"/>
  <c r="H16" i="83"/>
  <c r="H15" i="83"/>
  <c r="H14" i="83"/>
  <c r="H13" i="83"/>
  <c r="H12" i="83"/>
  <c r="H11" i="83"/>
  <c r="H9" i="83"/>
  <c r="G3" i="83"/>
  <c r="H40" i="2"/>
  <c r="H39" i="2"/>
  <c r="H38" i="2"/>
  <c r="H37" i="2"/>
  <c r="H36" i="2"/>
  <c r="H35" i="2"/>
  <c r="H34" i="2"/>
  <c r="H33" i="2"/>
  <c r="H32" i="2"/>
  <c r="H31" i="2"/>
  <c r="G3" i="2"/>
  <c r="H40" i="76"/>
  <c r="H39" i="76"/>
  <c r="H38" i="76"/>
  <c r="H37" i="76"/>
  <c r="H36" i="76"/>
  <c r="H35" i="76"/>
  <c r="H34" i="76"/>
  <c r="H33" i="76"/>
  <c r="H32" i="76"/>
  <c r="H31" i="76"/>
  <c r="H30" i="76"/>
  <c r="H29" i="76"/>
  <c r="H28" i="76"/>
  <c r="H27" i="76"/>
  <c r="H26" i="76"/>
  <c r="H25" i="76"/>
  <c r="H24" i="76"/>
  <c r="H23" i="76"/>
  <c r="H22" i="76"/>
  <c r="H21" i="76"/>
  <c r="G3" i="76"/>
  <c r="H40" i="5"/>
  <c r="H39" i="5"/>
  <c r="H38" i="5"/>
  <c r="H37" i="5"/>
  <c r="H36" i="5"/>
  <c r="H35" i="5"/>
  <c r="H34" i="5"/>
  <c r="G3" i="5"/>
  <c r="H40" i="6"/>
  <c r="H39" i="6"/>
  <c r="H38" i="6"/>
  <c r="H37" i="6"/>
  <c r="H36" i="6"/>
  <c r="H35" i="6"/>
  <c r="H34" i="6"/>
  <c r="H33" i="6"/>
  <c r="H32" i="6"/>
  <c r="G3" i="6"/>
  <c r="H40" i="79"/>
  <c r="H39" i="79"/>
  <c r="H38" i="79"/>
  <c r="H37" i="79"/>
  <c r="H36" i="79"/>
  <c r="H35" i="79"/>
  <c r="H34" i="79"/>
  <c r="H33" i="79"/>
  <c r="H32" i="79"/>
  <c r="H31" i="79"/>
  <c r="H30" i="79"/>
  <c r="H29" i="79"/>
  <c r="H28" i="79"/>
  <c r="H27" i="79"/>
  <c r="H26" i="79"/>
  <c r="H25" i="79"/>
  <c r="H24" i="79"/>
  <c r="H23" i="79"/>
  <c r="H22" i="79"/>
  <c r="H21" i="79"/>
  <c r="H20" i="79"/>
  <c r="H19" i="79"/>
  <c r="H17" i="79"/>
  <c r="H16" i="79"/>
  <c r="H13" i="79"/>
  <c r="H12" i="79"/>
  <c r="H10" i="79"/>
  <c r="H9" i="79"/>
  <c r="H6" i="79"/>
  <c r="G3" i="79"/>
  <c r="D42" i="96" l="1"/>
  <c r="C43" i="96"/>
  <c r="D43" i="96" s="1"/>
  <c r="H41" i="96"/>
  <c r="C43" i="95"/>
  <c r="D42" i="95" s="1"/>
  <c r="H41" i="95"/>
  <c r="AG49" i="93"/>
  <c r="R49" i="93"/>
  <c r="Z49" i="93"/>
  <c r="S49" i="93"/>
  <c r="AA49" i="93"/>
  <c r="T49" i="93"/>
  <c r="AB49" i="93"/>
  <c r="U49" i="93"/>
  <c r="AC49" i="93"/>
  <c r="N49" i="93"/>
  <c r="V49" i="93"/>
  <c r="AD49" i="93"/>
  <c r="O49" i="93"/>
  <c r="W49" i="93"/>
  <c r="AE49" i="93"/>
  <c r="P49" i="93"/>
  <c r="X49" i="93"/>
  <c r="AF49" i="93"/>
  <c r="Q49" i="93"/>
  <c r="Y49" i="93"/>
  <c r="D43" i="95" l="1"/>
  <c r="H42" i="96"/>
  <c r="H42" i="95"/>
  <c r="G39" i="93" l="1"/>
  <c r="G37" i="93"/>
  <c r="G36" i="93"/>
  <c r="C44" i="93" s="1"/>
  <c r="G35" i="93"/>
  <c r="G34" i="93"/>
  <c r="G33" i="93"/>
  <c r="G32" i="93"/>
  <c r="G31" i="93"/>
  <c r="G30" i="93"/>
  <c r="G29" i="93"/>
  <c r="G28" i="93"/>
  <c r="G27" i="93"/>
  <c r="G26" i="93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40" i="93"/>
  <c r="G38" i="93"/>
  <c r="M26" i="93" l="1"/>
  <c r="M37" i="93"/>
  <c r="M10" i="93"/>
  <c r="O48" i="93"/>
  <c r="M22" i="93"/>
  <c r="L12" i="93"/>
  <c r="H12" i="93" s="1"/>
  <c r="L28" i="93"/>
  <c r="H28" i="93" s="1"/>
  <c r="M38" i="93"/>
  <c r="M8" i="93"/>
  <c r="L24" i="93"/>
  <c r="H24" i="93" s="1"/>
  <c r="M39" i="93"/>
  <c r="M14" i="93"/>
  <c r="M30" i="93"/>
  <c r="M28" i="93"/>
  <c r="L20" i="93"/>
  <c r="H20" i="93" s="1"/>
  <c r="M36" i="93"/>
  <c r="M40" i="93"/>
  <c r="L16" i="93"/>
  <c r="H16" i="93" s="1"/>
  <c r="M32" i="93"/>
  <c r="L8" i="93"/>
  <c r="H8" i="93" s="1"/>
  <c r="M18" i="93"/>
  <c r="M34" i="93"/>
  <c r="L21" i="93"/>
  <c r="H21" i="93" s="1"/>
  <c r="M13" i="93"/>
  <c r="M17" i="93"/>
  <c r="M21" i="93"/>
  <c r="M25" i="93"/>
  <c r="M29" i="93"/>
  <c r="M33" i="93"/>
  <c r="L9" i="93"/>
  <c r="H9" i="93" s="1"/>
  <c r="L13" i="93"/>
  <c r="H13" i="93" s="1"/>
  <c r="L25" i="93"/>
  <c r="H25" i="93" s="1"/>
  <c r="L33" i="93"/>
  <c r="H33" i="93" s="1"/>
  <c r="L37" i="93"/>
  <c r="H37" i="93" s="1"/>
  <c r="M9" i="93"/>
  <c r="L6" i="93"/>
  <c r="L10" i="93"/>
  <c r="H10" i="93" s="1"/>
  <c r="L14" i="93"/>
  <c r="H14" i="93" s="1"/>
  <c r="L18" i="93"/>
  <c r="H18" i="93" s="1"/>
  <c r="L22" i="93"/>
  <c r="H22" i="93" s="1"/>
  <c r="L26" i="93"/>
  <c r="H26" i="93" s="1"/>
  <c r="L30" i="93"/>
  <c r="H30" i="93" s="1"/>
  <c r="L34" i="93"/>
  <c r="H34" i="93" s="1"/>
  <c r="L38" i="93"/>
  <c r="L29" i="93"/>
  <c r="H29" i="93" s="1"/>
  <c r="M6" i="93"/>
  <c r="I41" i="93"/>
  <c r="L7" i="93"/>
  <c r="L11" i="93"/>
  <c r="H11" i="93" s="1"/>
  <c r="L15" i="93"/>
  <c r="H15" i="93" s="1"/>
  <c r="L19" i="93"/>
  <c r="H19" i="93" s="1"/>
  <c r="L23" i="93"/>
  <c r="H23" i="93" s="1"/>
  <c r="L27" i="93"/>
  <c r="H27" i="93" s="1"/>
  <c r="L31" i="93"/>
  <c r="H31" i="93" s="1"/>
  <c r="L35" i="93"/>
  <c r="H35" i="93" s="1"/>
  <c r="L39" i="93"/>
  <c r="M7" i="93"/>
  <c r="M11" i="93"/>
  <c r="M19" i="93"/>
  <c r="M23" i="93"/>
  <c r="M27" i="93"/>
  <c r="M31" i="93"/>
  <c r="M35" i="93"/>
  <c r="L17" i="93"/>
  <c r="H17" i="93" s="1"/>
  <c r="M15" i="93"/>
  <c r="L32" i="93"/>
  <c r="H32" i="93" s="1"/>
  <c r="L36" i="93"/>
  <c r="H36" i="93" s="1"/>
  <c r="L40" i="93"/>
  <c r="M12" i="93"/>
  <c r="M16" i="93"/>
  <c r="M20" i="93"/>
  <c r="M24" i="93"/>
  <c r="H41" i="93" l="1"/>
  <c r="C43" i="93"/>
  <c r="D43" i="93" s="1"/>
  <c r="D42" i="93"/>
  <c r="H42" i="93" l="1"/>
  <c r="G40" i="92" l="1"/>
  <c r="G39" i="92"/>
  <c r="G38" i="92"/>
  <c r="G37" i="92"/>
  <c r="G36" i="92"/>
  <c r="G35" i="92"/>
  <c r="G34" i="92"/>
  <c r="G33" i="92"/>
  <c r="G32" i="92"/>
  <c r="G31" i="92"/>
  <c r="G30" i="92"/>
  <c r="G29" i="92"/>
  <c r="G28" i="92"/>
  <c r="G27" i="92"/>
  <c r="G26" i="92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M11" i="92" l="1"/>
  <c r="M7" i="92"/>
  <c r="M20" i="92"/>
  <c r="M8" i="92"/>
  <c r="L32" i="92"/>
  <c r="M38" i="92"/>
  <c r="L40" i="92"/>
  <c r="M6" i="92"/>
  <c r="L18" i="92"/>
  <c r="H18" i="92" s="1"/>
  <c r="M40" i="92"/>
  <c r="L12" i="92"/>
  <c r="H12" i="92" s="1"/>
  <c r="AG49" i="92"/>
  <c r="L24" i="92"/>
  <c r="H24" i="92" s="1"/>
  <c r="M30" i="92"/>
  <c r="M32" i="92"/>
  <c r="M28" i="92"/>
  <c r="M39" i="92"/>
  <c r="M12" i="92"/>
  <c r="L36" i="92"/>
  <c r="M26" i="92"/>
  <c r="O48" i="92"/>
  <c r="L10" i="92"/>
  <c r="H10" i="92" s="1"/>
  <c r="L16" i="92"/>
  <c r="H16" i="92" s="1"/>
  <c r="L22" i="92"/>
  <c r="H22" i="92" s="1"/>
  <c r="M24" i="92"/>
  <c r="L28" i="92"/>
  <c r="H28" i="92" s="1"/>
  <c r="M34" i="92"/>
  <c r="M36" i="92"/>
  <c r="R49" i="92"/>
  <c r="L20" i="92"/>
  <c r="H20" i="92" s="1"/>
  <c r="L8" i="92"/>
  <c r="H8" i="92" s="1"/>
  <c r="M14" i="92"/>
  <c r="M16" i="92"/>
  <c r="Z49" i="92"/>
  <c r="L9" i="92"/>
  <c r="H9" i="92" s="1"/>
  <c r="L13" i="92"/>
  <c r="H13" i="92" s="1"/>
  <c r="L17" i="92"/>
  <c r="H17" i="92" s="1"/>
  <c r="L21" i="92"/>
  <c r="H21" i="92" s="1"/>
  <c r="L25" i="92"/>
  <c r="H25" i="92" s="1"/>
  <c r="L29" i="92"/>
  <c r="H29" i="92" s="1"/>
  <c r="L33" i="92"/>
  <c r="L37" i="92"/>
  <c r="S49" i="92"/>
  <c r="AA49" i="92"/>
  <c r="M9" i="92"/>
  <c r="M17" i="92"/>
  <c r="M21" i="92"/>
  <c r="M25" i="92"/>
  <c r="M29" i="92"/>
  <c r="M33" i="92"/>
  <c r="M37" i="92"/>
  <c r="T49" i="92"/>
  <c r="AB49" i="92"/>
  <c r="M13" i="92"/>
  <c r="L6" i="92"/>
  <c r="H6" i="92" s="1"/>
  <c r="L14" i="92"/>
  <c r="H14" i="92" s="1"/>
  <c r="L26" i="92"/>
  <c r="H26" i="92" s="1"/>
  <c r="L30" i="92"/>
  <c r="L34" i="92"/>
  <c r="L38" i="92"/>
  <c r="U49" i="92"/>
  <c r="AC49" i="92"/>
  <c r="M10" i="92"/>
  <c r="M18" i="92"/>
  <c r="M22" i="92"/>
  <c r="I41" i="92"/>
  <c r="N49" i="92"/>
  <c r="V49" i="92"/>
  <c r="AD49" i="92"/>
  <c r="L7" i="92"/>
  <c r="H7" i="92" s="1"/>
  <c r="L11" i="92"/>
  <c r="H11" i="92" s="1"/>
  <c r="L15" i="92"/>
  <c r="H15" i="92" s="1"/>
  <c r="L19" i="92"/>
  <c r="H19" i="92" s="1"/>
  <c r="L23" i="92"/>
  <c r="H23" i="92" s="1"/>
  <c r="L27" i="92"/>
  <c r="H27" i="92" s="1"/>
  <c r="L31" i="92"/>
  <c r="L35" i="92"/>
  <c r="L39" i="92"/>
  <c r="O49" i="92"/>
  <c r="W49" i="92"/>
  <c r="AE49" i="92"/>
  <c r="M15" i="92"/>
  <c r="M19" i="92"/>
  <c r="M23" i="92"/>
  <c r="M27" i="92"/>
  <c r="M31" i="92"/>
  <c r="M35" i="92"/>
  <c r="P49" i="92"/>
  <c r="X49" i="92"/>
  <c r="AF49" i="92"/>
  <c r="Q49" i="92"/>
  <c r="Y49" i="92"/>
  <c r="C43" i="92" l="1"/>
  <c r="D42" i="92" s="1"/>
  <c r="H41" i="92"/>
  <c r="D43" i="92" l="1"/>
  <c r="H42" i="92"/>
  <c r="G10" i="89" l="1"/>
  <c r="G40" i="90"/>
  <c r="G39" i="90"/>
  <c r="G38" i="90"/>
  <c r="G37" i="90"/>
  <c r="G36" i="90"/>
  <c r="G35" i="90"/>
  <c r="G34" i="90"/>
  <c r="G33" i="90"/>
  <c r="G32" i="90"/>
  <c r="G31" i="90"/>
  <c r="G30" i="90"/>
  <c r="G29" i="90"/>
  <c r="G28" i="90"/>
  <c r="G27" i="90"/>
  <c r="C45" i="90" s="1"/>
  <c r="G26" i="90"/>
  <c r="G25" i="90"/>
  <c r="G24" i="90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M6" i="90"/>
  <c r="C44" i="90" l="1"/>
  <c r="M8" i="90"/>
  <c r="AG49" i="90"/>
  <c r="I41" i="90"/>
  <c r="M11" i="90"/>
  <c r="M16" i="90"/>
  <c r="M19" i="90"/>
  <c r="M29" i="90"/>
  <c r="M35" i="90"/>
  <c r="O48" i="90"/>
  <c r="L6" i="90"/>
  <c r="M10" i="90"/>
  <c r="M13" i="90"/>
  <c r="M18" i="90"/>
  <c r="M22" i="90"/>
  <c r="M26" i="90"/>
  <c r="M27" i="90"/>
  <c r="M33" i="90"/>
  <c r="M34" i="90"/>
  <c r="AD49" i="90"/>
  <c r="M12" i="90"/>
  <c r="M15" i="90"/>
  <c r="M21" i="90"/>
  <c r="M24" i="90"/>
  <c r="M25" i="90"/>
  <c r="M31" i="90"/>
  <c r="M32" i="90"/>
  <c r="M39" i="90"/>
  <c r="M40" i="90"/>
  <c r="M28" i="90"/>
  <c r="M36" i="90"/>
  <c r="L7" i="90"/>
  <c r="H7" i="90" s="1"/>
  <c r="M9" i="90"/>
  <c r="M14" i="90"/>
  <c r="M17" i="90"/>
  <c r="M20" i="90"/>
  <c r="M23" i="90"/>
  <c r="M30" i="90"/>
  <c r="M37" i="90"/>
  <c r="M38" i="90"/>
  <c r="L17" i="90"/>
  <c r="H17" i="90" s="1"/>
  <c r="L21" i="90"/>
  <c r="H21" i="90" s="1"/>
  <c r="L23" i="90"/>
  <c r="H23" i="90" s="1"/>
  <c r="L27" i="90"/>
  <c r="H27" i="90" s="1"/>
  <c r="L29" i="90"/>
  <c r="L37" i="90"/>
  <c r="L39" i="90"/>
  <c r="N49" i="90"/>
  <c r="R49" i="90"/>
  <c r="V49" i="90"/>
  <c r="Z49" i="90"/>
  <c r="M7" i="90"/>
  <c r="O49" i="90"/>
  <c r="S49" i="90"/>
  <c r="W49" i="90"/>
  <c r="AA49" i="90"/>
  <c r="AE49" i="90"/>
  <c r="L9" i="90"/>
  <c r="H9" i="90" s="1"/>
  <c r="L11" i="90"/>
  <c r="H11" i="90" s="1"/>
  <c r="L19" i="90"/>
  <c r="H19" i="90" s="1"/>
  <c r="G6" i="90"/>
  <c r="L8" i="90"/>
  <c r="H8" i="90" s="1"/>
  <c r="L10" i="90"/>
  <c r="H10" i="90" s="1"/>
  <c r="L14" i="90"/>
  <c r="H14" i="90" s="1"/>
  <c r="L16" i="90"/>
  <c r="H16" i="90" s="1"/>
  <c r="L18" i="90"/>
  <c r="H18" i="90" s="1"/>
  <c r="L20" i="90"/>
  <c r="H20" i="90" s="1"/>
  <c r="L22" i="90"/>
  <c r="H22" i="90" s="1"/>
  <c r="L24" i="90"/>
  <c r="H24" i="90" s="1"/>
  <c r="L26" i="90"/>
  <c r="H26" i="90" s="1"/>
  <c r="L28" i="90"/>
  <c r="L30" i="90"/>
  <c r="L32" i="90"/>
  <c r="L34" i="90"/>
  <c r="L36" i="90"/>
  <c r="L38" i="90"/>
  <c r="L40" i="90"/>
  <c r="P49" i="90"/>
  <c r="T49" i="90"/>
  <c r="X49" i="90"/>
  <c r="AB49" i="90"/>
  <c r="AF49" i="90"/>
  <c r="L13" i="90"/>
  <c r="H13" i="90" s="1"/>
  <c r="L15" i="90"/>
  <c r="H15" i="90" s="1"/>
  <c r="L25" i="90"/>
  <c r="H25" i="90" s="1"/>
  <c r="L31" i="90"/>
  <c r="L33" i="90"/>
  <c r="L35" i="90"/>
  <c r="L12" i="90"/>
  <c r="H12" i="90" s="1"/>
  <c r="Q49" i="90"/>
  <c r="U49" i="90"/>
  <c r="Y49" i="90"/>
  <c r="AC49" i="90"/>
  <c r="D42" i="90" l="1"/>
  <c r="C43" i="90"/>
  <c r="D43" i="90" s="1"/>
  <c r="H41" i="90"/>
  <c r="H42" i="90" l="1"/>
  <c r="G44" i="89" l="1"/>
  <c r="G43" i="89"/>
  <c r="G42" i="89"/>
  <c r="G41" i="89"/>
  <c r="G40" i="89"/>
  <c r="G39" i="89"/>
  <c r="G38" i="89"/>
  <c r="G37" i="89"/>
  <c r="G36" i="89"/>
  <c r="G35" i="89"/>
  <c r="G34" i="89"/>
  <c r="G33" i="89"/>
  <c r="G32" i="89"/>
  <c r="G31" i="89"/>
  <c r="G30" i="89"/>
  <c r="G29" i="89"/>
  <c r="G28" i="89"/>
  <c r="G27" i="89"/>
  <c r="G26" i="89"/>
  <c r="G25" i="89"/>
  <c r="G24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9" i="89"/>
  <c r="G8" i="89"/>
  <c r="G7" i="89"/>
  <c r="F53" i="89" l="1"/>
  <c r="J53" i="89" s="1"/>
  <c r="G53" i="89" s="1"/>
  <c r="C48" i="89"/>
  <c r="I45" i="89"/>
  <c r="C49" i="89"/>
  <c r="M6" i="89"/>
  <c r="L8" i="89"/>
  <c r="H8" i="89" s="1"/>
  <c r="M9" i="89"/>
  <c r="M24" i="89"/>
  <c r="M32" i="89"/>
  <c r="M38" i="89"/>
  <c r="AG53" i="89"/>
  <c r="M26" i="89"/>
  <c r="M40" i="89"/>
  <c r="AD53" i="89"/>
  <c r="M16" i="89"/>
  <c r="M18" i="89"/>
  <c r="L6" i="89"/>
  <c r="H6" i="89" s="1"/>
  <c r="O52" i="89"/>
  <c r="M7" i="89"/>
  <c r="M8" i="89"/>
  <c r="M12" i="89"/>
  <c r="M20" i="89"/>
  <c r="M28" i="89"/>
  <c r="M34" i="89"/>
  <c r="M42" i="89"/>
  <c r="N53" i="89"/>
  <c r="M14" i="89"/>
  <c r="M22" i="89"/>
  <c r="M30" i="89"/>
  <c r="M36" i="89"/>
  <c r="M44" i="89"/>
  <c r="L13" i="89"/>
  <c r="H13" i="89" s="1"/>
  <c r="L15" i="89"/>
  <c r="H15" i="89" s="1"/>
  <c r="L29" i="89"/>
  <c r="H29" i="89" s="1"/>
  <c r="L35" i="89"/>
  <c r="H35" i="89" s="1"/>
  <c r="L39" i="89"/>
  <c r="H39" i="89" s="1"/>
  <c r="R53" i="89"/>
  <c r="Z53" i="89"/>
  <c r="L7" i="89"/>
  <c r="H7" i="89" s="1"/>
  <c r="M11" i="89"/>
  <c r="M13" i="89"/>
  <c r="M15" i="89"/>
  <c r="M17" i="89"/>
  <c r="M19" i="89"/>
  <c r="M21" i="89"/>
  <c r="M23" i="89"/>
  <c r="M25" i="89"/>
  <c r="M27" i="89"/>
  <c r="M29" i="89"/>
  <c r="M31" i="89"/>
  <c r="M33" i="89"/>
  <c r="M35" i="89"/>
  <c r="M37" i="89"/>
  <c r="M39" i="89"/>
  <c r="M41" i="89"/>
  <c r="M43" i="89"/>
  <c r="O53" i="89"/>
  <c r="S53" i="89"/>
  <c r="W53" i="89"/>
  <c r="AA53" i="89"/>
  <c r="AE53" i="89"/>
  <c r="L11" i="89"/>
  <c r="H11" i="89" s="1"/>
  <c r="L21" i="89"/>
  <c r="H21" i="89" s="1"/>
  <c r="L23" i="89"/>
  <c r="H23" i="89" s="1"/>
  <c r="L31" i="89"/>
  <c r="H31" i="89" s="1"/>
  <c r="L33" i="89"/>
  <c r="H33" i="89" s="1"/>
  <c r="L37" i="89"/>
  <c r="H37" i="89" s="1"/>
  <c r="L43" i="89"/>
  <c r="H43" i="89" s="1"/>
  <c r="V53" i="89"/>
  <c r="L9" i="89"/>
  <c r="H9" i="89" s="1"/>
  <c r="G6" i="89"/>
  <c r="F52" i="89" s="1"/>
  <c r="J52" i="89" s="1"/>
  <c r="L12" i="89"/>
  <c r="H12" i="89" s="1"/>
  <c r="L14" i="89"/>
  <c r="H14" i="89" s="1"/>
  <c r="L16" i="89"/>
  <c r="H16" i="89" s="1"/>
  <c r="L18" i="89"/>
  <c r="H18" i="89" s="1"/>
  <c r="L20" i="89"/>
  <c r="H20" i="89" s="1"/>
  <c r="L22" i="89"/>
  <c r="H22" i="89" s="1"/>
  <c r="L24" i="89"/>
  <c r="H24" i="89" s="1"/>
  <c r="L26" i="89"/>
  <c r="H26" i="89" s="1"/>
  <c r="L28" i="89"/>
  <c r="H28" i="89" s="1"/>
  <c r="L30" i="89"/>
  <c r="H30" i="89" s="1"/>
  <c r="L32" i="89"/>
  <c r="H32" i="89" s="1"/>
  <c r="L34" i="89"/>
  <c r="H34" i="89" s="1"/>
  <c r="L36" i="89"/>
  <c r="H36" i="89" s="1"/>
  <c r="L38" i="89"/>
  <c r="L40" i="89"/>
  <c r="H40" i="89" s="1"/>
  <c r="L42" i="89"/>
  <c r="H42" i="89" s="1"/>
  <c r="L44" i="89"/>
  <c r="H44" i="89" s="1"/>
  <c r="P53" i="89"/>
  <c r="T53" i="89"/>
  <c r="X53" i="89"/>
  <c r="AB53" i="89"/>
  <c r="AF53" i="89"/>
  <c r="L17" i="89"/>
  <c r="H17" i="89" s="1"/>
  <c r="L19" i="89"/>
  <c r="H19" i="89" s="1"/>
  <c r="L25" i="89"/>
  <c r="H25" i="89" s="1"/>
  <c r="L27" i="89"/>
  <c r="H27" i="89" s="1"/>
  <c r="L41" i="89"/>
  <c r="H41" i="89" s="1"/>
  <c r="Q53" i="89"/>
  <c r="U53" i="89"/>
  <c r="Y53" i="89"/>
  <c r="AC53" i="89"/>
  <c r="H53" i="89" l="1"/>
  <c r="C47" i="89"/>
  <c r="D47" i="89" s="1"/>
  <c r="D46" i="89"/>
  <c r="H52" i="89"/>
  <c r="H45" i="89"/>
  <c r="F54" i="89"/>
  <c r="H46" i="89" l="1"/>
  <c r="H54" i="89"/>
  <c r="J54" i="89"/>
  <c r="G52" i="89"/>
  <c r="G54" i="89" s="1"/>
  <c r="G33" i="35" l="1"/>
  <c r="G41" i="35"/>
  <c r="G42" i="35"/>
  <c r="B28" i="22"/>
  <c r="U11" i="20"/>
  <c r="E21" i="20"/>
  <c r="B52" i="22"/>
  <c r="F17" i="20"/>
  <c r="R11" i="20"/>
  <c r="AG11" i="20"/>
  <c r="C6" i="31"/>
  <c r="B17" i="20"/>
  <c r="C50" i="20"/>
  <c r="P18" i="20"/>
  <c r="C26" i="31"/>
  <c r="B4" i="22"/>
  <c r="R18" i="20"/>
  <c r="U52" i="20"/>
  <c r="C35" i="31"/>
  <c r="S31" i="20"/>
  <c r="C15" i="22"/>
  <c r="F29" i="20"/>
  <c r="C30" i="22"/>
  <c r="F27" i="20"/>
  <c r="C22" i="22"/>
  <c r="B37" i="22"/>
  <c r="B30" i="22"/>
  <c r="X52" i="20"/>
  <c r="B51" i="20"/>
  <c r="C23" i="31"/>
  <c r="C24" i="31"/>
  <c r="C16" i="31"/>
  <c r="C46" i="20"/>
  <c r="B25" i="20"/>
  <c r="B6" i="22"/>
  <c r="B39" i="31"/>
  <c r="F52" i="20"/>
  <c r="C22" i="31"/>
  <c r="C52" i="20"/>
  <c r="T11" i="20"/>
  <c r="AF31" i="20"/>
  <c r="Q13" i="20"/>
  <c r="AB12" i="20"/>
  <c r="V13" i="20"/>
  <c r="AE11" i="20"/>
  <c r="AB14" i="20"/>
  <c r="B49" i="22"/>
  <c r="C2" i="99"/>
  <c r="B19" i="20"/>
  <c r="C47" i="22"/>
  <c r="C42" i="20"/>
  <c r="B32" i="22"/>
  <c r="B45" i="31"/>
  <c r="P14" i="20"/>
  <c r="E38" i="20"/>
  <c r="B29" i="31"/>
  <c r="B40" i="20"/>
  <c r="D52" i="20"/>
  <c r="AD52" i="20"/>
  <c r="B50" i="22"/>
  <c r="C35" i="22"/>
  <c r="S28" i="20"/>
  <c r="V54" i="20"/>
  <c r="AA18" i="20"/>
  <c r="Z18" i="20"/>
  <c r="C24" i="20"/>
  <c r="AF13" i="20"/>
  <c r="U12" i="20"/>
  <c r="B33" i="20"/>
  <c r="C10" i="22"/>
  <c r="B47" i="20"/>
  <c r="F39" i="20"/>
  <c r="S52" i="20"/>
  <c r="X14" i="20"/>
  <c r="B43" i="31"/>
  <c r="AB18" i="20"/>
  <c r="F19" i="20"/>
  <c r="U28" i="20"/>
  <c r="B24" i="31"/>
  <c r="C41" i="20"/>
  <c r="C38" i="31"/>
  <c r="C24" i="22"/>
  <c r="AC13" i="20"/>
  <c r="C11" i="99"/>
  <c r="B47" i="22"/>
  <c r="B33" i="31"/>
  <c r="B15" i="22"/>
  <c r="P52" i="20"/>
  <c r="AA52" i="20"/>
  <c r="S13" i="20"/>
  <c r="Z12" i="20"/>
  <c r="AD18" i="20"/>
  <c r="O54" i="20"/>
  <c r="Y52" i="20"/>
  <c r="Y18" i="20"/>
  <c r="AC52" i="20"/>
  <c r="B50" i="31"/>
  <c r="AE18" i="20"/>
  <c r="C13" i="31"/>
  <c r="B11" i="22"/>
  <c r="B38" i="31"/>
  <c r="D38" i="20"/>
  <c r="B37" i="20"/>
  <c r="F49" i="20"/>
  <c r="B34" i="31"/>
  <c r="AE54" i="20"/>
  <c r="D54" i="20"/>
  <c r="C34" i="31"/>
  <c r="C54" i="20"/>
  <c r="Y38" i="20"/>
  <c r="I16" i="31"/>
  <c r="B46" i="31"/>
  <c r="AE12" i="20"/>
  <c r="X18" i="20"/>
  <c r="B39" i="22"/>
  <c r="F7" i="20"/>
  <c r="P11" i="20"/>
  <c r="C17" i="31"/>
  <c r="D28" i="20"/>
  <c r="C21" i="31"/>
  <c r="C3" i="99"/>
  <c r="O13" i="20"/>
  <c r="B20" i="22"/>
  <c r="C4" i="99"/>
  <c r="C30" i="20"/>
  <c r="Q28" i="20"/>
  <c r="B30" i="20"/>
  <c r="E20" i="20"/>
  <c r="C23" i="22"/>
  <c r="B51" i="22"/>
  <c r="C44" i="20"/>
  <c r="R14" i="20"/>
  <c r="C37" i="20"/>
  <c r="B43" i="20"/>
  <c r="F12" i="20"/>
  <c r="B35" i="31"/>
  <c r="B32" i="31"/>
  <c r="N11" i="20"/>
  <c r="F33" i="20"/>
  <c r="B41" i="20"/>
  <c r="C27" i="31"/>
  <c r="B6" i="20"/>
  <c r="C8" i="99"/>
  <c r="C51" i="31"/>
  <c r="B11" i="20"/>
  <c r="C37" i="31"/>
  <c r="P54" i="20"/>
  <c r="W54" i="20"/>
  <c r="AG18" i="20"/>
  <c r="B54" i="20"/>
  <c r="C10" i="20"/>
  <c r="B10" i="22"/>
  <c r="C27" i="20"/>
  <c r="C20" i="22"/>
  <c r="B18" i="20"/>
  <c r="B52" i="20"/>
  <c r="B9" i="20"/>
  <c r="S54" i="20"/>
  <c r="C25" i="20"/>
  <c r="B12" i="31"/>
  <c r="C50" i="22"/>
  <c r="AC18" i="20"/>
  <c r="F35" i="20"/>
  <c r="C52" i="31"/>
  <c r="B16" i="31"/>
  <c r="B19" i="31"/>
  <c r="R54" i="20"/>
  <c r="C11" i="22"/>
  <c r="C12" i="99"/>
  <c r="B44" i="20"/>
  <c r="Y31" i="20"/>
  <c r="C29" i="20"/>
  <c r="X54" i="20"/>
  <c r="C18" i="31"/>
  <c r="C33" i="20"/>
  <c r="C20" i="31"/>
  <c r="B49" i="31"/>
  <c r="AD31" i="20"/>
  <c r="W14" i="20"/>
  <c r="C30" i="31"/>
  <c r="B6" i="31"/>
  <c r="C39" i="31"/>
  <c r="B18" i="31"/>
  <c r="B41" i="22"/>
  <c r="AD38" i="20"/>
  <c r="E11" i="20"/>
  <c r="B5" i="31"/>
  <c r="C19" i="20"/>
  <c r="AG13" i="20"/>
  <c r="AA38" i="20"/>
  <c r="Q54" i="20"/>
  <c r="W11" i="20"/>
  <c r="B15" i="31"/>
  <c r="AG54" i="20"/>
  <c r="AC38" i="20"/>
  <c r="AF28" i="20"/>
  <c r="C49" i="22"/>
  <c r="F40" i="20"/>
  <c r="C23" i="20"/>
  <c r="Z14" i="20"/>
  <c r="AG52" i="20"/>
  <c r="C3" i="31"/>
  <c r="E49" i="20"/>
  <c r="R31" i="20"/>
  <c r="X11" i="20"/>
  <c r="F10" i="20"/>
  <c r="B17" i="22"/>
  <c r="V28" i="20"/>
  <c r="F41" i="20"/>
  <c r="V18" i="20"/>
  <c r="E31" i="20"/>
  <c r="D31" i="20"/>
  <c r="O11" i="20"/>
  <c r="F18" i="20"/>
  <c r="C31" i="22"/>
  <c r="F26" i="20"/>
  <c r="B25" i="31"/>
  <c r="B16" i="20"/>
  <c r="B36" i="31"/>
  <c r="B41" i="31"/>
  <c r="B14" i="31"/>
  <c r="AB38" i="20"/>
  <c r="C50" i="31"/>
  <c r="B29" i="20"/>
  <c r="X28" i="20"/>
  <c r="F48" i="20"/>
  <c r="C31" i="20"/>
  <c r="C14" i="22"/>
  <c r="B46" i="22"/>
  <c r="B24" i="22"/>
  <c r="AC31" i="20"/>
  <c r="F8" i="20"/>
  <c r="B28" i="31"/>
  <c r="AB11" i="20"/>
  <c r="B21" i="22"/>
  <c r="B32" i="20"/>
  <c r="Y12" i="20"/>
  <c r="B20" i="20"/>
  <c r="T28" i="20"/>
  <c r="AE13" i="20"/>
  <c r="C4" i="31"/>
  <c r="F30" i="20"/>
  <c r="B22" i="31"/>
  <c r="W28" i="20"/>
  <c r="H31" i="20"/>
  <c r="B26" i="22"/>
  <c r="H18" i="20"/>
  <c r="C4" i="22"/>
  <c r="AD28" i="20"/>
  <c r="Y14" i="20"/>
  <c r="B26" i="20"/>
  <c r="B27" i="22"/>
  <c r="B48" i="31"/>
  <c r="C15" i="31"/>
  <c r="F14" i="20"/>
  <c r="B51" i="31"/>
  <c r="S38" i="20"/>
  <c r="V11" i="20"/>
  <c r="F53" i="20"/>
  <c r="B3" i="22"/>
  <c r="AE38" i="20"/>
  <c r="C21" i="22"/>
  <c r="E54" i="20"/>
  <c r="E28" i="20"/>
  <c r="P38" i="20"/>
  <c r="B5" i="22"/>
  <c r="C44" i="31"/>
  <c r="Z28" i="20"/>
  <c r="U18" i="20"/>
  <c r="N54" i="20"/>
  <c r="C28" i="31"/>
  <c r="S18" i="20"/>
  <c r="Z11" i="20"/>
  <c r="O52" i="20"/>
  <c r="X13" i="20"/>
  <c r="P13" i="20"/>
  <c r="C5" i="31"/>
  <c r="C39" i="22"/>
  <c r="I52" i="31"/>
  <c r="W52" i="20"/>
  <c r="F23" i="20"/>
  <c r="C43" i="31"/>
  <c r="AE28" i="20"/>
  <c r="AC11" i="20"/>
  <c r="R52" i="20"/>
  <c r="B31" i="31"/>
  <c r="P28" i="20"/>
  <c r="P31" i="20"/>
  <c r="Q52" i="20"/>
  <c r="C34" i="20"/>
  <c r="AA11" i="20"/>
  <c r="W18" i="20"/>
  <c r="B31" i="22"/>
  <c r="C32" i="31"/>
  <c r="C7" i="99"/>
  <c r="W38" i="20"/>
  <c r="F16" i="20"/>
  <c r="Y11" i="20"/>
  <c r="C41" i="31"/>
  <c r="T13" i="20"/>
  <c r="B52" i="31"/>
  <c r="C17" i="22"/>
  <c r="C8" i="22"/>
  <c r="AG31" i="20"/>
  <c r="AE31" i="20"/>
  <c r="F28" i="20"/>
  <c r="Z13" i="20"/>
  <c r="C42" i="22"/>
  <c r="AF11" i="20"/>
  <c r="C20" i="20"/>
  <c r="O31" i="20"/>
  <c r="C5" i="20"/>
  <c r="B33" i="22"/>
  <c r="AD11" i="20"/>
  <c r="C38" i="20"/>
  <c r="AF12" i="20"/>
  <c r="B15" i="20"/>
  <c r="V12" i="20"/>
  <c r="C45" i="31"/>
  <c r="C51" i="20"/>
  <c r="B7" i="31"/>
  <c r="F51" i="20"/>
  <c r="C48" i="31"/>
  <c r="C52" i="22"/>
  <c r="T12" i="20"/>
  <c r="I36" i="31"/>
  <c r="C11" i="31"/>
  <c r="W31" i="20"/>
  <c r="B10" i="20"/>
  <c r="C9" i="20"/>
  <c r="N14" i="20"/>
  <c r="AF54" i="20"/>
  <c r="V52" i="20"/>
  <c r="AC14" i="20"/>
  <c r="C47" i="20"/>
  <c r="C39" i="20"/>
  <c r="Q31" i="20"/>
  <c r="C33" i="31"/>
  <c r="C18" i="20"/>
  <c r="F6" i="20"/>
  <c r="C14" i="31"/>
  <c r="AG38" i="20"/>
  <c r="C9" i="22"/>
  <c r="C12" i="31"/>
  <c r="C29" i="31"/>
  <c r="B7" i="20"/>
  <c r="F43" i="20"/>
  <c r="C10" i="31"/>
  <c r="B40" i="22"/>
  <c r="B48" i="22"/>
  <c r="B36" i="20"/>
  <c r="Q18" i="20"/>
  <c r="B13" i="22"/>
  <c r="B13" i="31"/>
  <c r="B45" i="22"/>
  <c r="Y13" i="20"/>
  <c r="C26" i="20"/>
  <c r="AE52" i="20"/>
  <c r="C7" i="31"/>
  <c r="B42" i="31"/>
  <c r="B22" i="20"/>
  <c r="N31" i="20"/>
  <c r="AB52" i="20"/>
  <c r="C36" i="20"/>
  <c r="AA12" i="20"/>
  <c r="B12" i="22"/>
  <c r="T38" i="20"/>
  <c r="AA28" i="20"/>
  <c r="B45" i="20"/>
  <c r="F25" i="20"/>
  <c r="B26" i="31"/>
  <c r="AF14" i="20"/>
  <c r="W13" i="20"/>
  <c r="B10" i="31"/>
  <c r="B8" i="31"/>
  <c r="B40" i="31"/>
  <c r="C26" i="22"/>
  <c r="B16" i="22"/>
  <c r="F13" i="20"/>
  <c r="F38" i="20"/>
  <c r="B53" i="20"/>
  <c r="C43" i="22"/>
  <c r="B9" i="31"/>
  <c r="AG12" i="20"/>
  <c r="D18" i="20"/>
  <c r="Y54" i="20"/>
  <c r="C5" i="22"/>
  <c r="S12" i="20"/>
  <c r="B39" i="20"/>
  <c r="F45" i="20"/>
  <c r="C34" i="22"/>
  <c r="U31" i="20"/>
  <c r="B8" i="22"/>
  <c r="C38" i="22"/>
  <c r="AC28" i="20"/>
  <c r="B23" i="31"/>
  <c r="B12" i="20"/>
  <c r="H38" i="20"/>
  <c r="B5" i="20"/>
  <c r="AC12" i="20"/>
  <c r="N12" i="20"/>
  <c r="N18" i="20"/>
  <c r="C27" i="22"/>
  <c r="P12" i="20"/>
  <c r="AA13" i="20"/>
  <c r="X38" i="20"/>
  <c r="C42" i="31"/>
  <c r="T54" i="20"/>
  <c r="V31" i="20"/>
  <c r="C12" i="20"/>
  <c r="B23" i="20"/>
  <c r="E18" i="20"/>
  <c r="B36" i="22"/>
  <c r="C32" i="20"/>
  <c r="C25" i="22"/>
  <c r="I26" i="31"/>
  <c r="B49" i="20"/>
  <c r="B44" i="31"/>
  <c r="N13" i="20"/>
  <c r="F11" i="20"/>
  <c r="B17" i="31"/>
  <c r="R28" i="20"/>
  <c r="B31" i="20"/>
  <c r="O12" i="20"/>
  <c r="C6" i="20"/>
  <c r="C15" i="20"/>
  <c r="V14" i="20"/>
  <c r="B20" i="31"/>
  <c r="C35" i="20"/>
  <c r="F46" i="20"/>
  <c r="Q12" i="20"/>
  <c r="C40" i="20"/>
  <c r="E13" i="20"/>
  <c r="AE14" i="20"/>
  <c r="B8" i="20"/>
  <c r="T14" i="20"/>
  <c r="W12" i="20"/>
  <c r="C22" i="20"/>
  <c r="Q38" i="20"/>
  <c r="H52" i="20"/>
  <c r="C25" i="31"/>
  <c r="T18" i="20"/>
  <c r="R12" i="20"/>
  <c r="B30" i="31"/>
  <c r="B38" i="20"/>
  <c r="AB31" i="20"/>
  <c r="C48" i="20"/>
  <c r="B42" i="20"/>
  <c r="B9" i="22"/>
  <c r="U14" i="20"/>
  <c r="O14" i="20"/>
  <c r="C18" i="22"/>
  <c r="Q11" i="20"/>
  <c r="F44" i="20"/>
  <c r="B13" i="20"/>
  <c r="B48" i="20"/>
  <c r="C41" i="22"/>
  <c r="F37" i="20"/>
  <c r="B29" i="22"/>
  <c r="Z54" i="20"/>
  <c r="U54" i="20"/>
  <c r="C36" i="22"/>
  <c r="AG14" i="20"/>
  <c r="V38" i="20"/>
  <c r="B19" i="22"/>
  <c r="F21" i="20"/>
  <c r="C46" i="22"/>
  <c r="Y28" i="20"/>
  <c r="B38" i="22"/>
  <c r="C53" i="20"/>
  <c r="B24" i="20"/>
  <c r="B44" i="22"/>
  <c r="AF18" i="20"/>
  <c r="C40" i="31"/>
  <c r="C7" i="22"/>
  <c r="B7" i="22"/>
  <c r="C16" i="20"/>
  <c r="F50" i="20"/>
  <c r="AC54" i="20"/>
  <c r="N38" i="20"/>
  <c r="N52" i="20"/>
  <c r="AA14" i="20"/>
  <c r="C44" i="22"/>
  <c r="AD14" i="20"/>
  <c r="U13" i="20"/>
  <c r="O38" i="20"/>
  <c r="C21" i="20"/>
  <c r="Q14" i="20"/>
  <c r="B35" i="22"/>
  <c r="C9" i="99"/>
  <c r="C16" i="22"/>
  <c r="U38" i="20"/>
  <c r="F54" i="20"/>
  <c r="C49" i="20"/>
  <c r="C29" i="22"/>
  <c r="C49" i="31"/>
  <c r="C10" i="99"/>
  <c r="O18" i="20"/>
  <c r="C3" i="22"/>
  <c r="B42" i="22"/>
  <c r="S11" i="20"/>
  <c r="O28" i="20"/>
  <c r="C51" i="22"/>
  <c r="AA31" i="20"/>
  <c r="Z38" i="20"/>
  <c r="AD13" i="20"/>
  <c r="I29" i="31"/>
  <c r="B11" i="31"/>
  <c r="C8" i="31"/>
  <c r="C46" i="31"/>
  <c r="S14" i="20"/>
  <c r="B14" i="22"/>
  <c r="C14" i="20"/>
  <c r="C9" i="31"/>
  <c r="AA54" i="20"/>
  <c r="AD12" i="20"/>
  <c r="AB28" i="20"/>
  <c r="B22" i="22"/>
  <c r="F24" i="20"/>
  <c r="C19" i="22"/>
  <c r="C13" i="20"/>
  <c r="T52" i="20"/>
  <c r="C37" i="22"/>
  <c r="AF38" i="20"/>
  <c r="B3" i="31"/>
  <c r="C28" i="22"/>
  <c r="C28" i="20"/>
  <c r="C33" i="22"/>
  <c r="R13" i="20"/>
  <c r="C7" i="20"/>
  <c r="AG28" i="20"/>
  <c r="Z31" i="20"/>
  <c r="X12" i="20"/>
  <c r="B28" i="20"/>
  <c r="B46" i="20"/>
  <c r="B21" i="31"/>
  <c r="R38" i="20"/>
  <c r="C5" i="99"/>
  <c r="AB13" i="20"/>
  <c r="C32" i="22"/>
  <c r="F34" i="20"/>
  <c r="C48" i="22"/>
  <c r="T31" i="20"/>
  <c r="B21" i="20"/>
  <c r="C6" i="22"/>
  <c r="B47" i="31"/>
  <c r="AD54" i="20"/>
  <c r="B18" i="22"/>
  <c r="H54" i="20"/>
  <c r="B37" i="31"/>
  <c r="C45" i="20"/>
  <c r="F22" i="20"/>
  <c r="F9" i="20"/>
  <c r="H28" i="20"/>
  <c r="B43" i="22"/>
  <c r="B50" i="20"/>
  <c r="F5" i="20"/>
  <c r="B35" i="20"/>
  <c r="C13" i="22"/>
  <c r="C17" i="20"/>
  <c r="C6" i="99"/>
  <c r="C43" i="20"/>
  <c r="B34" i="20"/>
  <c r="E52" i="20"/>
  <c r="B27" i="31"/>
  <c r="F36" i="20"/>
  <c r="N28" i="20"/>
  <c r="I11" i="31"/>
  <c r="B23" i="22"/>
  <c r="F47" i="20"/>
  <c r="C8" i="20"/>
  <c r="C47" i="31"/>
  <c r="C12" i="22"/>
  <c r="B34" i="22"/>
  <c r="X31" i="20"/>
  <c r="C11" i="20"/>
  <c r="F32" i="20"/>
  <c r="C45" i="22"/>
  <c r="B25" i="22"/>
  <c r="F20" i="20"/>
  <c r="C31" i="31"/>
  <c r="Z52" i="20"/>
  <c r="B4" i="31"/>
  <c r="C36" i="31"/>
  <c r="AF52" i="20"/>
  <c r="B14" i="20"/>
  <c r="F31" i="20"/>
  <c r="C19" i="31"/>
  <c r="AB54" i="20"/>
  <c r="F15" i="20"/>
  <c r="I50" i="31"/>
  <c r="F42" i="20"/>
  <c r="B27" i="20"/>
  <c r="C40" i="22"/>
  <c r="K50" i="31" l="1"/>
  <c r="AH28" i="20"/>
  <c r="AH52" i="20"/>
  <c r="AH38" i="20"/>
  <c r="AH13" i="20"/>
  <c r="AH18" i="20"/>
  <c r="AH12" i="20"/>
  <c r="G18" i="20"/>
  <c r="K18" i="20" s="1"/>
  <c r="AH31" i="20"/>
  <c r="AH14" i="20"/>
  <c r="K52" i="31"/>
  <c r="AH54" i="20"/>
  <c r="G31" i="20"/>
  <c r="AH11" i="20"/>
  <c r="G28" i="20"/>
  <c r="J28" i="20" s="1"/>
  <c r="G54" i="20"/>
  <c r="G38" i="20"/>
  <c r="J38" i="20" s="1"/>
  <c r="G52" i="20"/>
  <c r="I52" i="20" s="1"/>
  <c r="G13" i="20"/>
  <c r="L28" i="20"/>
  <c r="L38" i="20"/>
  <c r="M28" i="20"/>
  <c r="M38" i="20"/>
  <c r="G40" i="88"/>
  <c r="G39" i="88"/>
  <c r="G38" i="88"/>
  <c r="G37" i="88"/>
  <c r="G36" i="88"/>
  <c r="G35" i="88"/>
  <c r="G34" i="88"/>
  <c r="G33" i="88"/>
  <c r="G32" i="88"/>
  <c r="G31" i="88"/>
  <c r="G30" i="88"/>
  <c r="G29" i="88"/>
  <c r="G28" i="88"/>
  <c r="G27" i="88"/>
  <c r="G26" i="88"/>
  <c r="G25" i="88"/>
  <c r="G24" i="88"/>
  <c r="G23" i="88"/>
  <c r="G22" i="88"/>
  <c r="G21" i="88"/>
  <c r="G20" i="88"/>
  <c r="G19" i="88"/>
  <c r="G18" i="88"/>
  <c r="G17" i="88"/>
  <c r="G16" i="88"/>
  <c r="G15" i="88"/>
  <c r="G14" i="88"/>
  <c r="G13" i="88"/>
  <c r="G12" i="88"/>
  <c r="G11" i="88"/>
  <c r="G10" i="88"/>
  <c r="G9" i="88"/>
  <c r="G8" i="88"/>
  <c r="G7" i="88"/>
  <c r="M6" i="88"/>
  <c r="G6" i="88"/>
  <c r="L18" i="20" l="1"/>
  <c r="J52" i="20"/>
  <c r="K38" i="20"/>
  <c r="I38" i="20"/>
  <c r="M54" i="20"/>
  <c r="K54" i="20"/>
  <c r="J54" i="20"/>
  <c r="L54" i="20"/>
  <c r="I54" i="20"/>
  <c r="M18" i="20"/>
  <c r="I18" i="20"/>
  <c r="I28" i="20"/>
  <c r="J18" i="20"/>
  <c r="M52" i="20"/>
  <c r="K52" i="20"/>
  <c r="L52" i="20"/>
  <c r="M13" i="20"/>
  <c r="I13" i="20"/>
  <c r="K13" i="20"/>
  <c r="J13" i="20"/>
  <c r="K28" i="20"/>
  <c r="E26" i="22" s="1"/>
  <c r="L13" i="20"/>
  <c r="I31" i="20"/>
  <c r="L31" i="20"/>
  <c r="K31" i="20"/>
  <c r="M31" i="20"/>
  <c r="J31" i="20"/>
  <c r="D36" i="31"/>
  <c r="E36" i="22"/>
  <c r="D16" i="31"/>
  <c r="E16" i="22"/>
  <c r="M18" i="88"/>
  <c r="M20" i="88"/>
  <c r="M10" i="88"/>
  <c r="M14" i="88"/>
  <c r="M21" i="88"/>
  <c r="M22" i="88"/>
  <c r="M16" i="88"/>
  <c r="M19" i="88"/>
  <c r="M23" i="88"/>
  <c r="M17" i="88"/>
  <c r="M8" i="88"/>
  <c r="M12" i="88"/>
  <c r="M40" i="88"/>
  <c r="L28" i="88"/>
  <c r="H28" i="88" s="1"/>
  <c r="R49" i="88"/>
  <c r="V49" i="88"/>
  <c r="O48" i="88"/>
  <c r="L22" i="88"/>
  <c r="H22" i="88" s="1"/>
  <c r="M24" i="88"/>
  <c r="L26" i="88"/>
  <c r="H26" i="88" s="1"/>
  <c r="M30" i="88"/>
  <c r="L10" i="88"/>
  <c r="H10" i="88" s="1"/>
  <c r="L14" i="88"/>
  <c r="H14" i="88" s="1"/>
  <c r="M27" i="88"/>
  <c r="L18" i="88"/>
  <c r="H18" i="88" s="1"/>
  <c r="AD49" i="88"/>
  <c r="M25" i="88"/>
  <c r="M26" i="88"/>
  <c r="M32" i="88"/>
  <c r="M34" i="88"/>
  <c r="M36" i="88"/>
  <c r="M38" i="88"/>
  <c r="L30" i="88"/>
  <c r="H30" i="88" s="1"/>
  <c r="L32" i="88"/>
  <c r="H32" i="88" s="1"/>
  <c r="L34" i="88"/>
  <c r="H34" i="88" s="1"/>
  <c r="L36" i="88"/>
  <c r="L38" i="88"/>
  <c r="L40" i="88"/>
  <c r="Z49" i="88"/>
  <c r="M28" i="88"/>
  <c r="L8" i="88"/>
  <c r="H8" i="88" s="1"/>
  <c r="L12" i="88"/>
  <c r="H12" i="88" s="1"/>
  <c r="AG49" i="88"/>
  <c r="N49" i="88"/>
  <c r="L16" i="88"/>
  <c r="H16" i="88" s="1"/>
  <c r="L20" i="88"/>
  <c r="H20" i="88" s="1"/>
  <c r="L24" i="88"/>
  <c r="H24" i="88" s="1"/>
  <c r="M29" i="88"/>
  <c r="M31" i="88"/>
  <c r="M33" i="88"/>
  <c r="M35" i="88"/>
  <c r="M37" i="88"/>
  <c r="M39" i="88"/>
  <c r="L11" i="88"/>
  <c r="H11" i="88" s="1"/>
  <c r="L13" i="88"/>
  <c r="H13" i="88" s="1"/>
  <c r="L15" i="88"/>
  <c r="H15" i="88" s="1"/>
  <c r="L17" i="88"/>
  <c r="H17" i="88" s="1"/>
  <c r="L19" i="88"/>
  <c r="H19" i="88" s="1"/>
  <c r="L21" i="88"/>
  <c r="H21" i="88" s="1"/>
  <c r="L23" i="88"/>
  <c r="H23" i="88" s="1"/>
  <c r="L25" i="88"/>
  <c r="H25" i="88" s="1"/>
  <c r="L27" i="88"/>
  <c r="H27" i="88" s="1"/>
  <c r="L29" i="88"/>
  <c r="H29" i="88" s="1"/>
  <c r="L31" i="88"/>
  <c r="L33" i="88"/>
  <c r="H33" i="88" s="1"/>
  <c r="L35" i="88"/>
  <c r="L37" i="88"/>
  <c r="L39" i="88"/>
  <c r="O49" i="88"/>
  <c r="S49" i="88"/>
  <c r="W49" i="88"/>
  <c r="AA49" i="88"/>
  <c r="AE49" i="88"/>
  <c r="L7" i="88"/>
  <c r="H7" i="88" s="1"/>
  <c r="M7" i="88"/>
  <c r="M11" i="88"/>
  <c r="M13" i="88"/>
  <c r="M15" i="88"/>
  <c r="P49" i="88"/>
  <c r="T49" i="88"/>
  <c r="X49" i="88"/>
  <c r="AB49" i="88"/>
  <c r="AF49" i="88"/>
  <c r="I41" i="88"/>
  <c r="L9" i="88"/>
  <c r="H9" i="88" s="1"/>
  <c r="M9" i="88"/>
  <c r="L6" i="88"/>
  <c r="Q49" i="88"/>
  <c r="U49" i="88"/>
  <c r="Y49" i="88"/>
  <c r="AC49" i="88"/>
  <c r="V20" i="20"/>
  <c r="D20" i="20"/>
  <c r="Z20" i="20"/>
  <c r="R20" i="20"/>
  <c r="Y20" i="20"/>
  <c r="X20" i="20"/>
  <c r="N20" i="20"/>
  <c r="AF20" i="20"/>
  <c r="AC20" i="20"/>
  <c r="AB20" i="20"/>
  <c r="Q20" i="20"/>
  <c r="W20" i="20"/>
  <c r="AA20" i="20"/>
  <c r="U20" i="20"/>
  <c r="AD20" i="20"/>
  <c r="AG20" i="20"/>
  <c r="O20" i="20"/>
  <c r="T20" i="20"/>
  <c r="S20" i="20"/>
  <c r="P20" i="20"/>
  <c r="AE20" i="20"/>
  <c r="D26" i="31" l="1"/>
  <c r="D11" i="31"/>
  <c r="E11" i="22"/>
  <c r="E52" i="22"/>
  <c r="D52" i="31"/>
  <c r="D50" i="31"/>
  <c r="E50" i="22"/>
  <c r="E29" i="22"/>
  <c r="D29" i="31"/>
  <c r="G20" i="20"/>
  <c r="AH20" i="20"/>
  <c r="H41" i="88"/>
  <c r="C43" i="88"/>
  <c r="D42" i="88" s="1"/>
  <c r="I18" i="31"/>
  <c r="H20" i="20"/>
  <c r="I20" i="20" l="1"/>
  <c r="M20" i="20"/>
  <c r="K20" i="20"/>
  <c r="L20" i="20"/>
  <c r="J20" i="20"/>
  <c r="D43" i="88"/>
  <c r="H42" i="88"/>
  <c r="E18" i="22" l="1"/>
  <c r="D18" i="31"/>
  <c r="G40" i="85"/>
  <c r="G39" i="85"/>
  <c r="G38" i="85"/>
  <c r="C44" i="85" s="1"/>
  <c r="G37" i="85"/>
  <c r="G36" i="85"/>
  <c r="G35" i="85"/>
  <c r="G34" i="85"/>
  <c r="G33" i="85"/>
  <c r="G32" i="85"/>
  <c r="G31" i="85"/>
  <c r="G30" i="85"/>
  <c r="G29" i="85"/>
  <c r="G28" i="85"/>
  <c r="G27" i="85"/>
  <c r="G26" i="85"/>
  <c r="G25" i="85"/>
  <c r="G24" i="85"/>
  <c r="G23" i="85"/>
  <c r="G22" i="85"/>
  <c r="G21" i="85"/>
  <c r="G20" i="85"/>
  <c r="G19" i="85"/>
  <c r="G18" i="85"/>
  <c r="G17" i="85"/>
  <c r="G16" i="85"/>
  <c r="G15" i="85"/>
  <c r="G14" i="85"/>
  <c r="G13" i="85"/>
  <c r="G12" i="85"/>
  <c r="G11" i="85"/>
  <c r="G10" i="85"/>
  <c r="G9" i="85"/>
  <c r="G8" i="85"/>
  <c r="G7" i="85"/>
  <c r="G6" i="85"/>
  <c r="E53" i="20"/>
  <c r="L6" i="85" l="1"/>
  <c r="AG49" i="85"/>
  <c r="O48" i="85"/>
  <c r="M8" i="85"/>
  <c r="M10" i="85"/>
  <c r="L12" i="85"/>
  <c r="H12" i="85" s="1"/>
  <c r="L14" i="85"/>
  <c r="H14" i="85" s="1"/>
  <c r="M16" i="85"/>
  <c r="L18" i="85"/>
  <c r="H18" i="85" s="1"/>
  <c r="L22" i="85"/>
  <c r="H22" i="85" s="1"/>
  <c r="L24" i="85"/>
  <c r="H24" i="85" s="1"/>
  <c r="L26" i="85"/>
  <c r="H26" i="85" s="1"/>
  <c r="L28" i="85"/>
  <c r="H28" i="85" s="1"/>
  <c r="L30" i="85"/>
  <c r="H30" i="85" s="1"/>
  <c r="L32" i="85"/>
  <c r="H32" i="85" s="1"/>
  <c r="L34" i="85"/>
  <c r="H34" i="85" s="1"/>
  <c r="L36" i="85"/>
  <c r="H36" i="85" s="1"/>
  <c r="I41" i="85"/>
  <c r="L7" i="85"/>
  <c r="H7" i="85" s="1"/>
  <c r="L9" i="85"/>
  <c r="H9" i="85" s="1"/>
  <c r="L11" i="85"/>
  <c r="H11" i="85" s="1"/>
  <c r="M13" i="85"/>
  <c r="M15" i="85"/>
  <c r="L17" i="85"/>
  <c r="H17" i="85" s="1"/>
  <c r="L19" i="85"/>
  <c r="H19" i="85" s="1"/>
  <c r="M20" i="85"/>
  <c r="L21" i="85"/>
  <c r="H21" i="85" s="1"/>
  <c r="M23" i="85"/>
  <c r="L25" i="85"/>
  <c r="H25" i="85" s="1"/>
  <c r="L27" i="85"/>
  <c r="H27" i="85" s="1"/>
  <c r="L29" i="85"/>
  <c r="H29" i="85" s="1"/>
  <c r="L31" i="85"/>
  <c r="H31" i="85" s="1"/>
  <c r="L33" i="85"/>
  <c r="H33" i="85" s="1"/>
  <c r="L35" i="85"/>
  <c r="H35" i="85" s="1"/>
  <c r="L37" i="85"/>
  <c r="H37" i="85" s="1"/>
  <c r="L38" i="85"/>
  <c r="H38" i="85" s="1"/>
  <c r="L39" i="85"/>
  <c r="L40" i="85"/>
  <c r="L8" i="85"/>
  <c r="H8" i="85" s="1"/>
  <c r="L10" i="85"/>
  <c r="H10" i="85" s="1"/>
  <c r="L13" i="85"/>
  <c r="H13" i="85" s="1"/>
  <c r="L15" i="85"/>
  <c r="H15" i="85" s="1"/>
  <c r="L16" i="85"/>
  <c r="H16" i="85" s="1"/>
  <c r="L20" i="85"/>
  <c r="L23" i="85"/>
  <c r="H23" i="85" s="1"/>
  <c r="M6" i="85"/>
  <c r="M7" i="85"/>
  <c r="M9" i="85"/>
  <c r="M11" i="85"/>
  <c r="M12" i="85"/>
  <c r="M14" i="85"/>
  <c r="M17" i="85"/>
  <c r="M18" i="85"/>
  <c r="M19" i="85"/>
  <c r="M21" i="85"/>
  <c r="M22" i="85"/>
  <c r="M24" i="85"/>
  <c r="M25" i="85"/>
  <c r="M26" i="85"/>
  <c r="M27" i="85"/>
  <c r="M28" i="85"/>
  <c r="M29" i="85"/>
  <c r="M30" i="85"/>
  <c r="M31" i="85"/>
  <c r="M32" i="85"/>
  <c r="M33" i="85"/>
  <c r="M34" i="85"/>
  <c r="M35" i="85"/>
  <c r="M36" i="85"/>
  <c r="M37" i="85"/>
  <c r="M38" i="85"/>
  <c r="M39" i="85"/>
  <c r="M40" i="85"/>
  <c r="N49" i="85"/>
  <c r="P49" i="85"/>
  <c r="R49" i="85"/>
  <c r="T49" i="85"/>
  <c r="V49" i="85"/>
  <c r="X49" i="85"/>
  <c r="Z49" i="85"/>
  <c r="AB49" i="85"/>
  <c r="AD49" i="85"/>
  <c r="AF49" i="85"/>
  <c r="O49" i="85"/>
  <c r="Q49" i="85"/>
  <c r="S49" i="85"/>
  <c r="U49" i="85"/>
  <c r="W49" i="85"/>
  <c r="Y49" i="85"/>
  <c r="AA49" i="85"/>
  <c r="AC49" i="85"/>
  <c r="AE49" i="85"/>
  <c r="AG53" i="20"/>
  <c r="Q53" i="20"/>
  <c r="R53" i="20"/>
  <c r="AA53" i="20"/>
  <c r="AC53" i="20"/>
  <c r="Z53" i="20"/>
  <c r="S53" i="20"/>
  <c r="W53" i="20"/>
  <c r="Y53" i="20"/>
  <c r="AF53" i="20"/>
  <c r="P53" i="20"/>
  <c r="X53" i="20"/>
  <c r="AB53" i="20"/>
  <c r="D53" i="20"/>
  <c r="N53" i="20"/>
  <c r="AD53" i="20"/>
  <c r="T53" i="20"/>
  <c r="V53" i="20"/>
  <c r="AE53" i="20"/>
  <c r="U53" i="20"/>
  <c r="O53" i="20"/>
  <c r="AH53" i="20" l="1"/>
  <c r="G53" i="20"/>
  <c r="D42" i="85"/>
  <c r="C43" i="85"/>
  <c r="D43" i="85" s="1"/>
  <c r="L53" i="20" l="1"/>
  <c r="M53" i="20"/>
  <c r="J53" i="20"/>
  <c r="K53" i="20"/>
  <c r="G40" i="84"/>
  <c r="G39" i="84"/>
  <c r="G38" i="84"/>
  <c r="G37" i="84"/>
  <c r="G36" i="84"/>
  <c r="G35" i="84"/>
  <c r="G34" i="84"/>
  <c r="G33" i="84"/>
  <c r="G32" i="84"/>
  <c r="G31" i="84"/>
  <c r="G30" i="84"/>
  <c r="G29" i="84"/>
  <c r="G28" i="84"/>
  <c r="G27" i="84"/>
  <c r="G26" i="84"/>
  <c r="G25" i="84"/>
  <c r="G24" i="84"/>
  <c r="G23" i="84"/>
  <c r="G22" i="84"/>
  <c r="G21" i="84"/>
  <c r="G20" i="84"/>
  <c r="G19" i="84"/>
  <c r="G18" i="84"/>
  <c r="G17" i="84"/>
  <c r="G16" i="84"/>
  <c r="G15" i="84"/>
  <c r="G14" i="84"/>
  <c r="G13" i="84"/>
  <c r="G12" i="84"/>
  <c r="G11" i="84"/>
  <c r="G10" i="84"/>
  <c r="G9" i="84"/>
  <c r="G8" i="84"/>
  <c r="G7" i="84"/>
  <c r="M6" i="84"/>
  <c r="E51" i="22" l="1"/>
  <c r="D51" i="31"/>
  <c r="AG49" i="84"/>
  <c r="I41" i="84"/>
  <c r="G6" i="84"/>
  <c r="L7" i="84"/>
  <c r="H7" i="84" s="1"/>
  <c r="L9" i="84"/>
  <c r="H9" i="84" s="1"/>
  <c r="L11" i="84"/>
  <c r="H11" i="84" s="1"/>
  <c r="L12" i="84"/>
  <c r="H12" i="84" s="1"/>
  <c r="L13" i="84"/>
  <c r="H13" i="84" s="1"/>
  <c r="L14" i="84"/>
  <c r="H14" i="84" s="1"/>
  <c r="L15" i="84"/>
  <c r="H15" i="84" s="1"/>
  <c r="L16" i="84"/>
  <c r="H16" i="84" s="1"/>
  <c r="L17" i="84"/>
  <c r="H17" i="84" s="1"/>
  <c r="L18" i="84"/>
  <c r="H18" i="84" s="1"/>
  <c r="L20" i="84"/>
  <c r="H20" i="84" s="1"/>
  <c r="L21" i="84"/>
  <c r="H21" i="84" s="1"/>
  <c r="L22" i="84"/>
  <c r="H22" i="84" s="1"/>
  <c r="L23" i="84"/>
  <c r="H23" i="84" s="1"/>
  <c r="L26" i="84"/>
  <c r="H26" i="84" s="1"/>
  <c r="L6" i="84"/>
  <c r="O48" i="84"/>
  <c r="L8" i="84"/>
  <c r="H8" i="84" s="1"/>
  <c r="L10" i="84"/>
  <c r="H10" i="84" s="1"/>
  <c r="L19" i="84"/>
  <c r="H19" i="84" s="1"/>
  <c r="L24" i="84"/>
  <c r="H24" i="84" s="1"/>
  <c r="L25" i="84"/>
  <c r="H25" i="84" s="1"/>
  <c r="L27" i="84"/>
  <c r="H27" i="84" s="1"/>
  <c r="L28" i="84"/>
  <c r="H28" i="84" s="1"/>
  <c r="L29" i="84"/>
  <c r="H29" i="84" s="1"/>
  <c r="L30" i="84"/>
  <c r="L31" i="84"/>
  <c r="L32" i="84"/>
  <c r="L33" i="84"/>
  <c r="L34" i="84"/>
  <c r="L35" i="84"/>
  <c r="L36" i="84"/>
  <c r="L37" i="84"/>
  <c r="L38" i="84"/>
  <c r="L39" i="84"/>
  <c r="L40" i="84"/>
  <c r="M7" i="84"/>
  <c r="M8" i="84"/>
  <c r="M9" i="84"/>
  <c r="M10" i="84"/>
  <c r="M11" i="84"/>
  <c r="M12" i="84"/>
  <c r="M13" i="84"/>
  <c r="M14" i="84"/>
  <c r="M15" i="84"/>
  <c r="M16" i="84"/>
  <c r="M17" i="84"/>
  <c r="M18" i="84"/>
  <c r="M19" i="84"/>
  <c r="M20" i="84"/>
  <c r="M21" i="84"/>
  <c r="M22" i="84"/>
  <c r="M23" i="84"/>
  <c r="M24" i="84"/>
  <c r="M25" i="84"/>
  <c r="M26" i="84"/>
  <c r="M27" i="84"/>
  <c r="M28" i="84"/>
  <c r="M29" i="84"/>
  <c r="M30" i="84"/>
  <c r="M31" i="84"/>
  <c r="M32" i="84"/>
  <c r="M33" i="84"/>
  <c r="M34" i="84"/>
  <c r="M35" i="84"/>
  <c r="M36" i="84"/>
  <c r="M37" i="84"/>
  <c r="M38" i="84"/>
  <c r="M39" i="84"/>
  <c r="M40" i="84"/>
  <c r="N49" i="84"/>
  <c r="P49" i="84"/>
  <c r="R49" i="84"/>
  <c r="T49" i="84"/>
  <c r="V49" i="84"/>
  <c r="X49" i="84"/>
  <c r="Z49" i="84"/>
  <c r="AB49" i="84"/>
  <c r="AD49" i="84"/>
  <c r="AF49" i="84"/>
  <c r="O49" i="84"/>
  <c r="Q49" i="84"/>
  <c r="S49" i="84"/>
  <c r="U49" i="84"/>
  <c r="W49" i="84"/>
  <c r="Y49" i="84"/>
  <c r="AA49" i="84"/>
  <c r="AC49" i="84"/>
  <c r="AE49" i="84"/>
  <c r="O21" i="20"/>
  <c r="R21" i="20"/>
  <c r="N21" i="20"/>
  <c r="P21" i="20"/>
  <c r="AB21" i="20"/>
  <c r="Y21" i="20"/>
  <c r="T21" i="20"/>
  <c r="AC21" i="20"/>
  <c r="Z21" i="20"/>
  <c r="AG21" i="20"/>
  <c r="AD21" i="20"/>
  <c r="AE21" i="20"/>
  <c r="S21" i="20"/>
  <c r="Q21" i="20"/>
  <c r="U21" i="20"/>
  <c r="X21" i="20"/>
  <c r="D21" i="20"/>
  <c r="V21" i="20"/>
  <c r="AF21" i="20"/>
  <c r="AA21" i="20"/>
  <c r="W21" i="20"/>
  <c r="AH21" i="20" l="1"/>
  <c r="G21" i="20"/>
  <c r="C43" i="84"/>
  <c r="D42" i="84" s="1"/>
  <c r="L21" i="20" l="1"/>
  <c r="M21" i="20"/>
  <c r="J21" i="20"/>
  <c r="K21" i="20"/>
  <c r="D43" i="84"/>
  <c r="E19" i="22" l="1"/>
  <c r="D19" i="31"/>
  <c r="G40" i="83"/>
  <c r="G39" i="83"/>
  <c r="G38" i="83"/>
  <c r="G37" i="83"/>
  <c r="G36" i="83"/>
  <c r="G35" i="83"/>
  <c r="G34" i="83"/>
  <c r="G33" i="83"/>
  <c r="G32" i="83"/>
  <c r="G31" i="83"/>
  <c r="G30" i="83"/>
  <c r="G29" i="83"/>
  <c r="G28" i="83"/>
  <c r="G27" i="83"/>
  <c r="G26" i="83"/>
  <c r="G25" i="83"/>
  <c r="G24" i="83"/>
  <c r="G23" i="83"/>
  <c r="G22" i="83"/>
  <c r="G21" i="83"/>
  <c r="G20" i="83"/>
  <c r="G19" i="83"/>
  <c r="G18" i="83"/>
  <c r="G17" i="83"/>
  <c r="G16" i="83"/>
  <c r="G15" i="83"/>
  <c r="G14" i="83"/>
  <c r="G13" i="83"/>
  <c r="G12" i="83"/>
  <c r="G11" i="83"/>
  <c r="G10" i="83"/>
  <c r="G9" i="83"/>
  <c r="G8" i="83"/>
  <c r="G7" i="83"/>
  <c r="M6" i="83"/>
  <c r="G6" i="83"/>
  <c r="AG48" i="83" l="1"/>
  <c r="L10" i="83"/>
  <c r="H10" i="83" s="1"/>
  <c r="L12" i="83"/>
  <c r="M16" i="83"/>
  <c r="I41" i="83"/>
  <c r="O47" i="83"/>
  <c r="M7" i="83"/>
  <c r="M9" i="83"/>
  <c r="M11" i="83"/>
  <c r="L13" i="83"/>
  <c r="L15" i="83"/>
  <c r="L17" i="83"/>
  <c r="M19" i="83"/>
  <c r="M21" i="83"/>
  <c r="M23" i="83"/>
  <c r="L25" i="83"/>
  <c r="L27" i="83"/>
  <c r="M8" i="83"/>
  <c r="M14" i="83"/>
  <c r="M18" i="83"/>
  <c r="L20" i="83"/>
  <c r="L22" i="83"/>
  <c r="L24" i="83"/>
  <c r="L26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6" i="83"/>
  <c r="H6" i="83" s="1"/>
  <c r="L7" i="83"/>
  <c r="H7" i="83" s="1"/>
  <c r="L8" i="83"/>
  <c r="H8" i="83" s="1"/>
  <c r="L9" i="83"/>
  <c r="L11" i="83"/>
  <c r="L14" i="83"/>
  <c r="L16" i="83"/>
  <c r="L18" i="83"/>
  <c r="L19" i="83"/>
  <c r="L21" i="83"/>
  <c r="L23" i="83"/>
  <c r="M10" i="83"/>
  <c r="M12" i="83"/>
  <c r="M13" i="83"/>
  <c r="M15" i="83"/>
  <c r="M17" i="83"/>
  <c r="M20" i="83"/>
  <c r="M22" i="83"/>
  <c r="M24" i="83"/>
  <c r="M25" i="83"/>
  <c r="M26" i="83"/>
  <c r="M27" i="83"/>
  <c r="M28" i="83"/>
  <c r="M29" i="83"/>
  <c r="M30" i="83"/>
  <c r="M31" i="83"/>
  <c r="M32" i="83"/>
  <c r="M33" i="83"/>
  <c r="M34" i="83"/>
  <c r="M35" i="83"/>
  <c r="M36" i="83"/>
  <c r="M37" i="83"/>
  <c r="M38" i="83"/>
  <c r="M39" i="83"/>
  <c r="M40" i="83"/>
  <c r="N48" i="83"/>
  <c r="P48" i="83"/>
  <c r="R48" i="83"/>
  <c r="T48" i="83"/>
  <c r="V48" i="83"/>
  <c r="X48" i="83"/>
  <c r="Z48" i="83"/>
  <c r="AB48" i="83"/>
  <c r="AD48" i="83"/>
  <c r="AF48" i="83"/>
  <c r="O48" i="83"/>
  <c r="Q48" i="83"/>
  <c r="S48" i="83"/>
  <c r="U48" i="83"/>
  <c r="W48" i="83"/>
  <c r="Y48" i="83"/>
  <c r="AA48" i="83"/>
  <c r="AC48" i="83"/>
  <c r="AE48" i="83"/>
  <c r="D11" i="20"/>
  <c r="G11" i="20" l="1"/>
  <c r="C43" i="83"/>
  <c r="D42" i="83" s="1"/>
  <c r="D43" i="83" l="1"/>
  <c r="M11" i="20"/>
  <c r="J11" i="20"/>
  <c r="K11" i="20"/>
  <c r="L11" i="20"/>
  <c r="E9" i="22" l="1"/>
  <c r="D9" i="31"/>
  <c r="G25" i="27"/>
  <c r="G40" i="82"/>
  <c r="G39" i="82"/>
  <c r="G38" i="82"/>
  <c r="G37" i="82"/>
  <c r="G36" i="82"/>
  <c r="G35" i="82"/>
  <c r="G34" i="82"/>
  <c r="G33" i="82"/>
  <c r="G32" i="82"/>
  <c r="G31" i="82"/>
  <c r="G30" i="82"/>
  <c r="G29" i="82"/>
  <c r="G28" i="82"/>
  <c r="G27" i="82"/>
  <c r="G26" i="82"/>
  <c r="G25" i="82"/>
  <c r="G24" i="82"/>
  <c r="G23" i="82"/>
  <c r="G22" i="82"/>
  <c r="G21" i="82"/>
  <c r="G20" i="82"/>
  <c r="G19" i="82"/>
  <c r="G18" i="82"/>
  <c r="G17" i="82"/>
  <c r="G16" i="82"/>
  <c r="G15" i="82"/>
  <c r="G14" i="82"/>
  <c r="G13" i="82"/>
  <c r="G12" i="82"/>
  <c r="G11" i="82"/>
  <c r="G10" i="82"/>
  <c r="G9" i="82"/>
  <c r="G8" i="82"/>
  <c r="G7" i="82"/>
  <c r="M6" i="82"/>
  <c r="G6" i="82"/>
  <c r="G40" i="79"/>
  <c r="G39" i="79"/>
  <c r="G38" i="79"/>
  <c r="G37" i="79"/>
  <c r="G36" i="79"/>
  <c r="G35" i="79"/>
  <c r="G34" i="79"/>
  <c r="G33" i="79"/>
  <c r="G32" i="79"/>
  <c r="G31" i="79"/>
  <c r="G30" i="79"/>
  <c r="G29" i="79"/>
  <c r="G28" i="79"/>
  <c r="G27" i="79"/>
  <c r="G26" i="79"/>
  <c r="G25" i="79"/>
  <c r="G24" i="79"/>
  <c r="G23" i="79"/>
  <c r="G22" i="79"/>
  <c r="G21" i="79"/>
  <c r="G20" i="79"/>
  <c r="G19" i="79"/>
  <c r="G18" i="79"/>
  <c r="G17" i="79"/>
  <c r="G16" i="79"/>
  <c r="G15" i="79"/>
  <c r="G14" i="79"/>
  <c r="G13" i="79"/>
  <c r="G12" i="79"/>
  <c r="G11" i="79"/>
  <c r="G10" i="79"/>
  <c r="G9" i="79"/>
  <c r="G8" i="79"/>
  <c r="G7" i="79"/>
  <c r="M6" i="79"/>
  <c r="G6" i="79"/>
  <c r="G40" i="14"/>
  <c r="G40" i="77"/>
  <c r="G39" i="77"/>
  <c r="G38" i="77"/>
  <c r="G37" i="77"/>
  <c r="G36" i="77"/>
  <c r="G35" i="77"/>
  <c r="G34" i="77"/>
  <c r="G33" i="77"/>
  <c r="G32" i="77"/>
  <c r="G31" i="77"/>
  <c r="G30" i="77"/>
  <c r="G29" i="77"/>
  <c r="G28" i="77"/>
  <c r="G27" i="77"/>
  <c r="G26" i="77"/>
  <c r="G25" i="77"/>
  <c r="G24" i="77"/>
  <c r="G23" i="77"/>
  <c r="G22" i="77"/>
  <c r="G21" i="77"/>
  <c r="G20" i="77"/>
  <c r="G19" i="77"/>
  <c r="G18" i="77"/>
  <c r="C44" i="77" s="1"/>
  <c r="G17" i="77"/>
  <c r="G16" i="77"/>
  <c r="G15" i="77"/>
  <c r="G14" i="77"/>
  <c r="G13" i="77"/>
  <c r="G12" i="77"/>
  <c r="G11" i="77"/>
  <c r="G10" i="77"/>
  <c r="G9" i="77"/>
  <c r="G8" i="77"/>
  <c r="G7" i="77"/>
  <c r="M6" i="77"/>
  <c r="G6" i="77"/>
  <c r="G40" i="76"/>
  <c r="G39" i="76"/>
  <c r="G38" i="76"/>
  <c r="G37" i="76"/>
  <c r="G36" i="76"/>
  <c r="G35" i="76"/>
  <c r="G34" i="76"/>
  <c r="G33" i="76"/>
  <c r="G32" i="76"/>
  <c r="G31" i="76"/>
  <c r="G30" i="76"/>
  <c r="G29" i="76"/>
  <c r="G28" i="76"/>
  <c r="G27" i="76"/>
  <c r="G26" i="76"/>
  <c r="G25" i="76"/>
  <c r="G24" i="76"/>
  <c r="G23" i="76"/>
  <c r="G22" i="76"/>
  <c r="G21" i="76"/>
  <c r="G20" i="76"/>
  <c r="G19" i="76"/>
  <c r="G18" i="76"/>
  <c r="G17" i="76"/>
  <c r="G16" i="76"/>
  <c r="G15" i="76"/>
  <c r="G14" i="76"/>
  <c r="G13" i="76"/>
  <c r="G12" i="76"/>
  <c r="G11" i="76"/>
  <c r="G10" i="76"/>
  <c r="G9" i="76"/>
  <c r="G8" i="76"/>
  <c r="G7" i="76"/>
  <c r="M6" i="76"/>
  <c r="G6" i="76"/>
  <c r="G40" i="74"/>
  <c r="G39" i="74"/>
  <c r="G38" i="74"/>
  <c r="G37" i="74"/>
  <c r="G36" i="74"/>
  <c r="G35" i="74"/>
  <c r="G34" i="74"/>
  <c r="G33" i="74"/>
  <c r="G32" i="74"/>
  <c r="G31" i="74"/>
  <c r="G30" i="74"/>
  <c r="G29" i="74"/>
  <c r="G28" i="74"/>
  <c r="G27" i="74"/>
  <c r="G26" i="74"/>
  <c r="C44" i="74" s="1"/>
  <c r="G25" i="74"/>
  <c r="G24" i="74"/>
  <c r="G23" i="74"/>
  <c r="G22" i="74"/>
  <c r="G21" i="74"/>
  <c r="G20" i="74"/>
  <c r="G19" i="74"/>
  <c r="G18" i="74"/>
  <c r="G17" i="74"/>
  <c r="G16" i="74"/>
  <c r="G15" i="74"/>
  <c r="G14" i="74"/>
  <c r="G13" i="74"/>
  <c r="G12" i="74"/>
  <c r="G11" i="74"/>
  <c r="G10" i="74"/>
  <c r="G9" i="74"/>
  <c r="G8" i="74"/>
  <c r="G7" i="74"/>
  <c r="M6" i="74"/>
  <c r="G6" i="74"/>
  <c r="G40" i="73"/>
  <c r="G39" i="73"/>
  <c r="G38" i="73"/>
  <c r="G37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21" i="73"/>
  <c r="G20" i="73"/>
  <c r="G19" i="73"/>
  <c r="C44" i="73" s="1"/>
  <c r="G18" i="73"/>
  <c r="G17" i="73"/>
  <c r="G16" i="73"/>
  <c r="G15" i="73"/>
  <c r="G14" i="73"/>
  <c r="G13" i="73"/>
  <c r="G12" i="73"/>
  <c r="G11" i="73"/>
  <c r="G10" i="73"/>
  <c r="G9" i="73"/>
  <c r="G8" i="73"/>
  <c r="G7" i="73"/>
  <c r="M6" i="73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C44" i="72" s="1"/>
  <c r="G16" i="72"/>
  <c r="G15" i="72"/>
  <c r="G14" i="72"/>
  <c r="G13" i="72"/>
  <c r="G12" i="72"/>
  <c r="G11" i="72"/>
  <c r="G10" i="72"/>
  <c r="G9" i="72"/>
  <c r="G8" i="72"/>
  <c r="G7" i="72"/>
  <c r="M6" i="72"/>
  <c r="G6" i="72"/>
  <c r="G38" i="71"/>
  <c r="G37" i="71"/>
  <c r="G36" i="71"/>
  <c r="G35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M6" i="71"/>
  <c r="G30" i="70"/>
  <c r="G40" i="70"/>
  <c r="G39" i="70"/>
  <c r="G38" i="70"/>
  <c r="G37" i="70"/>
  <c r="G36" i="70"/>
  <c r="G35" i="70"/>
  <c r="G34" i="70"/>
  <c r="G33" i="70"/>
  <c r="G32" i="70"/>
  <c r="G31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34" i="35"/>
  <c r="G35" i="35"/>
  <c r="G36" i="35"/>
  <c r="G37" i="35"/>
  <c r="G38" i="35"/>
  <c r="G39" i="35"/>
  <c r="G40" i="35"/>
  <c r="G43" i="35"/>
  <c r="G44" i="35"/>
  <c r="C48" i="35" s="1"/>
  <c r="G6" i="35"/>
  <c r="G8" i="35"/>
  <c r="G9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C44" i="11" s="1"/>
  <c r="G37" i="11"/>
  <c r="G38" i="11"/>
  <c r="G39" i="11"/>
  <c r="G40" i="11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6" i="33"/>
  <c r="M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6" i="44"/>
  <c r="G7" i="44"/>
  <c r="G8" i="44"/>
  <c r="G13" i="44"/>
  <c r="G9" i="44"/>
  <c r="G10" i="44"/>
  <c r="G11" i="44"/>
  <c r="G12" i="44"/>
  <c r="G14" i="44"/>
  <c r="G15" i="44"/>
  <c r="G16" i="44"/>
  <c r="G18" i="44"/>
  <c r="G19" i="44"/>
  <c r="G20" i="44"/>
  <c r="G21" i="44"/>
  <c r="G22" i="44"/>
  <c r="G23" i="44"/>
  <c r="G24" i="44"/>
  <c r="G25" i="44"/>
  <c r="G26" i="44"/>
  <c r="G27" i="44"/>
  <c r="G28" i="44"/>
  <c r="G29" i="44"/>
  <c r="G30" i="44"/>
  <c r="G31" i="44"/>
  <c r="G32" i="44"/>
  <c r="G33" i="44"/>
  <c r="G34" i="44"/>
  <c r="G35" i="44"/>
  <c r="G36" i="44"/>
  <c r="G37" i="44"/>
  <c r="G38" i="44"/>
  <c r="G39" i="44"/>
  <c r="G40" i="44"/>
  <c r="M6" i="55"/>
  <c r="G7" i="55"/>
  <c r="G8" i="55"/>
  <c r="G9" i="55"/>
  <c r="G10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C44" i="55" s="1"/>
  <c r="G29" i="55"/>
  <c r="G30" i="55"/>
  <c r="G31" i="55"/>
  <c r="G32" i="55"/>
  <c r="G33" i="55"/>
  <c r="G34" i="55"/>
  <c r="G35" i="55"/>
  <c r="G36" i="55"/>
  <c r="G37" i="55"/>
  <c r="G38" i="55"/>
  <c r="G39" i="55"/>
  <c r="G40" i="55"/>
  <c r="M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C44" i="13" s="1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6" i="27"/>
  <c r="M6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6" i="27"/>
  <c r="G27" i="27"/>
  <c r="G28" i="27"/>
  <c r="C44" i="27" s="1"/>
  <c r="G29" i="27"/>
  <c r="G30" i="27"/>
  <c r="G31" i="27"/>
  <c r="G32" i="27"/>
  <c r="G33" i="27"/>
  <c r="G34" i="27"/>
  <c r="G35" i="27"/>
  <c r="G36" i="27"/>
  <c r="G37" i="27"/>
  <c r="G38" i="27"/>
  <c r="G39" i="27"/>
  <c r="G40" i="27"/>
  <c r="G6" i="42"/>
  <c r="G7" i="42"/>
  <c r="G8" i="42"/>
  <c r="G9" i="42"/>
  <c r="G10" i="42"/>
  <c r="G11" i="42"/>
  <c r="G12" i="42"/>
  <c r="G13" i="42"/>
  <c r="G14" i="42"/>
  <c r="G15" i="42"/>
  <c r="G16" i="42"/>
  <c r="G17" i="42"/>
  <c r="G18" i="42"/>
  <c r="G19" i="42"/>
  <c r="G20" i="42"/>
  <c r="G21" i="42"/>
  <c r="G22" i="42"/>
  <c r="G23" i="42"/>
  <c r="G24" i="42"/>
  <c r="G25" i="42"/>
  <c r="G26" i="42"/>
  <c r="G27" i="42"/>
  <c r="G28" i="42"/>
  <c r="G29" i="42"/>
  <c r="C44" i="42" s="1"/>
  <c r="G30" i="42"/>
  <c r="G31" i="42"/>
  <c r="G32" i="42"/>
  <c r="G33" i="42"/>
  <c r="G34" i="42"/>
  <c r="G35" i="42"/>
  <c r="G36" i="42"/>
  <c r="G37" i="42"/>
  <c r="G38" i="42"/>
  <c r="G39" i="42"/>
  <c r="G40" i="42"/>
  <c r="G6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C44" i="16" s="1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6" i="28"/>
  <c r="M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C44" i="28" s="1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6" i="53"/>
  <c r="M6" i="53"/>
  <c r="G7" i="53"/>
  <c r="G8" i="53"/>
  <c r="G9" i="53"/>
  <c r="G10" i="53"/>
  <c r="G11" i="53"/>
  <c r="G12" i="53"/>
  <c r="G13" i="53"/>
  <c r="G14" i="53"/>
  <c r="G15" i="53"/>
  <c r="G17" i="53"/>
  <c r="G18" i="53"/>
  <c r="G19" i="53"/>
  <c r="G20" i="53"/>
  <c r="G21" i="53"/>
  <c r="G22" i="53"/>
  <c r="G23" i="53"/>
  <c r="G24" i="53"/>
  <c r="C44" i="53" s="1"/>
  <c r="G25" i="53"/>
  <c r="G26" i="53"/>
  <c r="G27" i="53"/>
  <c r="G28" i="53"/>
  <c r="G29" i="53"/>
  <c r="G30" i="53"/>
  <c r="G31" i="53"/>
  <c r="G32" i="53"/>
  <c r="G33" i="53"/>
  <c r="G34" i="53"/>
  <c r="G35" i="53"/>
  <c r="G36" i="53"/>
  <c r="G37" i="53"/>
  <c r="G38" i="53"/>
  <c r="G39" i="53"/>
  <c r="G40" i="53"/>
  <c r="G6" i="67"/>
  <c r="M6" i="67"/>
  <c r="G8" i="67"/>
  <c r="G9" i="67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24" i="67"/>
  <c r="G25" i="67"/>
  <c r="G26" i="67"/>
  <c r="G27" i="67"/>
  <c r="G28" i="67"/>
  <c r="G29" i="67"/>
  <c r="G30" i="67"/>
  <c r="G31" i="67"/>
  <c r="G32" i="67"/>
  <c r="C44" i="67" s="1"/>
  <c r="G33" i="67"/>
  <c r="G34" i="67"/>
  <c r="G35" i="67"/>
  <c r="G36" i="67"/>
  <c r="G37" i="67"/>
  <c r="G38" i="67"/>
  <c r="G39" i="67"/>
  <c r="G40" i="67"/>
  <c r="G7" i="66"/>
  <c r="G8" i="66"/>
  <c r="G9" i="66"/>
  <c r="G10" i="66"/>
  <c r="G11" i="66"/>
  <c r="G12" i="66"/>
  <c r="G13" i="66"/>
  <c r="G14" i="66"/>
  <c r="G15" i="66"/>
  <c r="G16" i="66"/>
  <c r="G17" i="66"/>
  <c r="G18" i="66"/>
  <c r="G19" i="66"/>
  <c r="G20" i="66"/>
  <c r="G21" i="66"/>
  <c r="G22" i="66"/>
  <c r="G23" i="66"/>
  <c r="G24" i="66"/>
  <c r="G25" i="66"/>
  <c r="G26" i="66"/>
  <c r="G27" i="66"/>
  <c r="G28" i="66"/>
  <c r="G29" i="66"/>
  <c r="G30" i="66"/>
  <c r="G31" i="66"/>
  <c r="G32" i="66"/>
  <c r="G33" i="66"/>
  <c r="G34" i="66"/>
  <c r="G35" i="66"/>
  <c r="G36" i="66"/>
  <c r="G37" i="66"/>
  <c r="G38" i="66"/>
  <c r="G39" i="66"/>
  <c r="G40" i="66"/>
  <c r="G6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C44" i="25" s="1"/>
  <c r="G33" i="25"/>
  <c r="G34" i="25"/>
  <c r="G35" i="25"/>
  <c r="G36" i="25"/>
  <c r="G37" i="25"/>
  <c r="G38" i="25"/>
  <c r="G39" i="25"/>
  <c r="G40" i="25"/>
  <c r="G6" i="56"/>
  <c r="G7" i="56"/>
  <c r="G8" i="56"/>
  <c r="G9" i="56"/>
  <c r="G10" i="56"/>
  <c r="G11" i="56"/>
  <c r="G12" i="56"/>
  <c r="G13" i="56"/>
  <c r="G14" i="56"/>
  <c r="G15" i="56"/>
  <c r="G16" i="56"/>
  <c r="G17" i="56"/>
  <c r="G18" i="56"/>
  <c r="G19" i="56"/>
  <c r="G20" i="56"/>
  <c r="G21" i="56"/>
  <c r="G22" i="56"/>
  <c r="G23" i="56"/>
  <c r="G24" i="56"/>
  <c r="G25" i="56"/>
  <c r="G26" i="56"/>
  <c r="G27" i="56"/>
  <c r="G28" i="56"/>
  <c r="G29" i="56"/>
  <c r="G30" i="56"/>
  <c r="G31" i="56"/>
  <c r="G32" i="56"/>
  <c r="G33" i="56"/>
  <c r="G34" i="56"/>
  <c r="G35" i="56"/>
  <c r="G36" i="56"/>
  <c r="G37" i="56"/>
  <c r="G38" i="56"/>
  <c r="G39" i="56"/>
  <c r="G40" i="56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C44" i="14" s="1"/>
  <c r="G38" i="14"/>
  <c r="G39" i="14"/>
  <c r="M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C44" i="12" s="1"/>
  <c r="G36" i="12"/>
  <c r="G37" i="12"/>
  <c r="G38" i="12"/>
  <c r="G39" i="12"/>
  <c r="G40" i="12"/>
  <c r="G6" i="54"/>
  <c r="M6" i="54"/>
  <c r="G7" i="54"/>
  <c r="G8" i="54"/>
  <c r="G9" i="54"/>
  <c r="G10" i="54"/>
  <c r="G11" i="54"/>
  <c r="G12" i="54"/>
  <c r="G13" i="54"/>
  <c r="G14" i="54"/>
  <c r="G15" i="54"/>
  <c r="G16" i="54"/>
  <c r="G17" i="54"/>
  <c r="G18" i="54"/>
  <c r="G19" i="54"/>
  <c r="G20" i="54"/>
  <c r="G21" i="54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39" i="54"/>
  <c r="G40" i="54"/>
  <c r="G6" i="10"/>
  <c r="M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C44" i="10" s="1"/>
  <c r="G33" i="10"/>
  <c r="G34" i="10"/>
  <c r="G35" i="10"/>
  <c r="G36" i="10"/>
  <c r="G37" i="10"/>
  <c r="G38" i="10"/>
  <c r="G39" i="10"/>
  <c r="G40" i="10"/>
  <c r="M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C44" i="64" s="1"/>
  <c r="G37" i="64"/>
  <c r="G38" i="64"/>
  <c r="G39" i="64"/>
  <c r="G40" i="64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M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C44" i="5" s="1"/>
  <c r="G33" i="5"/>
  <c r="G34" i="5"/>
  <c r="G35" i="5"/>
  <c r="G36" i="5"/>
  <c r="G37" i="5"/>
  <c r="G38" i="5"/>
  <c r="G39" i="5"/>
  <c r="G40" i="5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30" i="24"/>
  <c r="G31" i="24"/>
  <c r="G32" i="24"/>
  <c r="G33" i="24"/>
  <c r="G34" i="24"/>
  <c r="G35" i="24"/>
  <c r="G36" i="24"/>
  <c r="G37" i="24"/>
  <c r="G38" i="24"/>
  <c r="G39" i="24"/>
  <c r="G40" i="2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3" i="4"/>
  <c r="G34" i="4"/>
  <c r="G35" i="4"/>
  <c r="G36" i="4"/>
  <c r="G37" i="4"/>
  <c r="G38" i="4"/>
  <c r="G39" i="4"/>
  <c r="G40" i="4"/>
  <c r="G6" i="2"/>
  <c r="G7" i="2"/>
  <c r="G8" i="2"/>
  <c r="G9" i="2"/>
  <c r="G10" i="2"/>
  <c r="G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C44" i="2" s="1"/>
  <c r="G30" i="2"/>
  <c r="G31" i="2"/>
  <c r="G32" i="2"/>
  <c r="G33" i="2"/>
  <c r="G34" i="2"/>
  <c r="G35" i="2"/>
  <c r="G36" i="2"/>
  <c r="G37" i="2"/>
  <c r="G38" i="2"/>
  <c r="G39" i="2"/>
  <c r="G40" i="2"/>
  <c r="M1" i="22"/>
  <c r="E51" i="20"/>
  <c r="E46" i="20"/>
  <c r="E43" i="20"/>
  <c r="E30" i="20"/>
  <c r="E12" i="20"/>
  <c r="E26" i="20"/>
  <c r="E32" i="20"/>
  <c r="E15" i="20"/>
  <c r="E25" i="20"/>
  <c r="E44" i="20"/>
  <c r="E50" i="20"/>
  <c r="E35" i="20"/>
  <c r="E29" i="20"/>
  <c r="E33" i="20"/>
  <c r="E45" i="20"/>
  <c r="E27" i="20"/>
  <c r="E7" i="20"/>
  <c r="E14" i="20"/>
  <c r="E47" i="20"/>
  <c r="E42" i="20"/>
  <c r="C44" i="66" l="1"/>
  <c r="C44" i="54"/>
  <c r="G14" i="20"/>
  <c r="C44" i="79"/>
  <c r="C44" i="69"/>
  <c r="C44" i="82"/>
  <c r="C44" i="71"/>
  <c r="C44" i="17"/>
  <c r="C44" i="26"/>
  <c r="C44" i="29"/>
  <c r="C44" i="76"/>
  <c r="C44" i="56"/>
  <c r="C44" i="70"/>
  <c r="F53" i="35"/>
  <c r="J53" i="35" s="1"/>
  <c r="L33" i="35"/>
  <c r="H33" i="35" s="1"/>
  <c r="M33" i="35"/>
  <c r="M41" i="35"/>
  <c r="L42" i="35"/>
  <c r="H42" i="35" s="1"/>
  <c r="L41" i="35"/>
  <c r="H41" i="35" s="1"/>
  <c r="M42" i="35"/>
  <c r="C44" i="6"/>
  <c r="G34" i="71"/>
  <c r="G6" i="17"/>
  <c r="I41" i="17"/>
  <c r="M9" i="74"/>
  <c r="M8" i="74"/>
  <c r="M21" i="74"/>
  <c r="M16" i="74"/>
  <c r="M13" i="74"/>
  <c r="M11" i="74"/>
  <c r="M15" i="74"/>
  <c r="M19" i="74"/>
  <c r="M14" i="74"/>
  <c r="M7" i="74"/>
  <c r="M18" i="74"/>
  <c r="M12" i="74"/>
  <c r="M23" i="74"/>
  <c r="M10" i="74"/>
  <c r="M22" i="74"/>
  <c r="M17" i="74"/>
  <c r="M20" i="74"/>
  <c r="M10" i="18"/>
  <c r="M16" i="76"/>
  <c r="M8" i="77"/>
  <c r="M13" i="77"/>
  <c r="M23" i="28"/>
  <c r="M22" i="76"/>
  <c r="M28" i="76"/>
  <c r="M21" i="77"/>
  <c r="M14" i="13"/>
  <c r="M29" i="76"/>
  <c r="M11" i="13"/>
  <c r="L24" i="33"/>
  <c r="H24" i="33" s="1"/>
  <c r="M11" i="76"/>
  <c r="M15" i="76"/>
  <c r="M19" i="76"/>
  <c r="M23" i="76"/>
  <c r="M27" i="76"/>
  <c r="M9" i="77"/>
  <c r="M11" i="77"/>
  <c r="M15" i="77"/>
  <c r="M19" i="77"/>
  <c r="M23" i="77"/>
  <c r="M27" i="77"/>
  <c r="M12" i="77"/>
  <c r="M7" i="77"/>
  <c r="M20" i="77"/>
  <c r="M21" i="76"/>
  <c r="M10" i="77"/>
  <c r="M9" i="76"/>
  <c r="M26" i="76"/>
  <c r="M13" i="76"/>
  <c r="M18" i="77"/>
  <c r="M17" i="77"/>
  <c r="M24" i="76"/>
  <c r="M31" i="76"/>
  <c r="M24" i="77"/>
  <c r="M30" i="77"/>
  <c r="F50" i="70"/>
  <c r="J50" i="70" s="1"/>
  <c r="M26" i="77"/>
  <c r="M20" i="76"/>
  <c r="M8" i="76"/>
  <c r="M18" i="76"/>
  <c r="M10" i="76"/>
  <c r="M30" i="76"/>
  <c r="M7" i="76"/>
  <c r="M29" i="77"/>
  <c r="M37" i="33"/>
  <c r="M14" i="76"/>
  <c r="M25" i="76"/>
  <c r="M30" i="33"/>
  <c r="M12" i="76"/>
  <c r="M25" i="77"/>
  <c r="M16" i="77"/>
  <c r="M28" i="77"/>
  <c r="M17" i="76"/>
  <c r="M22" i="77"/>
  <c r="M14" i="77"/>
  <c r="M9" i="33"/>
  <c r="F49" i="70"/>
  <c r="J49" i="70" s="1"/>
  <c r="M7" i="73"/>
  <c r="M24" i="74"/>
  <c r="M7" i="79"/>
  <c r="M9" i="79"/>
  <c r="M10" i="79"/>
  <c r="M14" i="73"/>
  <c r="M15" i="71"/>
  <c r="M8" i="79"/>
  <c r="M20" i="71"/>
  <c r="M12" i="73"/>
  <c r="M16" i="69"/>
  <c r="M22" i="70"/>
  <c r="M21" i="73"/>
  <c r="L40" i="74"/>
  <c r="M37" i="76"/>
  <c r="M35" i="77"/>
  <c r="M11" i="79"/>
  <c r="M34" i="76"/>
  <c r="L13" i="70"/>
  <c r="H13" i="70" s="1"/>
  <c r="M7" i="71"/>
  <c r="L10" i="82"/>
  <c r="H10" i="82" s="1"/>
  <c r="M10" i="42"/>
  <c r="M32" i="77"/>
  <c r="M36" i="76"/>
  <c r="M34" i="77"/>
  <c r="M35" i="76"/>
  <c r="M33" i="77"/>
  <c r="M14" i="55"/>
  <c r="M11" i="71"/>
  <c r="M23" i="73"/>
  <c r="M39" i="76"/>
  <c r="L8" i="77"/>
  <c r="H8" i="77" s="1"/>
  <c r="L31" i="79"/>
  <c r="L20" i="82"/>
  <c r="AE49" i="82"/>
  <c r="M33" i="76"/>
  <c r="M31" i="77"/>
  <c r="M32" i="76"/>
  <c r="M36" i="77"/>
  <c r="I41" i="82"/>
  <c r="M16" i="73"/>
  <c r="M10" i="73"/>
  <c r="L15" i="79"/>
  <c r="H15" i="79" s="1"/>
  <c r="M18" i="73"/>
  <c r="L37" i="73"/>
  <c r="M18" i="82"/>
  <c r="L23" i="82"/>
  <c r="M30" i="79"/>
  <c r="M40" i="76"/>
  <c r="L26" i="76"/>
  <c r="M20" i="82"/>
  <c r="M28" i="79"/>
  <c r="M25" i="73"/>
  <c r="L7" i="70"/>
  <c r="H7" i="70" s="1"/>
  <c r="M19" i="28"/>
  <c r="M15" i="28"/>
  <c r="M11" i="28"/>
  <c r="M12" i="42"/>
  <c r="M11" i="42"/>
  <c r="AG49" i="71"/>
  <c r="O48" i="73"/>
  <c r="R49" i="77"/>
  <c r="Y49" i="79"/>
  <c r="X49" i="82"/>
  <c r="P49" i="82"/>
  <c r="W49" i="25"/>
  <c r="M38" i="29"/>
  <c r="M8" i="44"/>
  <c r="L24" i="69"/>
  <c r="M24" i="71"/>
  <c r="M14" i="72"/>
  <c r="L12" i="73"/>
  <c r="H12" i="73" s="1"/>
  <c r="M30" i="74"/>
  <c r="L29" i="76"/>
  <c r="O48" i="77"/>
  <c r="Q49" i="77"/>
  <c r="L24" i="77"/>
  <c r="M9" i="29"/>
  <c r="M29" i="74"/>
  <c r="M12" i="72"/>
  <c r="L28" i="74"/>
  <c r="L10" i="76"/>
  <c r="H10" i="76" s="1"/>
  <c r="L29" i="74"/>
  <c r="L17" i="74"/>
  <c r="H17" i="74" s="1"/>
  <c r="L32" i="69"/>
  <c r="M12" i="44"/>
  <c r="L16" i="74"/>
  <c r="H16" i="74" s="1"/>
  <c r="L35" i="73"/>
  <c r="L17" i="76"/>
  <c r="H17" i="76" s="1"/>
  <c r="L35" i="77"/>
  <c r="M18" i="72"/>
  <c r="L19" i="76"/>
  <c r="H19" i="76" s="1"/>
  <c r="M20" i="72"/>
  <c r="L30" i="76"/>
  <c r="L26" i="77"/>
  <c r="L15" i="71"/>
  <c r="H15" i="71" s="1"/>
  <c r="M16" i="72"/>
  <c r="M10" i="72"/>
  <c r="L36" i="77"/>
  <c r="L10" i="71"/>
  <c r="H10" i="71" s="1"/>
  <c r="M12" i="24"/>
  <c r="M7" i="82"/>
  <c r="L18" i="17"/>
  <c r="H18" i="17" s="1"/>
  <c r="N49" i="25"/>
  <c r="L24" i="25"/>
  <c r="H24" i="25" s="1"/>
  <c r="M12" i="79"/>
  <c r="L11" i="25"/>
  <c r="H11" i="25" s="1"/>
  <c r="L21" i="67"/>
  <c r="H21" i="67" s="1"/>
  <c r="L30" i="13"/>
  <c r="P49" i="55"/>
  <c r="P49" i="18"/>
  <c r="W49" i="33"/>
  <c r="L13" i="71"/>
  <c r="H13" i="71" s="1"/>
  <c r="AB49" i="71"/>
  <c r="M34" i="72"/>
  <c r="V49" i="72"/>
  <c r="S49" i="73"/>
  <c r="M29" i="73"/>
  <c r="L39" i="73"/>
  <c r="Y49" i="74"/>
  <c r="M31" i="74"/>
  <c r="M37" i="74"/>
  <c r="O48" i="76"/>
  <c r="AA49" i="76"/>
  <c r="L12" i="76"/>
  <c r="H12" i="76" s="1"/>
  <c r="AG49" i="77"/>
  <c r="L28" i="77"/>
  <c r="M14" i="79"/>
  <c r="Q49" i="79"/>
  <c r="L39" i="79"/>
  <c r="M16" i="82"/>
  <c r="R49" i="82"/>
  <c r="L39" i="82"/>
  <c r="M25" i="44"/>
  <c r="M21" i="35"/>
  <c r="R49" i="69"/>
  <c r="L40" i="69"/>
  <c r="M40" i="74"/>
  <c r="L34" i="77"/>
  <c r="L7" i="77"/>
  <c r="H7" i="77" s="1"/>
  <c r="L33" i="73"/>
  <c r="L16" i="69"/>
  <c r="M26" i="79"/>
  <c r="M28" i="74"/>
  <c r="L27" i="77"/>
  <c r="X49" i="77"/>
  <c r="L19" i="82"/>
  <c r="M39" i="74"/>
  <c r="L20" i="77"/>
  <c r="L14" i="74"/>
  <c r="H14" i="74" s="1"/>
  <c r="M38" i="76"/>
  <c r="AG49" i="69"/>
  <c r="L12" i="74"/>
  <c r="H12" i="74" s="1"/>
  <c r="M39" i="77"/>
  <c r="L16" i="71"/>
  <c r="H16" i="71" s="1"/>
  <c r="M36" i="82"/>
  <c r="M12" i="82"/>
  <c r="L11" i="82"/>
  <c r="L25" i="79"/>
  <c r="M22" i="79"/>
  <c r="M39" i="44"/>
  <c r="L37" i="74"/>
  <c r="L25" i="74"/>
  <c r="H25" i="74" s="1"/>
  <c r="L15" i="74"/>
  <c r="H15" i="74" s="1"/>
  <c r="M38" i="74"/>
  <c r="M26" i="74"/>
  <c r="L10" i="74"/>
  <c r="H10" i="74" s="1"/>
  <c r="L38" i="76"/>
  <c r="L20" i="76"/>
  <c r="H20" i="76" s="1"/>
  <c r="L11" i="76"/>
  <c r="H11" i="76" s="1"/>
  <c r="L8" i="76"/>
  <c r="H8" i="76" s="1"/>
  <c r="L32" i="77"/>
  <c r="M38" i="77"/>
  <c r="L23" i="77"/>
  <c r="L18" i="77"/>
  <c r="H18" i="77" s="1"/>
  <c r="M24" i="72"/>
  <c r="M39" i="73"/>
  <c r="L26" i="73"/>
  <c r="L35" i="71"/>
  <c r="L11" i="69"/>
  <c r="H11" i="69" s="1"/>
  <c r="AD49" i="69"/>
  <c r="M40" i="82"/>
  <c r="L9" i="76"/>
  <c r="H9" i="76" s="1"/>
  <c r="L28" i="76"/>
  <c r="L25" i="77"/>
  <c r="L30" i="73"/>
  <c r="P49" i="72"/>
  <c r="X49" i="73"/>
  <c r="U49" i="33"/>
  <c r="T49" i="82"/>
  <c r="AF49" i="74"/>
  <c r="M26" i="71"/>
  <c r="M34" i="82"/>
  <c r="M10" i="82"/>
  <c r="L26" i="82"/>
  <c r="L9" i="79"/>
  <c r="M20" i="79"/>
  <c r="L39" i="44"/>
  <c r="L36" i="74"/>
  <c r="L24" i="74"/>
  <c r="H24" i="74" s="1"/>
  <c r="L13" i="74"/>
  <c r="H13" i="74" s="1"/>
  <c r="M25" i="74"/>
  <c r="I41" i="74"/>
  <c r="L37" i="76"/>
  <c r="L27" i="76"/>
  <c r="L18" i="76"/>
  <c r="H18" i="76" s="1"/>
  <c r="L31" i="77"/>
  <c r="M37" i="77"/>
  <c r="L21" i="77"/>
  <c r="L16" i="77"/>
  <c r="H16" i="77" s="1"/>
  <c r="L40" i="72"/>
  <c r="M28" i="72"/>
  <c r="M37" i="73"/>
  <c r="L22" i="73"/>
  <c r="P49" i="69"/>
  <c r="M40" i="77"/>
  <c r="U49" i="69"/>
  <c r="L12" i="79"/>
  <c r="L26" i="74"/>
  <c r="H26" i="74" s="1"/>
  <c r="L33" i="77"/>
  <c r="N49" i="82"/>
  <c r="M32" i="82"/>
  <c r="L7" i="79"/>
  <c r="H7" i="79" s="1"/>
  <c r="M18" i="79"/>
  <c r="L11" i="74"/>
  <c r="H11" i="74" s="1"/>
  <c r="L36" i="76"/>
  <c r="L6" i="76"/>
  <c r="H6" i="76" s="1"/>
  <c r="L7" i="76"/>
  <c r="H7" i="76" s="1"/>
  <c r="L17" i="73"/>
  <c r="H17" i="73" s="1"/>
  <c r="L28" i="79"/>
  <c r="L27" i="74"/>
  <c r="L24" i="76"/>
  <c r="AE49" i="69"/>
  <c r="M28" i="71"/>
  <c r="M14" i="82"/>
  <c r="M24" i="79"/>
  <c r="M27" i="74"/>
  <c r="L24" i="82"/>
  <c r="L35" i="74"/>
  <c r="L23" i="74"/>
  <c r="H23" i="74" s="1"/>
  <c r="M36" i="74"/>
  <c r="L16" i="76"/>
  <c r="H16" i="76" s="1"/>
  <c r="L30" i="77"/>
  <c r="L19" i="77"/>
  <c r="L14" i="77"/>
  <c r="H14" i="77" s="1"/>
  <c r="L36" i="72"/>
  <c r="M35" i="73"/>
  <c r="L34" i="71"/>
  <c r="H34" i="71" s="1"/>
  <c r="M40" i="69"/>
  <c r="V49" i="82"/>
  <c r="Z49" i="72"/>
  <c r="O49" i="72"/>
  <c r="AA49" i="82"/>
  <c r="N49" i="69"/>
  <c r="M37" i="71"/>
  <c r="M30" i="82"/>
  <c r="L37" i="82"/>
  <c r="L18" i="82"/>
  <c r="I41" i="79"/>
  <c r="M40" i="79"/>
  <c r="M16" i="79"/>
  <c r="L34" i="74"/>
  <c r="L22" i="74"/>
  <c r="H22" i="74" s="1"/>
  <c r="L9" i="74"/>
  <c r="H9" i="74" s="1"/>
  <c r="M35" i="74"/>
  <c r="L35" i="76"/>
  <c r="L10" i="73"/>
  <c r="H10" i="73" s="1"/>
  <c r="L14" i="76"/>
  <c r="H14" i="76" s="1"/>
  <c r="L17" i="77"/>
  <c r="H17" i="77" s="1"/>
  <c r="L12" i="77"/>
  <c r="H12" i="77" s="1"/>
  <c r="L32" i="72"/>
  <c r="M33" i="73"/>
  <c r="L9" i="73"/>
  <c r="H9" i="73" s="1"/>
  <c r="L26" i="71"/>
  <c r="H26" i="71" s="1"/>
  <c r="M32" i="69"/>
  <c r="U49" i="82"/>
  <c r="L6" i="74"/>
  <c r="L40" i="76"/>
  <c r="L22" i="77"/>
  <c r="AD49" i="77"/>
  <c r="L22" i="76"/>
  <c r="AA49" i="72"/>
  <c r="Z49" i="71"/>
  <c r="L15" i="82"/>
  <c r="L20" i="79"/>
  <c r="M38" i="79"/>
  <c r="M15" i="79"/>
  <c r="L33" i="74"/>
  <c r="L21" i="74"/>
  <c r="H21" i="74" s="1"/>
  <c r="M34" i="74"/>
  <c r="L34" i="76"/>
  <c r="L40" i="77"/>
  <c r="L29" i="77"/>
  <c r="L15" i="77"/>
  <c r="H15" i="77" s="1"/>
  <c r="L10" i="77"/>
  <c r="H10" i="77" s="1"/>
  <c r="L12" i="72"/>
  <c r="H12" i="72" s="1"/>
  <c r="M31" i="73"/>
  <c r="L18" i="73"/>
  <c r="H18" i="73" s="1"/>
  <c r="M36" i="71"/>
  <c r="M24" i="69"/>
  <c r="M10" i="15"/>
  <c r="M8" i="15"/>
  <c r="S49" i="71"/>
  <c r="L21" i="71"/>
  <c r="H21" i="71" s="1"/>
  <c r="L15" i="76"/>
  <c r="H15" i="76" s="1"/>
  <c r="M38" i="82"/>
  <c r="L38" i="74"/>
  <c r="L39" i="76"/>
  <c r="V49" i="71"/>
  <c r="O49" i="69"/>
  <c r="M8" i="82"/>
  <c r="V49" i="73"/>
  <c r="AF49" i="69"/>
  <c r="AC49" i="77"/>
  <c r="AB49" i="82"/>
  <c r="L27" i="71"/>
  <c r="H27" i="71" s="1"/>
  <c r="L20" i="74"/>
  <c r="H20" i="74" s="1"/>
  <c r="L25" i="76"/>
  <c r="L6" i="77"/>
  <c r="H6" i="77" s="1"/>
  <c r="L13" i="77"/>
  <c r="H13" i="77" s="1"/>
  <c r="L24" i="71"/>
  <c r="H24" i="71" s="1"/>
  <c r="L32" i="44"/>
  <c r="AE49" i="77"/>
  <c r="L14" i="79"/>
  <c r="H14" i="79" s="1"/>
  <c r="L39" i="74"/>
  <c r="M27" i="72"/>
  <c r="AF49" i="71"/>
  <c r="Y49" i="71"/>
  <c r="M28" i="82"/>
  <c r="AC49" i="71"/>
  <c r="L13" i="82"/>
  <c r="H13" i="82" s="1"/>
  <c r="L33" i="76"/>
  <c r="V49" i="69"/>
  <c r="AB49" i="76"/>
  <c r="Y49" i="76"/>
  <c r="AC49" i="76"/>
  <c r="L31" i="71"/>
  <c r="H31" i="71" s="1"/>
  <c r="M24" i="82"/>
  <c r="L31" i="82"/>
  <c r="L9" i="82"/>
  <c r="H9" i="82" s="1"/>
  <c r="L35" i="79"/>
  <c r="L19" i="79"/>
  <c r="M34" i="79"/>
  <c r="M13" i="79"/>
  <c r="L31" i="74"/>
  <c r="L19" i="74"/>
  <c r="H19" i="74" s="1"/>
  <c r="M32" i="74"/>
  <c r="L32" i="76"/>
  <c r="L23" i="76"/>
  <c r="L38" i="77"/>
  <c r="L11" i="77"/>
  <c r="H11" i="77" s="1"/>
  <c r="L9" i="77"/>
  <c r="H9" i="77" s="1"/>
  <c r="M27" i="73"/>
  <c r="L14" i="73"/>
  <c r="H14" i="73" s="1"/>
  <c r="M27" i="71"/>
  <c r="L13" i="76"/>
  <c r="H13" i="76" s="1"/>
  <c r="Z49" i="82"/>
  <c r="M33" i="71"/>
  <c r="L6" i="71"/>
  <c r="L35" i="82"/>
  <c r="M26" i="82"/>
  <c r="L33" i="82"/>
  <c r="L37" i="79"/>
  <c r="M36" i="79"/>
  <c r="L32" i="74"/>
  <c r="L8" i="74"/>
  <c r="M33" i="74"/>
  <c r="L39" i="77"/>
  <c r="L8" i="72"/>
  <c r="H8" i="72" s="1"/>
  <c r="N49" i="79"/>
  <c r="L8" i="71"/>
  <c r="H8" i="71" s="1"/>
  <c r="L36" i="71"/>
  <c r="H36" i="71" s="1"/>
  <c r="M22" i="82"/>
  <c r="L29" i="82"/>
  <c r="L33" i="79"/>
  <c r="L17" i="79"/>
  <c r="M32" i="79"/>
  <c r="L30" i="74"/>
  <c r="L18" i="74"/>
  <c r="H18" i="74" s="1"/>
  <c r="L7" i="74"/>
  <c r="L31" i="76"/>
  <c r="L21" i="76"/>
  <c r="L37" i="77"/>
  <c r="L28" i="14"/>
  <c r="H28" i="14" s="1"/>
  <c r="M7" i="28"/>
  <c r="M24" i="28"/>
  <c r="M22" i="28"/>
  <c r="M20" i="28"/>
  <c r="M18" i="28"/>
  <c r="M16" i="28"/>
  <c r="M14" i="28"/>
  <c r="M12" i="28"/>
  <c r="M10" i="28"/>
  <c r="M8" i="28"/>
  <c r="L15" i="29"/>
  <c r="M20" i="42"/>
  <c r="M31" i="15"/>
  <c r="M35" i="42"/>
  <c r="R49" i="27"/>
  <c r="L11" i="54"/>
  <c r="H11" i="54" s="1"/>
  <c r="L29" i="17"/>
  <c r="H29" i="17" s="1"/>
  <c r="L18" i="56"/>
  <c r="H18" i="56" s="1"/>
  <c r="M27" i="67"/>
  <c r="N49" i="67"/>
  <c r="M38" i="10"/>
  <c r="M18" i="42"/>
  <c r="M15" i="53"/>
  <c r="M13" i="53"/>
  <c r="M11" i="53"/>
  <c r="M7" i="53"/>
  <c r="I41" i="71"/>
  <c r="O48" i="71"/>
  <c r="O48" i="82"/>
  <c r="L33" i="56"/>
  <c r="H33" i="56" s="1"/>
  <c r="M24" i="27"/>
  <c r="M40" i="53"/>
  <c r="M21" i="15"/>
  <c r="M30" i="5"/>
  <c r="M28" i="5"/>
  <c r="M22" i="5"/>
  <c r="M20" i="5"/>
  <c r="M18" i="5"/>
  <c r="M16" i="5"/>
  <c r="M14" i="5"/>
  <c r="M10" i="5"/>
  <c r="M8" i="5"/>
  <c r="M27" i="6"/>
  <c r="M25" i="6"/>
  <c r="M23" i="6"/>
  <c r="M21" i="6"/>
  <c r="M19" i="6"/>
  <c r="M17" i="6"/>
  <c r="M15" i="6"/>
  <c r="M11" i="6"/>
  <c r="M9" i="6"/>
  <c r="M7" i="6"/>
  <c r="M25" i="64"/>
  <c r="M23" i="64"/>
  <c r="M21" i="64"/>
  <c r="M19" i="64"/>
  <c r="M17" i="64"/>
  <c r="M15" i="64"/>
  <c r="M13" i="64"/>
  <c r="M11" i="64"/>
  <c r="M7" i="11"/>
  <c r="L33" i="17"/>
  <c r="M10" i="17"/>
  <c r="L40" i="17"/>
  <c r="M9" i="2"/>
  <c r="M7" i="2"/>
  <c r="M31" i="4"/>
  <c r="M29" i="4"/>
  <c r="M23" i="4"/>
  <c r="M21" i="4"/>
  <c r="M28" i="24"/>
  <c r="M24" i="24"/>
  <c r="M18" i="24"/>
  <c r="M16" i="24"/>
  <c r="M14" i="24"/>
  <c r="M10" i="24"/>
  <c r="M8" i="24"/>
  <c r="M16" i="42"/>
  <c r="M14" i="42"/>
  <c r="M8" i="42"/>
  <c r="I41" i="73"/>
  <c r="O48" i="74"/>
  <c r="M31" i="5"/>
  <c r="M29" i="5"/>
  <c r="M27" i="5"/>
  <c r="M25" i="5"/>
  <c r="M23" i="5"/>
  <c r="M21" i="5"/>
  <c r="M19" i="5"/>
  <c r="M17" i="5"/>
  <c r="M15" i="5"/>
  <c r="M9" i="5"/>
  <c r="M7" i="5"/>
  <c r="M28" i="6"/>
  <c r="M26" i="6"/>
  <c r="M24" i="6"/>
  <c r="M22" i="6"/>
  <c r="M18" i="6"/>
  <c r="M16" i="6"/>
  <c r="M14" i="6"/>
  <c r="M12" i="6"/>
  <c r="M10" i="6"/>
  <c r="M8" i="6"/>
  <c r="M24" i="64"/>
  <c r="M22" i="64"/>
  <c r="M18" i="64"/>
  <c r="M16" i="64"/>
  <c r="M14" i="64"/>
  <c r="M12" i="64"/>
  <c r="M8" i="64"/>
  <c r="M21" i="28"/>
  <c r="M17" i="28"/>
  <c r="M13" i="28"/>
  <c r="M9" i="28"/>
  <c r="M21" i="42"/>
  <c r="M19" i="42"/>
  <c r="M17" i="42"/>
  <c r="M15" i="42"/>
  <c r="M13" i="42"/>
  <c r="M9" i="42"/>
  <c r="M7" i="42"/>
  <c r="M15" i="18"/>
  <c r="M7" i="18"/>
  <c r="G6" i="71"/>
  <c r="M26" i="4"/>
  <c r="M22" i="4"/>
  <c r="M20" i="4"/>
  <c r="M27" i="24"/>
  <c r="M25" i="24"/>
  <c r="M23" i="24"/>
  <c r="M19" i="24"/>
  <c r="M13" i="24"/>
  <c r="M11" i="24"/>
  <c r="M12" i="53"/>
  <c r="M10" i="53"/>
  <c r="M8" i="53"/>
  <c r="M23" i="15"/>
  <c r="M17" i="15"/>
  <c r="M15" i="15"/>
  <c r="M13" i="15"/>
  <c r="M9" i="15"/>
  <c r="M7" i="15"/>
  <c r="T49" i="71"/>
  <c r="M17" i="4"/>
  <c r="M8" i="4"/>
  <c r="M7" i="4"/>
  <c r="AG49" i="54"/>
  <c r="R49" i="17"/>
  <c r="N49" i="17"/>
  <c r="M13" i="4"/>
  <c r="M13" i="5"/>
  <c r="M12" i="5"/>
  <c r="M11" i="5"/>
  <c r="M11" i="2"/>
  <c r="M19" i="33"/>
  <c r="O48" i="70"/>
  <c r="M38" i="28"/>
  <c r="M32" i="27"/>
  <c r="M18" i="27"/>
  <c r="M13" i="27"/>
  <c r="M11" i="27"/>
  <c r="M39" i="13"/>
  <c r="AE49" i="79"/>
  <c r="M30" i="17"/>
  <c r="AE49" i="14"/>
  <c r="M14" i="66"/>
  <c r="L37" i="67"/>
  <c r="L6" i="67"/>
  <c r="L21" i="53"/>
  <c r="H21" i="53" s="1"/>
  <c r="L39" i="53"/>
  <c r="P49" i="42"/>
  <c r="L33" i="27"/>
  <c r="O49" i="27"/>
  <c r="Q49" i="13"/>
  <c r="L31" i="55"/>
  <c r="Z49" i="55"/>
  <c r="X49" i="70"/>
  <c r="M7" i="72"/>
  <c r="M8" i="72"/>
  <c r="M9" i="72"/>
  <c r="M11" i="72"/>
  <c r="L13" i="72"/>
  <c r="H13" i="72" s="1"/>
  <c r="M15" i="72"/>
  <c r="L16" i="72"/>
  <c r="M17" i="72"/>
  <c r="L18" i="72"/>
  <c r="M19" i="72"/>
  <c r="M22" i="72"/>
  <c r="L23" i="72"/>
  <c r="L25" i="72"/>
  <c r="L26" i="72"/>
  <c r="L28" i="72"/>
  <c r="L29" i="72"/>
  <c r="M30" i="72"/>
  <c r="L34" i="72"/>
  <c r="M38" i="72"/>
  <c r="L7" i="73"/>
  <c r="H7" i="73" s="1"/>
  <c r="M9" i="73"/>
  <c r="L13" i="73"/>
  <c r="H13" i="73" s="1"/>
  <c r="L16" i="73"/>
  <c r="H16" i="73" s="1"/>
  <c r="M17" i="73"/>
  <c r="M20" i="73"/>
  <c r="M22" i="73"/>
  <c r="L24" i="73"/>
  <c r="M26" i="73"/>
  <c r="L28" i="73"/>
  <c r="M30" i="73"/>
  <c r="L32" i="73"/>
  <c r="L34" i="73"/>
  <c r="L36" i="73"/>
  <c r="L38" i="73"/>
  <c r="L10" i="54"/>
  <c r="H10" i="54" s="1"/>
  <c r="M10" i="12"/>
  <c r="AA49" i="12"/>
  <c r="L21" i="14"/>
  <c r="H21" i="14" s="1"/>
  <c r="L15" i="56"/>
  <c r="H15" i="56" s="1"/>
  <c r="V49" i="56"/>
  <c r="L8" i="25"/>
  <c r="AB49" i="25"/>
  <c r="M14" i="16"/>
  <c r="V49" i="29"/>
  <c r="M39" i="29"/>
  <c r="O48" i="29"/>
  <c r="AC49" i="44"/>
  <c r="L39" i="33"/>
  <c r="M23" i="44"/>
  <c r="M28" i="44"/>
  <c r="M30" i="44"/>
  <c r="M20" i="35"/>
  <c r="O48" i="69"/>
  <c r="M6" i="66"/>
  <c r="M19" i="29"/>
  <c r="M6" i="42"/>
  <c r="M36" i="42"/>
  <c r="M22" i="13"/>
  <c r="G6" i="13"/>
  <c r="I41" i="13"/>
  <c r="L15" i="55"/>
  <c r="H15" i="55" s="1"/>
  <c r="L7" i="18"/>
  <c r="H7" i="18" s="1"/>
  <c r="L40" i="33"/>
  <c r="M40" i="33"/>
  <c r="L16" i="44"/>
  <c r="L27" i="35"/>
  <c r="H27" i="35" s="1"/>
  <c r="L23" i="70"/>
  <c r="H23" i="70" s="1"/>
  <c r="L20" i="70"/>
  <c r="H20" i="70" s="1"/>
  <c r="L38" i="70"/>
  <c r="M31" i="70"/>
  <c r="L8" i="73"/>
  <c r="H8" i="73" s="1"/>
  <c r="L11" i="73"/>
  <c r="H11" i="73" s="1"/>
  <c r="L15" i="73"/>
  <c r="H15" i="73" s="1"/>
  <c r="M19" i="73"/>
  <c r="L21" i="73"/>
  <c r="L23" i="73"/>
  <c r="L25" i="73"/>
  <c r="L27" i="73"/>
  <c r="L29" i="73"/>
  <c r="L31" i="73"/>
  <c r="M40" i="73"/>
  <c r="M6" i="14"/>
  <c r="L24" i="67"/>
  <c r="H24" i="67" s="1"/>
  <c r="M6" i="16"/>
  <c r="M22" i="29"/>
  <c r="L14" i="13"/>
  <c r="H14" i="13" s="1"/>
  <c r="M25" i="55"/>
  <c r="L8" i="33"/>
  <c r="H8" i="33" s="1"/>
  <c r="I41" i="69"/>
  <c r="M32" i="54"/>
  <c r="V49" i="42"/>
  <c r="V49" i="55"/>
  <c r="X49" i="55"/>
  <c r="AF49" i="55"/>
  <c r="AB49" i="27"/>
  <c r="AF49" i="44"/>
  <c r="U49" i="13"/>
  <c r="L12" i="14"/>
  <c r="H12" i="14" s="1"/>
  <c r="M11" i="17"/>
  <c r="L32" i="17"/>
  <c r="H32" i="17" s="1"/>
  <c r="M9" i="44"/>
  <c r="M8" i="73"/>
  <c r="L38" i="72"/>
  <c r="L30" i="72"/>
  <c r="M13" i="72"/>
  <c r="M38" i="73"/>
  <c r="M36" i="73"/>
  <c r="M34" i="73"/>
  <c r="M32" i="73"/>
  <c r="M28" i="73"/>
  <c r="M24" i="73"/>
  <c r="M15" i="73"/>
  <c r="M13" i="73"/>
  <c r="M11" i="73"/>
  <c r="L20" i="73"/>
  <c r="L19" i="73"/>
  <c r="H19" i="73" s="1"/>
  <c r="L6" i="73"/>
  <c r="H6" i="73" s="1"/>
  <c r="L40" i="73"/>
  <c r="M39" i="70"/>
  <c r="L40" i="35"/>
  <c r="H40" i="35" s="1"/>
  <c r="L30" i="35"/>
  <c r="H30" i="35" s="1"/>
  <c r="L23" i="18"/>
  <c r="H23" i="18" s="1"/>
  <c r="M6" i="35"/>
  <c r="P49" i="11"/>
  <c r="V49" i="54"/>
  <c r="Y49" i="66"/>
  <c r="Q49" i="66"/>
  <c r="S49" i="15"/>
  <c r="R49" i="16"/>
  <c r="Q49" i="55"/>
  <c r="AC49" i="18"/>
  <c r="AB49" i="70"/>
  <c r="N49" i="71"/>
  <c r="R49" i="71"/>
  <c r="O49" i="71"/>
  <c r="O48" i="79"/>
  <c r="AG49" i="12"/>
  <c r="AD49" i="17"/>
  <c r="W49" i="14"/>
  <c r="AC49" i="56"/>
  <c r="S49" i="67"/>
  <c r="S49" i="28"/>
  <c r="AD49" i="28"/>
  <c r="Q49" i="15"/>
  <c r="T49" i="16"/>
  <c r="AE49" i="16"/>
  <c r="W49" i="16"/>
  <c r="AE49" i="29"/>
  <c r="AA49" i="42"/>
  <c r="Y49" i="27"/>
  <c r="S49" i="27"/>
  <c r="Y49" i="13"/>
  <c r="T49" i="13"/>
  <c r="O49" i="55"/>
  <c r="R49" i="44"/>
  <c r="Q49" i="44"/>
  <c r="O48" i="44"/>
  <c r="AA49" i="18"/>
  <c r="U49" i="18"/>
  <c r="T49" i="72"/>
  <c r="Y49" i="72"/>
  <c r="AE49" i="72"/>
  <c r="AF49" i="72"/>
  <c r="AD49" i="72"/>
  <c r="AC49" i="73"/>
  <c r="N49" i="73"/>
  <c r="Y49" i="73"/>
  <c r="AE49" i="73"/>
  <c r="W49" i="73"/>
  <c r="O49" i="73"/>
  <c r="U49" i="73"/>
  <c r="Q49" i="73"/>
  <c r="R49" i="73"/>
  <c r="AF49" i="73"/>
  <c r="AD49" i="73"/>
  <c r="AB49" i="73"/>
  <c r="Z49" i="73"/>
  <c r="AC49" i="74"/>
  <c r="N49" i="74"/>
  <c r="AE49" i="74"/>
  <c r="W49" i="74"/>
  <c r="S49" i="74"/>
  <c r="U49" i="74"/>
  <c r="AG49" i="74"/>
  <c r="AB49" i="74"/>
  <c r="Z49" i="74"/>
  <c r="T49" i="76"/>
  <c r="S49" i="76"/>
  <c r="AG49" i="76"/>
  <c r="AF49" i="76"/>
  <c r="X49" i="76"/>
  <c r="Y49" i="77"/>
  <c r="AA49" i="77"/>
  <c r="W49" i="77"/>
  <c r="S49" i="77"/>
  <c r="AB49" i="77"/>
  <c r="Z49" i="77"/>
  <c r="P49" i="13"/>
  <c r="P49" i="27"/>
  <c r="X49" i="79"/>
  <c r="X49" i="67"/>
  <c r="P49" i="76"/>
  <c r="P49" i="77"/>
  <c r="V49" i="44"/>
  <c r="V49" i="76"/>
  <c r="X49" i="15"/>
  <c r="Z49" i="27"/>
  <c r="AB49" i="79"/>
  <c r="AB49" i="56"/>
  <c r="AF49" i="79"/>
  <c r="R49" i="79"/>
  <c r="AG49" i="79"/>
  <c r="AG49" i="44"/>
  <c r="X49" i="72"/>
  <c r="X49" i="74"/>
  <c r="AB49" i="72"/>
  <c r="AD49" i="74"/>
  <c r="AD49" i="76"/>
  <c r="AF49" i="77"/>
  <c r="R49" i="72"/>
  <c r="R49" i="76"/>
  <c r="AG49" i="29"/>
  <c r="AG49" i="72"/>
  <c r="AG49" i="73"/>
  <c r="Q49" i="12"/>
  <c r="Q49" i="74"/>
  <c r="U49" i="66"/>
  <c r="O49" i="13"/>
  <c r="W49" i="17"/>
  <c r="S49" i="72"/>
  <c r="W49" i="27"/>
  <c r="W49" i="72"/>
  <c r="W49" i="76"/>
  <c r="AA49" i="29"/>
  <c r="AE49" i="76"/>
  <c r="Y49" i="44"/>
  <c r="T49" i="27"/>
  <c r="T49" i="73"/>
  <c r="T49" i="77"/>
  <c r="N49" i="70"/>
  <c r="P49" i="64"/>
  <c r="N49" i="76"/>
  <c r="U49" i="76"/>
  <c r="Q49" i="76"/>
  <c r="O49" i="76"/>
  <c r="Z49" i="76"/>
  <c r="N49" i="77"/>
  <c r="V49" i="77"/>
  <c r="U49" i="77"/>
  <c r="O49" i="77"/>
  <c r="M23" i="54"/>
  <c r="M15" i="54"/>
  <c r="M38" i="17"/>
  <c r="M26" i="17"/>
  <c r="M25" i="17"/>
  <c r="M18" i="17"/>
  <c r="M14" i="17"/>
  <c r="M30" i="14"/>
  <c r="M28" i="14"/>
  <c r="M37" i="56"/>
  <c r="L32" i="25"/>
  <c r="H32" i="25" s="1"/>
  <c r="M27" i="25"/>
  <c r="M39" i="66"/>
  <c r="M33" i="66"/>
  <c r="M28" i="66"/>
  <c r="M34" i="67"/>
  <c r="M30" i="67"/>
  <c r="M31" i="53"/>
  <c r="M29" i="53"/>
  <c r="M19" i="53"/>
  <c r="L39" i="28"/>
  <c r="M33" i="28"/>
  <c r="M27" i="28"/>
  <c r="M40" i="15"/>
  <c r="M34" i="15"/>
  <c r="M28" i="15"/>
  <c r="M38" i="16"/>
  <c r="M30" i="16"/>
  <c r="M21" i="16"/>
  <c r="M19" i="16"/>
  <c r="M18" i="16"/>
  <c r="M17" i="16"/>
  <c r="M16" i="16"/>
  <c r="M15" i="16"/>
  <c r="M13" i="16"/>
  <c r="M11" i="16"/>
  <c r="M10" i="16"/>
  <c r="M9" i="16"/>
  <c r="M8" i="16"/>
  <c r="M33" i="27"/>
  <c r="M38" i="13"/>
  <c r="M30" i="13"/>
  <c r="M40" i="55"/>
  <c r="M23" i="55"/>
  <c r="O48" i="72"/>
  <c r="Q49" i="72"/>
  <c r="AC49" i="72"/>
  <c r="P49" i="73"/>
  <c r="AA49" i="73"/>
  <c r="P49" i="74"/>
  <c r="R49" i="74"/>
  <c r="O49" i="74"/>
  <c r="V49" i="74"/>
  <c r="T49" i="74"/>
  <c r="AA49" i="74"/>
  <c r="AC49" i="82"/>
  <c r="L24" i="54"/>
  <c r="H24" i="54" s="1"/>
  <c r="L21" i="54"/>
  <c r="H21" i="54" s="1"/>
  <c r="L22" i="17"/>
  <c r="H22" i="17" s="1"/>
  <c r="L36" i="14"/>
  <c r="H36" i="14" s="1"/>
  <c r="L20" i="14"/>
  <c r="H20" i="14" s="1"/>
  <c r="L22" i="13"/>
  <c r="M11" i="69"/>
  <c r="M20" i="69"/>
  <c r="M28" i="69"/>
  <c r="M36" i="69"/>
  <c r="L7" i="71"/>
  <c r="H7" i="71" s="1"/>
  <c r="M9" i="71"/>
  <c r="L11" i="71"/>
  <c r="H11" i="71" s="1"/>
  <c r="M13" i="71"/>
  <c r="L20" i="71"/>
  <c r="H20" i="71" s="1"/>
  <c r="M22" i="71"/>
  <c r="L25" i="71"/>
  <c r="H25" i="71" s="1"/>
  <c r="M31" i="71"/>
  <c r="L33" i="71"/>
  <c r="M35" i="71"/>
  <c r="L39" i="71"/>
  <c r="M17" i="79"/>
  <c r="M19" i="79"/>
  <c r="L22" i="79"/>
  <c r="L24" i="79"/>
  <c r="L26" i="79"/>
  <c r="M27" i="79"/>
  <c r="M29" i="79"/>
  <c r="L30" i="79"/>
  <c r="M31" i="79"/>
  <c r="L32" i="79"/>
  <c r="M33" i="79"/>
  <c r="L34" i="79"/>
  <c r="M35" i="79"/>
  <c r="L36" i="79"/>
  <c r="M37" i="79"/>
  <c r="L38" i="79"/>
  <c r="M39" i="79"/>
  <c r="L40" i="79"/>
  <c r="L7" i="82"/>
  <c r="L8" i="82"/>
  <c r="M9" i="82"/>
  <c r="M11" i="82"/>
  <c r="L12" i="82"/>
  <c r="H12" i="82" s="1"/>
  <c r="M13" i="82"/>
  <c r="L14" i="82"/>
  <c r="H14" i="82" s="1"/>
  <c r="M15" i="82"/>
  <c r="L16" i="82"/>
  <c r="L17" i="82"/>
  <c r="M19" i="82"/>
  <c r="L21" i="82"/>
  <c r="L22" i="82"/>
  <c r="M23" i="82"/>
  <c r="L25" i="82"/>
  <c r="L27" i="82"/>
  <c r="L28" i="82"/>
  <c r="M29" i="82"/>
  <c r="L30" i="82"/>
  <c r="M31" i="82"/>
  <c r="L32" i="82"/>
  <c r="M33" i="82"/>
  <c r="L34" i="82"/>
  <c r="M35" i="82"/>
  <c r="L36" i="82"/>
  <c r="M37" i="82"/>
  <c r="L38" i="82"/>
  <c r="M39" i="82"/>
  <c r="L40" i="82"/>
  <c r="R49" i="10"/>
  <c r="O48" i="54"/>
  <c r="P49" i="12"/>
  <c r="U49" i="12"/>
  <c r="Q49" i="67"/>
  <c r="AE49" i="27"/>
  <c r="V49" i="27"/>
  <c r="U49" i="27"/>
  <c r="Q49" i="33"/>
  <c r="V49" i="33"/>
  <c r="O49" i="33"/>
  <c r="AC49" i="79"/>
  <c r="T49" i="79"/>
  <c r="M20" i="64"/>
  <c r="L20" i="64"/>
  <c r="H20" i="64" s="1"/>
  <c r="L20" i="10"/>
  <c r="H20" i="10" s="1"/>
  <c r="M39" i="54"/>
  <c r="L39" i="54"/>
  <c r="L27" i="54"/>
  <c r="H27" i="54" s="1"/>
  <c r="L20" i="54"/>
  <c r="H20" i="54" s="1"/>
  <c r="Z49" i="54"/>
  <c r="R49" i="54"/>
  <c r="N49" i="54"/>
  <c r="T49" i="54"/>
  <c r="AE49" i="54"/>
  <c r="AB49" i="12"/>
  <c r="X49" i="12"/>
  <c r="O49" i="12"/>
  <c r="N49" i="12"/>
  <c r="M40" i="12"/>
  <c r="M31" i="12"/>
  <c r="L36" i="17"/>
  <c r="H36" i="17" s="1"/>
  <c r="L30" i="17"/>
  <c r="L10" i="17"/>
  <c r="H10" i="17" s="1"/>
  <c r="S49" i="17"/>
  <c r="AG49" i="17"/>
  <c r="L16" i="17"/>
  <c r="H16" i="17" s="1"/>
  <c r="L27" i="17"/>
  <c r="H27" i="17" s="1"/>
  <c r="L34" i="17"/>
  <c r="H34" i="17" s="1"/>
  <c r="L11" i="17"/>
  <c r="H11" i="17" s="1"/>
  <c r="M28" i="17"/>
  <c r="L33" i="14"/>
  <c r="H33" i="14" s="1"/>
  <c r="L32" i="14"/>
  <c r="H32" i="14" s="1"/>
  <c r="L29" i="14"/>
  <c r="H29" i="14" s="1"/>
  <c r="L24" i="14"/>
  <c r="H24" i="14" s="1"/>
  <c r="L16" i="14"/>
  <c r="H16" i="14" s="1"/>
  <c r="L13" i="14"/>
  <c r="H13" i="14" s="1"/>
  <c r="L8" i="14"/>
  <c r="H8" i="14" s="1"/>
  <c r="Y49" i="14"/>
  <c r="P49" i="14"/>
  <c r="V49" i="14"/>
  <c r="N49" i="14"/>
  <c r="AE49" i="56"/>
  <c r="AA49" i="56"/>
  <c r="S49" i="56"/>
  <c r="O49" i="56"/>
  <c r="U49" i="56"/>
  <c r="AD49" i="56"/>
  <c r="AF49" i="56"/>
  <c r="M24" i="56"/>
  <c r="L10" i="56"/>
  <c r="H10" i="56" s="1"/>
  <c r="L26" i="56"/>
  <c r="H26" i="56" s="1"/>
  <c r="M6" i="56"/>
  <c r="L27" i="56"/>
  <c r="H27" i="56" s="1"/>
  <c r="L19" i="56"/>
  <c r="H19" i="56" s="1"/>
  <c r="L11" i="56"/>
  <c r="H11" i="56" s="1"/>
  <c r="L28" i="25"/>
  <c r="H28" i="25" s="1"/>
  <c r="O48" i="25"/>
  <c r="AC49" i="25"/>
  <c r="T49" i="25"/>
  <c r="Y49" i="25"/>
  <c r="S49" i="25"/>
  <c r="R49" i="25"/>
  <c r="AG49" i="25"/>
  <c r="P49" i="25"/>
  <c r="M13" i="25"/>
  <c r="L19" i="25"/>
  <c r="H19" i="25" s="1"/>
  <c r="L7" i="25"/>
  <c r="L37" i="25"/>
  <c r="L20" i="25"/>
  <c r="H20" i="25" s="1"/>
  <c r="L12" i="25"/>
  <c r="H12" i="25" s="1"/>
  <c r="L30" i="66"/>
  <c r="H30" i="66" s="1"/>
  <c r="AE49" i="66"/>
  <c r="O49" i="66"/>
  <c r="AG49" i="66"/>
  <c r="AD49" i="66"/>
  <c r="Z49" i="66"/>
  <c r="V49" i="66"/>
  <c r="Y49" i="67"/>
  <c r="AB49" i="67"/>
  <c r="AA49" i="67"/>
  <c r="R49" i="67"/>
  <c r="O49" i="67"/>
  <c r="P49" i="67"/>
  <c r="M26" i="67"/>
  <c r="M8" i="67"/>
  <c r="L33" i="67"/>
  <c r="H33" i="67" s="1"/>
  <c r="L25" i="67"/>
  <c r="H25" i="67" s="1"/>
  <c r="L17" i="67"/>
  <c r="H17" i="67" s="1"/>
  <c r="L9" i="67"/>
  <c r="H9" i="67" s="1"/>
  <c r="M31" i="67"/>
  <c r="L33" i="53"/>
  <c r="M9" i="53"/>
  <c r="L9" i="53"/>
  <c r="H9" i="53" s="1"/>
  <c r="Y49" i="53"/>
  <c r="U49" i="53"/>
  <c r="AF49" i="53"/>
  <c r="AB49" i="53"/>
  <c r="Z49" i="53"/>
  <c r="X49" i="53"/>
  <c r="P49" i="53"/>
  <c r="M26" i="53"/>
  <c r="L40" i="53"/>
  <c r="M32" i="53"/>
  <c r="L17" i="53"/>
  <c r="H17" i="53" s="1"/>
  <c r="L25" i="53"/>
  <c r="H25" i="53" s="1"/>
  <c r="L31" i="28"/>
  <c r="L10" i="28"/>
  <c r="H10" i="28" s="1"/>
  <c r="M25" i="28"/>
  <c r="AC49" i="28"/>
  <c r="T49" i="28"/>
  <c r="Y49" i="28"/>
  <c r="AE49" i="28"/>
  <c r="AA49" i="28"/>
  <c r="Q49" i="28"/>
  <c r="R49" i="28"/>
  <c r="L11" i="15"/>
  <c r="H11" i="15" s="1"/>
  <c r="M11" i="15"/>
  <c r="T49" i="15"/>
  <c r="AB49" i="15"/>
  <c r="P49" i="15"/>
  <c r="N49" i="15"/>
  <c r="L27" i="15"/>
  <c r="L36" i="16"/>
  <c r="L28" i="16"/>
  <c r="L20" i="16"/>
  <c r="H20" i="16" s="1"/>
  <c r="M12" i="16"/>
  <c r="L12" i="16"/>
  <c r="H12" i="16" s="1"/>
  <c r="M7" i="16"/>
  <c r="M39" i="16"/>
  <c r="AC49" i="16"/>
  <c r="Q49" i="16"/>
  <c r="O49" i="16"/>
  <c r="U49" i="16"/>
  <c r="AF49" i="16"/>
  <c r="AG49" i="16"/>
  <c r="X49" i="16"/>
  <c r="V49" i="16"/>
  <c r="P49" i="16"/>
  <c r="N49" i="16"/>
  <c r="G11" i="29"/>
  <c r="I41" i="29"/>
  <c r="L12" i="29"/>
  <c r="H12" i="29" s="1"/>
  <c r="M12" i="29"/>
  <c r="L14" i="29"/>
  <c r="H14" i="29" s="1"/>
  <c r="L16" i="29"/>
  <c r="M16" i="29"/>
  <c r="L18" i="29"/>
  <c r="M18" i="29"/>
  <c r="L20" i="29"/>
  <c r="M20" i="29"/>
  <c r="L22" i="29"/>
  <c r="L24" i="29"/>
  <c r="M24" i="29"/>
  <c r="L26" i="29"/>
  <c r="M26" i="29"/>
  <c r="L28" i="29"/>
  <c r="M28" i="29"/>
  <c r="L30" i="29"/>
  <c r="L32" i="29"/>
  <c r="M32" i="29"/>
  <c r="L34" i="29"/>
  <c r="M34" i="29"/>
  <c r="L36" i="29"/>
  <c r="M36" i="29"/>
  <c r="L38" i="29"/>
  <c r="M40" i="29"/>
  <c r="L40" i="29"/>
  <c r="L10" i="29"/>
  <c r="M10" i="29"/>
  <c r="L9" i="29"/>
  <c r="H9" i="29" s="1"/>
  <c r="L8" i="29"/>
  <c r="H8" i="29" s="1"/>
  <c r="M8" i="29"/>
  <c r="L7" i="29"/>
  <c r="M7" i="29"/>
  <c r="AC49" i="29"/>
  <c r="T49" i="29"/>
  <c r="Y49" i="29"/>
  <c r="W49" i="29"/>
  <c r="O49" i="29"/>
  <c r="U49" i="29"/>
  <c r="S49" i="29"/>
  <c r="Q49" i="29"/>
  <c r="R49" i="29"/>
  <c r="Z49" i="29"/>
  <c r="AD49" i="29"/>
  <c r="AB49" i="29"/>
  <c r="X49" i="29"/>
  <c r="P49" i="29"/>
  <c r="M6" i="29"/>
  <c r="L37" i="29"/>
  <c r="L33" i="29"/>
  <c r="L29" i="29"/>
  <c r="L25" i="29"/>
  <c r="L21" i="29"/>
  <c r="L17" i="29"/>
  <c r="L13" i="29"/>
  <c r="M33" i="29"/>
  <c r="M37" i="29"/>
  <c r="L35" i="29"/>
  <c r="L27" i="29"/>
  <c r="L19" i="29"/>
  <c r="M35" i="29"/>
  <c r="L39" i="29"/>
  <c r="M13" i="29"/>
  <c r="M23" i="29"/>
  <c r="M15" i="29"/>
  <c r="M17" i="29"/>
  <c r="M25" i="29"/>
  <c r="L23" i="29"/>
  <c r="L6" i="29"/>
  <c r="M31" i="29"/>
  <c r="L11" i="29"/>
  <c r="H11" i="29" s="1"/>
  <c r="M29" i="29"/>
  <c r="M11" i="29"/>
  <c r="M21" i="29"/>
  <c r="L38" i="42"/>
  <c r="M38" i="42"/>
  <c r="L36" i="42"/>
  <c r="L34" i="42"/>
  <c r="L32" i="42"/>
  <c r="M32" i="42"/>
  <c r="L30" i="42"/>
  <c r="L28" i="42"/>
  <c r="H28" i="42" s="1"/>
  <c r="M28" i="42"/>
  <c r="T49" i="42"/>
  <c r="W49" i="42"/>
  <c r="AD49" i="42"/>
  <c r="L24" i="42"/>
  <c r="H24" i="42" s="1"/>
  <c r="L20" i="42"/>
  <c r="H20" i="42" s="1"/>
  <c r="L16" i="42"/>
  <c r="H16" i="42" s="1"/>
  <c r="L12" i="42"/>
  <c r="H12" i="42" s="1"/>
  <c r="L8" i="42"/>
  <c r="L22" i="42"/>
  <c r="H22" i="42" s="1"/>
  <c r="L14" i="42"/>
  <c r="H14" i="42" s="1"/>
  <c r="L6" i="42"/>
  <c r="L18" i="42"/>
  <c r="H18" i="42" s="1"/>
  <c r="M33" i="42"/>
  <c r="L10" i="42"/>
  <c r="H10" i="42" s="1"/>
  <c r="M27" i="42"/>
  <c r="M39" i="42"/>
  <c r="Z49" i="42"/>
  <c r="S49" i="42"/>
  <c r="Q49" i="42"/>
  <c r="O48" i="42"/>
  <c r="N49" i="42"/>
  <c r="L39" i="27"/>
  <c r="M39" i="27"/>
  <c r="M37" i="27"/>
  <c r="L37" i="27"/>
  <c r="L35" i="27"/>
  <c r="L31" i="27"/>
  <c r="M31" i="27"/>
  <c r="M29" i="27"/>
  <c r="L29" i="27"/>
  <c r="L27" i="27"/>
  <c r="H27" i="27" s="1"/>
  <c r="M27" i="27"/>
  <c r="L26" i="27"/>
  <c r="H26" i="27" s="1"/>
  <c r="AG49" i="27"/>
  <c r="AD49" i="27"/>
  <c r="Q49" i="27"/>
  <c r="G7" i="27"/>
  <c r="I41" i="27"/>
  <c r="O48" i="27"/>
  <c r="L38" i="27"/>
  <c r="L36" i="27"/>
  <c r="L34" i="27"/>
  <c r="L32" i="27"/>
  <c r="L30" i="27"/>
  <c r="L28" i="27"/>
  <c r="H28" i="27" s="1"/>
  <c r="L24" i="27"/>
  <c r="H24" i="27" s="1"/>
  <c r="L22" i="27"/>
  <c r="H22" i="27" s="1"/>
  <c r="L20" i="27"/>
  <c r="H20" i="27" s="1"/>
  <c r="L18" i="27"/>
  <c r="H18" i="27" s="1"/>
  <c r="L16" i="27"/>
  <c r="H16" i="27" s="1"/>
  <c r="L14" i="27"/>
  <c r="H14" i="27" s="1"/>
  <c r="L12" i="27"/>
  <c r="H12" i="27" s="1"/>
  <c r="L10" i="27"/>
  <c r="H10" i="27" s="1"/>
  <c r="L8" i="27"/>
  <c r="H8" i="27" s="1"/>
  <c r="L6" i="27"/>
  <c r="H6" i="27" s="1"/>
  <c r="L23" i="27"/>
  <c r="H23" i="27" s="1"/>
  <c r="L19" i="27"/>
  <c r="H19" i="27" s="1"/>
  <c r="L15" i="27"/>
  <c r="H15" i="27" s="1"/>
  <c r="L11" i="27"/>
  <c r="H11" i="27" s="1"/>
  <c r="L7" i="27"/>
  <c r="H7" i="27" s="1"/>
  <c r="L21" i="27"/>
  <c r="H21" i="27" s="1"/>
  <c r="L13" i="27"/>
  <c r="H13" i="27" s="1"/>
  <c r="M14" i="27"/>
  <c r="M25" i="27"/>
  <c r="M10" i="27"/>
  <c r="M15" i="27"/>
  <c r="M19" i="27"/>
  <c r="M36" i="27"/>
  <c r="M16" i="27"/>
  <c r="M7" i="27"/>
  <c r="M17" i="27"/>
  <c r="M38" i="27"/>
  <c r="M40" i="27"/>
  <c r="M23" i="27"/>
  <c r="M22" i="27"/>
  <c r="M12" i="27"/>
  <c r="M28" i="27"/>
  <c r="L25" i="27"/>
  <c r="H25" i="27" s="1"/>
  <c r="L9" i="27"/>
  <c r="H9" i="27" s="1"/>
  <c r="M20" i="27"/>
  <c r="M21" i="27"/>
  <c r="M9" i="27"/>
  <c r="M34" i="27"/>
  <c r="M8" i="27"/>
  <c r="M40" i="13"/>
  <c r="L40" i="13"/>
  <c r="M36" i="13"/>
  <c r="L36" i="13"/>
  <c r="L34" i="13"/>
  <c r="M34" i="13"/>
  <c r="M32" i="13"/>
  <c r="L32" i="13"/>
  <c r="M28" i="13"/>
  <c r="L28" i="13"/>
  <c r="L26" i="13"/>
  <c r="M24" i="13"/>
  <c r="L24" i="13"/>
  <c r="AC49" i="13"/>
  <c r="AE49" i="13"/>
  <c r="W49" i="13"/>
  <c r="AG49" i="13"/>
  <c r="AF49" i="13"/>
  <c r="AB49" i="13"/>
  <c r="L20" i="13"/>
  <c r="H20" i="13" s="1"/>
  <c r="M20" i="13"/>
  <c r="AA49" i="13"/>
  <c r="V49" i="13"/>
  <c r="R49" i="13"/>
  <c r="O48" i="13"/>
  <c r="N49" i="13"/>
  <c r="L37" i="13"/>
  <c r="L35" i="13"/>
  <c r="L33" i="13"/>
  <c r="L31" i="13"/>
  <c r="L29" i="13"/>
  <c r="L27" i="13"/>
  <c r="L25" i="13"/>
  <c r="L23" i="13"/>
  <c r="L21" i="13"/>
  <c r="L19" i="13"/>
  <c r="H19" i="13" s="1"/>
  <c r="L17" i="13"/>
  <c r="H17" i="13" s="1"/>
  <c r="L15" i="13"/>
  <c r="H15" i="13" s="1"/>
  <c r="L13" i="13"/>
  <c r="H13" i="13" s="1"/>
  <c r="L11" i="13"/>
  <c r="H11" i="13" s="1"/>
  <c r="L9" i="13"/>
  <c r="H9" i="13" s="1"/>
  <c r="L7" i="13"/>
  <c r="H7" i="13" s="1"/>
  <c r="L16" i="13"/>
  <c r="H16" i="13" s="1"/>
  <c r="L12" i="13"/>
  <c r="H12" i="13" s="1"/>
  <c r="L8" i="13"/>
  <c r="H8" i="13" s="1"/>
  <c r="M7" i="13"/>
  <c r="M25" i="13"/>
  <c r="M29" i="13"/>
  <c r="M10" i="13"/>
  <c r="L39" i="13"/>
  <c r="M35" i="13"/>
  <c r="M27" i="13"/>
  <c r="M19" i="13"/>
  <c r="M15" i="13"/>
  <c r="M13" i="13"/>
  <c r="M9" i="13"/>
  <c r="L18" i="13"/>
  <c r="H18" i="13" s="1"/>
  <c r="L10" i="13"/>
  <c r="H10" i="13" s="1"/>
  <c r="M33" i="13"/>
  <c r="M8" i="13"/>
  <c r="M37" i="13"/>
  <c r="M18" i="13"/>
  <c r="M17" i="13"/>
  <c r="M31" i="13"/>
  <c r="M16" i="13"/>
  <c r="M12" i="13"/>
  <c r="L38" i="55"/>
  <c r="M38" i="55"/>
  <c r="L36" i="55"/>
  <c r="M36" i="55"/>
  <c r="L34" i="55"/>
  <c r="M34" i="55"/>
  <c r="L32" i="55"/>
  <c r="M32" i="55"/>
  <c r="L30" i="55"/>
  <c r="M30" i="55"/>
  <c r="L26" i="55"/>
  <c r="H26" i="55" s="1"/>
  <c r="M26" i="55"/>
  <c r="L25" i="55"/>
  <c r="H25" i="55" s="1"/>
  <c r="L24" i="55"/>
  <c r="H24" i="55" s="1"/>
  <c r="O48" i="55"/>
  <c r="L8" i="55"/>
  <c r="H8" i="55" s="1"/>
  <c r="M8" i="55"/>
  <c r="L28" i="55"/>
  <c r="H28" i="55" s="1"/>
  <c r="L22" i="55"/>
  <c r="H22" i="55" s="1"/>
  <c r="L20" i="55"/>
  <c r="H20" i="55" s="1"/>
  <c r="L18" i="55"/>
  <c r="H18" i="55" s="1"/>
  <c r="L16" i="55"/>
  <c r="H16" i="55" s="1"/>
  <c r="L14" i="55"/>
  <c r="H14" i="55" s="1"/>
  <c r="L12" i="55"/>
  <c r="H12" i="55" s="1"/>
  <c r="L10" i="55"/>
  <c r="H10" i="55" s="1"/>
  <c r="L6" i="55"/>
  <c r="H6" i="55" s="1"/>
  <c r="L37" i="55"/>
  <c r="L33" i="55"/>
  <c r="L29" i="55"/>
  <c r="L21" i="55"/>
  <c r="H21" i="55" s="1"/>
  <c r="L17" i="55"/>
  <c r="H17" i="55" s="1"/>
  <c r="L13" i="55"/>
  <c r="H13" i="55" s="1"/>
  <c r="L9" i="55"/>
  <c r="M18" i="55"/>
  <c r="M37" i="55"/>
  <c r="M29" i="55"/>
  <c r="M15" i="55"/>
  <c r="M33" i="55"/>
  <c r="M19" i="55"/>
  <c r="M31" i="55"/>
  <c r="M11" i="55"/>
  <c r="M13" i="55"/>
  <c r="L39" i="55"/>
  <c r="M35" i="55"/>
  <c r="M7" i="55"/>
  <c r="M20" i="55"/>
  <c r="L35" i="55"/>
  <c r="L27" i="55"/>
  <c r="L19" i="55"/>
  <c r="H19" i="55" s="1"/>
  <c r="L11" i="55"/>
  <c r="H11" i="55" s="1"/>
  <c r="M16" i="55"/>
  <c r="M27" i="55"/>
  <c r="M28" i="55"/>
  <c r="M17" i="55"/>
  <c r="M12" i="55"/>
  <c r="M9" i="55"/>
  <c r="AC49" i="55"/>
  <c r="Y49" i="55"/>
  <c r="AE49" i="55"/>
  <c r="W49" i="55"/>
  <c r="U49" i="55"/>
  <c r="AG49" i="55"/>
  <c r="AD49" i="55"/>
  <c r="AB49" i="55"/>
  <c r="G6" i="55"/>
  <c r="I41" i="55"/>
  <c r="G17" i="44"/>
  <c r="I41" i="44"/>
  <c r="T49" i="44"/>
  <c r="AA49" i="44"/>
  <c r="S49" i="44"/>
  <c r="W49" i="44"/>
  <c r="AB49" i="44"/>
  <c r="Z49" i="44"/>
  <c r="AD49" i="44"/>
  <c r="X49" i="44"/>
  <c r="P49" i="44"/>
  <c r="N49" i="44"/>
  <c r="M40" i="18"/>
  <c r="L40" i="18"/>
  <c r="L38" i="18"/>
  <c r="M38" i="18"/>
  <c r="L36" i="18"/>
  <c r="M36" i="18"/>
  <c r="L34" i="18"/>
  <c r="M34" i="18"/>
  <c r="L32" i="18"/>
  <c r="L30" i="18"/>
  <c r="M30" i="18"/>
  <c r="L28" i="18"/>
  <c r="M28" i="18"/>
  <c r="L26" i="18"/>
  <c r="M26" i="18"/>
  <c r="L24" i="18"/>
  <c r="M24" i="18"/>
  <c r="O48" i="18"/>
  <c r="G23" i="18"/>
  <c r="C44" i="18" s="1"/>
  <c r="I41" i="18"/>
  <c r="L22" i="18"/>
  <c r="H22" i="18" s="1"/>
  <c r="M22" i="18"/>
  <c r="L21" i="18"/>
  <c r="H21" i="18" s="1"/>
  <c r="M21" i="18"/>
  <c r="L20" i="18"/>
  <c r="H20" i="18" s="1"/>
  <c r="M20" i="18"/>
  <c r="L19" i="18"/>
  <c r="H19" i="18" s="1"/>
  <c r="L18" i="18"/>
  <c r="H18" i="18" s="1"/>
  <c r="M18" i="18"/>
  <c r="L17" i="18"/>
  <c r="H17" i="18" s="1"/>
  <c r="L16" i="18"/>
  <c r="H16" i="18" s="1"/>
  <c r="M16" i="18"/>
  <c r="L14" i="18"/>
  <c r="H14" i="18" s="1"/>
  <c r="M14" i="18"/>
  <c r="L13" i="18"/>
  <c r="H13" i="18" s="1"/>
  <c r="L12" i="18"/>
  <c r="H12" i="18" s="1"/>
  <c r="M12" i="18"/>
  <c r="L11" i="18"/>
  <c r="H11" i="18" s="1"/>
  <c r="M11" i="18"/>
  <c r="L10" i="18"/>
  <c r="H10" i="18" s="1"/>
  <c r="L9" i="18"/>
  <c r="H9" i="18" s="1"/>
  <c r="M9" i="18"/>
  <c r="L8" i="18"/>
  <c r="H8" i="18" s="1"/>
  <c r="M8" i="18"/>
  <c r="W49" i="18"/>
  <c r="S49" i="18"/>
  <c r="AE49" i="18"/>
  <c r="O49" i="18"/>
  <c r="Q49" i="18"/>
  <c r="AG49" i="18"/>
  <c r="AF49" i="18"/>
  <c r="AB49" i="18"/>
  <c r="V49" i="18"/>
  <c r="N49" i="18"/>
  <c r="M6" i="18"/>
  <c r="L6" i="18"/>
  <c r="H6" i="18" s="1"/>
  <c r="M25" i="18"/>
  <c r="M23" i="18"/>
  <c r="L39" i="18"/>
  <c r="M35" i="18"/>
  <c r="M31" i="18"/>
  <c r="M27" i="18"/>
  <c r="L37" i="18"/>
  <c r="L33" i="18"/>
  <c r="L29" i="18"/>
  <c r="L25" i="18"/>
  <c r="M37" i="18"/>
  <c r="M39" i="18"/>
  <c r="M29" i="18"/>
  <c r="L35" i="18"/>
  <c r="L27" i="18"/>
  <c r="Y49" i="33"/>
  <c r="AG49" i="33"/>
  <c r="AF49" i="33"/>
  <c r="AD49" i="33"/>
  <c r="AB49" i="33"/>
  <c r="Z49" i="33"/>
  <c r="X49" i="33"/>
  <c r="AA49" i="33"/>
  <c r="T49" i="33"/>
  <c r="AC49" i="33"/>
  <c r="S49" i="33"/>
  <c r="R49" i="33"/>
  <c r="P49" i="33"/>
  <c r="O48" i="33"/>
  <c r="N49" i="33"/>
  <c r="L37" i="33"/>
  <c r="H37" i="33" s="1"/>
  <c r="L35" i="33"/>
  <c r="H35" i="33" s="1"/>
  <c r="L33" i="33"/>
  <c r="H33" i="33" s="1"/>
  <c r="L31" i="33"/>
  <c r="H31" i="33" s="1"/>
  <c r="L29" i="33"/>
  <c r="H29" i="33" s="1"/>
  <c r="L27" i="33"/>
  <c r="H27" i="33" s="1"/>
  <c r="L25" i="33"/>
  <c r="H25" i="33" s="1"/>
  <c r="L23" i="33"/>
  <c r="H23" i="33" s="1"/>
  <c r="L21" i="33"/>
  <c r="H21" i="33" s="1"/>
  <c r="L19" i="33"/>
  <c r="H19" i="33" s="1"/>
  <c r="L17" i="33"/>
  <c r="H17" i="33" s="1"/>
  <c r="L15" i="33"/>
  <c r="H15" i="33" s="1"/>
  <c r="L13" i="33"/>
  <c r="H13" i="33" s="1"/>
  <c r="L11" i="33"/>
  <c r="H11" i="33" s="1"/>
  <c r="L9" i="33"/>
  <c r="H9" i="33" s="1"/>
  <c r="L7" i="33"/>
  <c r="H7" i="33" s="1"/>
  <c r="L38" i="33"/>
  <c r="L34" i="33"/>
  <c r="H34" i="33" s="1"/>
  <c r="L30" i="33"/>
  <c r="H30" i="33" s="1"/>
  <c r="L26" i="33"/>
  <c r="H26" i="33" s="1"/>
  <c r="L22" i="33"/>
  <c r="H22" i="33" s="1"/>
  <c r="L18" i="33"/>
  <c r="H18" i="33" s="1"/>
  <c r="L14" i="33"/>
  <c r="H14" i="33" s="1"/>
  <c r="L10" i="33"/>
  <c r="H10" i="33" s="1"/>
  <c r="L6" i="33"/>
  <c r="H6" i="33" s="1"/>
  <c r="M31" i="33"/>
  <c r="M34" i="33"/>
  <c r="M26" i="33"/>
  <c r="M14" i="33"/>
  <c r="M36" i="33"/>
  <c r="M24" i="33"/>
  <c r="M12" i="33"/>
  <c r="M32" i="33"/>
  <c r="M20" i="33"/>
  <c r="M25" i="33"/>
  <c r="M13" i="33"/>
  <c r="M27" i="33"/>
  <c r="M15" i="33"/>
  <c r="M7" i="33"/>
  <c r="M35" i="33"/>
  <c r="L36" i="33"/>
  <c r="H36" i="33" s="1"/>
  <c r="L28" i="33"/>
  <c r="H28" i="33" s="1"/>
  <c r="L20" i="33"/>
  <c r="H20" i="33" s="1"/>
  <c r="L12" i="33"/>
  <c r="H12" i="33" s="1"/>
  <c r="M28" i="33"/>
  <c r="M8" i="33"/>
  <c r="M38" i="33"/>
  <c r="M16" i="33"/>
  <c r="M22" i="33"/>
  <c r="M39" i="33"/>
  <c r="M33" i="33"/>
  <c r="M11" i="33"/>
  <c r="G7" i="17"/>
  <c r="M7" i="44"/>
  <c r="L7" i="44"/>
  <c r="H7" i="44" s="1"/>
  <c r="L9" i="44"/>
  <c r="H9" i="44" s="1"/>
  <c r="L11" i="44"/>
  <c r="H11" i="44" s="1"/>
  <c r="L13" i="44"/>
  <c r="H13" i="44" s="1"/>
  <c r="M13" i="44"/>
  <c r="L15" i="44"/>
  <c r="L17" i="44"/>
  <c r="M17" i="44"/>
  <c r="L19" i="44"/>
  <c r="M19" i="44"/>
  <c r="L21" i="44"/>
  <c r="M21" i="44"/>
  <c r="L23" i="44"/>
  <c r="L25" i="44"/>
  <c r="L27" i="44"/>
  <c r="M27" i="44"/>
  <c r="L29" i="44"/>
  <c r="M29" i="44"/>
  <c r="L31" i="44"/>
  <c r="L33" i="44"/>
  <c r="L35" i="44"/>
  <c r="M35" i="44"/>
  <c r="L37" i="44"/>
  <c r="M37" i="44"/>
  <c r="M6" i="44"/>
  <c r="L8" i="44"/>
  <c r="H8" i="44" s="1"/>
  <c r="L38" i="44"/>
  <c r="L34" i="44"/>
  <c r="L30" i="44"/>
  <c r="L26" i="44"/>
  <c r="L22" i="44"/>
  <c r="L18" i="44"/>
  <c r="L12" i="44"/>
  <c r="H12" i="44" s="1"/>
  <c r="L10" i="44"/>
  <c r="H10" i="44" s="1"/>
  <c r="L36" i="44"/>
  <c r="L28" i="44"/>
  <c r="L20" i="44"/>
  <c r="L14" i="44"/>
  <c r="H14" i="44" s="1"/>
  <c r="L6" i="44"/>
  <c r="H6" i="44" s="1"/>
  <c r="M14" i="44"/>
  <c r="L40" i="44"/>
  <c r="M10" i="44"/>
  <c r="M34" i="44"/>
  <c r="M26" i="44"/>
  <c r="M18" i="44"/>
  <c r="M16" i="44"/>
  <c r="M24" i="44"/>
  <c r="M32" i="44"/>
  <c r="M40" i="44"/>
  <c r="M7" i="35"/>
  <c r="M8" i="35"/>
  <c r="M11" i="35"/>
  <c r="M13" i="35"/>
  <c r="M27" i="35"/>
  <c r="M15" i="35"/>
  <c r="M29" i="35"/>
  <c r="M31" i="35"/>
  <c r="M39" i="35"/>
  <c r="M43" i="35"/>
  <c r="L25" i="35"/>
  <c r="H25" i="35" s="1"/>
  <c r="L23" i="35"/>
  <c r="H23" i="35" s="1"/>
  <c r="L19" i="35"/>
  <c r="H19" i="35" s="1"/>
  <c r="L15" i="35"/>
  <c r="H15" i="35" s="1"/>
  <c r="L11" i="35"/>
  <c r="H11" i="35" s="1"/>
  <c r="L7" i="35"/>
  <c r="H7" i="35" s="1"/>
  <c r="L43" i="35"/>
  <c r="H43" i="35" s="1"/>
  <c r="L37" i="35"/>
  <c r="H37" i="35" s="1"/>
  <c r="M17" i="35"/>
  <c r="M37" i="35"/>
  <c r="M23" i="35"/>
  <c r="L17" i="35"/>
  <c r="H17" i="35" s="1"/>
  <c r="L8" i="35"/>
  <c r="H8" i="35" s="1"/>
  <c r="L39" i="35"/>
  <c r="H39" i="35" s="1"/>
  <c r="M35" i="35"/>
  <c r="L21" i="35"/>
  <c r="H21" i="35" s="1"/>
  <c r="L32" i="35"/>
  <c r="H32" i="35" s="1"/>
  <c r="L29" i="35"/>
  <c r="H29" i="35" s="1"/>
  <c r="M19" i="35"/>
  <c r="M25" i="35"/>
  <c r="L13" i="35"/>
  <c r="H13" i="35" s="1"/>
  <c r="L35" i="35"/>
  <c r="H35" i="35" s="1"/>
  <c r="L31" i="35"/>
  <c r="H31" i="35" s="1"/>
  <c r="M9" i="35"/>
  <c r="L9" i="35"/>
  <c r="H9" i="35" s="1"/>
  <c r="M12" i="35"/>
  <c r="M14" i="35"/>
  <c r="L14" i="35"/>
  <c r="H14" i="35" s="1"/>
  <c r="L16" i="35"/>
  <c r="H16" i="35" s="1"/>
  <c r="M18" i="35"/>
  <c r="L20" i="35"/>
  <c r="H20" i="35" s="1"/>
  <c r="M22" i="35"/>
  <c r="L22" i="35"/>
  <c r="H22" i="35" s="1"/>
  <c r="M24" i="35"/>
  <c r="L24" i="35"/>
  <c r="H24" i="35" s="1"/>
  <c r="M26" i="35"/>
  <c r="L26" i="35"/>
  <c r="H26" i="35" s="1"/>
  <c r="M28" i="35"/>
  <c r="L28" i="35"/>
  <c r="H28" i="35" s="1"/>
  <c r="M30" i="35"/>
  <c r="M36" i="35"/>
  <c r="L36" i="35"/>
  <c r="H36" i="35" s="1"/>
  <c r="M38" i="35"/>
  <c r="L38" i="35"/>
  <c r="H38" i="35" s="1"/>
  <c r="M40" i="35"/>
  <c r="M44" i="35"/>
  <c r="L44" i="35"/>
  <c r="H44" i="35" s="1"/>
  <c r="M34" i="35"/>
  <c r="L34" i="35"/>
  <c r="H34" i="35" s="1"/>
  <c r="L6" i="69"/>
  <c r="M6" i="69"/>
  <c r="AC49" i="69"/>
  <c r="T49" i="69"/>
  <c r="AA49" i="69"/>
  <c r="W49" i="69"/>
  <c r="S49" i="69"/>
  <c r="AB49" i="69"/>
  <c r="M7" i="69"/>
  <c r="L7" i="69"/>
  <c r="M8" i="69"/>
  <c r="L9" i="69"/>
  <c r="H9" i="69" s="1"/>
  <c r="M9" i="69"/>
  <c r="L10" i="69"/>
  <c r="H10" i="69" s="1"/>
  <c r="M10" i="69"/>
  <c r="L12" i="69"/>
  <c r="L13" i="69"/>
  <c r="H13" i="69" s="1"/>
  <c r="M13" i="69"/>
  <c r="L14" i="69"/>
  <c r="H14" i="69" s="1"/>
  <c r="M14" i="69"/>
  <c r="M15" i="69"/>
  <c r="L15" i="69"/>
  <c r="H15" i="69" s="1"/>
  <c r="M17" i="69"/>
  <c r="L17" i="69"/>
  <c r="M18" i="69"/>
  <c r="L18" i="69"/>
  <c r="M19" i="69"/>
  <c r="L19" i="69"/>
  <c r="M21" i="69"/>
  <c r="L21" i="69"/>
  <c r="M22" i="69"/>
  <c r="L22" i="69"/>
  <c r="M23" i="69"/>
  <c r="L23" i="69"/>
  <c r="M25" i="69"/>
  <c r="L25" i="69"/>
  <c r="M26" i="69"/>
  <c r="L26" i="69"/>
  <c r="M27" i="69"/>
  <c r="L27" i="69"/>
  <c r="M29" i="69"/>
  <c r="L29" i="69"/>
  <c r="M30" i="69"/>
  <c r="L30" i="69"/>
  <c r="M31" i="69"/>
  <c r="L31" i="69"/>
  <c r="M33" i="69"/>
  <c r="L33" i="69"/>
  <c r="M34" i="69"/>
  <c r="L34" i="69"/>
  <c r="M35" i="69"/>
  <c r="L35" i="69"/>
  <c r="M37" i="69"/>
  <c r="L37" i="69"/>
  <c r="M38" i="69"/>
  <c r="L38" i="69"/>
  <c r="M39" i="69"/>
  <c r="L39" i="69"/>
  <c r="M6" i="70"/>
  <c r="M30" i="70"/>
  <c r="L30" i="70"/>
  <c r="L6" i="70"/>
  <c r="H6" i="70" s="1"/>
  <c r="AE49" i="70"/>
  <c r="W49" i="70"/>
  <c r="O49" i="70"/>
  <c r="Q49" i="70"/>
  <c r="AG49" i="70"/>
  <c r="R49" i="70"/>
  <c r="AF49" i="70"/>
  <c r="AD49" i="70"/>
  <c r="Z49" i="70"/>
  <c r="V49" i="70"/>
  <c r="M7" i="70"/>
  <c r="M8" i="70"/>
  <c r="L8" i="70"/>
  <c r="H8" i="70" s="1"/>
  <c r="M9" i="70"/>
  <c r="M10" i="70"/>
  <c r="L10" i="70"/>
  <c r="M11" i="70"/>
  <c r="M12" i="70"/>
  <c r="L12" i="70"/>
  <c r="H12" i="70" s="1"/>
  <c r="M13" i="70"/>
  <c r="M14" i="70"/>
  <c r="L14" i="70"/>
  <c r="H14" i="70" s="1"/>
  <c r="M15" i="70"/>
  <c r="L16" i="70"/>
  <c r="H16" i="70" s="1"/>
  <c r="M16" i="70"/>
  <c r="L17" i="70"/>
  <c r="H17" i="70" s="1"/>
  <c r="M17" i="70"/>
  <c r="L18" i="70"/>
  <c r="H18" i="70" s="1"/>
  <c r="M19" i="70"/>
  <c r="L19" i="70"/>
  <c r="H19" i="70" s="1"/>
  <c r="M20" i="70"/>
  <c r="L21" i="70"/>
  <c r="H21" i="70" s="1"/>
  <c r="M21" i="70"/>
  <c r="L22" i="70"/>
  <c r="H22" i="70" s="1"/>
  <c r="M23" i="70"/>
  <c r="L24" i="70"/>
  <c r="H24" i="70" s="1"/>
  <c r="M24" i="70"/>
  <c r="M25" i="70"/>
  <c r="L25" i="70"/>
  <c r="H25" i="70" s="1"/>
  <c r="L26" i="70"/>
  <c r="L27" i="70"/>
  <c r="H27" i="70" s="1"/>
  <c r="M27" i="70"/>
  <c r="L28" i="70"/>
  <c r="H28" i="70" s="1"/>
  <c r="M28" i="70"/>
  <c r="M29" i="70"/>
  <c r="L35" i="70"/>
  <c r="H35" i="70" s="1"/>
  <c r="AC49" i="12"/>
  <c r="AA49" i="54"/>
  <c r="S49" i="54"/>
  <c r="L29" i="53"/>
  <c r="L13" i="53"/>
  <c r="H13" i="53" s="1"/>
  <c r="M25" i="53"/>
  <c r="M35" i="67"/>
  <c r="M20" i="67"/>
  <c r="L13" i="67"/>
  <c r="H13" i="67" s="1"/>
  <c r="L29" i="67"/>
  <c r="H29" i="67" s="1"/>
  <c r="N49" i="55"/>
  <c r="N49" i="29"/>
  <c r="N49" i="27"/>
  <c r="X49" i="27"/>
  <c r="P49" i="70"/>
  <c r="X49" i="13"/>
  <c r="X49" i="18"/>
  <c r="Z49" i="16"/>
  <c r="AB49" i="42"/>
  <c r="AD49" i="53"/>
  <c r="AD49" i="13"/>
  <c r="AD49" i="18"/>
  <c r="AF49" i="27"/>
  <c r="R49" i="15"/>
  <c r="AG49" i="53"/>
  <c r="X49" i="69"/>
  <c r="Z49" i="13"/>
  <c r="Z49" i="18"/>
  <c r="Z49" i="69"/>
  <c r="AB49" i="16"/>
  <c r="AD49" i="16"/>
  <c r="AF49" i="17"/>
  <c r="AF49" i="29"/>
  <c r="AF49" i="14"/>
  <c r="AF49" i="15"/>
  <c r="R49" i="55"/>
  <c r="R49" i="18"/>
  <c r="AG49" i="14"/>
  <c r="Q49" i="17"/>
  <c r="U49" i="44"/>
  <c r="S49" i="16"/>
  <c r="Q49" i="56"/>
  <c r="Q49" i="69"/>
  <c r="U49" i="70"/>
  <c r="O49" i="53"/>
  <c r="O49" i="44"/>
  <c r="S49" i="13"/>
  <c r="W49" i="15"/>
  <c r="W49" i="28"/>
  <c r="AA49" i="27"/>
  <c r="AE49" i="44"/>
  <c r="S49" i="55"/>
  <c r="S49" i="14"/>
  <c r="S49" i="70"/>
  <c r="W49" i="67"/>
  <c r="W49" i="66"/>
  <c r="AA49" i="55"/>
  <c r="AA49" i="16"/>
  <c r="AA49" i="70"/>
  <c r="AE49" i="17"/>
  <c r="Y49" i="18"/>
  <c r="T49" i="17"/>
  <c r="AE49" i="33"/>
  <c r="Y49" i="16"/>
  <c r="Y49" i="69"/>
  <c r="T49" i="14"/>
  <c r="T49" i="18"/>
  <c r="AC49" i="27"/>
  <c r="AC49" i="14"/>
  <c r="T49" i="55"/>
  <c r="T49" i="70"/>
  <c r="AC49" i="42"/>
  <c r="AC49" i="70"/>
  <c r="L6" i="25"/>
  <c r="L16" i="25"/>
  <c r="H16" i="25" s="1"/>
  <c r="L7" i="56"/>
  <c r="L23" i="56"/>
  <c r="H23" i="56" s="1"/>
  <c r="L37" i="56"/>
  <c r="L34" i="56"/>
  <c r="H34" i="56" s="1"/>
  <c r="L33" i="25"/>
  <c r="M8" i="12"/>
  <c r="I41" i="33"/>
  <c r="L31" i="17"/>
  <c r="L26" i="17"/>
  <c r="H26" i="17" s="1"/>
  <c r="M33" i="44"/>
  <c r="M36" i="44"/>
  <c r="M20" i="44"/>
  <c r="M22" i="44"/>
  <c r="M38" i="44"/>
  <c r="M31" i="44"/>
  <c r="M15" i="44"/>
  <c r="M11" i="44"/>
  <c r="M35" i="70"/>
  <c r="M26" i="70"/>
  <c r="M18" i="70"/>
  <c r="M36" i="70"/>
  <c r="L29" i="70"/>
  <c r="H29" i="70" s="1"/>
  <c r="L9" i="70"/>
  <c r="H9" i="70" s="1"/>
  <c r="L32" i="70"/>
  <c r="H32" i="70" s="1"/>
  <c r="L15" i="70"/>
  <c r="H15" i="70" s="1"/>
  <c r="L11" i="70"/>
  <c r="H11" i="70" s="1"/>
  <c r="M17" i="33"/>
  <c r="M12" i="69"/>
  <c r="L36" i="69"/>
  <c r="L28" i="69"/>
  <c r="L20" i="69"/>
  <c r="L8" i="69"/>
  <c r="M13" i="18"/>
  <c r="I41" i="42"/>
  <c r="M23" i="33"/>
  <c r="M26" i="27"/>
  <c r="M27" i="29"/>
  <c r="M29" i="33"/>
  <c r="L12" i="35"/>
  <c r="H12" i="35" s="1"/>
  <c r="M16" i="35"/>
  <c r="M39" i="55"/>
  <c r="M23" i="13"/>
  <c r="M10" i="55"/>
  <c r="M39" i="67"/>
  <c r="L18" i="35"/>
  <c r="H18" i="35" s="1"/>
  <c r="M10" i="33"/>
  <c r="M21" i="55"/>
  <c r="M21" i="13"/>
  <c r="M30" i="27"/>
  <c r="M19" i="18"/>
  <c r="L40" i="27"/>
  <c r="M18" i="33"/>
  <c r="M22" i="55"/>
  <c r="M24" i="55"/>
  <c r="L40" i="55"/>
  <c r="M17" i="18"/>
  <c r="M21" i="33"/>
  <c r="M14" i="29"/>
  <c r="M30" i="29"/>
  <c r="L6" i="35"/>
  <c r="H6" i="35" s="1"/>
  <c r="M32" i="35"/>
  <c r="M33" i="18"/>
  <c r="M26" i="13"/>
  <c r="M32" i="18"/>
  <c r="M35" i="27"/>
  <c r="L16" i="33"/>
  <c r="H16" i="33" s="1"/>
  <c r="L32" i="33"/>
  <c r="H32" i="33" s="1"/>
  <c r="L15" i="18"/>
  <c r="H15" i="18" s="1"/>
  <c r="L31" i="18"/>
  <c r="L24" i="44"/>
  <c r="L7" i="55"/>
  <c r="H7" i="55" s="1"/>
  <c r="L23" i="55"/>
  <c r="L6" i="13"/>
  <c r="H6" i="13" s="1"/>
  <c r="L38" i="13"/>
  <c r="L17" i="27"/>
  <c r="H17" i="27" s="1"/>
  <c r="L26" i="42"/>
  <c r="H26" i="42" s="1"/>
  <c r="L31" i="29"/>
  <c r="L31" i="70"/>
  <c r="M32" i="70"/>
  <c r="L33" i="70"/>
  <c r="H33" i="70" s="1"/>
  <c r="L34" i="70"/>
  <c r="H34" i="70" s="1"/>
  <c r="M34" i="70"/>
  <c r="L36" i="70"/>
  <c r="H36" i="70" s="1"/>
  <c r="L37" i="70"/>
  <c r="H37" i="70" s="1"/>
  <c r="M38" i="70"/>
  <c r="L39" i="70"/>
  <c r="M40" i="70"/>
  <c r="L40" i="70"/>
  <c r="M8" i="71"/>
  <c r="M10" i="71"/>
  <c r="M12" i="71"/>
  <c r="M14" i="71"/>
  <c r="M16" i="71"/>
  <c r="L17" i="71"/>
  <c r="H17" i="71" s="1"/>
  <c r="M18" i="71"/>
  <c r="L18" i="71"/>
  <c r="H18" i="71" s="1"/>
  <c r="M19" i="71"/>
  <c r="M21" i="71"/>
  <c r="L23" i="71"/>
  <c r="H23" i="71" s="1"/>
  <c r="M23" i="71"/>
  <c r="L28" i="71"/>
  <c r="H28" i="71" s="1"/>
  <c r="M29" i="71"/>
  <c r="M30" i="71"/>
  <c r="L32" i="71"/>
  <c r="H32" i="71" s="1"/>
  <c r="M34" i="71"/>
  <c r="L37" i="71"/>
  <c r="H37" i="71" s="1"/>
  <c r="M38" i="71"/>
  <c r="L40" i="71"/>
  <c r="L9" i="72"/>
  <c r="H9" i="72" s="1"/>
  <c r="L10" i="72"/>
  <c r="H10" i="72" s="1"/>
  <c r="L11" i="72"/>
  <c r="H11" i="72" s="1"/>
  <c r="L15" i="72"/>
  <c r="H15" i="72" s="1"/>
  <c r="L19" i="72"/>
  <c r="L21" i="72"/>
  <c r="L24" i="72"/>
  <c r="M26" i="72"/>
  <c r="M29" i="72"/>
  <c r="M31" i="72"/>
  <c r="M33" i="72"/>
  <c r="M35" i="72"/>
  <c r="M37" i="72"/>
  <c r="M39" i="72"/>
  <c r="L7" i="72"/>
  <c r="H7" i="72" s="1"/>
  <c r="P49" i="79"/>
  <c r="V49" i="79"/>
  <c r="P49" i="71"/>
  <c r="Z49" i="79"/>
  <c r="AD49" i="79"/>
  <c r="X49" i="71"/>
  <c r="AD49" i="71"/>
  <c r="AD49" i="82"/>
  <c r="AF49" i="82"/>
  <c r="AG49" i="82"/>
  <c r="U49" i="79"/>
  <c r="O49" i="79"/>
  <c r="S49" i="79"/>
  <c r="Q49" i="82"/>
  <c r="Q49" i="71"/>
  <c r="U49" i="72"/>
  <c r="U49" i="71"/>
  <c r="O49" i="82"/>
  <c r="W49" i="79"/>
  <c r="AA49" i="79"/>
  <c r="S49" i="82"/>
  <c r="W49" i="71"/>
  <c r="W49" i="82"/>
  <c r="AA49" i="71"/>
  <c r="AE49" i="71"/>
  <c r="Y49" i="82"/>
  <c r="N49" i="72"/>
  <c r="L9" i="71"/>
  <c r="H9" i="71" s="1"/>
  <c r="L19" i="71"/>
  <c r="H19" i="71" s="1"/>
  <c r="M25" i="71"/>
  <c r="L12" i="71"/>
  <c r="H12" i="71" s="1"/>
  <c r="L22" i="71"/>
  <c r="H22" i="71" s="1"/>
  <c r="M39" i="71"/>
  <c r="L29" i="71"/>
  <c r="H29" i="71" s="1"/>
  <c r="M27" i="82"/>
  <c r="M25" i="82"/>
  <c r="M21" i="82"/>
  <c r="M17" i="82"/>
  <c r="L6" i="82"/>
  <c r="L29" i="79"/>
  <c r="L27" i="79"/>
  <c r="L23" i="79"/>
  <c r="L21" i="79"/>
  <c r="L18" i="79"/>
  <c r="H18" i="79" s="1"/>
  <c r="L16" i="79"/>
  <c r="L13" i="79"/>
  <c r="L11" i="79"/>
  <c r="H11" i="79" s="1"/>
  <c r="L10" i="79"/>
  <c r="L8" i="79"/>
  <c r="H8" i="79" s="1"/>
  <c r="L6" i="79"/>
  <c r="M25" i="79"/>
  <c r="M23" i="79"/>
  <c r="M21" i="79"/>
  <c r="G6" i="73"/>
  <c r="I41" i="76"/>
  <c r="I41" i="77"/>
  <c r="M23" i="72"/>
  <c r="L6" i="72"/>
  <c r="H6" i="72" s="1"/>
  <c r="L39" i="72"/>
  <c r="L37" i="72"/>
  <c r="L35" i="72"/>
  <c r="L33" i="72"/>
  <c r="L31" i="72"/>
  <c r="M21" i="72"/>
  <c r="M25" i="72"/>
  <c r="L22" i="72"/>
  <c r="L20" i="72"/>
  <c r="L14" i="72"/>
  <c r="H14" i="72" s="1"/>
  <c r="M40" i="72"/>
  <c r="M36" i="72"/>
  <c r="M32" i="72"/>
  <c r="L27" i="72"/>
  <c r="L17" i="72"/>
  <c r="H17" i="72" s="1"/>
  <c r="I41" i="72"/>
  <c r="M17" i="71"/>
  <c r="L38" i="71"/>
  <c r="H38" i="71" s="1"/>
  <c r="L30" i="71"/>
  <c r="H30" i="71" s="1"/>
  <c r="M40" i="71"/>
  <c r="M32" i="71"/>
  <c r="L14" i="71"/>
  <c r="H14" i="71" s="1"/>
  <c r="M37" i="70"/>
  <c r="M33" i="70"/>
  <c r="M34" i="2"/>
  <c r="M31" i="54"/>
  <c r="M27" i="54"/>
  <c r="M24" i="54"/>
  <c r="M19" i="54"/>
  <c r="M11" i="54"/>
  <c r="M8" i="54"/>
  <c r="L39" i="12"/>
  <c r="M34" i="17"/>
  <c r="M21" i="17"/>
  <c r="M13" i="17"/>
  <c r="M24" i="14"/>
  <c r="M17" i="14"/>
  <c r="M8" i="14"/>
  <c r="M7" i="14"/>
  <c r="M8" i="56"/>
  <c r="M28" i="25"/>
  <c r="O49" i="4"/>
  <c r="AB49" i="24"/>
  <c r="AE49" i="64"/>
  <c r="U49" i="10"/>
  <c r="L31" i="2"/>
  <c r="T48" i="2"/>
  <c r="L35" i="5"/>
  <c r="N49" i="5"/>
  <c r="M37" i="6"/>
  <c r="N49" i="6"/>
  <c r="AF49" i="64"/>
  <c r="AD49" i="64"/>
  <c r="M16" i="4"/>
  <c r="M15" i="4"/>
  <c r="M30" i="2"/>
  <c r="M25" i="2"/>
  <c r="M14" i="2"/>
  <c r="R48" i="2"/>
  <c r="S53" i="35"/>
  <c r="M40" i="4"/>
  <c r="M39" i="24"/>
  <c r="M33" i="24"/>
  <c r="L34" i="24"/>
  <c r="R49" i="24"/>
  <c r="P49" i="24"/>
  <c r="M35" i="5"/>
  <c r="AD49" i="5"/>
  <c r="S49" i="6"/>
  <c r="L31" i="26"/>
  <c r="AC49" i="26"/>
  <c r="L36" i="26"/>
  <c r="M37" i="64"/>
  <c r="U49" i="64"/>
  <c r="M33" i="10"/>
  <c r="M29" i="10"/>
  <c r="M28" i="10"/>
  <c r="M27" i="10"/>
  <c r="M24" i="10"/>
  <c r="M23" i="10"/>
  <c r="M22" i="10"/>
  <c r="M21" i="10"/>
  <c r="M20" i="10"/>
  <c r="M19" i="10"/>
  <c r="M13" i="10"/>
  <c r="M11" i="10"/>
  <c r="M8" i="10"/>
  <c r="Q49" i="10"/>
  <c r="M30" i="11"/>
  <c r="M18" i="11"/>
  <c r="M15" i="11"/>
  <c r="L27" i="12"/>
  <c r="H27" i="12" s="1"/>
  <c r="L27" i="5"/>
  <c r="H27" i="5" s="1"/>
  <c r="N53" i="35"/>
  <c r="X49" i="10"/>
  <c r="Z49" i="10"/>
  <c r="L24" i="64"/>
  <c r="H24" i="64" s="1"/>
  <c r="L17" i="5"/>
  <c r="H17" i="5" s="1"/>
  <c r="L24" i="10"/>
  <c r="H24" i="10" s="1"/>
  <c r="L28" i="2"/>
  <c r="H28" i="2" s="1"/>
  <c r="L33" i="2"/>
  <c r="Z48" i="2"/>
  <c r="O48" i="2"/>
  <c r="Q53" i="35"/>
  <c r="X49" i="24"/>
  <c r="L23" i="24"/>
  <c r="H23" i="24" s="1"/>
  <c r="Z49" i="24"/>
  <c r="U49" i="24"/>
  <c r="V49" i="5"/>
  <c r="Z49" i="6"/>
  <c r="V49" i="26"/>
  <c r="O48" i="26"/>
  <c r="N49" i="64"/>
  <c r="L7" i="10"/>
  <c r="H7" i="10" s="1"/>
  <c r="Q49" i="54"/>
  <c r="L23" i="54"/>
  <c r="H23" i="54" s="1"/>
  <c r="M23" i="12"/>
  <c r="AF49" i="4"/>
  <c r="Y49" i="4"/>
  <c r="R49" i="4"/>
  <c r="L33" i="5"/>
  <c r="H33" i="5" s="1"/>
  <c r="M32" i="5"/>
  <c r="M36" i="5"/>
  <c r="P48" i="2"/>
  <c r="Y48" i="2"/>
  <c r="O49" i="5"/>
  <c r="W49" i="24"/>
  <c r="W49" i="4"/>
  <c r="AG53" i="35"/>
  <c r="W49" i="5"/>
  <c r="AC49" i="4"/>
  <c r="L32" i="10"/>
  <c r="H32" i="10" s="1"/>
  <c r="L8" i="64"/>
  <c r="H8" i="64" s="1"/>
  <c r="L9" i="6"/>
  <c r="H9" i="6" s="1"/>
  <c r="L22" i="2"/>
  <c r="H22" i="2" s="1"/>
  <c r="M37" i="2"/>
  <c r="L11" i="2"/>
  <c r="H11" i="2" s="1"/>
  <c r="AF48" i="2"/>
  <c r="T53" i="35"/>
  <c r="L8" i="4"/>
  <c r="H8" i="4" s="1"/>
  <c r="S49" i="4"/>
  <c r="Q49" i="4"/>
  <c r="V49" i="4"/>
  <c r="O48" i="4"/>
  <c r="S49" i="24"/>
  <c r="L29" i="24"/>
  <c r="H29" i="24" s="1"/>
  <c r="M32" i="24"/>
  <c r="AA49" i="24"/>
  <c r="O48" i="24"/>
  <c r="M24" i="5"/>
  <c r="L24" i="5"/>
  <c r="H24" i="5" s="1"/>
  <c r="L21" i="5"/>
  <c r="H21" i="5" s="1"/>
  <c r="U49" i="5"/>
  <c r="AC49" i="5"/>
  <c r="M34" i="6"/>
  <c r="L34" i="6"/>
  <c r="M20" i="6"/>
  <c r="M13" i="6"/>
  <c r="L13" i="6"/>
  <c r="H13" i="6" s="1"/>
  <c r="Y49" i="6"/>
  <c r="Z49" i="26"/>
  <c r="AF49" i="26"/>
  <c r="AD49" i="26"/>
  <c r="M30" i="26"/>
  <c r="L32" i="26"/>
  <c r="L32" i="64"/>
  <c r="H32" i="64" s="1"/>
  <c r="M29" i="64"/>
  <c r="L29" i="64"/>
  <c r="H29" i="64" s="1"/>
  <c r="M10" i="64"/>
  <c r="L10" i="64"/>
  <c r="H10" i="64" s="1"/>
  <c r="M7" i="64"/>
  <c r="L7" i="64"/>
  <c r="H7" i="64" s="1"/>
  <c r="AA49" i="64"/>
  <c r="T49" i="64"/>
  <c r="W49" i="64"/>
  <c r="L37" i="10"/>
  <c r="L28" i="10"/>
  <c r="H28" i="10" s="1"/>
  <c r="M26" i="10"/>
  <c r="L26" i="10"/>
  <c r="H26" i="10" s="1"/>
  <c r="M25" i="10"/>
  <c r="L25" i="10"/>
  <c r="H25" i="10" s="1"/>
  <c r="L14" i="10"/>
  <c r="H14" i="10" s="1"/>
  <c r="L10" i="10"/>
  <c r="H10" i="10" s="1"/>
  <c r="L9" i="10"/>
  <c r="H9" i="10" s="1"/>
  <c r="L34" i="10"/>
  <c r="L6" i="10"/>
  <c r="H6" i="10" s="1"/>
  <c r="M36" i="10"/>
  <c r="AB49" i="10"/>
  <c r="T49" i="10"/>
  <c r="O48" i="11"/>
  <c r="V49" i="11"/>
  <c r="L28" i="11"/>
  <c r="H28" i="11" s="1"/>
  <c r="M13" i="11"/>
  <c r="L8" i="11"/>
  <c r="H8" i="11" s="1"/>
  <c r="I41" i="54"/>
  <c r="L12" i="54"/>
  <c r="H12" i="54" s="1"/>
  <c r="L40" i="12"/>
  <c r="L35" i="14"/>
  <c r="H35" i="14" s="1"/>
  <c r="L21" i="4"/>
  <c r="H21" i="4" s="1"/>
  <c r="L35" i="4"/>
  <c r="L26" i="5"/>
  <c r="H26" i="5" s="1"/>
  <c r="M37" i="26"/>
  <c r="M38" i="11"/>
  <c r="L38" i="11"/>
  <c r="M6" i="11"/>
  <c r="M29" i="11"/>
  <c r="AE49" i="11"/>
  <c r="AF53" i="35"/>
  <c r="X49" i="4"/>
  <c r="AA48" i="2"/>
  <c r="AA53" i="35"/>
  <c r="AE49" i="10"/>
  <c r="Q49" i="6"/>
  <c r="W53" i="35"/>
  <c r="V49" i="10"/>
  <c r="AD49" i="10"/>
  <c r="AG49" i="26"/>
  <c r="X49" i="6"/>
  <c r="AG49" i="11"/>
  <c r="Y49" i="64"/>
  <c r="AB49" i="64"/>
  <c r="N49" i="26"/>
  <c r="AA49" i="6"/>
  <c r="AF49" i="6"/>
  <c r="P49" i="5"/>
  <c r="AC49" i="24"/>
  <c r="AB53" i="35"/>
  <c r="AC53" i="35"/>
  <c r="AC48" i="2"/>
  <c r="AB48" i="2"/>
  <c r="M36" i="64"/>
  <c r="M40" i="64"/>
  <c r="L15" i="64"/>
  <c r="H15" i="64" s="1"/>
  <c r="T49" i="26"/>
  <c r="AE49" i="26"/>
  <c r="AA49" i="26"/>
  <c r="R49" i="26"/>
  <c r="AC49" i="11"/>
  <c r="T49" i="6"/>
  <c r="M33" i="5"/>
  <c r="L25" i="5"/>
  <c r="H25" i="5" s="1"/>
  <c r="L18" i="5"/>
  <c r="H18" i="5" s="1"/>
  <c r="L13" i="5"/>
  <c r="H13" i="5" s="1"/>
  <c r="X49" i="64"/>
  <c r="Z49" i="64"/>
  <c r="L40" i="10"/>
  <c r="M14" i="10"/>
  <c r="L8" i="10"/>
  <c r="H8" i="10" s="1"/>
  <c r="M12" i="11"/>
  <c r="M29" i="2"/>
  <c r="L29" i="2"/>
  <c r="H29" i="2" s="1"/>
  <c r="L25" i="64"/>
  <c r="H25" i="64" s="1"/>
  <c r="L40" i="24"/>
  <c r="I41" i="5"/>
  <c r="M21" i="26"/>
  <c r="M12" i="26"/>
  <c r="L7" i="4"/>
  <c r="H7" i="4" s="1"/>
  <c r="L18" i="26"/>
  <c r="H18" i="26" s="1"/>
  <c r="L7" i="2"/>
  <c r="H7" i="2" s="1"/>
  <c r="L11" i="5"/>
  <c r="H11" i="5" s="1"/>
  <c r="L10" i="24"/>
  <c r="H10" i="24" s="1"/>
  <c r="L30" i="24"/>
  <c r="H30" i="24" s="1"/>
  <c r="L20" i="4"/>
  <c r="H20" i="4" s="1"/>
  <c r="L16" i="6"/>
  <c r="H16" i="6" s="1"/>
  <c r="L25" i="24"/>
  <c r="H25" i="24" s="1"/>
  <c r="M26" i="5"/>
  <c r="M20" i="11"/>
  <c r="L38" i="54"/>
  <c r="L7" i="12"/>
  <c r="H7" i="12" s="1"/>
  <c r="M40" i="26"/>
  <c r="M39" i="4"/>
  <c r="I41" i="10"/>
  <c r="L12" i="12"/>
  <c r="H12" i="12" s="1"/>
  <c r="M6" i="5"/>
  <c r="M38" i="5"/>
  <c r="L8" i="6"/>
  <c r="H8" i="6" s="1"/>
  <c r="L28" i="26"/>
  <c r="H28" i="26" s="1"/>
  <c r="M8" i="26"/>
  <c r="M6" i="26"/>
  <c r="L30" i="26"/>
  <c r="L27" i="26"/>
  <c r="L26" i="54"/>
  <c r="H26" i="54" s="1"/>
  <c r="M15" i="12"/>
  <c r="L10" i="12"/>
  <c r="H10" i="12" s="1"/>
  <c r="L38" i="12"/>
  <c r="L22" i="12"/>
  <c r="H22" i="12" s="1"/>
  <c r="L28" i="12"/>
  <c r="H28" i="12" s="1"/>
  <c r="L31" i="12"/>
  <c r="H31" i="12" s="1"/>
  <c r="L21" i="12"/>
  <c r="H21" i="12" s="1"/>
  <c r="M33" i="17"/>
  <c r="M22" i="2"/>
  <c r="M38" i="14"/>
  <c r="M36" i="14"/>
  <c r="M35" i="14"/>
  <c r="M34" i="14"/>
  <c r="M33" i="14"/>
  <c r="M32" i="14"/>
  <c r="M31" i="14"/>
  <c r="M26" i="14"/>
  <c r="M25" i="14"/>
  <c r="M23" i="14"/>
  <c r="M22" i="14"/>
  <c r="M21" i="14"/>
  <c r="M20" i="14"/>
  <c r="M18" i="14"/>
  <c r="M16" i="14"/>
  <c r="M15" i="14"/>
  <c r="M14" i="14"/>
  <c r="M13" i="14"/>
  <c r="M12" i="14"/>
  <c r="M10" i="14"/>
  <c r="M9" i="14"/>
  <c r="M29" i="56"/>
  <c r="M32" i="25"/>
  <c r="M30" i="25"/>
  <c r="M26" i="25"/>
  <c r="L39" i="66"/>
  <c r="M37" i="66"/>
  <c r="M35" i="66"/>
  <c r="M31" i="66"/>
  <c r="M30" i="66"/>
  <c r="M29" i="66"/>
  <c r="M27" i="66"/>
  <c r="M25" i="66"/>
  <c r="M23" i="66"/>
  <c r="M21" i="66"/>
  <c r="M7" i="66"/>
  <c r="M38" i="67"/>
  <c r="M39" i="53"/>
  <c r="M37" i="53"/>
  <c r="M35" i="53"/>
  <c r="M33" i="53"/>
  <c r="M27" i="53"/>
  <c r="M39" i="28"/>
  <c r="M31" i="28"/>
  <c r="L40" i="15"/>
  <c r="M36" i="15"/>
  <c r="M36" i="16"/>
  <c r="M34" i="16"/>
  <c r="M32" i="16"/>
  <c r="M28" i="16"/>
  <c r="M26" i="16"/>
  <c r="M20" i="16"/>
  <c r="L9" i="2"/>
  <c r="H9" i="2" s="1"/>
  <c r="M28" i="26"/>
  <c r="M27" i="26"/>
  <c r="M25" i="26"/>
  <c r="M24" i="26"/>
  <c r="V49" i="15"/>
  <c r="M33" i="2"/>
  <c r="M31" i="2"/>
  <c r="L39" i="4"/>
  <c r="M37" i="4"/>
  <c r="M33" i="4"/>
  <c r="M34" i="24"/>
  <c r="M30" i="24"/>
  <c r="M34" i="5"/>
  <c r="M23" i="26"/>
  <c r="M18" i="26"/>
  <c r="M17" i="26"/>
  <c r="M15" i="26"/>
  <c r="M14" i="26"/>
  <c r="M13" i="26"/>
  <c r="M40" i="10"/>
  <c r="M34" i="10"/>
  <c r="M32" i="10"/>
  <c r="L23" i="2"/>
  <c r="H23" i="2" s="1"/>
  <c r="M28" i="11"/>
  <c r="M25" i="11"/>
  <c r="M24" i="11"/>
  <c r="M17" i="11"/>
  <c r="M9" i="11"/>
  <c r="M38" i="54"/>
  <c r="M38" i="12"/>
  <c r="M28" i="12"/>
  <c r="M27" i="12"/>
  <c r="M22" i="12"/>
  <c r="M21" i="12"/>
  <c r="M20" i="12"/>
  <c r="M13" i="12"/>
  <c r="M12" i="12"/>
  <c r="M11" i="12"/>
  <c r="L39" i="17"/>
  <c r="M37" i="17"/>
  <c r="M35" i="17"/>
  <c r="M32" i="17"/>
  <c r="M31" i="17"/>
  <c r="L28" i="17"/>
  <c r="H28" i="17" s="1"/>
  <c r="M27" i="17"/>
  <c r="M24" i="17"/>
  <c r="M23" i="17"/>
  <c r="L20" i="17"/>
  <c r="H20" i="17" s="1"/>
  <c r="M19" i="17"/>
  <c r="M16" i="17"/>
  <c r="L12" i="17"/>
  <c r="H12" i="17" s="1"/>
  <c r="M8" i="17"/>
  <c r="Y49" i="17"/>
  <c r="M7" i="17"/>
  <c r="O48" i="17"/>
  <c r="M22" i="17"/>
  <c r="L30" i="14"/>
  <c r="H30" i="14" s="1"/>
  <c r="L17" i="14"/>
  <c r="H17" i="14" s="1"/>
  <c r="AA49" i="14"/>
  <c r="O48" i="56"/>
  <c r="T49" i="56"/>
  <c r="M36" i="56"/>
  <c r="L38" i="25"/>
  <c r="L27" i="25"/>
  <c r="H27" i="25" s="1"/>
  <c r="AE49" i="25"/>
  <c r="L14" i="66"/>
  <c r="H14" i="66" s="1"/>
  <c r="AC49" i="66"/>
  <c r="AC49" i="67"/>
  <c r="V49" i="67"/>
  <c r="Z49" i="67"/>
  <c r="L31" i="53"/>
  <c r="L19" i="53"/>
  <c r="H19" i="53" s="1"/>
  <c r="T49" i="53"/>
  <c r="U49" i="28"/>
  <c r="AD49" i="15"/>
  <c r="Z49" i="15"/>
  <c r="AE49" i="15"/>
  <c r="AC49" i="15"/>
  <c r="L19" i="15"/>
  <c r="H19" i="15" s="1"/>
  <c r="L35" i="15"/>
  <c r="L24" i="16"/>
  <c r="O48" i="16"/>
  <c r="L16" i="16"/>
  <c r="H16" i="16" s="1"/>
  <c r="L39" i="2"/>
  <c r="M39" i="2"/>
  <c r="L37" i="2"/>
  <c r="L35" i="2"/>
  <c r="M35" i="2"/>
  <c r="G12" i="2"/>
  <c r="I41" i="2"/>
  <c r="O47" i="2"/>
  <c r="M10" i="2"/>
  <c r="L10" i="2"/>
  <c r="H10" i="2" s="1"/>
  <c r="M8" i="2"/>
  <c r="L8" i="2"/>
  <c r="H8" i="2" s="1"/>
  <c r="AE48" i="2"/>
  <c r="Q48" i="2"/>
  <c r="W48" i="2"/>
  <c r="U48" i="2"/>
  <c r="S48" i="2"/>
  <c r="AG48" i="2"/>
  <c r="AD48" i="2"/>
  <c r="V48" i="2"/>
  <c r="N48" i="2"/>
  <c r="M6" i="2"/>
  <c r="M21" i="2"/>
  <c r="L34" i="2"/>
  <c r="M16" i="2"/>
  <c r="L6" i="2"/>
  <c r="H6" i="2" s="1"/>
  <c r="L17" i="2"/>
  <c r="H17" i="2" s="1"/>
  <c r="L24" i="2"/>
  <c r="H24" i="2" s="1"/>
  <c r="L14" i="2"/>
  <c r="H14" i="2" s="1"/>
  <c r="L38" i="2"/>
  <c r="L15" i="2"/>
  <c r="H15" i="2" s="1"/>
  <c r="M19" i="2"/>
  <c r="L20" i="2"/>
  <c r="H20" i="2" s="1"/>
  <c r="M17" i="2"/>
  <c r="L27" i="2"/>
  <c r="H27" i="2" s="1"/>
  <c r="L19" i="2"/>
  <c r="H19" i="2" s="1"/>
  <c r="M40" i="2"/>
  <c r="L21" i="2"/>
  <c r="H21" i="2" s="1"/>
  <c r="L36" i="2"/>
  <c r="M24" i="2"/>
  <c r="L30" i="2"/>
  <c r="H30" i="2" s="1"/>
  <c r="L18" i="2"/>
  <c r="H18" i="2" s="1"/>
  <c r="M12" i="2"/>
  <c r="L25" i="2"/>
  <c r="H25" i="2" s="1"/>
  <c r="M23" i="2"/>
  <c r="L16" i="2"/>
  <c r="H16" i="2" s="1"/>
  <c r="L40" i="2"/>
  <c r="M28" i="2"/>
  <c r="M13" i="2"/>
  <c r="M15" i="2"/>
  <c r="M32" i="2"/>
  <c r="M18" i="2"/>
  <c r="M36" i="2"/>
  <c r="L26" i="2"/>
  <c r="H26" i="2" s="1"/>
  <c r="M26" i="2"/>
  <c r="L32" i="2"/>
  <c r="M38" i="2"/>
  <c r="L12" i="2"/>
  <c r="H12" i="2" s="1"/>
  <c r="V53" i="35"/>
  <c r="P53" i="35"/>
  <c r="AD53" i="35"/>
  <c r="AE53" i="35"/>
  <c r="R53" i="35"/>
  <c r="Y53" i="35"/>
  <c r="X53" i="35"/>
  <c r="Z53" i="35"/>
  <c r="U53" i="35"/>
  <c r="O53" i="35"/>
  <c r="O52" i="35"/>
  <c r="G32" i="4"/>
  <c r="C44" i="4" s="1"/>
  <c r="I41" i="4"/>
  <c r="M30" i="4"/>
  <c r="L30" i="4"/>
  <c r="H30" i="4" s="1"/>
  <c r="L28" i="4"/>
  <c r="H28" i="4" s="1"/>
  <c r="M27" i="4"/>
  <c r="L27" i="4"/>
  <c r="H27" i="4" s="1"/>
  <c r="L25" i="4"/>
  <c r="H25" i="4" s="1"/>
  <c r="M25" i="4"/>
  <c r="M24" i="4"/>
  <c r="L24" i="4"/>
  <c r="H24" i="4" s="1"/>
  <c r="L19" i="4"/>
  <c r="H19" i="4" s="1"/>
  <c r="M19" i="4"/>
  <c r="M18" i="4"/>
  <c r="L18" i="4"/>
  <c r="H18" i="4" s="1"/>
  <c r="L17" i="4"/>
  <c r="H17" i="4" s="1"/>
  <c r="M14" i="4"/>
  <c r="L14" i="4"/>
  <c r="H14" i="4" s="1"/>
  <c r="M11" i="4"/>
  <c r="L11" i="4"/>
  <c r="H11" i="4" s="1"/>
  <c r="M10" i="4"/>
  <c r="L10" i="4"/>
  <c r="H10" i="4" s="1"/>
  <c r="M9" i="4"/>
  <c r="L9" i="4"/>
  <c r="H9" i="4" s="1"/>
  <c r="N49" i="4"/>
  <c r="Z49" i="4"/>
  <c r="AE49" i="4"/>
  <c r="T49" i="4"/>
  <c r="AB49" i="4"/>
  <c r="AA49" i="4"/>
  <c r="U49" i="4"/>
  <c r="AG49" i="4"/>
  <c r="P49" i="4"/>
  <c r="AD49" i="4"/>
  <c r="L38" i="4"/>
  <c r="M32" i="4"/>
  <c r="L34" i="4"/>
  <c r="L38" i="24"/>
  <c r="M38" i="24"/>
  <c r="L36" i="24"/>
  <c r="M36" i="24"/>
  <c r="L32" i="24"/>
  <c r="G29" i="24"/>
  <c r="C44" i="24" s="1"/>
  <c r="I41" i="24"/>
  <c r="L27" i="24"/>
  <c r="H27" i="24" s="1"/>
  <c r="M26" i="24"/>
  <c r="L26" i="24"/>
  <c r="H26" i="24" s="1"/>
  <c r="M22" i="24"/>
  <c r="L22" i="24"/>
  <c r="H22" i="24" s="1"/>
  <c r="M21" i="24"/>
  <c r="L21" i="24"/>
  <c r="H21" i="24" s="1"/>
  <c r="L20" i="24"/>
  <c r="H20" i="24" s="1"/>
  <c r="M20" i="24"/>
  <c r="L19" i="24"/>
  <c r="H19" i="24" s="1"/>
  <c r="M17" i="24"/>
  <c r="L17" i="24"/>
  <c r="H17" i="24" s="1"/>
  <c r="L15" i="24"/>
  <c r="H15" i="24" s="1"/>
  <c r="M15" i="24"/>
  <c r="L14" i="24"/>
  <c r="H14" i="24" s="1"/>
  <c r="L12" i="24"/>
  <c r="H12" i="24" s="1"/>
  <c r="L9" i="24"/>
  <c r="H9" i="24" s="1"/>
  <c r="M9" i="24"/>
  <c r="L7" i="24"/>
  <c r="H7" i="24" s="1"/>
  <c r="M7" i="24"/>
  <c r="V49" i="24"/>
  <c r="Y49" i="24"/>
  <c r="AD49" i="24"/>
  <c r="O49" i="24"/>
  <c r="AE49" i="24"/>
  <c r="T49" i="24"/>
  <c r="AG49" i="24"/>
  <c r="Q49" i="24"/>
  <c r="N49" i="24"/>
  <c r="AF49" i="24"/>
  <c r="L33" i="24"/>
  <c r="M29" i="24"/>
  <c r="L37" i="24"/>
  <c r="M31" i="24"/>
  <c r="L6" i="24"/>
  <c r="H6" i="24" s="1"/>
  <c r="L31" i="24"/>
  <c r="M37" i="24"/>
  <c r="L35" i="24"/>
  <c r="L39" i="24"/>
  <c r="M40" i="5"/>
  <c r="L40" i="5"/>
  <c r="L38" i="5"/>
  <c r="AG49" i="5"/>
  <c r="S49" i="5"/>
  <c r="AE49" i="5"/>
  <c r="Y49" i="5"/>
  <c r="X49" i="5"/>
  <c r="AB49" i="5"/>
  <c r="AF49" i="5"/>
  <c r="L14" i="5"/>
  <c r="H14" i="5" s="1"/>
  <c r="L31" i="5"/>
  <c r="H31" i="5" s="1"/>
  <c r="M37" i="5"/>
  <c r="L6" i="5"/>
  <c r="H6" i="5" s="1"/>
  <c r="L8" i="5"/>
  <c r="H8" i="5" s="1"/>
  <c r="L23" i="5"/>
  <c r="H23" i="5" s="1"/>
  <c r="L15" i="5"/>
  <c r="H15" i="5" s="1"/>
  <c r="L16" i="5"/>
  <c r="H16" i="5" s="1"/>
  <c r="L32" i="5"/>
  <c r="H32" i="5" s="1"/>
  <c r="M39" i="5"/>
  <c r="L19" i="5"/>
  <c r="H19" i="5" s="1"/>
  <c r="L12" i="5"/>
  <c r="H12" i="5" s="1"/>
  <c r="L20" i="5"/>
  <c r="H20" i="5" s="1"/>
  <c r="L10" i="5"/>
  <c r="H10" i="5" s="1"/>
  <c r="L29" i="5"/>
  <c r="H29" i="5" s="1"/>
  <c r="AA49" i="5"/>
  <c r="T49" i="5"/>
  <c r="Z49" i="5"/>
  <c r="R49" i="5"/>
  <c r="Q49" i="5"/>
  <c r="O48" i="5"/>
  <c r="M39" i="6"/>
  <c r="L39" i="6"/>
  <c r="M33" i="6"/>
  <c r="L33" i="6"/>
  <c r="M31" i="6"/>
  <c r="L31" i="6"/>
  <c r="H31" i="6" s="1"/>
  <c r="AD49" i="6"/>
  <c r="W49" i="6"/>
  <c r="AG49" i="6"/>
  <c r="AB49" i="6"/>
  <c r="AC49" i="6"/>
  <c r="AE49" i="6"/>
  <c r="M29" i="6"/>
  <c r="L25" i="6"/>
  <c r="H25" i="6" s="1"/>
  <c r="L10" i="6"/>
  <c r="H10" i="6" s="1"/>
  <c r="L15" i="6"/>
  <c r="H15" i="6" s="1"/>
  <c r="L19" i="6"/>
  <c r="H19" i="6" s="1"/>
  <c r="L36" i="6"/>
  <c r="L22" i="6"/>
  <c r="H22" i="6" s="1"/>
  <c r="M36" i="6"/>
  <c r="L27" i="6"/>
  <c r="H27" i="6" s="1"/>
  <c r="M30" i="6"/>
  <c r="M40" i="6"/>
  <c r="L32" i="6"/>
  <c r="L20" i="6"/>
  <c r="H20" i="6" s="1"/>
  <c r="L17" i="6"/>
  <c r="H17" i="6" s="1"/>
  <c r="M38" i="6"/>
  <c r="L12" i="6"/>
  <c r="H12" i="6" s="1"/>
  <c r="L6" i="6"/>
  <c r="H6" i="6" s="1"/>
  <c r="L11" i="6"/>
  <c r="H11" i="6" s="1"/>
  <c r="M32" i="6"/>
  <c r="L30" i="6"/>
  <c r="H30" i="6" s="1"/>
  <c r="L14" i="6"/>
  <c r="H14" i="6" s="1"/>
  <c r="L7" i="6"/>
  <c r="H7" i="6" s="1"/>
  <c r="R49" i="6"/>
  <c r="V49" i="6"/>
  <c r="O49" i="6"/>
  <c r="P49" i="6"/>
  <c r="U49" i="6"/>
  <c r="O48" i="6"/>
  <c r="M32" i="26"/>
  <c r="L38" i="26"/>
  <c r="M38" i="26"/>
  <c r="L40" i="26"/>
  <c r="M26" i="26"/>
  <c r="L26" i="26"/>
  <c r="H26" i="26" s="1"/>
  <c r="L21" i="26"/>
  <c r="H21" i="26" s="1"/>
  <c r="M20" i="26"/>
  <c r="L20" i="26"/>
  <c r="H20" i="26" s="1"/>
  <c r="M19" i="26"/>
  <c r="L19" i="26"/>
  <c r="H19" i="26" s="1"/>
  <c r="L16" i="26"/>
  <c r="H16" i="26" s="1"/>
  <c r="M16" i="26"/>
  <c r="L12" i="26"/>
  <c r="H12" i="26" s="1"/>
  <c r="L10" i="26"/>
  <c r="H10" i="26" s="1"/>
  <c r="M9" i="26"/>
  <c r="L9" i="26"/>
  <c r="H9" i="26" s="1"/>
  <c r="L8" i="26"/>
  <c r="H8" i="26" s="1"/>
  <c r="Q49" i="26"/>
  <c r="Y49" i="26"/>
  <c r="P49" i="26"/>
  <c r="W49" i="26"/>
  <c r="AB49" i="26"/>
  <c r="X49" i="26"/>
  <c r="S49" i="26"/>
  <c r="U49" i="26"/>
  <c r="M7" i="26"/>
  <c r="L35" i="26"/>
  <c r="L6" i="26"/>
  <c r="L29" i="26"/>
  <c r="L7" i="26"/>
  <c r="L33" i="26"/>
  <c r="L38" i="64"/>
  <c r="M38" i="64"/>
  <c r="L36" i="64"/>
  <c r="H36" i="64" s="1"/>
  <c r="AG49" i="64"/>
  <c r="AC49" i="64"/>
  <c r="M30" i="64"/>
  <c r="M35" i="64"/>
  <c r="L28" i="64"/>
  <c r="H28" i="64" s="1"/>
  <c r="L27" i="64"/>
  <c r="L21" i="64"/>
  <c r="H21" i="64" s="1"/>
  <c r="L11" i="64"/>
  <c r="H11" i="64" s="1"/>
  <c r="L18" i="64"/>
  <c r="H18" i="64" s="1"/>
  <c r="M26" i="64"/>
  <c r="M39" i="64"/>
  <c r="L9" i="64"/>
  <c r="H9" i="64" s="1"/>
  <c r="L26" i="64"/>
  <c r="H26" i="64" s="1"/>
  <c r="M28" i="64"/>
  <c r="M33" i="64"/>
  <c r="M31" i="64"/>
  <c r="L16" i="64"/>
  <c r="H16" i="64" s="1"/>
  <c r="L39" i="64"/>
  <c r="L35" i="64"/>
  <c r="H35" i="64" s="1"/>
  <c r="L34" i="64"/>
  <c r="H34" i="64" s="1"/>
  <c r="L19" i="64"/>
  <c r="H19" i="64" s="1"/>
  <c r="V49" i="64"/>
  <c r="R49" i="64"/>
  <c r="S49" i="64"/>
  <c r="O49" i="64"/>
  <c r="Q49" i="64"/>
  <c r="O48" i="64"/>
  <c r="G6" i="64"/>
  <c r="I41" i="64"/>
  <c r="L38" i="10"/>
  <c r="L36" i="10"/>
  <c r="W49" i="10"/>
  <c r="AC49" i="10"/>
  <c r="Y49" i="10"/>
  <c r="AA49" i="10"/>
  <c r="AG49" i="10"/>
  <c r="AF49" i="10"/>
  <c r="S49" i="10"/>
  <c r="P49" i="10"/>
  <c r="O49" i="10"/>
  <c r="N49" i="10"/>
  <c r="O48" i="10"/>
  <c r="M9" i="10"/>
  <c r="L27" i="10"/>
  <c r="H27" i="10" s="1"/>
  <c r="L17" i="10"/>
  <c r="H17" i="10" s="1"/>
  <c r="M10" i="10"/>
  <c r="L39" i="10"/>
  <c r="L11" i="10"/>
  <c r="H11" i="10" s="1"/>
  <c r="L29" i="10"/>
  <c r="H29" i="10" s="1"/>
  <c r="L18" i="10"/>
  <c r="H18" i="10" s="1"/>
  <c r="M18" i="10"/>
  <c r="L19" i="10"/>
  <c r="H19" i="10" s="1"/>
  <c r="M15" i="10"/>
  <c r="M12" i="10"/>
  <c r="M16" i="10"/>
  <c r="M17" i="10"/>
  <c r="L23" i="10"/>
  <c r="H23" i="10" s="1"/>
  <c r="M37" i="10"/>
  <c r="L30" i="10"/>
  <c r="H30" i="10" s="1"/>
  <c r="L35" i="10"/>
  <c r="L12" i="10"/>
  <c r="H12" i="10" s="1"/>
  <c r="L15" i="10"/>
  <c r="H15" i="10" s="1"/>
  <c r="L21" i="10"/>
  <c r="H21" i="10" s="1"/>
  <c r="L33" i="10"/>
  <c r="H33" i="10" s="1"/>
  <c r="L16" i="10"/>
  <c r="H16" i="10" s="1"/>
  <c r="M39" i="10"/>
  <c r="M31" i="10"/>
  <c r="M30" i="10"/>
  <c r="M35" i="10"/>
  <c r="L22" i="10"/>
  <c r="H22" i="10" s="1"/>
  <c r="L13" i="10"/>
  <c r="H13" i="10" s="1"/>
  <c r="L31" i="10"/>
  <c r="H31" i="10" s="1"/>
  <c r="L36" i="11"/>
  <c r="H36" i="11" s="1"/>
  <c r="L34" i="11"/>
  <c r="H34" i="11" s="1"/>
  <c r="M33" i="11"/>
  <c r="L33" i="11"/>
  <c r="H33" i="11" s="1"/>
  <c r="L21" i="11"/>
  <c r="H21" i="11" s="1"/>
  <c r="M21" i="11"/>
  <c r="T49" i="11"/>
  <c r="AD49" i="11"/>
  <c r="O49" i="11"/>
  <c r="Q49" i="11"/>
  <c r="Y49" i="11"/>
  <c r="M26" i="11"/>
  <c r="L27" i="11"/>
  <c r="H27" i="11" s="1"/>
  <c r="M14" i="11"/>
  <c r="M10" i="11"/>
  <c r="L11" i="11"/>
  <c r="H11" i="11" s="1"/>
  <c r="M31" i="11"/>
  <c r="M22" i="11"/>
  <c r="M23" i="11"/>
  <c r="M8" i="11"/>
  <c r="M11" i="11"/>
  <c r="L18" i="11"/>
  <c r="H18" i="11" s="1"/>
  <c r="L19" i="11"/>
  <c r="H19" i="11" s="1"/>
  <c r="M19" i="11"/>
  <c r="M27" i="11"/>
  <c r="M40" i="54"/>
  <c r="L40" i="54"/>
  <c r="L36" i="54"/>
  <c r="M34" i="54"/>
  <c r="L34" i="54"/>
  <c r="H34" i="54" s="1"/>
  <c r="AC49" i="54"/>
  <c r="AB49" i="54"/>
  <c r="AF49" i="54"/>
  <c r="AD49" i="54"/>
  <c r="X49" i="54"/>
  <c r="P49" i="54"/>
  <c r="Y49" i="54"/>
  <c r="U49" i="54"/>
  <c r="W49" i="54"/>
  <c r="M26" i="54"/>
  <c r="M22" i="54"/>
  <c r="M18" i="54"/>
  <c r="M14" i="54"/>
  <c r="M10" i="54"/>
  <c r="M30" i="54"/>
  <c r="M20" i="54"/>
  <c r="M12" i="54"/>
  <c r="L37" i="54"/>
  <c r="L29" i="54"/>
  <c r="H29" i="54" s="1"/>
  <c r="L31" i="54"/>
  <c r="H31" i="54" s="1"/>
  <c r="L15" i="54"/>
  <c r="H15" i="54" s="1"/>
  <c r="M35" i="54"/>
  <c r="L16" i="54"/>
  <c r="H16" i="54" s="1"/>
  <c r="L28" i="54"/>
  <c r="H28" i="54" s="1"/>
  <c r="L6" i="54"/>
  <c r="L14" i="54"/>
  <c r="H14" i="54" s="1"/>
  <c r="L22" i="54"/>
  <c r="H22" i="54" s="1"/>
  <c r="L30" i="54"/>
  <c r="H30" i="54" s="1"/>
  <c r="L17" i="54"/>
  <c r="H17" i="54" s="1"/>
  <c r="M16" i="54"/>
  <c r="L25" i="54"/>
  <c r="H25" i="54" s="1"/>
  <c r="M7" i="54"/>
  <c r="L13" i="54"/>
  <c r="H13" i="54" s="1"/>
  <c r="L32" i="54"/>
  <c r="H32" i="54" s="1"/>
  <c r="L18" i="54"/>
  <c r="H18" i="54" s="1"/>
  <c r="L33" i="54"/>
  <c r="H33" i="54" s="1"/>
  <c r="M9" i="54"/>
  <c r="M13" i="54"/>
  <c r="M17" i="54"/>
  <c r="M21" i="54"/>
  <c r="M25" i="54"/>
  <c r="M29" i="54"/>
  <c r="M37" i="54"/>
  <c r="M28" i="54"/>
  <c r="L9" i="54"/>
  <c r="H9" i="54" s="1"/>
  <c r="L35" i="54"/>
  <c r="H35" i="54" s="1"/>
  <c r="L19" i="54"/>
  <c r="H19" i="54" s="1"/>
  <c r="L7" i="54"/>
  <c r="M33" i="54"/>
  <c r="L8" i="54"/>
  <c r="M36" i="12"/>
  <c r="L36" i="12"/>
  <c r="O48" i="12"/>
  <c r="M34" i="12"/>
  <c r="L34" i="12"/>
  <c r="H34" i="12" s="1"/>
  <c r="L33" i="12"/>
  <c r="H33" i="12" s="1"/>
  <c r="M33" i="12"/>
  <c r="L29" i="12"/>
  <c r="H29" i="12" s="1"/>
  <c r="L15" i="12"/>
  <c r="H15" i="12" s="1"/>
  <c r="S49" i="12"/>
  <c r="M28" i="4"/>
  <c r="M20" i="2"/>
  <c r="L24" i="24"/>
  <c r="H24" i="24" s="1"/>
  <c r="M27" i="2"/>
  <c r="M36" i="4"/>
  <c r="L13" i="2"/>
  <c r="H13" i="2" s="1"/>
  <c r="L32" i="12"/>
  <c r="H32" i="12" s="1"/>
  <c r="M30" i="12"/>
  <c r="L30" i="12"/>
  <c r="H30" i="12" s="1"/>
  <c r="M26" i="12"/>
  <c r="L26" i="12"/>
  <c r="H26" i="12" s="1"/>
  <c r="M25" i="12"/>
  <c r="L25" i="12"/>
  <c r="H25" i="12" s="1"/>
  <c r="M24" i="12"/>
  <c r="L24" i="12"/>
  <c r="H24" i="12" s="1"/>
  <c r="L23" i="12"/>
  <c r="H23" i="12" s="1"/>
  <c r="L19" i="12"/>
  <c r="H19" i="12" s="1"/>
  <c r="M18" i="12"/>
  <c r="M17" i="12"/>
  <c r="L17" i="12"/>
  <c r="H17" i="12" s="1"/>
  <c r="M14" i="12"/>
  <c r="L14" i="12"/>
  <c r="H14" i="12" s="1"/>
  <c r="L9" i="12"/>
  <c r="H9" i="12" s="1"/>
  <c r="L8" i="12"/>
  <c r="H8" i="12" s="1"/>
  <c r="M7" i="12"/>
  <c r="L37" i="12"/>
  <c r="M37" i="12"/>
  <c r="M15" i="17"/>
  <c r="L15" i="17"/>
  <c r="H15" i="17" s="1"/>
  <c r="M6" i="17"/>
  <c r="M29" i="14"/>
  <c r="L27" i="14"/>
  <c r="H27" i="14" s="1"/>
  <c r="M27" i="14"/>
  <c r="L19" i="14"/>
  <c r="H19" i="14" s="1"/>
  <c r="M19" i="14"/>
  <c r="L11" i="14"/>
  <c r="H11" i="14" s="1"/>
  <c r="M11" i="14"/>
  <c r="M39" i="14"/>
  <c r="L40" i="14"/>
  <c r="M39" i="56"/>
  <c r="L39" i="56"/>
  <c r="M34" i="25"/>
  <c r="M36" i="25"/>
  <c r="L40" i="25"/>
  <c r="M40" i="25"/>
  <c r="L29" i="25"/>
  <c r="H29" i="25" s="1"/>
  <c r="M29" i="25"/>
  <c r="G7" i="25"/>
  <c r="I41" i="25"/>
  <c r="M6" i="25"/>
  <c r="L13" i="25"/>
  <c r="H13" i="25" s="1"/>
  <c r="M22" i="25"/>
  <c r="M20" i="25"/>
  <c r="M18" i="25"/>
  <c r="L21" i="25"/>
  <c r="H21" i="25" s="1"/>
  <c r="M23" i="25"/>
  <c r="M19" i="25"/>
  <c r="M16" i="25"/>
  <c r="M14" i="25"/>
  <c r="M12" i="25"/>
  <c r="M10" i="25"/>
  <c r="M8" i="25"/>
  <c r="M24" i="25"/>
  <c r="L31" i="25"/>
  <c r="M33" i="25"/>
  <c r="M39" i="25"/>
  <c r="M35" i="25"/>
  <c r="M21" i="25"/>
  <c r="M15" i="25"/>
  <c r="M11" i="25"/>
  <c r="M25" i="25"/>
  <c r="M31" i="25"/>
  <c r="M7" i="25"/>
  <c r="O48" i="66"/>
  <c r="L32" i="66"/>
  <c r="H32" i="66" s="1"/>
  <c r="M32" i="66"/>
  <c r="L26" i="66"/>
  <c r="H26" i="66" s="1"/>
  <c r="M26" i="66"/>
  <c r="L24" i="66"/>
  <c r="H24" i="66" s="1"/>
  <c r="M24" i="66"/>
  <c r="M22" i="66"/>
  <c r="L22" i="66"/>
  <c r="H22" i="66" s="1"/>
  <c r="L20" i="66"/>
  <c r="H20" i="66" s="1"/>
  <c r="M20" i="66"/>
  <c r="M19" i="66"/>
  <c r="L18" i="66"/>
  <c r="H18" i="66" s="1"/>
  <c r="M18" i="66"/>
  <c r="M17" i="66"/>
  <c r="L16" i="66"/>
  <c r="H16" i="66" s="1"/>
  <c r="M16" i="66"/>
  <c r="M15" i="66"/>
  <c r="M13" i="66"/>
  <c r="L12" i="66"/>
  <c r="H12" i="66" s="1"/>
  <c r="M11" i="66"/>
  <c r="L10" i="66"/>
  <c r="H10" i="66" s="1"/>
  <c r="M10" i="66"/>
  <c r="M9" i="66"/>
  <c r="L8" i="66"/>
  <c r="M8" i="66"/>
  <c r="G6" i="66"/>
  <c r="I41" i="66"/>
  <c r="M40" i="67"/>
  <c r="L36" i="67"/>
  <c r="M36" i="67"/>
  <c r="L32" i="67"/>
  <c r="H32" i="67" s="1"/>
  <c r="G7" i="67"/>
  <c r="I41" i="67"/>
  <c r="O48" i="67"/>
  <c r="L28" i="67"/>
  <c r="H28" i="67" s="1"/>
  <c r="L20" i="67"/>
  <c r="H20" i="67" s="1"/>
  <c r="L12" i="67"/>
  <c r="H12" i="67" s="1"/>
  <c r="L16" i="67"/>
  <c r="H16" i="67" s="1"/>
  <c r="L7" i="67"/>
  <c r="M24" i="67"/>
  <c r="M14" i="67"/>
  <c r="M22" i="67"/>
  <c r="M19" i="67"/>
  <c r="M15" i="67"/>
  <c r="M23" i="67"/>
  <c r="M21" i="67"/>
  <c r="M11" i="67"/>
  <c r="M25" i="67"/>
  <c r="M12" i="67"/>
  <c r="M10" i="67"/>
  <c r="M29" i="67"/>
  <c r="M13" i="67"/>
  <c r="M16" i="67"/>
  <c r="M7" i="67"/>
  <c r="G16" i="53"/>
  <c r="I41" i="53"/>
  <c r="L14" i="53"/>
  <c r="H14" i="53" s="1"/>
  <c r="M14" i="53"/>
  <c r="L10" i="53"/>
  <c r="H10" i="53" s="1"/>
  <c r="O48" i="53"/>
  <c r="L34" i="53"/>
  <c r="L26" i="53"/>
  <c r="L18" i="53"/>
  <c r="H18" i="53" s="1"/>
  <c r="L30" i="53"/>
  <c r="M38" i="53"/>
  <c r="M30" i="53"/>
  <c r="M24" i="53"/>
  <c r="M21" i="53"/>
  <c r="M18" i="53"/>
  <c r="M16" i="53"/>
  <c r="L38" i="53"/>
  <c r="L6" i="53"/>
  <c r="M34" i="53"/>
  <c r="M22" i="53"/>
  <c r="M17" i="53"/>
  <c r="L37" i="28"/>
  <c r="M37" i="28"/>
  <c r="L35" i="28"/>
  <c r="M35" i="28"/>
  <c r="L33" i="28"/>
  <c r="L29" i="28"/>
  <c r="M29" i="28"/>
  <c r="L27" i="28"/>
  <c r="L25" i="28"/>
  <c r="H25" i="28" s="1"/>
  <c r="L21" i="28"/>
  <c r="H21" i="28" s="1"/>
  <c r="L19" i="28"/>
  <c r="H19" i="28" s="1"/>
  <c r="L17" i="28"/>
  <c r="H17" i="28" s="1"/>
  <c r="L15" i="28"/>
  <c r="H15" i="28" s="1"/>
  <c r="L13" i="28"/>
  <c r="H13" i="28" s="1"/>
  <c r="L11" i="28"/>
  <c r="H11" i="28" s="1"/>
  <c r="L9" i="28"/>
  <c r="H9" i="28" s="1"/>
  <c r="L7" i="28"/>
  <c r="L20" i="28"/>
  <c r="H20" i="28" s="1"/>
  <c r="L16" i="28"/>
  <c r="H16" i="28" s="1"/>
  <c r="L12" i="28"/>
  <c r="H12" i="28" s="1"/>
  <c r="L8" i="28"/>
  <c r="H8" i="28" s="1"/>
  <c r="M40" i="28"/>
  <c r="M36" i="28"/>
  <c r="M32" i="28"/>
  <c r="M28" i="28"/>
  <c r="L40" i="28"/>
  <c r="L23" i="28"/>
  <c r="H23" i="28" s="1"/>
  <c r="L14" i="28"/>
  <c r="H14" i="28" s="1"/>
  <c r="L6" i="28"/>
  <c r="M34" i="28"/>
  <c r="M26" i="28"/>
  <c r="W49" i="12"/>
  <c r="AE49" i="12"/>
  <c r="L35" i="53"/>
  <c r="L27" i="53"/>
  <c r="L23" i="53"/>
  <c r="H23" i="53" s="1"/>
  <c r="L15" i="53"/>
  <c r="H15" i="53" s="1"/>
  <c r="L11" i="53"/>
  <c r="H11" i="53" s="1"/>
  <c r="L7" i="53"/>
  <c r="M36" i="53"/>
  <c r="M28" i="53"/>
  <c r="M23" i="53"/>
  <c r="L39" i="67"/>
  <c r="L40" i="67"/>
  <c r="M33" i="67"/>
  <c r="M28" i="67"/>
  <c r="M18" i="67"/>
  <c r="L8" i="67"/>
  <c r="L11" i="67"/>
  <c r="H11" i="67" s="1"/>
  <c r="L15" i="67"/>
  <c r="H15" i="67" s="1"/>
  <c r="L19" i="67"/>
  <c r="H19" i="67" s="1"/>
  <c r="L23" i="67"/>
  <c r="H23" i="67" s="1"/>
  <c r="L27" i="67"/>
  <c r="H27" i="67" s="1"/>
  <c r="L31" i="67"/>
  <c r="H31" i="67" s="1"/>
  <c r="L35" i="67"/>
  <c r="M29" i="12"/>
  <c r="N49" i="66"/>
  <c r="N49" i="53"/>
  <c r="N49" i="56"/>
  <c r="N49" i="28"/>
  <c r="P49" i="56"/>
  <c r="P49" i="66"/>
  <c r="V49" i="12"/>
  <c r="V49" i="17"/>
  <c r="V49" i="28"/>
  <c r="V49" i="53"/>
  <c r="V49" i="25"/>
  <c r="X49" i="28"/>
  <c r="X49" i="14"/>
  <c r="P49" i="17"/>
  <c r="P49" i="28"/>
  <c r="X49" i="17"/>
  <c r="X49" i="56"/>
  <c r="X49" i="66"/>
  <c r="Z49" i="17"/>
  <c r="Z49" i="12"/>
  <c r="Z49" i="14"/>
  <c r="Z49" i="25"/>
  <c r="AB49" i="17"/>
  <c r="AB49" i="14"/>
  <c r="AD49" i="67"/>
  <c r="AD49" i="12"/>
  <c r="AD49" i="25"/>
  <c r="R49" i="12"/>
  <c r="R49" i="53"/>
  <c r="AG49" i="56"/>
  <c r="Q49" i="53"/>
  <c r="X49" i="25"/>
  <c r="Z49" i="28"/>
  <c r="Z49" i="56"/>
  <c r="AB49" i="28"/>
  <c r="AB49" i="66"/>
  <c r="AD49" i="14"/>
  <c r="AF49" i="25"/>
  <c r="AF49" i="12"/>
  <c r="AF49" i="28"/>
  <c r="AF49" i="67"/>
  <c r="AF49" i="66"/>
  <c r="R49" i="56"/>
  <c r="R49" i="14"/>
  <c r="R49" i="66"/>
  <c r="AG49" i="28"/>
  <c r="AG49" i="67"/>
  <c r="AG49" i="15"/>
  <c r="Q49" i="14"/>
  <c r="O49" i="17"/>
  <c r="O49" i="28"/>
  <c r="O49" i="25"/>
  <c r="Q49" i="25"/>
  <c r="U49" i="17"/>
  <c r="U49" i="15"/>
  <c r="U49" i="14"/>
  <c r="U49" i="67"/>
  <c r="U49" i="25"/>
  <c r="O49" i="14"/>
  <c r="O49" i="15"/>
  <c r="AA49" i="15"/>
  <c r="AE49" i="67"/>
  <c r="S49" i="53"/>
  <c r="S49" i="66"/>
  <c r="W49" i="56"/>
  <c r="W49" i="53"/>
  <c r="AA49" i="17"/>
  <c r="AA49" i="53"/>
  <c r="AA49" i="66"/>
  <c r="AA49" i="25"/>
  <c r="AE49" i="53"/>
  <c r="Y49" i="15"/>
  <c r="Y49" i="56"/>
  <c r="T49" i="67"/>
  <c r="T49" i="66"/>
  <c r="AC49" i="53"/>
  <c r="L26" i="25"/>
  <c r="H26" i="25" s="1"/>
  <c r="L30" i="25"/>
  <c r="H30" i="25" s="1"/>
  <c r="L10" i="25"/>
  <c r="H10" i="25" s="1"/>
  <c r="L14" i="25"/>
  <c r="H14" i="25" s="1"/>
  <c r="L18" i="25"/>
  <c r="H18" i="25" s="1"/>
  <c r="L22" i="25"/>
  <c r="H22" i="25" s="1"/>
  <c r="L39" i="25"/>
  <c r="L35" i="25"/>
  <c r="L9" i="56"/>
  <c r="H9" i="56" s="1"/>
  <c r="L13" i="56"/>
  <c r="H13" i="56" s="1"/>
  <c r="L17" i="56"/>
  <c r="H17" i="56" s="1"/>
  <c r="L21" i="56"/>
  <c r="H21" i="56" s="1"/>
  <c r="L25" i="56"/>
  <c r="H25" i="56" s="1"/>
  <c r="L31" i="56"/>
  <c r="H31" i="56" s="1"/>
  <c r="L35" i="56"/>
  <c r="L29" i="56"/>
  <c r="H29" i="56" s="1"/>
  <c r="L6" i="14"/>
  <c r="H6" i="14" s="1"/>
  <c r="L10" i="14"/>
  <c r="H10" i="14" s="1"/>
  <c r="L14" i="14"/>
  <c r="H14" i="14" s="1"/>
  <c r="L18" i="14"/>
  <c r="H18" i="14" s="1"/>
  <c r="L22" i="14"/>
  <c r="H22" i="14" s="1"/>
  <c r="L26" i="14"/>
  <c r="H26" i="14" s="1"/>
  <c r="L34" i="14"/>
  <c r="H34" i="14" s="1"/>
  <c r="L38" i="14"/>
  <c r="H38" i="14" s="1"/>
  <c r="L25" i="14"/>
  <c r="H25" i="14" s="1"/>
  <c r="L9" i="14"/>
  <c r="H9" i="14" s="1"/>
  <c r="L30" i="56"/>
  <c r="H30" i="56" s="1"/>
  <c r="L22" i="56"/>
  <c r="H22" i="56" s="1"/>
  <c r="L14" i="56"/>
  <c r="H14" i="56" s="1"/>
  <c r="L6" i="56"/>
  <c r="M9" i="12"/>
  <c r="M32" i="12"/>
  <c r="L36" i="25"/>
  <c r="L15" i="25"/>
  <c r="H15" i="25" s="1"/>
  <c r="L23" i="25"/>
  <c r="H23" i="25" s="1"/>
  <c r="L38" i="56"/>
  <c r="L37" i="14"/>
  <c r="H37" i="14" s="1"/>
  <c r="M12" i="17"/>
  <c r="M20" i="17"/>
  <c r="M35" i="12"/>
  <c r="M29" i="17"/>
  <c r="L24" i="17"/>
  <c r="H24" i="17" s="1"/>
  <c r="L7" i="17"/>
  <c r="H7" i="17" s="1"/>
  <c r="L13" i="17"/>
  <c r="H13" i="17" s="1"/>
  <c r="L37" i="17"/>
  <c r="L23" i="17"/>
  <c r="H23" i="17" s="1"/>
  <c r="L14" i="17"/>
  <c r="H14" i="17" s="1"/>
  <c r="L35" i="17"/>
  <c r="H35" i="17" s="1"/>
  <c r="M40" i="17"/>
  <c r="M39" i="17"/>
  <c r="L9" i="17"/>
  <c r="H9" i="17" s="1"/>
  <c r="L25" i="17"/>
  <c r="H25" i="17" s="1"/>
  <c r="L8" i="17"/>
  <c r="H8" i="17" s="1"/>
  <c r="L19" i="17"/>
  <c r="H19" i="17" s="1"/>
  <c r="L18" i="12"/>
  <c r="H18" i="12" s="1"/>
  <c r="M40" i="14"/>
  <c r="L13" i="12"/>
  <c r="H13" i="12" s="1"/>
  <c r="L35" i="12"/>
  <c r="H35" i="12" s="1"/>
  <c r="L11" i="12"/>
  <c r="H11" i="12" s="1"/>
  <c r="L17" i="17"/>
  <c r="H17" i="17" s="1"/>
  <c r="M39" i="12"/>
  <c r="L20" i="12"/>
  <c r="H20" i="12" s="1"/>
  <c r="L6" i="12"/>
  <c r="H6" i="12" s="1"/>
  <c r="I41" i="56"/>
  <c r="I41" i="14"/>
  <c r="M19" i="15"/>
  <c r="I41" i="28"/>
  <c r="M37" i="25"/>
  <c r="M19" i="12"/>
  <c r="M38" i="25"/>
  <c r="M37" i="67"/>
  <c r="M17" i="67"/>
  <c r="M34" i="66"/>
  <c r="M37" i="14"/>
  <c r="M12" i="66"/>
  <c r="M9" i="67"/>
  <c r="M39" i="15"/>
  <c r="M30" i="28"/>
  <c r="M20" i="53"/>
  <c r="M32" i="67"/>
  <c r="M9" i="25"/>
  <c r="M17" i="25"/>
  <c r="M16" i="56"/>
  <c r="L18" i="28"/>
  <c r="H18" i="28" s="1"/>
  <c r="L22" i="53"/>
  <c r="H22" i="53" s="1"/>
  <c r="M16" i="12"/>
  <c r="L16" i="12"/>
  <c r="H16" i="12" s="1"/>
  <c r="G6" i="12"/>
  <c r="I41" i="12"/>
  <c r="M17" i="17"/>
  <c r="M9" i="17"/>
  <c r="M36" i="17"/>
  <c r="L38" i="17"/>
  <c r="L21" i="17"/>
  <c r="H21" i="17" s="1"/>
  <c r="L6" i="17"/>
  <c r="O48" i="14"/>
  <c r="L28" i="56"/>
  <c r="H28" i="56" s="1"/>
  <c r="L12" i="56"/>
  <c r="H12" i="56" s="1"/>
  <c r="M38" i="56"/>
  <c r="M35" i="56"/>
  <c r="M33" i="56"/>
  <c r="M31" i="56"/>
  <c r="M25" i="56"/>
  <c r="M23" i="56"/>
  <c r="M21" i="56"/>
  <c r="M19" i="56"/>
  <c r="M17" i="56"/>
  <c r="M15" i="56"/>
  <c r="M13" i="56"/>
  <c r="M11" i="56"/>
  <c r="M9" i="56"/>
  <c r="L20" i="56"/>
  <c r="H20" i="56" s="1"/>
  <c r="M40" i="56"/>
  <c r="M34" i="56"/>
  <c r="M26" i="56"/>
  <c r="M22" i="56"/>
  <c r="M18" i="56"/>
  <c r="M14" i="56"/>
  <c r="M10" i="56"/>
  <c r="M27" i="56"/>
  <c r="M30" i="56"/>
  <c r="L40" i="56"/>
  <c r="M7" i="56"/>
  <c r="L36" i="56"/>
  <c r="M32" i="56"/>
  <c r="M20" i="56"/>
  <c r="M12" i="56"/>
  <c r="M28" i="56"/>
  <c r="L28" i="66"/>
  <c r="H28" i="66" s="1"/>
  <c r="L36" i="66"/>
  <c r="H36" i="66" s="1"/>
  <c r="L34" i="66"/>
  <c r="H34" i="66" s="1"/>
  <c r="M38" i="66"/>
  <c r="M36" i="66"/>
  <c r="L38" i="66"/>
  <c r="L6" i="66"/>
  <c r="L40" i="66"/>
  <c r="M40" i="66"/>
  <c r="O48" i="28"/>
  <c r="L38" i="15"/>
  <c r="M38" i="15"/>
  <c r="L36" i="15"/>
  <c r="L34" i="15"/>
  <c r="L32" i="15"/>
  <c r="M32" i="15"/>
  <c r="L30" i="15"/>
  <c r="M30" i="15"/>
  <c r="L28" i="15"/>
  <c r="L26" i="15"/>
  <c r="M26" i="15"/>
  <c r="O48" i="15"/>
  <c r="G25" i="15"/>
  <c r="C44" i="15" s="1"/>
  <c r="I41" i="15"/>
  <c r="L24" i="15"/>
  <c r="H24" i="15" s="1"/>
  <c r="M24" i="15"/>
  <c r="L23" i="15"/>
  <c r="H23" i="15" s="1"/>
  <c r="L22" i="15"/>
  <c r="H22" i="15" s="1"/>
  <c r="M22" i="15"/>
  <c r="L21" i="15"/>
  <c r="H21" i="15" s="1"/>
  <c r="L20" i="15"/>
  <c r="H20" i="15" s="1"/>
  <c r="M20" i="15"/>
  <c r="L18" i="15"/>
  <c r="H18" i="15" s="1"/>
  <c r="M18" i="15"/>
  <c r="L17" i="15"/>
  <c r="H17" i="15" s="1"/>
  <c r="L16" i="15"/>
  <c r="H16" i="15" s="1"/>
  <c r="M16" i="15"/>
  <c r="L15" i="15"/>
  <c r="H15" i="15" s="1"/>
  <c r="L14" i="15"/>
  <c r="H14" i="15" s="1"/>
  <c r="M14" i="15"/>
  <c r="L13" i="15"/>
  <c r="H13" i="15" s="1"/>
  <c r="L12" i="15"/>
  <c r="H12" i="15" s="1"/>
  <c r="M12" i="15"/>
  <c r="L7" i="15"/>
  <c r="H7" i="15" s="1"/>
  <c r="L31" i="15"/>
  <c r="I41" i="16"/>
  <c r="M35" i="16"/>
  <c r="L39" i="16"/>
  <c r="M33" i="16"/>
  <c r="M29" i="16"/>
  <c r="M24" i="16"/>
  <c r="M37" i="16"/>
  <c r="M27" i="15"/>
  <c r="M35" i="15"/>
  <c r="L8" i="16"/>
  <c r="H8" i="16" s="1"/>
  <c r="L32" i="16"/>
  <c r="L10" i="15"/>
  <c r="H10" i="15" s="1"/>
  <c r="L9" i="15"/>
  <c r="H9" i="15" s="1"/>
  <c r="L8" i="15"/>
  <c r="H8" i="15" s="1"/>
  <c r="M6" i="15"/>
  <c r="L6" i="15"/>
  <c r="H6" i="15" s="1"/>
  <c r="L37" i="15"/>
  <c r="L33" i="15"/>
  <c r="L29" i="15"/>
  <c r="L25" i="15"/>
  <c r="H25" i="15" s="1"/>
  <c r="L39" i="15"/>
  <c r="M37" i="15"/>
  <c r="M33" i="15"/>
  <c r="M29" i="15"/>
  <c r="M25" i="15"/>
  <c r="M40" i="16"/>
  <c r="L40" i="16"/>
  <c r="L38" i="16"/>
  <c r="L34" i="16"/>
  <c r="L30" i="16"/>
  <c r="L26" i="16"/>
  <c r="L22" i="16"/>
  <c r="H22" i="16" s="1"/>
  <c r="M22" i="16"/>
  <c r="L21" i="16"/>
  <c r="H21" i="16" s="1"/>
  <c r="M23" i="16"/>
  <c r="L18" i="16"/>
  <c r="H18" i="16" s="1"/>
  <c r="L14" i="16"/>
  <c r="H14" i="16" s="1"/>
  <c r="M27" i="16"/>
  <c r="M31" i="16"/>
  <c r="M25" i="16"/>
  <c r="L6" i="16"/>
  <c r="H6" i="16" s="1"/>
  <c r="L10" i="16"/>
  <c r="H10" i="16" s="1"/>
  <c r="L19" i="16"/>
  <c r="H19" i="16" s="1"/>
  <c r="L17" i="16"/>
  <c r="H17" i="16" s="1"/>
  <c r="L15" i="16"/>
  <c r="H15" i="16" s="1"/>
  <c r="L13" i="16"/>
  <c r="H13" i="16" s="1"/>
  <c r="L37" i="16"/>
  <c r="L7" i="16"/>
  <c r="H7" i="16" s="1"/>
  <c r="L9" i="16"/>
  <c r="H9" i="16" s="1"/>
  <c r="L11" i="16"/>
  <c r="H11" i="16" s="1"/>
  <c r="L23" i="16"/>
  <c r="H23" i="16" s="1"/>
  <c r="L25" i="16"/>
  <c r="L27" i="16"/>
  <c r="L29" i="16"/>
  <c r="L31" i="16"/>
  <c r="L33" i="16"/>
  <c r="L35" i="16"/>
  <c r="L39" i="14"/>
  <c r="M40" i="24"/>
  <c r="M10" i="26"/>
  <c r="L40" i="64"/>
  <c r="M7" i="10"/>
  <c r="M36" i="54"/>
  <c r="L29" i="4"/>
  <c r="H29" i="4" s="1"/>
  <c r="L26" i="4"/>
  <c r="H26" i="4" s="1"/>
  <c r="L15" i="4"/>
  <c r="H15" i="4" s="1"/>
  <c r="L12" i="4"/>
  <c r="H12" i="4" s="1"/>
  <c r="M12" i="4"/>
  <c r="L32" i="4"/>
  <c r="H32" i="4" s="1"/>
  <c r="M6" i="4"/>
  <c r="L6" i="4"/>
  <c r="H6" i="4" s="1"/>
  <c r="L28" i="24"/>
  <c r="H28" i="24" s="1"/>
  <c r="L18" i="24"/>
  <c r="H18" i="24" s="1"/>
  <c r="L16" i="24"/>
  <c r="H16" i="24" s="1"/>
  <c r="L13" i="24"/>
  <c r="H13" i="24" s="1"/>
  <c r="L11" i="24"/>
  <c r="H11" i="24" s="1"/>
  <c r="L8" i="24"/>
  <c r="H8" i="24" s="1"/>
  <c r="M6" i="24"/>
  <c r="M35" i="24"/>
  <c r="L36" i="5"/>
  <c r="L34" i="5"/>
  <c r="L30" i="5"/>
  <c r="H30" i="5" s="1"/>
  <c r="L37" i="5"/>
  <c r="L22" i="5"/>
  <c r="H22" i="5" s="1"/>
  <c r="L7" i="5"/>
  <c r="H7" i="5" s="1"/>
  <c r="L28" i="5"/>
  <c r="H28" i="5" s="1"/>
  <c r="L9" i="5"/>
  <c r="H9" i="5" s="1"/>
  <c r="L39" i="5"/>
  <c r="L37" i="6"/>
  <c r="L35" i="6"/>
  <c r="M35" i="6"/>
  <c r="L18" i="6"/>
  <c r="H18" i="6" s="1"/>
  <c r="L40" i="6"/>
  <c r="L21" i="6"/>
  <c r="H21" i="6" s="1"/>
  <c r="L28" i="6"/>
  <c r="H28" i="6" s="1"/>
  <c r="L24" i="6"/>
  <c r="H24" i="6" s="1"/>
  <c r="L38" i="6"/>
  <c r="L26" i="6"/>
  <c r="H26" i="6" s="1"/>
  <c r="L29" i="6"/>
  <c r="H29" i="6" s="1"/>
  <c r="L23" i="6"/>
  <c r="H23" i="6" s="1"/>
  <c r="G6" i="6"/>
  <c r="I41" i="6"/>
  <c r="M34" i="26"/>
  <c r="L34" i="26"/>
  <c r="M36" i="26"/>
  <c r="L25" i="26"/>
  <c r="H25" i="26" s="1"/>
  <c r="L24" i="26"/>
  <c r="H24" i="26" s="1"/>
  <c r="L23" i="26"/>
  <c r="H23" i="26" s="1"/>
  <c r="L22" i="26"/>
  <c r="H22" i="26" s="1"/>
  <c r="M22" i="26"/>
  <c r="L17" i="26"/>
  <c r="H17" i="26" s="1"/>
  <c r="L15" i="26"/>
  <c r="H15" i="26" s="1"/>
  <c r="L14" i="26"/>
  <c r="H14" i="26" s="1"/>
  <c r="L13" i="26"/>
  <c r="H13" i="26" s="1"/>
  <c r="M11" i="26"/>
  <c r="L11" i="26"/>
  <c r="H11" i="26" s="1"/>
  <c r="M29" i="26"/>
  <c r="M35" i="26"/>
  <c r="M33" i="26"/>
  <c r="M39" i="26"/>
  <c r="M31" i="26"/>
  <c r="L39" i="26"/>
  <c r="L37" i="26"/>
  <c r="L31" i="64"/>
  <c r="H31" i="64" s="1"/>
  <c r="M27" i="64"/>
  <c r="M34" i="64"/>
  <c r="L13" i="64"/>
  <c r="H13" i="64" s="1"/>
  <c r="L12" i="64"/>
  <c r="H12" i="64" s="1"/>
  <c r="L30" i="64"/>
  <c r="H30" i="64" s="1"/>
  <c r="L37" i="64"/>
  <c r="L17" i="64"/>
  <c r="H17" i="64" s="1"/>
  <c r="L33" i="64"/>
  <c r="H33" i="64" s="1"/>
  <c r="M32" i="64"/>
  <c r="L23" i="64"/>
  <c r="H23" i="64" s="1"/>
  <c r="L22" i="64"/>
  <c r="H22" i="64" s="1"/>
  <c r="L14" i="64"/>
  <c r="H14" i="64" s="1"/>
  <c r="L6" i="64"/>
  <c r="L29" i="11"/>
  <c r="H29" i="11" s="1"/>
  <c r="L20" i="11"/>
  <c r="H20" i="11" s="1"/>
  <c r="L16" i="11"/>
  <c r="H16" i="11" s="1"/>
  <c r="M16" i="11"/>
  <c r="M37" i="11"/>
  <c r="M39" i="11"/>
  <c r="L23" i="11"/>
  <c r="H23" i="11" s="1"/>
  <c r="L31" i="11"/>
  <c r="H31" i="11" s="1"/>
  <c r="L26" i="11"/>
  <c r="H26" i="11" s="1"/>
  <c r="L10" i="11"/>
  <c r="H10" i="11" s="1"/>
  <c r="M32" i="11"/>
  <c r="L31" i="14"/>
  <c r="H31" i="14" s="1"/>
  <c r="L23" i="14"/>
  <c r="H23" i="14" s="1"/>
  <c r="L15" i="14"/>
  <c r="H15" i="14" s="1"/>
  <c r="L7" i="14"/>
  <c r="H7" i="14" s="1"/>
  <c r="L32" i="56"/>
  <c r="H32" i="56" s="1"/>
  <c r="L24" i="56"/>
  <c r="H24" i="56" s="1"/>
  <c r="L16" i="56"/>
  <c r="H16" i="56" s="1"/>
  <c r="L8" i="56"/>
  <c r="H8" i="56" s="1"/>
  <c r="L25" i="25"/>
  <c r="H25" i="25" s="1"/>
  <c r="L17" i="25"/>
  <c r="H17" i="25" s="1"/>
  <c r="L9" i="25"/>
  <c r="H9" i="25" s="1"/>
  <c r="L34" i="25"/>
  <c r="L37" i="66"/>
  <c r="H37" i="66" s="1"/>
  <c r="L35" i="66"/>
  <c r="H35" i="66" s="1"/>
  <c r="L33" i="66"/>
  <c r="H33" i="66" s="1"/>
  <c r="L31" i="66"/>
  <c r="H31" i="66" s="1"/>
  <c r="L29" i="66"/>
  <c r="H29" i="66" s="1"/>
  <c r="L27" i="66"/>
  <c r="H27" i="66" s="1"/>
  <c r="L25" i="66"/>
  <c r="H25" i="66" s="1"/>
  <c r="L23" i="66"/>
  <c r="H23" i="66" s="1"/>
  <c r="L21" i="66"/>
  <c r="H21" i="66" s="1"/>
  <c r="L19" i="66"/>
  <c r="H19" i="66" s="1"/>
  <c r="L17" i="66"/>
  <c r="H17" i="66" s="1"/>
  <c r="L15" i="66"/>
  <c r="H15" i="66" s="1"/>
  <c r="L13" i="66"/>
  <c r="H13" i="66" s="1"/>
  <c r="L11" i="66"/>
  <c r="H11" i="66" s="1"/>
  <c r="L9" i="66"/>
  <c r="H9" i="66" s="1"/>
  <c r="L7" i="66"/>
  <c r="L26" i="67"/>
  <c r="H26" i="67" s="1"/>
  <c r="L22" i="67"/>
  <c r="H22" i="67" s="1"/>
  <c r="L18" i="67"/>
  <c r="H18" i="67" s="1"/>
  <c r="L14" i="67"/>
  <c r="H14" i="67" s="1"/>
  <c r="L10" i="67"/>
  <c r="H10" i="67" s="1"/>
  <c r="L38" i="67"/>
  <c r="L34" i="67"/>
  <c r="L30" i="67"/>
  <c r="H30" i="67" s="1"/>
  <c r="L36" i="53"/>
  <c r="L32" i="53"/>
  <c r="L28" i="53"/>
  <c r="L24" i="53"/>
  <c r="H24" i="53" s="1"/>
  <c r="L20" i="53"/>
  <c r="H20" i="53" s="1"/>
  <c r="L16" i="53"/>
  <c r="H16" i="53" s="1"/>
  <c r="L12" i="53"/>
  <c r="H12" i="53" s="1"/>
  <c r="L8" i="53"/>
  <c r="H8" i="53" s="1"/>
  <c r="L38" i="28"/>
  <c r="L36" i="28"/>
  <c r="L34" i="28"/>
  <c r="L32" i="28"/>
  <c r="L30" i="28"/>
  <c r="L28" i="28"/>
  <c r="L26" i="28"/>
  <c r="L24" i="28"/>
  <c r="H24" i="28" s="1"/>
  <c r="L22" i="28"/>
  <c r="H22" i="28" s="1"/>
  <c r="G7" i="35"/>
  <c r="F52" i="35" s="1"/>
  <c r="J52" i="35" s="1"/>
  <c r="I45" i="35"/>
  <c r="Y49" i="70"/>
  <c r="I41" i="70"/>
  <c r="O49" i="26"/>
  <c r="AF49" i="11"/>
  <c r="L32" i="11"/>
  <c r="H32" i="11" s="1"/>
  <c r="Y49" i="42"/>
  <c r="L37" i="42"/>
  <c r="M35" i="4"/>
  <c r="X49" i="42"/>
  <c r="R49" i="42"/>
  <c r="AF49" i="42"/>
  <c r="AG49" i="42"/>
  <c r="U49" i="42"/>
  <c r="O49" i="42"/>
  <c r="AE49" i="42"/>
  <c r="M23" i="42"/>
  <c r="M22" i="42"/>
  <c r="M31" i="42"/>
  <c r="L39" i="42"/>
  <c r="L40" i="42"/>
  <c r="M29" i="42"/>
  <c r="M37" i="42"/>
  <c r="M26" i="42"/>
  <c r="M25" i="42"/>
  <c r="M24" i="42"/>
  <c r="M30" i="42"/>
  <c r="M34" i="42"/>
  <c r="M40" i="42"/>
  <c r="L7" i="42"/>
  <c r="L9" i="42"/>
  <c r="H9" i="42" s="1"/>
  <c r="L11" i="42"/>
  <c r="H11" i="42" s="1"/>
  <c r="L13" i="42"/>
  <c r="H13" i="42" s="1"/>
  <c r="L15" i="42"/>
  <c r="H15" i="42" s="1"/>
  <c r="L17" i="42"/>
  <c r="H17" i="42" s="1"/>
  <c r="L19" i="42"/>
  <c r="H19" i="42" s="1"/>
  <c r="L21" i="42"/>
  <c r="H21" i="42" s="1"/>
  <c r="L23" i="42"/>
  <c r="H23" i="42" s="1"/>
  <c r="L25" i="42"/>
  <c r="H25" i="42" s="1"/>
  <c r="L27" i="42"/>
  <c r="H27" i="42" s="1"/>
  <c r="L29" i="42"/>
  <c r="H29" i="42" s="1"/>
  <c r="L31" i="42"/>
  <c r="L33" i="42"/>
  <c r="L35" i="42"/>
  <c r="W49" i="11"/>
  <c r="AA49" i="11"/>
  <c r="AB49" i="11"/>
  <c r="U49" i="11"/>
  <c r="R49" i="11"/>
  <c r="N49" i="11"/>
  <c r="X49" i="11"/>
  <c r="Z49" i="11"/>
  <c r="L24" i="11"/>
  <c r="H24" i="11" s="1"/>
  <c r="M34" i="11"/>
  <c r="M35" i="11"/>
  <c r="L25" i="11"/>
  <c r="H25" i="11" s="1"/>
  <c r="L15" i="11"/>
  <c r="H15" i="11" s="1"/>
  <c r="L7" i="11"/>
  <c r="H7" i="11" s="1"/>
  <c r="L6" i="11"/>
  <c r="H6" i="11" s="1"/>
  <c r="L14" i="11"/>
  <c r="H14" i="11" s="1"/>
  <c r="L22" i="11"/>
  <c r="H22" i="11" s="1"/>
  <c r="L30" i="11"/>
  <c r="H30" i="11" s="1"/>
  <c r="L35" i="11"/>
  <c r="H35" i="11" s="1"/>
  <c r="M36" i="11"/>
  <c r="M40" i="11"/>
  <c r="L13" i="11"/>
  <c r="H13" i="11" s="1"/>
  <c r="L37" i="11"/>
  <c r="H37" i="11" s="1"/>
  <c r="L40" i="11"/>
  <c r="L39" i="11"/>
  <c r="L9" i="11"/>
  <c r="H9" i="11" s="1"/>
  <c r="L17" i="11"/>
  <c r="H17" i="11" s="1"/>
  <c r="L12" i="11"/>
  <c r="H12" i="11" s="1"/>
  <c r="I41" i="11"/>
  <c r="I41" i="26"/>
  <c r="L31" i="4"/>
  <c r="H31" i="4" s="1"/>
  <c r="L13" i="4"/>
  <c r="H13" i="4" s="1"/>
  <c r="L16" i="4"/>
  <c r="H16" i="4" s="1"/>
  <c r="L36" i="4"/>
  <c r="M34" i="4"/>
  <c r="M38" i="4"/>
  <c r="L22" i="4"/>
  <c r="H22" i="4" s="1"/>
  <c r="L33" i="4"/>
  <c r="H33" i="4" s="1"/>
  <c r="L23" i="4"/>
  <c r="H23" i="4" s="1"/>
  <c r="L40" i="4"/>
  <c r="L37" i="4"/>
  <c r="M9" i="64"/>
  <c r="X48" i="2"/>
  <c r="S49" i="11"/>
  <c r="O49" i="54"/>
  <c r="T49" i="12"/>
  <c r="AC49" i="17"/>
  <c r="Y49" i="12"/>
  <c r="L37" i="53"/>
  <c r="E48" i="20"/>
  <c r="E34" i="20"/>
  <c r="D43" i="79" l="1"/>
  <c r="M14" i="20"/>
  <c r="K14" i="20"/>
  <c r="L14" i="20"/>
  <c r="J14" i="20"/>
  <c r="D42" i="73"/>
  <c r="D42" i="11"/>
  <c r="D46" i="35"/>
  <c r="D42" i="25"/>
  <c r="D42" i="10"/>
  <c r="D42" i="79"/>
  <c r="D42" i="67"/>
  <c r="D42" i="2"/>
  <c r="D42" i="72"/>
  <c r="D42" i="55"/>
  <c r="D42" i="69"/>
  <c r="D42" i="82"/>
  <c r="D42" i="12"/>
  <c r="D42" i="14"/>
  <c r="D42" i="16"/>
  <c r="D42" i="5"/>
  <c r="D42" i="77"/>
  <c r="D42" i="53"/>
  <c r="D42" i="66"/>
  <c r="D42" i="42"/>
  <c r="D42" i="6"/>
  <c r="D42" i="28"/>
  <c r="D42" i="54"/>
  <c r="D42" i="64"/>
  <c r="D42" i="26"/>
  <c r="D42" i="56"/>
  <c r="D42" i="76"/>
  <c r="D42" i="29"/>
  <c r="C43" i="74"/>
  <c r="D43" i="74" s="1"/>
  <c r="D42" i="74"/>
  <c r="D42" i="18"/>
  <c r="D42" i="15"/>
  <c r="D42" i="70"/>
  <c r="D42" i="4"/>
  <c r="D42" i="24"/>
  <c r="C43" i="17"/>
  <c r="D43" i="17" s="1"/>
  <c r="C43" i="71"/>
  <c r="D43" i="71" s="1"/>
  <c r="C43" i="13"/>
  <c r="D43" i="13" s="1"/>
  <c r="G49" i="70"/>
  <c r="C43" i="77"/>
  <c r="D43" i="77" s="1"/>
  <c r="C43" i="33"/>
  <c r="D43" i="33" s="1"/>
  <c r="C43" i="25"/>
  <c r="D43" i="25" s="1"/>
  <c r="C43" i="72"/>
  <c r="D43" i="72" s="1"/>
  <c r="C43" i="73"/>
  <c r="D43" i="73" s="1"/>
  <c r="C43" i="26"/>
  <c r="D43" i="26" s="1"/>
  <c r="C43" i="27"/>
  <c r="D43" i="27" s="1"/>
  <c r="C43" i="11"/>
  <c r="D43" i="11" s="1"/>
  <c r="C43" i="12"/>
  <c r="D43" i="12" s="1"/>
  <c r="C43" i="69"/>
  <c r="D43" i="69" s="1"/>
  <c r="G52" i="35"/>
  <c r="C43" i="2"/>
  <c r="D43" i="2" s="1"/>
  <c r="G53" i="35"/>
  <c r="C43" i="82"/>
  <c r="D43" i="82" s="1"/>
  <c r="C43" i="18"/>
  <c r="D43" i="18" s="1"/>
  <c r="C43" i="79"/>
  <c r="F51" i="70"/>
  <c r="C43" i="44"/>
  <c r="D43" i="44" s="1"/>
  <c r="C43" i="29"/>
  <c r="D43" i="29" s="1"/>
  <c r="C43" i="54"/>
  <c r="D43" i="54" s="1"/>
  <c r="C43" i="4"/>
  <c r="D43" i="4" s="1"/>
  <c r="C43" i="10"/>
  <c r="D43" i="10" s="1"/>
  <c r="C43" i="55"/>
  <c r="D43" i="55" s="1"/>
  <c r="C43" i="42"/>
  <c r="D43" i="42" s="1"/>
  <c r="C43" i="76"/>
  <c r="D43" i="76" s="1"/>
  <c r="C43" i="5"/>
  <c r="D43" i="5" s="1"/>
  <c r="C43" i="28"/>
  <c r="D43" i="28" s="1"/>
  <c r="C43" i="14"/>
  <c r="D43" i="14" s="1"/>
  <c r="C43" i="53"/>
  <c r="D43" i="53" s="1"/>
  <c r="F54" i="35"/>
  <c r="C43" i="16"/>
  <c r="D43" i="16" s="1"/>
  <c r="C43" i="15"/>
  <c r="D43" i="15" s="1"/>
  <c r="C43" i="56"/>
  <c r="D43" i="56" s="1"/>
  <c r="C43" i="67"/>
  <c r="D43" i="67" s="1"/>
  <c r="C43" i="66"/>
  <c r="D43" i="66" s="1"/>
  <c r="C43" i="64"/>
  <c r="D43" i="64" s="1"/>
  <c r="C43" i="24"/>
  <c r="D43" i="24" s="1"/>
  <c r="C47" i="35"/>
  <c r="D47" i="35" s="1"/>
  <c r="C43" i="6"/>
  <c r="D43" i="6" s="1"/>
  <c r="C43" i="70"/>
  <c r="D43" i="70" s="1"/>
  <c r="E12" i="22" l="1"/>
  <c r="D12" i="31"/>
  <c r="D42" i="13"/>
  <c r="D42" i="71"/>
  <c r="D42" i="17"/>
  <c r="D42" i="33"/>
  <c r="D42" i="27"/>
  <c r="G54" i="35"/>
  <c r="J54" i="35"/>
  <c r="D42" i="44"/>
  <c r="J51" i="70"/>
  <c r="G50" i="70"/>
  <c r="G51" i="70" s="1"/>
  <c r="H41" i="83" l="1"/>
  <c r="H41" i="82" l="1"/>
  <c r="H41" i="69"/>
  <c r="H50" i="70"/>
  <c r="H42" i="83"/>
  <c r="H41" i="29"/>
  <c r="H41" i="44"/>
  <c r="H41" i="79"/>
  <c r="H41" i="42"/>
  <c r="H41" i="77"/>
  <c r="H42" i="82" l="1"/>
  <c r="H42" i="69"/>
  <c r="H42" i="42"/>
  <c r="H42" i="29"/>
  <c r="H42" i="79"/>
  <c r="H42" i="77"/>
  <c r="H42" i="44"/>
  <c r="H41" i="76" l="1"/>
  <c r="H41" i="15"/>
  <c r="H41" i="84"/>
  <c r="H41" i="67"/>
  <c r="H41" i="2"/>
  <c r="H41" i="64"/>
  <c r="H41" i="73"/>
  <c r="H41" i="66"/>
  <c r="H53" i="35"/>
  <c r="H41" i="11"/>
  <c r="H41" i="28"/>
  <c r="H41" i="18"/>
  <c r="H41" i="16"/>
  <c r="H41" i="72"/>
  <c r="H41" i="53"/>
  <c r="H41" i="55"/>
  <c r="H41" i="54"/>
  <c r="H41" i="71" l="1"/>
  <c r="H41" i="13"/>
  <c r="H41" i="14"/>
  <c r="H41" i="56"/>
  <c r="H41" i="10"/>
  <c r="H41" i="5"/>
  <c r="H41" i="33"/>
  <c r="H42" i="11"/>
  <c r="H41" i="4"/>
  <c r="H45" i="35"/>
  <c r="H52" i="35"/>
  <c r="H54" i="35" s="1"/>
  <c r="H42" i="2"/>
  <c r="H42" i="53"/>
  <c r="H42" i="72"/>
  <c r="H42" i="66"/>
  <c r="H42" i="67"/>
  <c r="H42" i="73"/>
  <c r="H42" i="15"/>
  <c r="H42" i="28"/>
  <c r="H42" i="16"/>
  <c r="H42" i="84"/>
  <c r="H42" i="76"/>
  <c r="H42" i="55"/>
  <c r="H42" i="54"/>
  <c r="H42" i="18"/>
  <c r="H41" i="17"/>
  <c r="H41" i="12"/>
  <c r="H41" i="27"/>
  <c r="H42" i="64"/>
  <c r="K36" i="31" l="1"/>
  <c r="H42" i="10"/>
  <c r="H42" i="56"/>
  <c r="H42" i="13"/>
  <c r="H42" i="5"/>
  <c r="H42" i="14"/>
  <c r="H42" i="33"/>
  <c r="K18" i="31"/>
  <c r="H46" i="35"/>
  <c r="H42" i="4"/>
  <c r="H42" i="27"/>
  <c r="H42" i="71"/>
  <c r="H42" i="12"/>
  <c r="H42" i="17"/>
  <c r="K11" i="31" l="1"/>
  <c r="H41" i="85" l="1"/>
  <c r="H41" i="26"/>
  <c r="H41" i="24"/>
  <c r="H41" i="25"/>
  <c r="H41" i="74"/>
  <c r="H41" i="6"/>
  <c r="K29" i="31" l="1"/>
  <c r="H42" i="6"/>
  <c r="K26" i="31"/>
  <c r="H42" i="74"/>
  <c r="H42" i="25"/>
  <c r="H42" i="24"/>
  <c r="H41" i="70"/>
  <c r="H49" i="70"/>
  <c r="H51" i="70" s="1"/>
  <c r="H42" i="26"/>
  <c r="H42" i="85"/>
  <c r="K16" i="31" l="1"/>
  <c r="H42" i="70"/>
  <c r="D46" i="76" l="1"/>
  <c r="D46" i="92"/>
  <c r="D46" i="5"/>
  <c r="D46" i="13"/>
  <c r="D46" i="44"/>
  <c r="D46" i="97"/>
  <c r="D46" i="95"/>
  <c r="D46" i="85"/>
  <c r="D46" i="6"/>
  <c r="D46" i="74"/>
  <c r="D46" i="26"/>
  <c r="D46" i="72"/>
  <c r="D46" i="29"/>
  <c r="D46" i="18"/>
  <c r="D46" i="56"/>
  <c r="D46" i="14"/>
  <c r="D46" i="15"/>
  <c r="D46" i="11"/>
  <c r="D46" i="69"/>
  <c r="D46" i="88"/>
  <c r="D46" i="28"/>
  <c r="D46" i="12"/>
  <c r="D46" i="77"/>
  <c r="D46" i="93"/>
  <c r="D46" i="42"/>
  <c r="D46" i="24"/>
  <c r="D46" i="82"/>
  <c r="D46" i="79"/>
  <c r="D46" i="64"/>
  <c r="D46" i="2"/>
  <c r="D46" i="27"/>
  <c r="D46" i="71"/>
  <c r="D46" i="17"/>
  <c r="D46" i="4"/>
  <c r="D46" i="55"/>
  <c r="D46" i="83"/>
  <c r="D46" i="33"/>
  <c r="D46" i="67"/>
  <c r="D46" i="70"/>
  <c r="D46" i="10"/>
  <c r="D46" i="90"/>
  <c r="D46" i="16"/>
  <c r="D46" i="84"/>
  <c r="D46" i="54"/>
  <c r="D46" i="96"/>
  <c r="D46" i="66"/>
  <c r="D46" i="53"/>
  <c r="D46" i="73"/>
  <c r="D46" i="25"/>
  <c r="E3" i="2"/>
  <c r="E3" i="42"/>
  <c r="E3" i="88"/>
  <c r="E3" i="4"/>
  <c r="E3" i="76"/>
  <c r="E3" i="29"/>
  <c r="E3" i="96"/>
  <c r="E3" i="79"/>
  <c r="E3" i="24"/>
  <c r="E3" i="82"/>
  <c r="E3" i="16"/>
  <c r="E3" i="55"/>
  <c r="E3" i="83"/>
  <c r="E3" i="35"/>
  <c r="E3" i="5"/>
  <c r="E3" i="89"/>
  <c r="E3" i="44"/>
  <c r="E3" i="10"/>
  <c r="E3" i="66"/>
  <c r="E3" i="27"/>
  <c r="E3" i="33"/>
  <c r="E3" i="73"/>
  <c r="E3" i="64"/>
  <c r="E3" i="77"/>
  <c r="E3" i="56"/>
  <c r="E3" i="90"/>
  <c r="E3" i="53"/>
  <c r="E3" i="74"/>
  <c r="E3" i="70"/>
  <c r="E3" i="13"/>
  <c r="E3" i="26"/>
  <c r="E3" i="93"/>
  <c r="E3" i="11"/>
  <c r="E3" i="95"/>
  <c r="E3" i="97"/>
  <c r="E3" i="12"/>
  <c r="E3" i="25"/>
  <c r="E3" i="14"/>
  <c r="E3" i="67"/>
  <c r="E3" i="85"/>
  <c r="E3" i="92"/>
  <c r="E3" i="18"/>
  <c r="E3" i="15"/>
  <c r="E3" i="54"/>
  <c r="E3" i="6"/>
  <c r="E3" i="69"/>
  <c r="E3" i="17"/>
  <c r="E3" i="84"/>
  <c r="E3" i="28"/>
  <c r="E3" i="71"/>
  <c r="E3" i="72"/>
  <c r="F2" i="5"/>
  <c r="F2" i="79"/>
  <c r="F2" i="74"/>
  <c r="F2" i="16"/>
  <c r="F2" i="27"/>
  <c r="F2" i="88"/>
  <c r="F2" i="25"/>
  <c r="F2" i="97"/>
  <c r="F2" i="77"/>
  <c r="F2" i="67"/>
  <c r="F2" i="44"/>
  <c r="F2" i="83"/>
  <c r="F2" i="84"/>
  <c r="F2" i="14"/>
  <c r="F2" i="93"/>
  <c r="F2" i="76"/>
  <c r="F2" i="18"/>
  <c r="F2" i="2"/>
  <c r="F2" i="29"/>
  <c r="F2" i="96"/>
  <c r="F2" i="10"/>
  <c r="F2" i="13"/>
  <c r="F2" i="54"/>
  <c r="F2" i="95"/>
  <c r="F2" i="53"/>
  <c r="F2" i="90"/>
  <c r="F2" i="12"/>
  <c r="F2" i="24"/>
  <c r="F2" i="28"/>
  <c r="F2" i="72"/>
  <c r="F2" i="64"/>
  <c r="F2" i="26"/>
  <c r="F2" i="73"/>
  <c r="F2" i="66"/>
  <c r="F2" i="85"/>
  <c r="F2" i="11"/>
  <c r="F2" i="82"/>
  <c r="F2" i="71"/>
  <c r="F2" i="4"/>
  <c r="F2" i="6"/>
  <c r="F2" i="42"/>
  <c r="F2" i="70"/>
  <c r="F2" i="56"/>
  <c r="D2" i="6"/>
  <c r="F2" i="55"/>
  <c r="F2" i="89"/>
  <c r="F2" i="35"/>
  <c r="F2" i="69"/>
  <c r="F2" i="15"/>
  <c r="F2" i="17"/>
  <c r="F2" i="33" l="1"/>
  <c r="A2" i="20"/>
  <c r="F2" i="92"/>
  <c r="J1" i="31"/>
  <c r="N1" i="22"/>
  <c r="D50" i="35"/>
  <c r="D50" i="89"/>
  <c r="L1" i="31" l="1"/>
  <c r="J1" i="22"/>
  <c r="F1" i="6"/>
  <c r="F1" i="55"/>
  <c r="F1" i="89"/>
  <c r="F1" i="42"/>
  <c r="F1" i="5"/>
  <c r="F1" i="54"/>
  <c r="F1" i="73"/>
  <c r="F1" i="2"/>
  <c r="F1" i="88"/>
  <c r="F1" i="97"/>
  <c r="F1" i="92"/>
  <c r="F1" i="96"/>
  <c r="F1" i="76"/>
  <c r="F1" i="72"/>
  <c r="F1" i="10"/>
  <c r="F1" i="77"/>
  <c r="F1" i="90"/>
  <c r="F1" i="70"/>
  <c r="F1" i="66"/>
  <c r="F1" i="25"/>
  <c r="F1" i="93"/>
  <c r="F1" i="24"/>
  <c r="A1" i="22"/>
  <c r="F1" i="69"/>
  <c r="F1" i="95"/>
  <c r="F1" i="18"/>
  <c r="F1" i="13"/>
  <c r="F1" i="82"/>
  <c r="F1" i="17"/>
  <c r="F1" i="83"/>
  <c r="F1" i="71"/>
  <c r="F1" i="35"/>
  <c r="F1" i="12"/>
  <c r="F1" i="15"/>
  <c r="F1" i="11"/>
  <c r="F1" i="29"/>
  <c r="F1" i="28"/>
  <c r="A1" i="31"/>
  <c r="F1" i="44"/>
  <c r="F1" i="84"/>
  <c r="F1" i="27"/>
  <c r="F1" i="53"/>
  <c r="F1" i="4"/>
  <c r="F1" i="67"/>
  <c r="F1" i="26"/>
  <c r="F1" i="33"/>
  <c r="F1" i="74"/>
  <c r="F1" i="79"/>
  <c r="F1" i="16"/>
  <c r="F1" i="85"/>
  <c r="F1" i="64"/>
  <c r="F1" i="14"/>
  <c r="F1" i="56"/>
  <c r="D44" i="64" l="1"/>
  <c r="D44" i="56"/>
  <c r="D44" i="74"/>
  <c r="D44" i="15"/>
  <c r="D44" i="83"/>
  <c r="D44" i="79"/>
  <c r="D44" i="16"/>
  <c r="D44" i="72"/>
  <c r="D48" i="35"/>
  <c r="D44" i="24"/>
  <c r="D44" i="97"/>
  <c r="D44" i="90"/>
  <c r="D44" i="69"/>
  <c r="D44" i="76"/>
  <c r="D44" i="82"/>
  <c r="D44" i="85"/>
  <c r="D44" i="95"/>
  <c r="D44" i="77"/>
  <c r="D44" i="84"/>
  <c r="D44" i="11"/>
  <c r="D44" i="27"/>
  <c r="D44" i="55"/>
  <c r="D44" i="25"/>
  <c r="D44" i="53"/>
  <c r="D44" i="88"/>
  <c r="D44" i="28"/>
  <c r="D44" i="29"/>
  <c r="D44" i="17"/>
  <c r="D44" i="33"/>
  <c r="D44" i="6"/>
  <c r="D44" i="92"/>
  <c r="D44" i="42"/>
  <c r="D44" i="54"/>
  <c r="D44" i="67"/>
  <c r="D44" i="4"/>
  <c r="D44" i="5"/>
  <c r="D44" i="26"/>
  <c r="D44" i="96"/>
  <c r="D44" i="44"/>
  <c r="D44" i="2"/>
  <c r="D44" i="10"/>
  <c r="D44" i="13"/>
  <c r="D44" i="12"/>
  <c r="D48" i="89"/>
  <c r="D44" i="18"/>
  <c r="D44" i="66"/>
  <c r="D44" i="73"/>
  <c r="D44" i="71"/>
  <c r="D44" i="14"/>
  <c r="D44" i="70"/>
  <c r="D44" i="93"/>
  <c r="I14" i="20" l="1"/>
  <c r="AB43" i="20" l="1"/>
  <c r="V8" i="20"/>
  <c r="N17" i="20"/>
  <c r="D33" i="20"/>
  <c r="AG19" i="20"/>
  <c r="AC44" i="20"/>
  <c r="Q22" i="20"/>
  <c r="D7" i="20"/>
  <c r="AE43" i="20"/>
  <c r="H47" i="20"/>
  <c r="D22" i="20"/>
  <c r="T30" i="20"/>
  <c r="U41" i="20"/>
  <c r="AC37" i="20"/>
  <c r="S36" i="20"/>
  <c r="N15" i="20"/>
  <c r="R17" i="20"/>
  <c r="AE22" i="20"/>
  <c r="R22" i="20"/>
  <c r="N26" i="20"/>
  <c r="H11" i="20"/>
  <c r="Q7" i="20"/>
  <c r="T29" i="20"/>
  <c r="X36" i="20"/>
  <c r="AG43" i="20"/>
  <c r="AF35" i="20"/>
  <c r="H12" i="20"/>
  <c r="P42" i="20"/>
  <c r="D15" i="20"/>
  <c r="U16" i="20"/>
  <c r="AC19" i="20"/>
  <c r="Y15" i="20"/>
  <c r="AC27" i="20"/>
  <c r="AD45" i="20"/>
  <c r="AD36" i="20"/>
  <c r="AG5" i="20"/>
  <c r="AD24" i="20"/>
  <c r="V36" i="20"/>
  <c r="Z27" i="20"/>
  <c r="AF5" i="20"/>
  <c r="AE15" i="20"/>
  <c r="W40" i="20"/>
  <c r="U17" i="20"/>
  <c r="U8" i="20"/>
  <c r="AF10" i="20"/>
  <c r="I12" i="31"/>
  <c r="X23" i="20"/>
  <c r="X46" i="20"/>
  <c r="X35" i="20"/>
  <c r="Z39" i="20"/>
  <c r="P36" i="20"/>
  <c r="I35" i="31"/>
  <c r="Y17" i="20"/>
  <c r="Q44" i="20"/>
  <c r="AA40" i="20"/>
  <c r="AD6" i="20"/>
  <c r="O46" i="20"/>
  <c r="AB37" i="20"/>
  <c r="P45" i="20"/>
  <c r="AG22" i="20"/>
  <c r="AF30" i="20"/>
  <c r="H48" i="20"/>
  <c r="AA26" i="20"/>
  <c r="Z51" i="20"/>
  <c r="X27" i="20"/>
  <c r="V33" i="20"/>
  <c r="O30" i="20"/>
  <c r="D43" i="20"/>
  <c r="H51" i="20"/>
  <c r="D17" i="20"/>
  <c r="AE40" i="20"/>
  <c r="Z5" i="20"/>
  <c r="U49" i="20"/>
  <c r="R37" i="20"/>
  <c r="AB23" i="20"/>
  <c r="W47" i="20"/>
  <c r="AE23" i="20"/>
  <c r="E9" i="20"/>
  <c r="AA48" i="20"/>
  <c r="Z26" i="20"/>
  <c r="I4" i="31"/>
  <c r="V51" i="20"/>
  <c r="H32" i="20"/>
  <c r="D47" i="20"/>
  <c r="I8" i="31"/>
  <c r="N29" i="20"/>
  <c r="X48" i="20"/>
  <c r="S19" i="20"/>
  <c r="N27" i="20"/>
  <c r="AA5" i="20"/>
  <c r="Z41" i="20"/>
  <c r="AD17" i="20"/>
  <c r="T8" i="20"/>
  <c r="AD44" i="20"/>
  <c r="W5" i="20"/>
  <c r="W16" i="20"/>
  <c r="AB6" i="20"/>
  <c r="AD34" i="20"/>
  <c r="Q46" i="20"/>
  <c r="H50" i="20"/>
  <c r="Y43" i="20"/>
  <c r="D8" i="20"/>
  <c r="N44" i="20"/>
  <c r="Q29" i="20"/>
  <c r="Y33" i="20"/>
  <c r="E40" i="20"/>
  <c r="AA49" i="20"/>
  <c r="D37" i="20"/>
  <c r="H37" i="20"/>
  <c r="I42" i="31"/>
  <c r="T10" i="20"/>
  <c r="AB26" i="20"/>
  <c r="AF8" i="20"/>
  <c r="AE10" i="20"/>
  <c r="AC22" i="20"/>
  <c r="X5" i="20"/>
  <c r="Y45" i="20"/>
  <c r="I48" i="31"/>
  <c r="I47" i="31"/>
  <c r="AA51" i="20"/>
  <c r="AA22" i="20"/>
  <c r="T17" i="20"/>
  <c r="Z24" i="20"/>
  <c r="AD8" i="20"/>
  <c r="Z32" i="20"/>
  <c r="AG32" i="20"/>
  <c r="AG48" i="20"/>
  <c r="AB7" i="20"/>
  <c r="O41" i="20"/>
  <c r="O47" i="20"/>
  <c r="X32" i="20"/>
  <c r="U43" i="20"/>
  <c r="U51" i="20"/>
  <c r="AE42" i="20"/>
  <c r="AA27" i="20"/>
  <c r="V50" i="20"/>
  <c r="AB25" i="20"/>
  <c r="S42" i="20"/>
  <c r="Y32" i="20"/>
  <c r="I32" i="31"/>
  <c r="AB39" i="20"/>
  <c r="S16" i="20"/>
  <c r="I28" i="31"/>
  <c r="X30" i="20"/>
  <c r="Z49" i="20"/>
  <c r="Y51" i="20"/>
  <c r="S7" i="20"/>
  <c r="AB8" i="20"/>
  <c r="Y9" i="20"/>
  <c r="AE29" i="20"/>
  <c r="AE25" i="20"/>
  <c r="Q40" i="20"/>
  <c r="X26" i="20"/>
  <c r="W34" i="20"/>
  <c r="D9" i="20"/>
  <c r="V34" i="20"/>
  <c r="D19" i="20"/>
  <c r="AF32" i="20"/>
  <c r="V44" i="20"/>
  <c r="AG35" i="20"/>
  <c r="V22" i="20"/>
  <c r="I22" i="31"/>
  <c r="AD49" i="20"/>
  <c r="AE6" i="20"/>
  <c r="H19" i="20"/>
  <c r="N19" i="20"/>
  <c r="N23" i="20"/>
  <c r="Q30" i="20"/>
  <c r="W15" i="20"/>
  <c r="U35" i="20"/>
  <c r="D45" i="20"/>
  <c r="S10" i="20"/>
  <c r="AA47" i="20"/>
  <c r="U42" i="20"/>
  <c r="T6" i="20"/>
  <c r="AF44" i="20"/>
  <c r="X45" i="20"/>
  <c r="AE37" i="20"/>
  <c r="W48" i="20"/>
  <c r="R33" i="20"/>
  <c r="W24" i="20"/>
  <c r="AF45" i="20"/>
  <c r="P40" i="20"/>
  <c r="AA43" i="20"/>
  <c r="S33" i="20"/>
  <c r="S44" i="20"/>
  <c r="AC42" i="20"/>
  <c r="Z16" i="20"/>
  <c r="W46" i="20"/>
  <c r="N47" i="20"/>
  <c r="AA10" i="20"/>
  <c r="U7" i="20"/>
  <c r="V25" i="20"/>
  <c r="AE35" i="20"/>
  <c r="T41" i="20"/>
  <c r="V39" i="20"/>
  <c r="W10" i="20"/>
  <c r="AG23" i="20"/>
  <c r="D26" i="20"/>
  <c r="Q36" i="20"/>
  <c r="AG49" i="20"/>
  <c r="U23" i="20"/>
  <c r="P23" i="20"/>
  <c r="U9" i="20"/>
  <c r="Q32" i="20"/>
  <c r="H6" i="20"/>
  <c r="AC26" i="20"/>
  <c r="U19" i="20"/>
  <c r="AA9" i="20"/>
  <c r="AD7" i="20"/>
  <c r="W39" i="20"/>
  <c r="O15" i="20"/>
  <c r="R16" i="20"/>
  <c r="E22" i="20"/>
  <c r="W19" i="20"/>
  <c r="W44" i="20"/>
  <c r="D27" i="20"/>
  <c r="Z8" i="20"/>
  <c r="R7" i="20"/>
  <c r="O45" i="20"/>
  <c r="AE33" i="20"/>
  <c r="V16" i="20"/>
  <c r="T43" i="20"/>
  <c r="P37" i="20"/>
  <c r="R45" i="20"/>
  <c r="T26" i="20"/>
  <c r="AA44" i="20"/>
  <c r="T37" i="20"/>
  <c r="AC47" i="20"/>
  <c r="H53" i="20"/>
  <c r="P30" i="20"/>
  <c r="AG6" i="20"/>
  <c r="O24" i="20"/>
  <c r="AA36" i="20"/>
  <c r="S27" i="20"/>
  <c r="V49" i="20"/>
  <c r="P41" i="20"/>
  <c r="O16" i="20"/>
  <c r="Z42" i="20"/>
  <c r="H41" i="20"/>
  <c r="S29" i="20"/>
  <c r="U32" i="20"/>
  <c r="AG39" i="20"/>
  <c r="P22" i="20"/>
  <c r="Y49" i="20"/>
  <c r="P5" i="20"/>
  <c r="I31" i="31"/>
  <c r="T36" i="20"/>
  <c r="Y42" i="20"/>
  <c r="P8" i="20"/>
  <c r="AF48" i="20"/>
  <c r="AD47" i="20"/>
  <c r="I51" i="31"/>
  <c r="O17" i="20"/>
  <c r="AB5" i="20"/>
  <c r="T39" i="20"/>
  <c r="Q42" i="20"/>
  <c r="Z23" i="20"/>
  <c r="Z33" i="20"/>
  <c r="O43" i="20"/>
  <c r="T25" i="20"/>
  <c r="AB41" i="20"/>
  <c r="U46" i="20"/>
  <c r="U33" i="20"/>
  <c r="N37" i="20"/>
  <c r="U24" i="20"/>
  <c r="AF49" i="20"/>
  <c r="Q48" i="20"/>
  <c r="W29" i="20"/>
  <c r="P26" i="20"/>
  <c r="H33" i="20"/>
  <c r="Q15" i="20"/>
  <c r="I30" i="31"/>
  <c r="H44" i="20"/>
  <c r="Z45" i="20"/>
  <c r="T40" i="20"/>
  <c r="R42" i="20"/>
  <c r="H9" i="20"/>
  <c r="I24" i="31"/>
  <c r="D44" i="20"/>
  <c r="AG33" i="20"/>
  <c r="X37" i="20"/>
  <c r="T48" i="20"/>
  <c r="E24" i="20"/>
  <c r="S5" i="20"/>
  <c r="H26" i="20"/>
  <c r="R23" i="20"/>
  <c r="Q23" i="20"/>
  <c r="O32" i="20"/>
  <c r="O19" i="20"/>
  <c r="Q37" i="20"/>
  <c r="AF36" i="20"/>
  <c r="T47" i="20"/>
  <c r="S40" i="20"/>
  <c r="AG25" i="20"/>
  <c r="X19" i="20"/>
  <c r="W25" i="20"/>
  <c r="X49" i="20"/>
  <c r="R32" i="20"/>
  <c r="U27" i="20"/>
  <c r="D23" i="20"/>
  <c r="N40" i="20"/>
  <c r="AA45" i="20"/>
  <c r="AC49" i="20"/>
  <c r="X24" i="20"/>
  <c r="S39" i="20"/>
  <c r="O37" i="20"/>
  <c r="P49" i="20"/>
  <c r="I25" i="31"/>
  <c r="Y50" i="20"/>
  <c r="T50" i="20"/>
  <c r="R5" i="20"/>
  <c r="AC40" i="20"/>
  <c r="Y46" i="20"/>
  <c r="T7" i="20"/>
  <c r="N16" i="20"/>
  <c r="H29" i="20"/>
  <c r="Y25" i="20"/>
  <c r="N34" i="20"/>
  <c r="T44" i="20"/>
  <c r="P51" i="20"/>
  <c r="AD10" i="20"/>
  <c r="O22" i="20"/>
  <c r="AC48" i="20"/>
  <c r="W42" i="20"/>
  <c r="D48" i="20"/>
  <c r="W17" i="20"/>
  <c r="AC32" i="20"/>
  <c r="I3" i="31"/>
  <c r="V10" i="20"/>
  <c r="R30" i="20"/>
  <c r="V43" i="20"/>
  <c r="R40" i="20"/>
  <c r="H34" i="20"/>
  <c r="U37" i="20"/>
  <c r="D6" i="20"/>
  <c r="AB45" i="20"/>
  <c r="I5" i="31"/>
  <c r="H49" i="20"/>
  <c r="AB46" i="20"/>
  <c r="AC39" i="20"/>
  <c r="AB50" i="20"/>
  <c r="AA32" i="20"/>
  <c r="R49" i="20"/>
  <c r="Q9" i="20"/>
  <c r="X10" i="20"/>
  <c r="I17" i="31"/>
  <c r="Z34" i="20"/>
  <c r="D42" i="20"/>
  <c r="I34" i="31"/>
  <c r="AC33" i="20"/>
  <c r="Q25" i="20"/>
  <c r="U29" i="20"/>
  <c r="O42" i="20"/>
  <c r="V48" i="20"/>
  <c r="AD30" i="20"/>
  <c r="P47" i="20"/>
  <c r="Z37" i="20"/>
  <c r="N39" i="20"/>
  <c r="S32" i="20"/>
  <c r="O40" i="20"/>
  <c r="V32" i="20"/>
  <c r="Y6" i="20"/>
  <c r="O7" i="20"/>
  <c r="U47" i="20"/>
  <c r="AB47" i="20"/>
  <c r="AF50" i="20"/>
  <c r="V24" i="20"/>
  <c r="AG15" i="20"/>
  <c r="AD19" i="20"/>
  <c r="AA15" i="20"/>
  <c r="AC6" i="20"/>
  <c r="AE30" i="20"/>
  <c r="N50" i="20"/>
  <c r="AG36" i="20"/>
  <c r="U5" i="20"/>
  <c r="AA37" i="20"/>
  <c r="AA30" i="20"/>
  <c r="X17" i="20"/>
  <c r="AD27" i="20"/>
  <c r="H27" i="20"/>
  <c r="Z10" i="20"/>
  <c r="AF40" i="20"/>
  <c r="Q10" i="20"/>
  <c r="T5" i="20"/>
  <c r="D24" i="20"/>
  <c r="P34" i="20"/>
  <c r="AE32" i="20"/>
  <c r="V42" i="20"/>
  <c r="AD42" i="20"/>
  <c r="S49" i="20"/>
  <c r="O33" i="20"/>
  <c r="Q27" i="20"/>
  <c r="Y5" i="20"/>
  <c r="W51" i="20"/>
  <c r="Q45" i="20"/>
  <c r="AB35" i="20"/>
  <c r="S24" i="20"/>
  <c r="AA46" i="20"/>
  <c r="S48" i="20"/>
  <c r="AE51" i="20"/>
  <c r="AG34" i="20"/>
  <c r="Q34" i="20"/>
  <c r="AE39" i="20"/>
  <c r="S43" i="20"/>
  <c r="AE41" i="20"/>
  <c r="N48" i="20"/>
  <c r="AF16" i="20"/>
  <c r="O25" i="20"/>
  <c r="AG37" i="20"/>
  <c r="Y34" i="20"/>
  <c r="Z47" i="20"/>
  <c r="R46" i="20"/>
  <c r="U10" i="20"/>
  <c r="D10" i="20"/>
  <c r="Y8" i="20"/>
  <c r="W33" i="20"/>
  <c r="AB51" i="20"/>
  <c r="N25" i="20"/>
  <c r="V7" i="20"/>
  <c r="X25" i="20"/>
  <c r="AD41" i="20"/>
  <c r="AE36" i="20"/>
  <c r="N42" i="20"/>
  <c r="S25" i="20"/>
  <c r="AF42" i="20"/>
  <c r="AF24" i="20"/>
  <c r="AB27" i="20"/>
  <c r="AA50" i="20"/>
  <c r="N9" i="20"/>
  <c r="AC35" i="20"/>
  <c r="AA42" i="20"/>
  <c r="X16" i="20"/>
  <c r="Z7" i="20"/>
  <c r="U40" i="20"/>
  <c r="AA35" i="20"/>
  <c r="AD25" i="20"/>
  <c r="V30" i="20"/>
  <c r="S17" i="20"/>
  <c r="AB44" i="20"/>
  <c r="H43" i="20"/>
  <c r="I46" i="31"/>
  <c r="AC29" i="20"/>
  <c r="AE19" i="20"/>
  <c r="W37" i="20"/>
  <c r="AB10" i="20"/>
  <c r="AD50" i="20"/>
  <c r="T35" i="20"/>
  <c r="AA8" i="20"/>
  <c r="U25" i="20"/>
  <c r="R27" i="20"/>
  <c r="N24" i="20"/>
  <c r="U50" i="20"/>
  <c r="W45" i="20"/>
  <c r="AE45" i="20"/>
  <c r="AD16" i="20"/>
  <c r="Q26" i="20"/>
  <c r="T16" i="20"/>
  <c r="O48" i="20"/>
  <c r="AC30" i="20"/>
  <c r="AG47" i="20"/>
  <c r="R43" i="20"/>
  <c r="AF27" i="20"/>
  <c r="Z15" i="20"/>
  <c r="W35" i="20"/>
  <c r="AC36" i="20"/>
  <c r="D25" i="20"/>
  <c r="T33" i="20"/>
  <c r="W26" i="20"/>
  <c r="H8" i="20"/>
  <c r="Z46" i="20"/>
  <c r="R8" i="20"/>
  <c r="Q24" i="20"/>
  <c r="Y10" i="20"/>
  <c r="AE24" i="20"/>
  <c r="O26" i="20"/>
  <c r="P24" i="20"/>
  <c r="T9" i="20"/>
  <c r="R15" i="20"/>
  <c r="AA24" i="20"/>
  <c r="V37" i="20"/>
  <c r="P25" i="20"/>
  <c r="AG10" i="20"/>
  <c r="O27" i="20"/>
  <c r="D36" i="20"/>
  <c r="X22" i="20"/>
  <c r="E39" i="20"/>
  <c r="E8" i="20"/>
  <c r="D32" i="20"/>
  <c r="H5" i="20"/>
  <c r="AF23" i="20"/>
  <c r="V26" i="20"/>
  <c r="P27" i="20"/>
  <c r="R36" i="20"/>
  <c r="N35" i="20"/>
  <c r="Y39" i="20"/>
  <c r="AG8" i="20"/>
  <c r="N8" i="20"/>
  <c r="T32" i="20"/>
  <c r="AG45" i="20"/>
  <c r="N45" i="20"/>
  <c r="Z40" i="20"/>
  <c r="X7" i="20"/>
  <c r="N46" i="20"/>
  <c r="P33" i="20"/>
  <c r="AD40" i="20"/>
  <c r="I15" i="31"/>
  <c r="AF34" i="20"/>
  <c r="V35" i="20"/>
  <c r="R48" i="20"/>
  <c r="W27" i="20"/>
  <c r="R24" i="20"/>
  <c r="P16" i="20"/>
  <c r="AF33" i="20"/>
  <c r="AB49" i="20"/>
  <c r="W23" i="20"/>
  <c r="O50" i="20"/>
  <c r="D34" i="20"/>
  <c r="AB40" i="20"/>
  <c r="I41" i="31"/>
  <c r="E5" i="20"/>
  <c r="I49" i="31"/>
  <c r="T51" i="20"/>
  <c r="I20" i="31"/>
  <c r="Y44" i="20"/>
  <c r="E41" i="20"/>
  <c r="W6" i="20"/>
  <c r="W49" i="20"/>
  <c r="Y36" i="20"/>
  <c r="AD35" i="20"/>
  <c r="Z44" i="20"/>
  <c r="AC5" i="20"/>
  <c r="Y26" i="20"/>
  <c r="O34" i="20"/>
  <c r="O44" i="20"/>
  <c r="E37" i="20"/>
  <c r="AG51" i="20"/>
  <c r="E16" i="20"/>
  <c r="R35" i="20"/>
  <c r="AC51" i="20"/>
  <c r="AD15" i="20"/>
  <c r="P15" i="20"/>
  <c r="Y16" i="20"/>
  <c r="AA6" i="20"/>
  <c r="AF47" i="20"/>
  <c r="AA23" i="20"/>
  <c r="P50" i="20"/>
  <c r="AD5" i="20"/>
  <c r="R51" i="20"/>
  <c r="U45" i="20"/>
  <c r="Z50" i="20"/>
  <c r="D51" i="20"/>
  <c r="I19" i="31"/>
  <c r="Z36" i="20"/>
  <c r="AG7" i="20"/>
  <c r="AE8" i="20"/>
  <c r="AA34" i="20"/>
  <c r="Y24" i="20"/>
  <c r="AE48" i="20"/>
  <c r="N36" i="20"/>
  <c r="S35" i="20"/>
  <c r="V23" i="20"/>
  <c r="E23" i="20"/>
  <c r="X15" i="20"/>
  <c r="AE17" i="20"/>
  <c r="R47" i="20"/>
  <c r="AD22" i="20"/>
  <c r="AF46" i="20"/>
  <c r="AG27" i="20"/>
  <c r="AC43" i="20"/>
  <c r="AG40" i="20"/>
  <c r="Z17" i="20"/>
  <c r="D29" i="20"/>
  <c r="X9" i="20"/>
  <c r="S41" i="20"/>
  <c r="AD39" i="20"/>
  <c r="X43" i="20"/>
  <c r="AF22" i="20"/>
  <c r="AF25" i="20"/>
  <c r="Z19" i="20"/>
  <c r="O23" i="20"/>
  <c r="AG16" i="20"/>
  <c r="R34" i="20"/>
  <c r="AB33" i="20"/>
  <c r="P29" i="20"/>
  <c r="AC16" i="20"/>
  <c r="Q19" i="20"/>
  <c r="AC9" i="20"/>
  <c r="P43" i="20"/>
  <c r="AC7" i="20"/>
  <c r="AB36" i="20"/>
  <c r="U44" i="20"/>
  <c r="AF37" i="20"/>
  <c r="Q49" i="20"/>
  <c r="S34" i="20"/>
  <c r="Y27" i="20"/>
  <c r="D12" i="20"/>
  <c r="R39" i="20"/>
  <c r="S37" i="20"/>
  <c r="AF26" i="20"/>
  <c r="AB29" i="20"/>
  <c r="H45" i="20"/>
  <c r="W43" i="20"/>
  <c r="V27" i="20"/>
  <c r="O49" i="20"/>
  <c r="N43" i="20"/>
  <c r="T34" i="20"/>
  <c r="AA17" i="20"/>
  <c r="AG17" i="20"/>
  <c r="P7" i="20"/>
  <c r="AB19" i="20"/>
  <c r="U22" i="20"/>
  <c r="I13" i="31"/>
  <c r="AB42" i="20"/>
  <c r="Z30" i="20"/>
  <c r="Y19" i="20"/>
  <c r="Q6" i="20"/>
  <c r="X51" i="20"/>
  <c r="S15" i="20"/>
  <c r="AE27" i="20"/>
  <c r="AG24" i="20"/>
  <c r="AC23" i="20"/>
  <c r="H7" i="20"/>
  <c r="V40" i="20"/>
  <c r="H24" i="20"/>
  <c r="I40" i="31"/>
  <c r="T27" i="20"/>
  <c r="E36" i="20"/>
  <c r="Y41" i="20"/>
  <c r="AG29" i="20"/>
  <c r="AB34" i="20"/>
  <c r="AE5" i="20"/>
  <c r="AD33" i="20"/>
  <c r="H17" i="20"/>
  <c r="Q35" i="20"/>
  <c r="AE44" i="20"/>
  <c r="W41" i="20"/>
  <c r="AG44" i="20"/>
  <c r="U48" i="20"/>
  <c r="S47" i="20"/>
  <c r="I14" i="31"/>
  <c r="AF29" i="20"/>
  <c r="X47" i="20"/>
  <c r="Y23" i="20"/>
  <c r="R44" i="20"/>
  <c r="V5" i="20"/>
  <c r="P48" i="20"/>
  <c r="R26" i="20"/>
  <c r="AA41" i="20"/>
  <c r="D39" i="20"/>
  <c r="AG9" i="20"/>
  <c r="H16" i="20"/>
  <c r="I21" i="31"/>
  <c r="H30" i="20"/>
  <c r="I33" i="31"/>
  <c r="R9" i="20"/>
  <c r="AC34" i="20"/>
  <c r="V19" i="20"/>
  <c r="E6" i="20"/>
  <c r="AD43" i="20"/>
  <c r="AD46" i="20"/>
  <c r="X42" i="20"/>
  <c r="Q41" i="20"/>
  <c r="AD51" i="20"/>
  <c r="AC24" i="20"/>
  <c r="AF7" i="20"/>
  <c r="V15" i="20"/>
  <c r="Z9" i="20"/>
  <c r="W50" i="20"/>
  <c r="V45" i="20"/>
  <c r="H21" i="20"/>
  <c r="V47" i="20"/>
  <c r="R6" i="20"/>
  <c r="P32" i="20"/>
  <c r="AG26" i="20"/>
  <c r="V29" i="20"/>
  <c r="X50" i="20"/>
  <c r="D41" i="20"/>
  <c r="AG41" i="20"/>
  <c r="U26" i="20"/>
  <c r="H22" i="20"/>
  <c r="AF6" i="20"/>
  <c r="R19" i="20"/>
  <c r="D5" i="20"/>
  <c r="T15" i="20"/>
  <c r="AF19" i="20"/>
  <c r="X39" i="20"/>
  <c r="AC45" i="20"/>
  <c r="U30" i="20"/>
  <c r="AB30" i="20"/>
  <c r="Y30" i="20"/>
  <c r="AB48" i="20"/>
  <c r="Y35" i="20"/>
  <c r="V6" i="20"/>
  <c r="AB24" i="20"/>
  <c r="R25" i="20"/>
  <c r="Z48" i="20"/>
  <c r="S26" i="20"/>
  <c r="AE26" i="20"/>
  <c r="AC41" i="20"/>
  <c r="O8" i="20"/>
  <c r="N10" i="20"/>
  <c r="S6" i="20"/>
  <c r="Z43" i="20"/>
  <c r="T22" i="20"/>
  <c r="V9" i="20"/>
  <c r="X41" i="20"/>
  <c r="S30" i="20"/>
  <c r="Z6" i="20"/>
  <c r="N7" i="20"/>
  <c r="AE9" i="20"/>
  <c r="E19" i="20"/>
  <c r="AC17" i="20"/>
  <c r="S22" i="20"/>
  <c r="AA29" i="20"/>
  <c r="AD26" i="20"/>
  <c r="W9" i="20"/>
  <c r="W36" i="20"/>
  <c r="D50" i="20"/>
  <c r="Q39" i="20"/>
  <c r="P6" i="20"/>
  <c r="Y48" i="20"/>
  <c r="I38" i="31"/>
  <c r="I23" i="31"/>
  <c r="AB9" i="20"/>
  <c r="H36" i="20"/>
  <c r="V41" i="20"/>
  <c r="U36" i="20"/>
  <c r="O35" i="20"/>
  <c r="I7" i="31"/>
  <c r="AE46" i="20"/>
  <c r="W22" i="20"/>
  <c r="P39" i="20"/>
  <c r="U39" i="20"/>
  <c r="N32" i="20"/>
  <c r="I10" i="31"/>
  <c r="AB32" i="20"/>
  <c r="N49" i="20"/>
  <c r="Q51" i="20"/>
  <c r="X44" i="20"/>
  <c r="AC46" i="20"/>
  <c r="X40" i="20"/>
  <c r="AE49" i="20"/>
  <c r="D16" i="20"/>
  <c r="AF9" i="20"/>
  <c r="I44" i="31"/>
  <c r="AB16" i="20"/>
  <c r="O51" i="20"/>
  <c r="T24" i="20"/>
  <c r="D30" i="20"/>
  <c r="Q16" i="20"/>
  <c r="AF41" i="20"/>
  <c r="AG50" i="20"/>
  <c r="AC25" i="20"/>
  <c r="Z25" i="20"/>
  <c r="AA33" i="20"/>
  <c r="V46" i="20"/>
  <c r="D46" i="20"/>
  <c r="AD23" i="20"/>
  <c r="E17" i="20"/>
  <c r="Q8" i="20"/>
  <c r="AB15" i="20"/>
  <c r="S9" i="20"/>
  <c r="AB17" i="20"/>
  <c r="AE7" i="20"/>
  <c r="N6" i="20"/>
  <c r="R50" i="20"/>
  <c r="T23" i="20"/>
  <c r="AC10" i="20"/>
  <c r="Q33" i="20"/>
  <c r="O6" i="20"/>
  <c r="AD29" i="20"/>
  <c r="Z29" i="20"/>
  <c r="S51" i="20"/>
  <c r="AB22" i="20"/>
  <c r="Z35" i="20"/>
  <c r="N51" i="20"/>
  <c r="AG42" i="20"/>
  <c r="U6" i="20"/>
  <c r="H40" i="20"/>
  <c r="H42" i="20"/>
  <c r="W32" i="20"/>
  <c r="U34" i="20"/>
  <c r="I45" i="31"/>
  <c r="D40" i="20"/>
  <c r="S45" i="20"/>
  <c r="Y37" i="20"/>
  <c r="V17" i="20"/>
  <c r="Q47" i="20"/>
  <c r="AD37" i="20"/>
  <c r="Q50" i="20"/>
  <c r="O39" i="20"/>
  <c r="P10" i="20"/>
  <c r="H35" i="20"/>
  <c r="I37" i="31"/>
  <c r="Q17" i="20"/>
  <c r="U15" i="20"/>
  <c r="AE50" i="20"/>
  <c r="AF15" i="20"/>
  <c r="I6" i="31"/>
  <c r="AA16" i="20"/>
  <c r="AF17" i="20"/>
  <c r="AF39" i="20"/>
  <c r="O5" i="20"/>
  <c r="AE34" i="20"/>
  <c r="P44" i="20"/>
  <c r="AA19" i="20"/>
  <c r="X6" i="20"/>
  <c r="X8" i="20"/>
  <c r="D35" i="20"/>
  <c r="I39" i="31"/>
  <c r="X34" i="20"/>
  <c r="AG30" i="20"/>
  <c r="N5" i="20"/>
  <c r="P46" i="20"/>
  <c r="Y40" i="20"/>
  <c r="AA25" i="20"/>
  <c r="T45" i="20"/>
  <c r="W7" i="20"/>
  <c r="I43" i="31"/>
  <c r="I9" i="31"/>
  <c r="N30" i="20"/>
  <c r="T19" i="20"/>
  <c r="D49" i="20"/>
  <c r="Y22" i="20"/>
  <c r="Q43" i="20"/>
  <c r="R10" i="20"/>
  <c r="T49" i="20"/>
  <c r="O36" i="20"/>
  <c r="AC15" i="20"/>
  <c r="P9" i="20"/>
  <c r="H15" i="20"/>
  <c r="S46" i="20"/>
  <c r="AA39" i="20"/>
  <c r="AE47" i="20"/>
  <c r="AG46" i="20"/>
  <c r="H46" i="20"/>
  <c r="Y7" i="20"/>
  <c r="W30" i="20"/>
  <c r="R29" i="20"/>
  <c r="P35" i="20"/>
  <c r="H25" i="20"/>
  <c r="AD32" i="20"/>
  <c r="O9" i="20"/>
  <c r="Y47" i="20"/>
  <c r="N33" i="20"/>
  <c r="AC50" i="20"/>
  <c r="Y29" i="20"/>
  <c r="H39" i="20"/>
  <c r="AE16" i="20"/>
  <c r="T46" i="20"/>
  <c r="P19" i="20"/>
  <c r="W8" i="20"/>
  <c r="X29" i="20"/>
  <c r="X33" i="20"/>
  <c r="N22" i="20"/>
  <c r="O29" i="20"/>
  <c r="P17" i="20"/>
  <c r="AD9" i="20"/>
  <c r="H10" i="20"/>
  <c r="AF43" i="20"/>
  <c r="AF51" i="20"/>
  <c r="T42" i="20"/>
  <c r="I27" i="31"/>
  <c r="AD48" i="20"/>
  <c r="E10" i="20"/>
  <c r="Z22" i="20"/>
  <c r="AC8" i="20"/>
  <c r="AA7" i="20"/>
  <c r="R41" i="20"/>
  <c r="H23" i="20"/>
  <c r="S50" i="20"/>
  <c r="N41" i="20"/>
  <c r="S23" i="20"/>
  <c r="S8" i="20"/>
  <c r="Q5" i="20"/>
  <c r="O10" i="20"/>
  <c r="AH41" i="20" l="1"/>
  <c r="K27" i="31"/>
  <c r="AH22" i="20"/>
  <c r="AH33" i="20"/>
  <c r="G49" i="20"/>
  <c r="AH30" i="20"/>
  <c r="K9" i="31"/>
  <c r="K43" i="31"/>
  <c r="AH5" i="20"/>
  <c r="K39" i="31"/>
  <c r="G35" i="20"/>
  <c r="K6" i="31"/>
  <c r="K37" i="31"/>
  <c r="G40" i="20"/>
  <c r="K45" i="31"/>
  <c r="AH51" i="20"/>
  <c r="AH6" i="20"/>
  <c r="G46" i="20"/>
  <c r="G30" i="20"/>
  <c r="K44" i="31"/>
  <c r="G16" i="20"/>
  <c r="AH49" i="20"/>
  <c r="K10" i="31"/>
  <c r="AH32" i="20"/>
  <c r="K7" i="31"/>
  <c r="K23" i="31"/>
  <c r="K38" i="31"/>
  <c r="G50" i="20"/>
  <c r="AH7" i="20"/>
  <c r="AH10" i="20"/>
  <c r="G5" i="20"/>
  <c r="G41" i="20"/>
  <c r="I21" i="20"/>
  <c r="K33" i="31"/>
  <c r="I30" i="20"/>
  <c r="K21" i="31"/>
  <c r="G39" i="20"/>
  <c r="K14" i="31"/>
  <c r="K40" i="31"/>
  <c r="K13" i="31"/>
  <c r="AH43" i="20"/>
  <c r="G12" i="20"/>
  <c r="I12" i="20" s="1"/>
  <c r="G29" i="20"/>
  <c r="AH36" i="20"/>
  <c r="K19" i="31"/>
  <c r="G51" i="20"/>
  <c r="K20" i="31"/>
  <c r="K49" i="31"/>
  <c r="K41" i="31"/>
  <c r="G34" i="20"/>
  <c r="K15" i="31"/>
  <c r="AH46" i="20"/>
  <c r="AH45" i="20"/>
  <c r="AH8" i="20"/>
  <c r="AH35" i="20"/>
  <c r="G32" i="20"/>
  <c r="G36" i="20"/>
  <c r="I36" i="20" s="1"/>
  <c r="G25" i="20"/>
  <c r="AH24" i="20"/>
  <c r="K46" i="31"/>
  <c r="AH9" i="20"/>
  <c r="AH42" i="20"/>
  <c r="AH25" i="20"/>
  <c r="G10" i="20"/>
  <c r="AH48" i="20"/>
  <c r="G24" i="20"/>
  <c r="I24" i="20" s="1"/>
  <c r="AH50" i="20"/>
  <c r="AH39" i="20"/>
  <c r="K34" i="31"/>
  <c r="G42" i="20"/>
  <c r="K17" i="31"/>
  <c r="I49" i="20"/>
  <c r="K5" i="31"/>
  <c r="G6" i="20"/>
  <c r="K3" i="31"/>
  <c r="G48" i="20"/>
  <c r="AH34" i="20"/>
  <c r="AH16" i="20"/>
  <c r="K25" i="31"/>
  <c r="AH40" i="20"/>
  <c r="G23" i="20"/>
  <c r="G44" i="20"/>
  <c r="K24" i="31"/>
  <c r="K30" i="31"/>
  <c r="AH37" i="20"/>
  <c r="K51" i="31"/>
  <c r="K31" i="31"/>
  <c r="I53" i="20"/>
  <c r="G27" i="20"/>
  <c r="I27" i="20" s="1"/>
  <c r="G26" i="20"/>
  <c r="I26" i="20" s="1"/>
  <c r="AH47" i="20"/>
  <c r="G45" i="20"/>
  <c r="I45" i="20" s="1"/>
  <c r="AH23" i="20"/>
  <c r="AH19" i="20"/>
  <c r="K22" i="31"/>
  <c r="G19" i="20"/>
  <c r="G9" i="20"/>
  <c r="K28" i="31"/>
  <c r="K32" i="31"/>
  <c r="K47" i="31"/>
  <c r="K48" i="31"/>
  <c r="K42" i="31"/>
  <c r="G37" i="20"/>
  <c r="AH44" i="20"/>
  <c r="G8" i="20"/>
  <c r="I50" i="20"/>
  <c r="AH27" i="20"/>
  <c r="AH29" i="20"/>
  <c r="K8" i="31"/>
  <c r="G47" i="20"/>
  <c r="I32" i="20"/>
  <c r="K4" i="31"/>
  <c r="G17" i="20"/>
  <c r="I17" i="20" s="1"/>
  <c r="G43" i="20"/>
  <c r="K35" i="31"/>
  <c r="K12" i="31"/>
  <c r="G15" i="20"/>
  <c r="I15" i="20" s="1"/>
  <c r="I11" i="20"/>
  <c r="AH26" i="20"/>
  <c r="AH15" i="20"/>
  <c r="G22" i="20"/>
  <c r="I47" i="20"/>
  <c r="G7" i="20"/>
  <c r="G33" i="20"/>
  <c r="I33" i="20" s="1"/>
  <c r="AH17" i="20"/>
  <c r="L44" i="20" l="1"/>
  <c r="J44" i="20"/>
  <c r="M44" i="20"/>
  <c r="K44" i="20"/>
  <c r="I25" i="20"/>
  <c r="K25" i="20"/>
  <c r="M25" i="20"/>
  <c r="J25" i="20"/>
  <c r="L25" i="20"/>
  <c r="M34" i="20"/>
  <c r="J34" i="20"/>
  <c r="K34" i="20"/>
  <c r="L34" i="20"/>
  <c r="M46" i="20"/>
  <c r="K46" i="20"/>
  <c r="J46" i="20"/>
  <c r="L46" i="20"/>
  <c r="I22" i="20"/>
  <c r="K22" i="20"/>
  <c r="J22" i="20"/>
  <c r="M22" i="20"/>
  <c r="L22" i="20"/>
  <c r="M43" i="20"/>
  <c r="K43" i="20"/>
  <c r="J43" i="20"/>
  <c r="L43" i="20"/>
  <c r="I37" i="20"/>
  <c r="M37" i="20"/>
  <c r="L37" i="20"/>
  <c r="K37" i="20"/>
  <c r="J37" i="20"/>
  <c r="I34" i="20"/>
  <c r="I10" i="20"/>
  <c r="K10" i="20"/>
  <c r="M10" i="20"/>
  <c r="L10" i="20"/>
  <c r="J10" i="20"/>
  <c r="I43" i="20"/>
  <c r="M36" i="20"/>
  <c r="L36" i="20"/>
  <c r="J36" i="20"/>
  <c r="K36" i="20"/>
  <c r="I41" i="20"/>
  <c r="L41" i="20"/>
  <c r="J41" i="20"/>
  <c r="M41" i="20"/>
  <c r="K41" i="20"/>
  <c r="K50" i="20"/>
  <c r="L50" i="20"/>
  <c r="J50" i="20"/>
  <c r="M50" i="20"/>
  <c r="I16" i="20"/>
  <c r="K16" i="20"/>
  <c r="L16" i="20"/>
  <c r="J16" i="20"/>
  <c r="M16" i="20"/>
  <c r="J40" i="20"/>
  <c r="L40" i="20"/>
  <c r="M40" i="20"/>
  <c r="K40" i="20"/>
  <c r="K35" i="20"/>
  <c r="L35" i="20"/>
  <c r="J35" i="20"/>
  <c r="M35" i="20"/>
  <c r="I46" i="20"/>
  <c r="I19" i="20"/>
  <c r="J19" i="20"/>
  <c r="K19" i="20"/>
  <c r="L19" i="20"/>
  <c r="M19" i="20"/>
  <c r="K51" i="20"/>
  <c r="L51" i="20"/>
  <c r="M51" i="20"/>
  <c r="J51" i="20"/>
  <c r="J12" i="20"/>
  <c r="K12" i="20"/>
  <c r="M12" i="20"/>
  <c r="L12" i="20"/>
  <c r="L39" i="20"/>
  <c r="M39" i="20"/>
  <c r="K39" i="20"/>
  <c r="J39" i="20"/>
  <c r="L33" i="20"/>
  <c r="M33" i="20"/>
  <c r="K33" i="20"/>
  <c r="J33" i="20"/>
  <c r="L15" i="20"/>
  <c r="M15" i="20"/>
  <c r="K15" i="20"/>
  <c r="J15" i="20"/>
  <c r="I51" i="20"/>
  <c r="K47" i="20"/>
  <c r="J47" i="20"/>
  <c r="L47" i="20"/>
  <c r="M47" i="20"/>
  <c r="K26" i="20"/>
  <c r="M26" i="20"/>
  <c r="L26" i="20"/>
  <c r="J26" i="20"/>
  <c r="I44" i="20"/>
  <c r="M23" i="20"/>
  <c r="L23" i="20"/>
  <c r="J23" i="20"/>
  <c r="K23" i="20"/>
  <c r="I6" i="20"/>
  <c r="J6" i="20"/>
  <c r="M6" i="20"/>
  <c r="L6" i="20"/>
  <c r="K6" i="20"/>
  <c r="I42" i="20"/>
  <c r="J42" i="20"/>
  <c r="L42" i="20"/>
  <c r="M42" i="20"/>
  <c r="K42" i="20"/>
  <c r="K32" i="20"/>
  <c r="J32" i="20"/>
  <c r="L32" i="20"/>
  <c r="M32" i="20"/>
  <c r="I5" i="20"/>
  <c r="L5" i="20"/>
  <c r="K5" i="20"/>
  <c r="J5" i="20"/>
  <c r="M5" i="20"/>
  <c r="I35" i="20"/>
  <c r="I23" i="20"/>
  <c r="M45" i="20"/>
  <c r="K45" i="20"/>
  <c r="L45" i="20"/>
  <c r="J45" i="20"/>
  <c r="I7" i="20"/>
  <c r="M7" i="20"/>
  <c r="K7" i="20"/>
  <c r="J7" i="20"/>
  <c r="L7" i="20"/>
  <c r="M17" i="20"/>
  <c r="L17" i="20"/>
  <c r="K17" i="20"/>
  <c r="J17" i="20"/>
  <c r="I8" i="20"/>
  <c r="J8" i="20"/>
  <c r="M8" i="20"/>
  <c r="L8" i="20"/>
  <c r="K8" i="20"/>
  <c r="I9" i="20"/>
  <c r="L9" i="20"/>
  <c r="J9" i="20"/>
  <c r="K9" i="20"/>
  <c r="M9" i="20"/>
  <c r="L27" i="20"/>
  <c r="J27" i="20"/>
  <c r="M27" i="20"/>
  <c r="K27" i="20"/>
  <c r="I48" i="20"/>
  <c r="M48" i="20"/>
  <c r="J48" i="20"/>
  <c r="L48" i="20"/>
  <c r="K48" i="20"/>
  <c r="J24" i="20"/>
  <c r="L24" i="20"/>
  <c r="K24" i="20"/>
  <c r="M24" i="20"/>
  <c r="I29" i="20"/>
  <c r="L29" i="20"/>
  <c r="K29" i="20"/>
  <c r="M29" i="20"/>
  <c r="J29" i="20"/>
  <c r="K30" i="20"/>
  <c r="L30" i="20"/>
  <c r="M30" i="20"/>
  <c r="J30" i="20"/>
  <c r="I40" i="20"/>
  <c r="J49" i="20"/>
  <c r="L49" i="20"/>
  <c r="M49" i="20"/>
  <c r="K49" i="20"/>
  <c r="I39" i="20"/>
  <c r="D27" i="31" l="1"/>
  <c r="E27" i="22"/>
  <c r="D25" i="31"/>
  <c r="E25" i="22"/>
  <c r="D21" i="31"/>
  <c r="E21" i="22"/>
  <c r="E45" i="22"/>
  <c r="D45" i="31"/>
  <c r="D17" i="31"/>
  <c r="E17" i="22"/>
  <c r="E42" i="22"/>
  <c r="D42" i="31"/>
  <c r="E47" i="22"/>
  <c r="D47" i="31"/>
  <c r="D28" i="31"/>
  <c r="E28" i="22"/>
  <c r="D7" i="31"/>
  <c r="E7" i="22"/>
  <c r="D6" i="31"/>
  <c r="E6" i="22"/>
  <c r="D43" i="31"/>
  <c r="E43" i="22"/>
  <c r="D30" i="31"/>
  <c r="E30" i="22"/>
  <c r="D49" i="31"/>
  <c r="E49" i="22"/>
  <c r="D39" i="31"/>
  <c r="E39" i="22"/>
  <c r="D20" i="31"/>
  <c r="E20" i="22"/>
  <c r="E44" i="22"/>
  <c r="D44" i="31"/>
  <c r="D5" i="31"/>
  <c r="E5" i="22"/>
  <c r="E24" i="22"/>
  <c r="D24" i="31"/>
  <c r="D38" i="31"/>
  <c r="E38" i="22"/>
  <c r="E48" i="22"/>
  <c r="D48" i="31"/>
  <c r="D41" i="31"/>
  <c r="E41" i="22"/>
  <c r="E40" i="22"/>
  <c r="D40" i="31"/>
  <c r="E34" i="22"/>
  <c r="D34" i="31"/>
  <c r="E8" i="22"/>
  <c r="D8" i="31"/>
  <c r="E35" i="22"/>
  <c r="D35" i="31"/>
  <c r="E23" i="22"/>
  <c r="D23" i="31"/>
  <c r="E22" i="22"/>
  <c r="D22" i="31"/>
  <c r="D10" i="31"/>
  <c r="E10" i="22"/>
  <c r="E32" i="22"/>
  <c r="D32" i="31"/>
  <c r="E46" i="22"/>
  <c r="D46" i="31"/>
  <c r="E15" i="22"/>
  <c r="D15" i="31"/>
  <c r="D3" i="31"/>
  <c r="E3" i="22"/>
  <c r="D4" i="31"/>
  <c r="E4" i="22"/>
  <c r="D13" i="31"/>
  <c r="E13" i="22"/>
  <c r="E31" i="22"/>
  <c r="D31" i="31"/>
  <c r="D37" i="31"/>
  <c r="E37" i="22"/>
  <c r="D33" i="31"/>
  <c r="E33" i="22"/>
  <c r="E14" i="22"/>
  <c r="D14" i="31"/>
</calcChain>
</file>

<file path=xl/sharedStrings.xml><?xml version="1.0" encoding="utf-8"?>
<sst xmlns="http://schemas.openxmlformats.org/spreadsheetml/2006/main" count="4201" uniqueCount="795">
  <si>
    <t>C</t>
  </si>
  <si>
    <t>O</t>
  </si>
  <si>
    <t>ENTRY ONLY</t>
  </si>
  <si>
    <t>REQUIRED IN</t>
  </si>
  <si>
    <t>THESE THREE</t>
  </si>
  <si>
    <t>COLUMNS</t>
  </si>
  <si>
    <t>ADMINISTRATIVE ASSISTANT DIPLOMA</t>
  </si>
  <si>
    <t>Course</t>
  </si>
  <si>
    <t>Core Courses</t>
  </si>
  <si>
    <t>Hours</t>
  </si>
  <si>
    <t>Cost</t>
  </si>
  <si>
    <t>Combo</t>
  </si>
  <si>
    <t>Courses</t>
  </si>
  <si>
    <t>within</t>
  </si>
  <si>
    <t>Group</t>
  </si>
  <si>
    <t>Credits</t>
  </si>
  <si>
    <t>PRA103</t>
  </si>
  <si>
    <t>Exam/Rev</t>
  </si>
  <si>
    <t>Minimum typing speed required to obtain Diploma - 40 WPM</t>
  </si>
  <si>
    <t>Credits/Group</t>
  </si>
  <si>
    <t>Minimum typing speed required to obtain Diploma - 55 WPM</t>
  </si>
  <si>
    <t>BUSINESS OFFICE SKILLS DIPLOMA</t>
  </si>
  <si>
    <t>Minimum typing speed required to obtain Diploma - 25 WPM</t>
  </si>
  <si>
    <t>PRA102</t>
  </si>
  <si>
    <t>ENTREPRENEURIAL BUSINESS APPLICATIONS DIPLOMA</t>
  </si>
  <si>
    <t>OFFICE ADMINISTRATION DIPLOMA</t>
  </si>
  <si>
    <t>Exam</t>
  </si>
  <si>
    <t>Per</t>
  </si>
  <si>
    <t># Months</t>
  </si>
  <si>
    <t># Weeks</t>
  </si>
  <si>
    <t>Skills Credits per Group</t>
  </si>
  <si>
    <t>/Rev</t>
  </si>
  <si>
    <t>Total</t>
  </si>
  <si>
    <t>Hour</t>
  </si>
  <si>
    <t>@ 20 Hrs</t>
  </si>
  <si>
    <t>Grp</t>
  </si>
  <si>
    <t>PROGRAM NAME</t>
  </si>
  <si>
    <t>%</t>
  </si>
  <si>
    <t>Amount</t>
  </si>
  <si>
    <t>/ Week</t>
  </si>
  <si>
    <t>Group 1</t>
  </si>
  <si>
    <t>Office Skills</t>
  </si>
  <si>
    <t>Group 2</t>
  </si>
  <si>
    <t>Group 3</t>
  </si>
  <si>
    <t>Word Processing</t>
  </si>
  <si>
    <t>Group 4</t>
  </si>
  <si>
    <t>Spreadsheets</t>
  </si>
  <si>
    <t>Group 5</t>
  </si>
  <si>
    <t>Graphics/Presentation</t>
  </si>
  <si>
    <t>Group 6</t>
  </si>
  <si>
    <t>Database Management</t>
  </si>
  <si>
    <t>Group 7</t>
  </si>
  <si>
    <t>Group 8</t>
  </si>
  <si>
    <t>Operating System</t>
  </si>
  <si>
    <t>Group 9</t>
  </si>
  <si>
    <t>Business Skills</t>
  </si>
  <si>
    <t>Group 10</t>
  </si>
  <si>
    <t>Group 11</t>
  </si>
  <si>
    <t>DEGREE,
DIPLOMA
OR CERTIF-    ICATE</t>
  </si>
  <si>
    <t>LENGTH       IN WEEKS</t>
  </si>
  <si>
    <t>START
DATE
DD-MM</t>
  </si>
  <si>
    <t>END DATE
DD-MM</t>
  </si>
  <si>
    <t xml:space="preserve">
CONTINUOUS
INTAKE
PROGRAM DATE</t>
  </si>
  <si>
    <t>MINIMUM       ENTRANCE
REQUIREMENTS</t>
  </si>
  <si>
    <t>INSTRUCTIONAL
HOURS PER WEEK</t>
  </si>
  <si>
    <t>LENGTH OF
PRACTICUM IN
HOURS</t>
  </si>
  <si>
    <t>WHEN IS PROGRAM OFFERED
DAYS EVENINGS WEEKENDS</t>
  </si>
  <si>
    <t>IS THIS A
CORRESPONDENCE 
PROGRAM</t>
  </si>
  <si>
    <t>Diploma</t>
  </si>
  <si>
    <t>n/a</t>
  </si>
  <si>
    <t>Daily</t>
  </si>
  <si>
    <t>Gr 12 or Mature</t>
  </si>
  <si>
    <t>No</t>
  </si>
  <si>
    <t>Certificate</t>
  </si>
  <si>
    <t>Full
Time</t>
  </si>
  <si>
    <t>Part
Time</t>
  </si>
  <si>
    <t>Yes</t>
  </si>
  <si>
    <t>Degree, Diploma or Certificate</t>
  </si>
  <si>
    <t>Projected
Enrolment
Next 12
Months</t>
  </si>
  <si>
    <t>Name of Program</t>
  </si>
  <si>
    <t>Minimum       Admission
Requirements</t>
  </si>
  <si>
    <t>Individual Courses</t>
  </si>
  <si>
    <t>Minimum Qualifications for Instructors</t>
  </si>
  <si>
    <t>- Please see details in Accreditation Binder</t>
  </si>
  <si>
    <t>Addit'nl
Costs</t>
  </si>
  <si>
    <t>Max
 Class Size</t>
  </si>
  <si>
    <t>PRA101</t>
  </si>
  <si>
    <t>Keyboarding</t>
  </si>
  <si>
    <t>ZKT7</t>
  </si>
  <si>
    <t>ZKJ7</t>
  </si>
  <si>
    <t>ZIZ7</t>
  </si>
  <si>
    <t>ZEY7</t>
  </si>
  <si>
    <t>ZDZ8</t>
  </si>
  <si>
    <t>ZKZ8</t>
  </si>
  <si>
    <t>PROVINCIAL LICENSING    BOARD/
AUTHORITY              (IF ANY)</t>
  </si>
  <si>
    <t xml:space="preserve">   x          x          x</t>
  </si>
  <si>
    <t>Group 12</t>
  </si>
  <si>
    <t>Group 13</t>
  </si>
  <si>
    <t>Group 14</t>
  </si>
  <si>
    <t>Workshops</t>
  </si>
  <si>
    <t>Computerized Accounting</t>
  </si>
  <si>
    <t>PC Troubleshooting</t>
  </si>
  <si>
    <t>Application</t>
  </si>
  <si>
    <t>Technical</t>
  </si>
  <si>
    <t>(Prerequisite: Current  AOL Career Certificate/Diploma within last two years)</t>
  </si>
  <si>
    <t>PC SUPPORT SPECIALIST DIPLOMA</t>
  </si>
  <si>
    <t>COMPUTER SERVICE TECHNICIAN DIPLOMA</t>
  </si>
  <si>
    <t>CALL CENTRE CUSTOMER REPRESENTATIVE DIPLOMA</t>
  </si>
  <si>
    <t>Group 15</t>
  </si>
  <si>
    <t>Group 16</t>
  </si>
  <si>
    <t>Group 17</t>
  </si>
  <si>
    <t>Group 18</t>
  </si>
  <si>
    <t>Group 19</t>
  </si>
  <si>
    <t>Group 20</t>
  </si>
  <si>
    <t>Call Centre Skills</t>
  </si>
  <si>
    <t>** Currently Unused **</t>
  </si>
  <si>
    <t>CCC00E1</t>
  </si>
  <si>
    <t>CCD00E1</t>
  </si>
  <si>
    <t>CCE00E1</t>
  </si>
  <si>
    <t>CCI00E1</t>
  </si>
  <si>
    <t>CCS00E1</t>
  </si>
  <si>
    <t>CCT00E1</t>
  </si>
  <si>
    <t>OFFICE ADMINISTRATION ASSISTANT CERTIFICATE</t>
  </si>
  <si>
    <t>BBK99E1</t>
  </si>
  <si>
    <t>BBK99E2</t>
  </si>
  <si>
    <t>ZMQ7</t>
  </si>
  <si>
    <t>UHD7</t>
  </si>
  <si>
    <t>UHD8</t>
  </si>
  <si>
    <t>Microsoft Certification</t>
  </si>
  <si>
    <t>COMPUTER SERVICE TECHNICIAN CERTIFICATE</t>
  </si>
  <si>
    <t>Weeks Durat-ion</t>
  </si>
  <si>
    <t>Enrolment
Last 12 Mths</t>
  </si>
  <si>
    <t>- Fee Schedule available</t>
  </si>
  <si>
    <t>ZMQ8</t>
  </si>
  <si>
    <t>MDP00E1</t>
  </si>
  <si>
    <t>Non-CSL</t>
  </si>
  <si>
    <t>Minimum typing speed required to obtain Certificate - 25 WPM</t>
  </si>
  <si>
    <t>Minimum typing speed required to obtain Certificate - 40 WPM</t>
  </si>
  <si>
    <t>Minimum typing speed required to obtain Certificate - 55 WPM</t>
  </si>
  <si>
    <t>MEDICAL ADMINISTRATIVE ASSISTANT CERTIFICATE</t>
  </si>
  <si>
    <t>%
Incr-
ease</t>
  </si>
  <si>
    <t>Program Cost
excl.
Reg/Ass</t>
  </si>
  <si>
    <t>Amt. Excl</t>
  </si>
  <si>
    <t>Reg/Ass</t>
  </si>
  <si>
    <t>MEDICAL OFFICE ASSISTANT DIPLOMA</t>
  </si>
  <si>
    <t>I.L.S.</t>
  </si>
  <si>
    <t>e-learning</t>
  </si>
  <si>
    <t>6 Month</t>
  </si>
  <si>
    <t>GOVT.</t>
  </si>
  <si>
    <t>A+ Prep</t>
  </si>
  <si>
    <t>Individual course outlines are available on request</t>
  </si>
  <si>
    <t>MRPS00E1</t>
  </si>
  <si>
    <t>Program
Cost
Last
Year</t>
  </si>
  <si>
    <t>A1</t>
  </si>
  <si>
    <t>WEB DESIGNER DIPLOMA</t>
  </si>
  <si>
    <t>UIE7</t>
  </si>
  <si>
    <t>Payroll Cert</t>
  </si>
  <si>
    <t>PAYROLL ADMINISTRATOR CERTIFICATE</t>
  </si>
  <si>
    <t>ZNV7</t>
  </si>
  <si>
    <t>INDIVIDUAL COURSES</t>
  </si>
  <si>
    <t>MARKETING ADMINISTRATIVE ASSISTANT CERTIFICATE</t>
  </si>
  <si>
    <t>Other</t>
  </si>
  <si>
    <t>BUSINESS ADMINISTRATION DIPLOMA</t>
  </si>
  <si>
    <t>BEC04E1</t>
  </si>
  <si>
    <t>BFM04E1</t>
  </si>
  <si>
    <t>BLE04E1</t>
  </si>
  <si>
    <t>COMPUTERIZED OFFICE PROCEDURES CERTIFICATE</t>
  </si>
  <si>
    <t>P</t>
  </si>
  <si>
    <t>Prerequisites</t>
  </si>
  <si>
    <t>ZAS7</t>
  </si>
  <si>
    <t>BC NOC
Code</t>
  </si>
  <si>
    <t>MARKETING COORDINATOR DIPLOMA</t>
  </si>
  <si>
    <t>BPS05E1</t>
  </si>
  <si>
    <t>BUSINESS MANAGEMENT CERTIFICATE</t>
  </si>
  <si>
    <t>BSS05E1</t>
  </si>
  <si>
    <t>HDA05E1</t>
  </si>
  <si>
    <t>ZBD8</t>
  </si>
  <si>
    <t>CPA06E1</t>
  </si>
  <si>
    <t>CPA06E2</t>
  </si>
  <si>
    <t>CPA06E3</t>
  </si>
  <si>
    <t>BMA06E1</t>
  </si>
  <si>
    <t>BWE06E1</t>
  </si>
  <si>
    <t>PSA - COMPUTERIZED OFFICE SKILLS CERTIFICATE</t>
  </si>
  <si>
    <t>MFN06E1</t>
  </si>
  <si>
    <t>ZAJ7</t>
  </si>
  <si>
    <t>ZMX7</t>
  </si>
  <si>
    <t>ZLG7</t>
  </si>
  <si>
    <t>EXECUTIVE ASSISTANT DIPLOMA</t>
  </si>
  <si>
    <t>ZDE7</t>
  </si>
  <si>
    <t>COMPUTER SOFTWARE SUPPORT DIPLOMA</t>
  </si>
  <si>
    <t>ZCX7</t>
  </si>
  <si>
    <t>UGS7</t>
  </si>
  <si>
    <t>UES7</t>
  </si>
  <si>
    <t>ZLJ8</t>
  </si>
  <si>
    <t>ZCZ8</t>
  </si>
  <si>
    <t>TES8</t>
  </si>
  <si>
    <t>UHG8</t>
  </si>
  <si>
    <t>ZEL8</t>
  </si>
  <si>
    <t>ZNW8</t>
  </si>
  <si>
    <t>ADMIN ASST</t>
  </si>
  <si>
    <t>BUS ADMIN</t>
  </si>
  <si>
    <t>BUS MGMT CERT</t>
  </si>
  <si>
    <t>BUS OFF SKILL</t>
  </si>
  <si>
    <t>ACCT ADMIN</t>
  </si>
  <si>
    <t>COMP OFF PROC</t>
  </si>
  <si>
    <t>ENTRE BUS APP</t>
  </si>
  <si>
    <t>EXEC ASST</t>
  </si>
  <si>
    <t>MARK ADM ASST</t>
  </si>
  <si>
    <t>MED ADMN ASST</t>
  </si>
  <si>
    <t>COMP SOFT SUP</t>
  </si>
  <si>
    <t>NETWORK ADMIN</t>
  </si>
  <si>
    <t>OFFICE ADMIN</t>
  </si>
  <si>
    <t>OFF ADMIN AST</t>
  </si>
  <si>
    <t>PAYROLL ADMIN</t>
  </si>
  <si>
    <t>PC SUPP SPEC</t>
  </si>
  <si>
    <t>WEB DESIGNER</t>
  </si>
  <si>
    <t>MED OFF ASST</t>
  </si>
  <si>
    <t xml:space="preserve">  </t>
  </si>
  <si>
    <t>SHORT
PROGRAM
NAME</t>
  </si>
  <si>
    <t>BVC06E1</t>
  </si>
  <si>
    <t>BEM06E1</t>
  </si>
  <si>
    <t>BNC06E1</t>
  </si>
  <si>
    <t>Prog</t>
  </si>
  <si>
    <t>Code</t>
  </si>
  <si>
    <t>NOC</t>
  </si>
  <si>
    <t>CEM06E1</t>
  </si>
  <si>
    <t>WSI00E1</t>
  </si>
  <si>
    <t>ZMN7</t>
  </si>
  <si>
    <t>@25/30Hrs</t>
  </si>
  <si>
    <t>On-line</t>
  </si>
  <si>
    <t>On-line - CPA Instructor supported</t>
  </si>
  <si>
    <t>Totals Y1+2</t>
  </si>
  <si>
    <t>PROJ ADMIN</t>
  </si>
  <si>
    <t>SALES PROF</t>
  </si>
  <si>
    <t>ZOM7</t>
  </si>
  <si>
    <t>ZKE7</t>
  </si>
  <si>
    <t>PROJECT ADMINISTRATION DIPLOMA</t>
  </si>
  <si>
    <t>SALES PROFESSIONAL DIPLOMA</t>
  </si>
  <si>
    <t>NOTE:</t>
  </si>
  <si>
    <t>There are components of this program that are delivered in an off-site location and to which the student</t>
  </si>
  <si>
    <t>will be expected to travel on/at their own time/expense.</t>
  </si>
  <si>
    <t>CUSTOMER SERVICE REPRESENTATIVE CERTIFICATE</t>
  </si>
  <si>
    <t>CONFERENCE AND EVENT PLANNER DIPLOMA</t>
  </si>
  <si>
    <t>ACCOUNTING AND BUSINESS TECHNOLOGY DIPLOMA</t>
  </si>
  <si>
    <t>Year 1</t>
  </si>
  <si>
    <t>Weeks</t>
  </si>
  <si>
    <t>Tuition</t>
  </si>
  <si>
    <t>Months</t>
  </si>
  <si>
    <t>Year 2</t>
  </si>
  <si>
    <t>JOBSRCHBLM</t>
  </si>
  <si>
    <t>UJB8</t>
  </si>
  <si>
    <t>UJA8</t>
  </si>
  <si>
    <t>A+Prep</t>
  </si>
  <si>
    <t>CMAP Core</t>
  </si>
  <si>
    <t>CMAP Career Prep</t>
  </si>
  <si>
    <t>MED OFF ASST -HUC</t>
  </si>
  <si>
    <t>ZPF8</t>
  </si>
  <si>
    <t>ZFA8</t>
  </si>
  <si>
    <t>HUMAN RESOURCES ADMINISTRATION CERTIFICATE</t>
  </si>
  <si>
    <t>ZPE8</t>
  </si>
  <si>
    <t>ACCOUNTING CLERK CERTIFICATE</t>
  </si>
  <si>
    <t>ACCT CLERK CRT</t>
  </si>
  <si>
    <t>ZLK8</t>
  </si>
  <si>
    <t>SALES ASSOCIATE CERTIFICATE</t>
  </si>
  <si>
    <t>SALES ASSOCIATE</t>
  </si>
  <si>
    <t>ZPG8</t>
  </si>
  <si>
    <t>PRS07E1</t>
  </si>
  <si>
    <t>N+Prep</t>
  </si>
  <si>
    <t>MS Prep</t>
  </si>
  <si>
    <t>Title</t>
  </si>
  <si>
    <t>Type</t>
  </si>
  <si>
    <t>Office Admin</t>
  </si>
  <si>
    <t>Business</t>
  </si>
  <si>
    <t>IT</t>
  </si>
  <si>
    <t>HealthCare</t>
  </si>
  <si>
    <t>Accounting/Payroll</t>
  </si>
  <si>
    <t>Active/Inactive</t>
  </si>
  <si>
    <t>Active</t>
  </si>
  <si>
    <t>MacroKey</t>
  </si>
  <si>
    <t>Ctrl+Alt+h</t>
  </si>
  <si>
    <t>Ctrl+Alt+u</t>
  </si>
  <si>
    <t>Ctrl+Alt+b</t>
  </si>
  <si>
    <t>Ctrl+Alt+a</t>
  </si>
  <si>
    <t>Ctrl+Alt+d</t>
  </si>
  <si>
    <t>Ctrl+Shift+i</t>
  </si>
  <si>
    <t>Ctrl+Alt+v</t>
  </si>
  <si>
    <t>Ctrl+Alt+w</t>
  </si>
  <si>
    <t>Ctrl+Shift+g</t>
  </si>
  <si>
    <t>Ctrl+Shift+h</t>
  </si>
  <si>
    <t>Ctrl+Shift+n</t>
  </si>
  <si>
    <t>Ctrl+Alt+x</t>
  </si>
  <si>
    <t>Ctrl+Alt+c</t>
  </si>
  <si>
    <t>Ctrl+Alt+m</t>
  </si>
  <si>
    <t>Ctrl+Alt+n</t>
  </si>
  <si>
    <t>Ctrl+Alt+s</t>
  </si>
  <si>
    <t>Ctrl+Shift+y</t>
  </si>
  <si>
    <t>Ctrl+Alt+o</t>
  </si>
  <si>
    <t>Ctrl+Alt+p</t>
  </si>
  <si>
    <t>Ctrl+Alt+e</t>
  </si>
  <si>
    <t>Ctrl+Shift+a</t>
  </si>
  <si>
    <t>Ctrl+Shift+r</t>
  </si>
  <si>
    <t>Ctrl+Alt+r</t>
  </si>
  <si>
    <t>Ctrl+Shift+q</t>
  </si>
  <si>
    <t>Ctrl+Shift+s</t>
  </si>
  <si>
    <t>Ctrl+Shift+t</t>
  </si>
  <si>
    <t>Ctrl+Shift+d</t>
  </si>
  <si>
    <t>Ctrl+Shift+b</t>
  </si>
  <si>
    <t>Ctrl+Alt+q</t>
  </si>
  <si>
    <t>Ctrl+Alt+f</t>
  </si>
  <si>
    <t>Ctrl+Alt+g</t>
  </si>
  <si>
    <t>Ctrl+Shift+e</t>
  </si>
  <si>
    <t>Ctrl+Shift+k</t>
  </si>
  <si>
    <t>Ctrl+Shift+f</t>
  </si>
  <si>
    <t>Program Navigation Page</t>
  </si>
  <si>
    <t>Category</t>
  </si>
  <si>
    <t>TFZ7</t>
  </si>
  <si>
    <t>TGE7</t>
  </si>
  <si>
    <t>HCHUC07O1</t>
  </si>
  <si>
    <t>HCHUC07O2</t>
  </si>
  <si>
    <t>HCHUC07O3</t>
  </si>
  <si>
    <t>A+ NETWORK+ AND MCSA DESKTOP CERT. PREP</t>
  </si>
  <si>
    <t>Ctrl+Shift+l</t>
  </si>
  <si>
    <t>SG5013E1</t>
  </si>
  <si>
    <t>MKS13E1</t>
  </si>
  <si>
    <t>CSR13E1</t>
  </si>
  <si>
    <t>Prerequisites (included in Year 1 tuition)</t>
  </si>
  <si>
    <t>NetworkPrep</t>
  </si>
  <si>
    <t>CSR13E1A</t>
  </si>
  <si>
    <t>OFP10E1</t>
  </si>
  <si>
    <t>OFP10E2</t>
  </si>
  <si>
    <t>ADDIC WORK</t>
  </si>
  <si>
    <t>BOOKS_AW</t>
  </si>
  <si>
    <t>ADDICTIONS WORKER CERTIFICATE</t>
  </si>
  <si>
    <t>Ctrl+Shift+u</t>
  </si>
  <si>
    <t>BOOKS_MOA</t>
  </si>
  <si>
    <t>BOOKS_HUC</t>
  </si>
  <si>
    <t>COMMUNITY SERVICE WORKER DIPLOMA</t>
  </si>
  <si>
    <t>HCLD05O1</t>
  </si>
  <si>
    <t>HCBC01O1</t>
  </si>
  <si>
    <t>BOOKS_CSW</t>
  </si>
  <si>
    <t>SE5011CC</t>
  </si>
  <si>
    <t>SE5002CC</t>
  </si>
  <si>
    <t>SE4218CC</t>
  </si>
  <si>
    <t>SE4226CC</t>
  </si>
  <si>
    <t>SE5229CC</t>
  </si>
  <si>
    <t>SE4017CC</t>
  </si>
  <si>
    <t>SE4221CC</t>
  </si>
  <si>
    <t>SE5300CC</t>
  </si>
  <si>
    <t>SE5221CC</t>
  </si>
  <si>
    <t>SE5500CC</t>
  </si>
  <si>
    <t>SE7116CC</t>
  </si>
  <si>
    <t>SE5013CC</t>
  </si>
  <si>
    <t>SE5302CC</t>
  </si>
  <si>
    <t>SE5442CC</t>
  </si>
  <si>
    <t>SE4213CC</t>
  </si>
  <si>
    <t>SE5315CC</t>
  </si>
  <si>
    <t>WAA8</t>
  </si>
  <si>
    <t>WAC7</t>
  </si>
  <si>
    <t>Ctrl+Shift+m</t>
  </si>
  <si>
    <t>BES14E1</t>
  </si>
  <si>
    <t>HRM13E1</t>
  </si>
  <si>
    <t>ESS15E1</t>
  </si>
  <si>
    <t>BUSINESS RECEPTIONIST CERTIFICATE</t>
  </si>
  <si>
    <t>BDA15O1</t>
  </si>
  <si>
    <t>BAIP04E1</t>
  </si>
  <si>
    <t>BPL15O1</t>
  </si>
  <si>
    <t>BSC13E1</t>
  </si>
  <si>
    <t>BSC13E2</t>
  </si>
  <si>
    <t>ACS13M1</t>
  </si>
  <si>
    <t>ACS13M2</t>
  </si>
  <si>
    <t>EXC13M1</t>
  </si>
  <si>
    <t>EXC13M2</t>
  </si>
  <si>
    <t>EXC13M3</t>
  </si>
  <si>
    <t>PPT13M1</t>
  </si>
  <si>
    <t>PPT13M2</t>
  </si>
  <si>
    <t>PRJ13M1</t>
  </si>
  <si>
    <t>PRJ13M2</t>
  </si>
  <si>
    <t>OTL13M1</t>
  </si>
  <si>
    <t>OTL13M2</t>
  </si>
  <si>
    <t>WRD13M1</t>
  </si>
  <si>
    <t>WRD13M2</t>
  </si>
  <si>
    <t>WRD13M3</t>
  </si>
  <si>
    <t>A+ Prep e-learn</t>
  </si>
  <si>
    <t xml:space="preserve">                               </t>
  </si>
  <si>
    <t>Also required: Min. typing of 40 WPM, Hepatitis Immunisation and a Criminal Record Clearance</t>
  </si>
  <si>
    <t>There are components of this program that are delivered in an off-site location and</t>
  </si>
  <si>
    <t>to which the student will be expected to travel on/at their own time/expense.</t>
  </si>
  <si>
    <t>BUS REC</t>
  </si>
  <si>
    <t>KBD15E1</t>
  </si>
  <si>
    <t>A+ prep</t>
  </si>
  <si>
    <t>KBD15E2</t>
  </si>
  <si>
    <t>KBD15E3</t>
  </si>
  <si>
    <t>KBD15E4</t>
  </si>
  <si>
    <t>HCCP1BC_HUC</t>
  </si>
  <si>
    <t>HCCP1BC_MOA</t>
  </si>
  <si>
    <t>ACCOUNTING BOOKKEEPER CERTIFICATE</t>
  </si>
  <si>
    <t>OFFICE CLERK CERTIFICATE</t>
  </si>
  <si>
    <t>MEDICAL OFFICE ASSISTANT DIPLOMA W/ UNIT CLERK</t>
  </si>
  <si>
    <t>PAYROLL CLERK CERTIFICATE</t>
  </si>
  <si>
    <t>ACCOUNTING AND PAYROLL ADMINISTRATOR DIPLOMA</t>
  </si>
  <si>
    <t>MKA15O1</t>
  </si>
  <si>
    <t>SFA00E1</t>
  </si>
  <si>
    <t>CPR00E1</t>
  </si>
  <si>
    <t>COMMUNITY SERVICE WORKER &amp; ADDICTION WORKER DIPLOMA</t>
  </si>
  <si>
    <t>HCCP1BC_CSWAW</t>
  </si>
  <si>
    <t>COMMUNITY SERVICE WORKER AND ADDCTION WORKER DIPLOMA</t>
  </si>
  <si>
    <t>NOC 4212</t>
  </si>
  <si>
    <t>COMM SER WRK</t>
  </si>
  <si>
    <t>COMM SER ADD WRK</t>
  </si>
  <si>
    <t>WAD7</t>
  </si>
  <si>
    <t>HCCP1BC_CSW</t>
  </si>
  <si>
    <t>SR(AA-BC)</t>
  </si>
  <si>
    <t>SR(ABT-BC)</t>
  </si>
  <si>
    <t>SR(BA-Y1-BC)</t>
  </si>
  <si>
    <t>SR(CST-BC)</t>
  </si>
  <si>
    <t>SR(BA-Y2-BC)</t>
  </si>
  <si>
    <t>SR(BOS-BC)</t>
  </si>
  <si>
    <t>SR(CCCR-BC)</t>
  </si>
  <si>
    <t>SR(CSS-BC)</t>
  </si>
  <si>
    <t>SR(CEP-BC)</t>
  </si>
  <si>
    <t>SR(EA-BC)</t>
  </si>
  <si>
    <t>SR(EBA-BC)</t>
  </si>
  <si>
    <t>SR(MC-BC)</t>
  </si>
  <si>
    <t>SR(MOA-BC)</t>
  </si>
  <si>
    <t>SR(MOA-UC-BC)</t>
  </si>
  <si>
    <t>SR(NA-Y1-BC)</t>
  </si>
  <si>
    <t>SR(NA-Y2-BC)</t>
  </si>
  <si>
    <t>SR(OA-BC)</t>
  </si>
  <si>
    <t>SR(APA-BC)</t>
  </si>
  <si>
    <t>SR(PCSS-BC)</t>
  </si>
  <si>
    <t>SR(PA-BC)</t>
  </si>
  <si>
    <t>SR(SP-BC)</t>
  </si>
  <si>
    <t>SR(WD-BC)</t>
  </si>
  <si>
    <t>SR(ANetCert-BC)</t>
  </si>
  <si>
    <t>SR(ABCert-BC)</t>
  </si>
  <si>
    <t>SR(ACCert-BC)</t>
  </si>
  <si>
    <t>SR(BMCert-BC)</t>
  </si>
  <si>
    <t>SR(BRCert-BC)</t>
  </si>
  <si>
    <t>SR(CSTCert-BC)</t>
  </si>
  <si>
    <t>SR(COPCert-BC)</t>
  </si>
  <si>
    <t>SR(CSRCert-BC)</t>
  </si>
  <si>
    <t>SR(HRACert-BC)</t>
  </si>
  <si>
    <t>SR(MAACert-BC)</t>
  </si>
  <si>
    <t>SR(MedAACert-BC)</t>
  </si>
  <si>
    <t>SR(OAACert-BC)</t>
  </si>
  <si>
    <t>SR(OC-Cert-BC)</t>
  </si>
  <si>
    <t>SR(PAdmCert-BC)</t>
  </si>
  <si>
    <t>SR(PCCert-BC)</t>
  </si>
  <si>
    <t>SR(SACert-BC)</t>
  </si>
  <si>
    <t>MCSA: WINDOWS CERTIFICATION PREPARATION</t>
  </si>
  <si>
    <t>SR(MCSAWinSerCert-BC)</t>
  </si>
  <si>
    <t>SR(MCSAWinCert-BC)</t>
  </si>
  <si>
    <t>HCAP11O1</t>
  </si>
  <si>
    <t>HCAP11O2</t>
  </si>
  <si>
    <t>HCMHA06O1</t>
  </si>
  <si>
    <t>HCMOP13O1</t>
  </si>
  <si>
    <t>HCLML10OE1</t>
  </si>
  <si>
    <t>THPATI</t>
  </si>
  <si>
    <t>Online</t>
  </si>
  <si>
    <t>MCEXams2</t>
  </si>
  <si>
    <t>CertBlaster1</t>
  </si>
  <si>
    <t>MCExams3</t>
  </si>
  <si>
    <t>INF18E1</t>
  </si>
  <si>
    <t>WIN10E1</t>
  </si>
  <si>
    <t>WIN07M1/WIN10E1</t>
  </si>
  <si>
    <t>KBD15E1, KBD15E2, PCF13E1, WIN10E1, INF18E1, BBK99E1</t>
  </si>
  <si>
    <t>KBD15E1, KBD15E2, IPC07E1, WIN10E1, INF18E1</t>
  </si>
  <si>
    <t>WIN10E2</t>
  </si>
  <si>
    <t>LAB_CSW</t>
  </si>
  <si>
    <t>LAB_MOA</t>
  </si>
  <si>
    <t>BUSINESS ADMINISTRATION CO-OP DIPLOMA</t>
  </si>
  <si>
    <t>NOC 1221</t>
  </si>
  <si>
    <t>SR(BAC-Y1-BC)</t>
  </si>
  <si>
    <t>BAC-COOP(BAC-BC)</t>
  </si>
  <si>
    <t>BUSINESS SERVICE ESSENTIALS CO-OP DIPLOMA</t>
  </si>
  <si>
    <t>SR(BSE-BC)</t>
  </si>
  <si>
    <t>BSE-COOP(BSE-BC)</t>
  </si>
  <si>
    <t>HCPF18E1</t>
  </si>
  <si>
    <t>HCSFL18E1</t>
  </si>
  <si>
    <t>HCGSS18E1</t>
  </si>
  <si>
    <t>HCTR07OE1A</t>
  </si>
  <si>
    <t>HCMT18E1A</t>
  </si>
  <si>
    <t>ESL0404</t>
  </si>
  <si>
    <t>ESL0404-Lab</t>
  </si>
  <si>
    <t>ESL1204</t>
  </si>
  <si>
    <t>ESL1204-Lab</t>
  </si>
  <si>
    <t>ENGLISH AS SECOND LANGUAGE</t>
    <phoneticPr fontId="37" type="noConversion"/>
  </si>
  <si>
    <t>ESL0404-Books</t>
    <phoneticPr fontId="37" type="noConversion"/>
  </si>
  <si>
    <t>ESL1204-Books</t>
    <phoneticPr fontId="37" type="noConversion"/>
  </si>
  <si>
    <t>ENGLISH AS SECOND LANGUAGE</t>
    <phoneticPr fontId="36" type="noConversion"/>
  </si>
  <si>
    <t>Course Only</t>
    <phoneticPr fontId="36" type="noConversion"/>
  </si>
  <si>
    <t>NOC 5199</t>
    <phoneticPr fontId="37" type="noConversion"/>
  </si>
  <si>
    <t>ACCOUNTING ADMINISTRATOR DIPLOMA with SAGE</t>
    <phoneticPr fontId="0" type="noConversion"/>
  </si>
  <si>
    <t>SG30018E1</t>
    <phoneticPr fontId="0" type="noConversion"/>
  </si>
  <si>
    <t>SG30018E3</t>
    <phoneticPr fontId="0" type="noConversion"/>
  </si>
  <si>
    <t>SG30018E2</t>
    <phoneticPr fontId="0" type="noConversion"/>
  </si>
  <si>
    <t>ACCOUNTING ADMINISTRATOR DIPLOMA with SAGE</t>
    <phoneticPr fontId="36" type="noConversion"/>
  </si>
  <si>
    <t>NOC 1212</t>
    <phoneticPr fontId="0" type="noConversion"/>
  </si>
  <si>
    <t>NOC 2281</t>
    <phoneticPr fontId="36" type="noConversion"/>
  </si>
  <si>
    <t>NOC 1431</t>
    <phoneticPr fontId="0" type="noConversion"/>
  </si>
  <si>
    <t>NOC 1431</t>
    <phoneticPr fontId="36" type="noConversion"/>
  </si>
  <si>
    <t>NOC 4212</t>
    <phoneticPr fontId="36" type="noConversion"/>
  </si>
  <si>
    <t>NOC 1241</t>
    <phoneticPr fontId="0" type="noConversion"/>
  </si>
  <si>
    <t>NOC 1211</t>
    <phoneticPr fontId="0" type="noConversion"/>
  </si>
  <si>
    <t>NOC 1411</t>
    <phoneticPr fontId="0" type="noConversion"/>
  </si>
  <si>
    <t>NOC 1411</t>
    <phoneticPr fontId="0" type="noConversion"/>
  </si>
  <si>
    <t>NOC 6552</t>
    <phoneticPr fontId="0" type="noConversion"/>
  </si>
  <si>
    <t>NOC 2242</t>
    <phoneticPr fontId="0" type="noConversion"/>
  </si>
  <si>
    <t>NOC 2282</t>
    <phoneticPr fontId="0" type="noConversion"/>
  </si>
  <si>
    <t>NOC 1226</t>
    <phoneticPr fontId="0" type="noConversion"/>
  </si>
  <si>
    <t>NOC 6552</t>
    <phoneticPr fontId="0" type="noConversion"/>
  </si>
  <si>
    <t>NOC 1211</t>
    <phoneticPr fontId="0" type="noConversion"/>
  </si>
  <si>
    <t>NOC 1222</t>
    <phoneticPr fontId="0" type="noConversion"/>
  </si>
  <si>
    <t>NOC 1223</t>
    <phoneticPr fontId="36" type="noConversion"/>
  </si>
  <si>
    <t>NOC 1123</t>
    <phoneticPr fontId="0" type="noConversion"/>
  </si>
  <si>
    <t>NOC 2281</t>
    <phoneticPr fontId="36" type="noConversion"/>
  </si>
  <si>
    <t>NOC 2281</t>
    <phoneticPr fontId="36" type="noConversion"/>
  </si>
  <si>
    <t>NOC 1243</t>
    <phoneticPr fontId="0" type="noConversion"/>
  </si>
  <si>
    <t>NOC 1243</t>
    <phoneticPr fontId="36" type="noConversion"/>
  </si>
  <si>
    <t>NOC 1211</t>
    <phoneticPr fontId="0" type="noConversion"/>
  </si>
  <si>
    <t>NOC 1211</t>
    <phoneticPr fontId="0" type="noConversion"/>
  </si>
  <si>
    <t>NOC 1411</t>
    <phoneticPr fontId="36" type="noConversion"/>
  </si>
  <si>
    <t>NOC 1432</t>
    <phoneticPr fontId="0" type="noConversion"/>
  </si>
  <si>
    <t>NOC 1432</t>
    <phoneticPr fontId="36" type="noConversion"/>
  </si>
  <si>
    <t>NOC 2282</t>
    <phoneticPr fontId="0" type="noConversion"/>
  </si>
  <si>
    <t>NOC 1221</t>
    <phoneticPr fontId="0" type="noConversion"/>
  </si>
  <si>
    <t>NOC 6411</t>
    <phoneticPr fontId="36" type="noConversion"/>
  </si>
  <si>
    <t>NOC 6411</t>
    <phoneticPr fontId="0" type="noConversion"/>
  </si>
  <si>
    <t>NOC 2175</t>
    <phoneticPr fontId="36" type="noConversion"/>
  </si>
  <si>
    <t>GRAPHIC DESIGNER DIPLOMA</t>
    <phoneticPr fontId="36" type="noConversion"/>
  </si>
  <si>
    <t>NOC 5241</t>
    <phoneticPr fontId="1" type="noConversion"/>
  </si>
  <si>
    <t>BPS05E1</t>
    <phoneticPr fontId="36" type="noConversion"/>
  </si>
  <si>
    <t>SE4218GD</t>
    <phoneticPr fontId="36" type="noConversion"/>
  </si>
  <si>
    <t>SE4017GD</t>
    <phoneticPr fontId="36" type="noConversion"/>
  </si>
  <si>
    <t>SE4226GD</t>
    <phoneticPr fontId="36" type="noConversion"/>
  </si>
  <si>
    <t>SE4221GD</t>
    <phoneticPr fontId="36" type="noConversion"/>
  </si>
  <si>
    <t>SE4020GD</t>
    <phoneticPr fontId="36" type="noConversion"/>
  </si>
  <si>
    <t>SE4228GD</t>
    <phoneticPr fontId="36" type="noConversion"/>
  </si>
  <si>
    <t>SE4211GD</t>
    <phoneticPr fontId="36" type="noConversion"/>
  </si>
  <si>
    <t>SE4019GD</t>
    <phoneticPr fontId="36" type="noConversion"/>
  </si>
  <si>
    <t>SE4013GD</t>
    <phoneticPr fontId="36" type="noConversion"/>
  </si>
  <si>
    <t>SE4301GD</t>
    <phoneticPr fontId="36" type="noConversion"/>
  </si>
  <si>
    <t>SE4303GD</t>
    <phoneticPr fontId="36" type="noConversion"/>
  </si>
  <si>
    <t>BES14E1</t>
    <phoneticPr fontId="36" type="noConversion"/>
  </si>
  <si>
    <t>CSR13E1</t>
    <phoneticPr fontId="36" type="noConversion"/>
  </si>
  <si>
    <t>MKS13E1</t>
    <phoneticPr fontId="36" type="noConversion"/>
  </si>
  <si>
    <t>JOBSRCHBLM</t>
    <phoneticPr fontId="36" type="noConversion"/>
  </si>
  <si>
    <t>SR(GD-BC)</t>
    <phoneticPr fontId="36" type="noConversion"/>
  </si>
  <si>
    <t>N/A</t>
    <phoneticPr fontId="1" type="noConversion"/>
  </si>
  <si>
    <t>SR</t>
    <phoneticPr fontId="1" type="noConversion"/>
  </si>
  <si>
    <t>GRAPH DES DP</t>
    <phoneticPr fontId="36" type="noConversion"/>
  </si>
  <si>
    <t>SR(BAC-Y2-BC)</t>
    <phoneticPr fontId="36" type="noConversion"/>
  </si>
  <si>
    <t>Diploma</t>
    <phoneticPr fontId="36" type="noConversion"/>
  </si>
  <si>
    <t>Other</t>
    <phoneticPr fontId="36" type="noConversion"/>
  </si>
  <si>
    <t>Active</t>
    <phoneticPr fontId="36" type="noConversion"/>
  </si>
  <si>
    <t>Ctrl+Shift+x</t>
    <phoneticPr fontId="36" type="noConversion"/>
  </si>
  <si>
    <t>Date</t>
    <phoneticPr fontId="36" type="noConversion"/>
  </si>
  <si>
    <t>Version</t>
    <phoneticPr fontId="36" type="noConversion"/>
  </si>
  <si>
    <t>Log</t>
    <phoneticPr fontId="36" type="noConversion"/>
  </si>
  <si>
    <t>6.9g</t>
    <phoneticPr fontId="36" type="noConversion"/>
  </si>
  <si>
    <t>SG30018E4</t>
    <phoneticPr fontId="0" type="noConversion"/>
  </si>
  <si>
    <r>
      <rPr>
        <b/>
        <sz val="10"/>
        <rFont val="Franklin Gothic Book"/>
        <family val="2"/>
      </rPr>
      <t>Program Change:</t>
    </r>
    <r>
      <rPr>
        <sz val="10"/>
        <rFont val="Franklin Gothic Book"/>
        <family val="2"/>
      </rPr>
      <t xml:space="preserve">
All program's NOC reference are wrong. Corrected.
The Christmas period are reuced from 2 weeks to 1 week. This will give more accurate weeks for programs.
Update CompTIA A+ from 900 to 1000.
</t>
    </r>
    <r>
      <rPr>
        <u/>
        <sz val="10"/>
        <rFont val="Franklin Gothic Book"/>
        <family val="2"/>
      </rPr>
      <t xml:space="preserve">A+ Network+ and MCSA Desktop Cert Prep </t>
    </r>
    <r>
      <rPr>
        <sz val="10"/>
        <rFont val="Franklin Gothic Book"/>
        <family val="2"/>
      </rPr>
      <t xml:space="preserve">
Increased the SR(ANetCert-BC) price from 628 to 1713, combining exam prices. Removed A+EXAMS2, N+EXAM1, and MCEXAMS2 courses. The subsequntly solved the hours issues (It was 605 in PTIB but 625 in outline.)
</t>
    </r>
    <r>
      <rPr>
        <u/>
        <sz val="10"/>
        <rFont val="Franklin Gothic Book"/>
        <family val="2"/>
      </rPr>
      <t>Accounting Administrator with SAGE</t>
    </r>
    <r>
      <rPr>
        <sz val="10"/>
        <rFont val="Franklin Gothic Book"/>
        <family val="2"/>
      </rPr>
      <t xml:space="preserve">
-Update the ACCPAC to SAGE300 courses.
-Matched the SAGE300 hours with the course outline.
</t>
    </r>
    <r>
      <rPr>
        <u/>
        <sz val="10"/>
        <rFont val="Franklin Gothic Book"/>
        <family val="2"/>
      </rPr>
      <t xml:space="preserve">Accounting and Business Technology
</t>
    </r>
    <r>
      <rPr>
        <sz val="10"/>
        <rFont val="Franklin Gothic Book"/>
        <family val="2"/>
      </rPr>
      <t xml:space="preserve">-Update the ACCPAC to SAGE300 courses.
-Matched the SAGE300 hours with the course outline.
</t>
    </r>
    <r>
      <rPr>
        <u/>
        <sz val="10"/>
        <rFont val="Franklin Gothic Book"/>
        <family val="2"/>
      </rPr>
      <t>Business Administration Co-Op</t>
    </r>
    <r>
      <rPr>
        <sz val="10"/>
        <rFont val="Franklin Gothic Book"/>
        <family val="2"/>
      </rPr>
      <t xml:space="preserve">
-fixed the number of weeks by adjusting the end date calculation. The co-op hours are changed from 40 hours per week to 20 hours per week.
-Correct the Business Administration Co-Op year 2's review code. Now the correct number of hours displays.
</t>
    </r>
    <r>
      <rPr>
        <u/>
        <sz val="10"/>
        <rFont val="Franklin Gothic Book"/>
        <family val="2"/>
      </rPr>
      <t>Business Service Essential Co-Op</t>
    </r>
    <r>
      <rPr>
        <sz val="10"/>
        <rFont val="Franklin Gothic Book"/>
        <family val="2"/>
      </rPr>
      <t xml:space="preserve">
-fixed the number of weeks by adjusting the end date calculation. The co-op hours are changed from 40 hours per week to 22.6 hours per week.
</t>
    </r>
    <r>
      <rPr>
        <u/>
        <sz val="10"/>
        <rFont val="Franklin Gothic Book"/>
        <family val="2"/>
      </rPr>
      <t>English as Second Language</t>
    </r>
    <r>
      <rPr>
        <sz val="10"/>
        <rFont val="Franklin Gothic Book"/>
        <family val="2"/>
      </rPr>
      <t xml:space="preserve">
Excluded ESL Lab and Book fees from the international pricing. Did it on all sheets.
</t>
    </r>
    <r>
      <rPr>
        <u/>
        <sz val="10"/>
        <rFont val="Franklin Gothic Book"/>
        <family val="2"/>
      </rPr>
      <t>Graphic Designer</t>
    </r>
    <r>
      <rPr>
        <sz val="10"/>
        <rFont val="Franklin Gothic Book"/>
        <family val="2"/>
      </rPr>
      <t xml:space="preserve">
-Added outline and course.
</t>
    </r>
    <r>
      <rPr>
        <u/>
        <sz val="10"/>
        <rFont val="Franklin Gothic Book"/>
        <family val="2"/>
      </rPr>
      <t>Individual Courses</t>
    </r>
    <r>
      <rPr>
        <sz val="10"/>
        <rFont val="Franklin Gothic Book"/>
        <family val="2"/>
      </rPr>
      <t xml:space="preserve">
-Remove Job Search and Thought Pattern</t>
    </r>
    <phoneticPr fontId="36" type="noConversion"/>
  </si>
  <si>
    <t>6.9h</t>
    <phoneticPr fontId="36" type="noConversion"/>
  </si>
  <si>
    <t>HCAW19O1</t>
    <phoneticPr fontId="36" type="noConversion"/>
  </si>
  <si>
    <t>HCAW19O2</t>
  </si>
  <si>
    <t>HCAW19O3</t>
  </si>
  <si>
    <t>HCCMC19O1</t>
  </si>
  <si>
    <t>HCCP13O1</t>
  </si>
  <si>
    <t>PMF20E1</t>
  </si>
  <si>
    <t>PMF20E2</t>
  </si>
  <si>
    <t>QBK20E1</t>
  </si>
  <si>
    <t>SSMS740</t>
  </si>
  <si>
    <t>SSMS741</t>
  </si>
  <si>
    <t>SSMS742</t>
  </si>
  <si>
    <t>NETWORK ADMINISTRATOR DIPLOMA (SERVER 2016)</t>
    <phoneticPr fontId="36" type="noConversion"/>
  </si>
  <si>
    <t>TER8</t>
    <phoneticPr fontId="37" type="noConversion"/>
  </si>
  <si>
    <t>MEDICAL OFFICE FRONT DESK ASSISTANT CERTIFICATE</t>
    <phoneticPr fontId="37" type="noConversion"/>
  </si>
  <si>
    <t>MED OFF FD ASST</t>
    <phoneticPr fontId="37" type="noConversion"/>
  </si>
  <si>
    <t>SR(MOFDACert-BC)</t>
  </si>
  <si>
    <t>C</t>
    <phoneticPr fontId="0" type="noConversion"/>
  </si>
  <si>
    <t>PCF20E1</t>
  </si>
  <si>
    <t>KBD15E1, KBD15E2, PCF20E1, INF18E1, WIN10E1</t>
  </si>
  <si>
    <t>INF18E1, PCF20E1, KBD15E1</t>
  </si>
  <si>
    <t>PCF20E1, KBD15E1</t>
  </si>
  <si>
    <t>KBD15E1, KBD15E2, PCF20E1</t>
  </si>
  <si>
    <t>SSMD100</t>
  </si>
  <si>
    <t>SSMD101</t>
  </si>
  <si>
    <t>HCAW19O1</t>
    <phoneticPr fontId="36" type="noConversion"/>
  </si>
  <si>
    <t>HCAW19O2</t>
    <phoneticPr fontId="36" type="noConversion"/>
  </si>
  <si>
    <t>HCAW19O3</t>
    <phoneticPr fontId="36" type="noConversion"/>
  </si>
  <si>
    <t>XBG7</t>
    <phoneticPr fontId="36" type="noConversion"/>
  </si>
  <si>
    <t>MARKETING COORDINATOR DIPLOMA</t>
    <phoneticPr fontId="0" type="noConversion"/>
  </si>
  <si>
    <t>ZNP7</t>
    <phoneticPr fontId="36" type="noConversion"/>
  </si>
  <si>
    <t>NOC 4212</t>
    <phoneticPr fontId="36" type="noConversion"/>
  </si>
  <si>
    <t>MCSA: WINDOWS SERVER CERTIFICATION PREPARATION</t>
    <phoneticPr fontId="36" type="noConversion"/>
  </si>
  <si>
    <t>6.9h</t>
    <phoneticPr fontId="36" type="noConversion"/>
  </si>
  <si>
    <t>A+ NETWORK+ AND MCSA DESKTOP CERT. PREP</t>
    <phoneticPr fontId="36" type="noConversion"/>
  </si>
  <si>
    <t>ENTREPRENEURIAL BUSINESS APPLICATIONS DIPLOMA</t>
    <phoneticPr fontId="0" type="noConversion"/>
  </si>
  <si>
    <r>
      <rPr>
        <b/>
        <sz val="10"/>
        <rFont val="Franklin Gothic Book"/>
        <family val="2"/>
      </rPr>
      <t>Workbook Update:</t>
    </r>
    <r>
      <rPr>
        <sz val="10"/>
        <rFont val="Franklin Gothic Book"/>
        <family val="2"/>
      </rPr>
      <t xml:space="preserve">
-Added program Medical Office Front Desk Assistant certificate (MOFDACert).
</t>
    </r>
    <r>
      <rPr>
        <u/>
        <sz val="10"/>
        <rFont val="Franklin Gothic Book"/>
        <family val="2"/>
      </rPr>
      <t>&gt;Sheet name for the following program has been changed:</t>
    </r>
    <r>
      <rPr>
        <sz val="10"/>
        <rFont val="Franklin Gothic Book"/>
        <family val="2"/>
      </rPr>
      <t xml:space="preserve">
-Network Administrator Diploma from NetAdminDip2012 to NetAdminDip. There were two versions in effect previously. It's no longer the case now. The respective link and macro are updated.
-MCSA Server Certification from MCTIPCrt to MCSASrvCrt. MCTIP is an old name and should be changed. The respective link and macro are updated.
-MCSA Windows Certification from MCSAW7 to MCSAWinCrt. The respective link and macro are updated.
-Accounting Bookkeeper Certificate from CmpAccProCrt to AccBkCrt. The respective link and macro are updated.
-Account and Payrool Administrato Diploma from PaySupDip to AccPayAdmDip. The respective link and macro are updated.
-Offce Clerk Certificate from GenOffCrt to OffClkCrt. The respective link and macro are updated.
-Payroll Clerk Certificate from PaySpecCrt to PayClkCrt.
</t>
    </r>
    <r>
      <rPr>
        <u/>
        <sz val="10"/>
        <rFont val="Franklin Gothic Book"/>
        <family val="2"/>
      </rPr>
      <t>&gt;Change the following programs' holiday text on D43, based on PEDs 2020/2021:</t>
    </r>
    <r>
      <rPr>
        <sz val="10"/>
        <rFont val="Franklin Gothic Book"/>
        <family val="2"/>
      </rPr>
      <t xml:space="preserve">
--Programs that have no holiday (+ # week holiday text removed): MCSA Windows Server Certificate, Office Clerk Certificate Customer Service Representative Certificate, Sales Associate Certificate, and ESL.
--Programs that have 1 week holiday (changed to + 1 week holiday): Graphic Designer Diploma, Web Designer Diploma, MOA with HUC
--Rest of the programs have 2 weeks holiday.
-Accounting and Payroll Administrator Diploma is only available at 25 hrs/week.
</t>
    </r>
    <r>
      <rPr>
        <u/>
        <sz val="10"/>
        <rFont val="Franklin Gothic Book"/>
        <family val="2"/>
      </rPr>
      <t>&gt;Total tuition has changed for the following program due to courses' price increase:</t>
    </r>
    <r>
      <rPr>
        <sz val="10"/>
        <rFont val="Franklin Gothic Book"/>
        <family val="2"/>
      </rPr>
      <t xml:space="preserve">
--PC Support Specialist Diploma
--Network Administrator Diploma
--Graphic Designer Diploma
--Accounting Administrator Diploma with Sage
</t>
    </r>
    <r>
      <rPr>
        <u/>
        <sz val="10"/>
        <rFont val="Franklin Gothic Book"/>
        <family val="2"/>
      </rPr>
      <t>&gt;NOC has changed for the following programs based on the PEDs 2020/2021:</t>
    </r>
    <r>
      <rPr>
        <sz val="10"/>
        <rFont val="Franklin Gothic Book"/>
        <family val="2"/>
      </rPr>
      <t xml:space="preserve">
--Marketing Administrative Assistant certificate from 1241 to 1411.
--Accounting Bookkeeper Certificate from 1311 to 1431
--Business Service Essential Co-op Diploma from 1221 to 4212
</t>
    </r>
    <r>
      <rPr>
        <u/>
        <sz val="10"/>
        <rFont val="Franklin Gothic Book"/>
        <family val="2"/>
      </rPr>
      <t>&gt;SABC has changed for the following programs based on the PEDs 2020/2021:</t>
    </r>
    <r>
      <rPr>
        <sz val="10"/>
        <rFont val="Franklin Gothic Book"/>
        <family val="2"/>
      </rPr>
      <t xml:space="preserve">
--Business Service Essential Co-op Diploma from ZBD8 to ZNP7</t>
    </r>
    <phoneticPr fontId="36" type="noConversion"/>
  </si>
  <si>
    <t>Inactive</t>
    <phoneticPr fontId="36" type="noConversion"/>
  </si>
  <si>
    <t>GRAPHIC DESIGNER DIPLOMA</t>
    <phoneticPr fontId="36" type="noConversion"/>
  </si>
  <si>
    <t>MEDICAL OFFICE FRONT DESK ASSISTANT CERTIFICATE</t>
    <phoneticPr fontId="36" type="noConversion"/>
  </si>
  <si>
    <t>Certificate</t>
    <phoneticPr fontId="36" type="noConversion"/>
  </si>
  <si>
    <t>Ctrl+Shift+j</t>
    <phoneticPr fontId="36" type="noConversion"/>
  </si>
  <si>
    <t>MICROSOFT CERTIFIED SOLUTIONS ASSOCIATE: SERVER CERT.</t>
    <phoneticPr fontId="36" type="noConversion"/>
  </si>
  <si>
    <t>MICROSOFT CERTIFIED SOLUTIONS ASSOCIATE: WINDOWS</t>
    <phoneticPr fontId="36" type="noConversion"/>
  </si>
  <si>
    <t>NETWORK ADMINISTRATOR DIPLOMA (SERVER 2016)</t>
    <phoneticPr fontId="36" type="noConversion"/>
  </si>
  <si>
    <t>Ctrl+Alt+i</t>
    <phoneticPr fontId="36" type="noConversion"/>
  </si>
  <si>
    <t>Ctrl+Alt+j</t>
    <phoneticPr fontId="36" type="noConversion"/>
  </si>
  <si>
    <t>Ctrl+Alt+k</t>
    <phoneticPr fontId="36" type="noConversion"/>
  </si>
  <si>
    <t>Ctrl+Alt+l</t>
    <phoneticPr fontId="36" type="noConversion"/>
  </si>
  <si>
    <t>Ctrl+Alt+t</t>
    <phoneticPr fontId="36" type="noConversion"/>
  </si>
  <si>
    <t>Ctrl+Shift+c</t>
    <phoneticPr fontId="36" type="noConversion"/>
  </si>
  <si>
    <t>Inactive</t>
    <phoneticPr fontId="36" type="noConversion"/>
  </si>
  <si>
    <r>
      <t xml:space="preserve">-corrected file links. Removed link to Diploma-R (this is for Richmond and not needed here)
-update the Navigation sheet with new hyperlink and new macro keys. Marked inactive programs.
</t>
    </r>
    <r>
      <rPr>
        <b/>
        <sz val="10"/>
        <rFont val="Franklin Gothic Book"/>
        <family val="2"/>
      </rPr>
      <t>Course Code Update:</t>
    </r>
    <r>
      <rPr>
        <sz val="10"/>
        <rFont val="Franklin Gothic Book"/>
        <family val="2"/>
      </rPr>
      <t xml:space="preserve">
-updated course codes for 3 levels in the Addiction Worker certificate. (Bulletin 2019-017, 2019-018, 2020-001)
-updated Case Management, Counseling, and Ethics course code (from HCCMC05O1 to HCCMC19O1) for CSW and CSW/AW. (Bulletin 2020-004)
-updated Clinical Procedures course code (from HCCP12O1 to HCCP13O1) for MOA and MOAHUC.
-updated all occurances of Project Management Fundamentals Level 1 and Level 2 courses (from PMF14E1 to PMF20E1 etc.) (Bulletin 2020-002, 2020-003)
-updated all occurances of Qucikbook Premier courses (from QBK12E1 to QBK20E1) (Bulletin 2020-012)
-updated all occurances of CompTIA courses (append A to the course code; Bulletin 2020-006)
-updated 3 Windows Server courses from 2012R2 to 2016 in MCSA and Network Administrator programs. (Bulletin 2020-009, 2020-010, 2020-011)
-updated all occurances of Personal Computer Fundamentals End/Technical Users courses from PCF13E1 to PCF20E1 (Bulletin 2020-008)
-updated 2 Windows 10 courses from in MCSA Prep programs (Bulletin 2019-014, 2019-015)
-updated Windows 7 Configuring course to Windows 10 Modern Desktop in the Network Admin Diploma.
</t>
    </r>
    <phoneticPr fontId="36" type="noConversion"/>
  </si>
  <si>
    <t>SOFTWARE AND WEB DEVELOPER DIPLOMA</t>
    <phoneticPr fontId="36" type="noConversion"/>
  </si>
  <si>
    <t>SOFT WEB DEV</t>
    <phoneticPr fontId="36" type="noConversion"/>
  </si>
  <si>
    <t>KBD15E1</t>
    <phoneticPr fontId="36" type="noConversion"/>
  </si>
  <si>
    <t>KBD15E2</t>
    <phoneticPr fontId="36" type="noConversion"/>
  </si>
  <si>
    <t>PCF20E1</t>
    <phoneticPr fontId="36" type="noConversion"/>
  </si>
  <si>
    <t>WIN10E1</t>
    <phoneticPr fontId="36" type="noConversion"/>
  </si>
  <si>
    <t>TATB01E1</t>
    <phoneticPr fontId="36" type="noConversion"/>
  </si>
  <si>
    <t>TASD01E1</t>
    <phoneticPr fontId="36" type="noConversion"/>
  </si>
  <si>
    <t>TAVC01E1</t>
    <phoneticPr fontId="36" type="noConversion"/>
  </si>
  <si>
    <t>TAHT01E1</t>
    <phoneticPr fontId="36" type="noConversion"/>
  </si>
  <si>
    <t>TACS01E1</t>
    <phoneticPr fontId="36" type="noConversion"/>
  </si>
  <si>
    <t>TAJS01E1</t>
    <phoneticPr fontId="36" type="noConversion"/>
  </si>
  <si>
    <t>TASQ01E1</t>
    <phoneticPr fontId="36" type="noConversion"/>
  </si>
  <si>
    <t>TAVS01E1</t>
    <phoneticPr fontId="36" type="noConversion"/>
  </si>
  <si>
    <t>TACN11E1</t>
    <phoneticPr fontId="36" type="noConversion"/>
  </si>
  <si>
    <t>TACN21E1</t>
    <phoneticPr fontId="36" type="noConversion"/>
  </si>
  <si>
    <t>PMF20E1</t>
    <phoneticPr fontId="36" type="noConversion"/>
  </si>
  <si>
    <t>TAPM01E1</t>
    <phoneticPr fontId="36" type="noConversion"/>
  </si>
  <si>
    <t>JSR11E1</t>
    <phoneticPr fontId="36" type="noConversion"/>
  </si>
  <si>
    <t>INF18E1</t>
    <phoneticPr fontId="36" type="noConversion"/>
  </si>
  <si>
    <t>NOC 2175</t>
    <phoneticPr fontId="0" type="noConversion"/>
  </si>
  <si>
    <t>WEB DEVELOPER DIPLOMA</t>
    <phoneticPr fontId="36" type="noConversion"/>
  </si>
  <si>
    <t>UHK7</t>
    <phoneticPr fontId="36" type="noConversion"/>
  </si>
  <si>
    <t>UAN7</t>
    <phoneticPr fontId="36" type="noConversion"/>
  </si>
  <si>
    <t>SOFTWARE AND WEB DEVELOPER DIPLOMA</t>
  </si>
  <si>
    <t>SOFTWARE AND WEB DEVELOPER DIPLOMA</t>
    <phoneticPr fontId="36" type="noConversion"/>
  </si>
  <si>
    <t>WEB DEVELOPER DIPLOMA</t>
  </si>
  <si>
    <t>WEB DEVELOPER DIPLOMA</t>
    <phoneticPr fontId="36" type="noConversion"/>
  </si>
  <si>
    <t>Diploma</t>
    <phoneticPr fontId="36" type="noConversion"/>
  </si>
  <si>
    <t>IT</t>
    <phoneticPr fontId="36" type="noConversion"/>
  </si>
  <si>
    <t>Ctrl+Shift+o</t>
    <phoneticPr fontId="36" type="noConversion"/>
  </si>
  <si>
    <t>Ctrl+Shift+p</t>
    <phoneticPr fontId="36" type="noConversion"/>
  </si>
  <si>
    <t>Ctrl+Shift+w</t>
    <phoneticPr fontId="36" type="noConversion"/>
  </si>
  <si>
    <t>ACCOUNTING ADMINISTRATOR DIPLOMA with SAGE</t>
  </si>
  <si>
    <t>ENGLISH AS SECOND LANGUAGE</t>
  </si>
  <si>
    <t>GRAPHIC DESIGNER DIPLOMA</t>
  </si>
  <si>
    <t>MEDICAL OFFICE FRONT DESK ASSISTANT CERTIFICATE</t>
  </si>
  <si>
    <t>MICROSOFT CERTIFIED SOLUTIONS ASSOCIATE: SERVER CERT.</t>
  </si>
  <si>
    <t>NETWORK ADMINISTRATOR DIPLOMA (SERVER 2016)</t>
  </si>
  <si>
    <t>Notes:</t>
    <phoneticPr fontId="0" type="noConversion"/>
  </si>
  <si>
    <r>
      <t>S</t>
    </r>
    <r>
      <rPr>
        <sz val="10"/>
        <rFont val="Times New Roman"/>
        <family val="1"/>
      </rPr>
      <t>ABC</t>
    </r>
    <phoneticPr fontId="0" type="noConversion"/>
  </si>
  <si>
    <t>SABC CODE</t>
    <phoneticPr fontId="0" type="noConversion"/>
  </si>
  <si>
    <t>SABC Code</t>
    <phoneticPr fontId="0" type="noConversion"/>
  </si>
  <si>
    <t>ACCT BK</t>
    <phoneticPr fontId="0" type="noConversion"/>
  </si>
  <si>
    <t>A+N+MCSA PREP</t>
    <phoneticPr fontId="36" type="noConversion"/>
  </si>
  <si>
    <t>ACCT BUS TECH</t>
    <phoneticPr fontId="0" type="noConversion"/>
  </si>
  <si>
    <t>ACCT PAYROLL ADMIN</t>
    <phoneticPr fontId="0" type="noConversion"/>
  </si>
  <si>
    <t>BUS ADMIN COOP</t>
    <phoneticPr fontId="36" type="noConversion"/>
  </si>
  <si>
    <t>BUS SRV ESS COOP</t>
    <phoneticPr fontId="36" type="noConversion"/>
  </si>
  <si>
    <t>CALL CTR REP</t>
    <phoneticPr fontId="0" type="noConversion"/>
  </si>
  <si>
    <t>COMP SER TECH CER</t>
    <phoneticPr fontId="0" type="noConversion"/>
  </si>
  <si>
    <t>COMP SER TECH DIP</t>
    <phoneticPr fontId="0" type="noConversion"/>
  </si>
  <si>
    <t>CON EV PLAN</t>
    <phoneticPr fontId="0" type="noConversion"/>
  </si>
  <si>
    <t>CUS SRV REP</t>
    <phoneticPr fontId="0" type="noConversion"/>
  </si>
  <si>
    <t>HR ADMIN</t>
    <phoneticPr fontId="36" type="noConversion"/>
  </si>
  <si>
    <t>MAKT COOR</t>
    <phoneticPr fontId="0" type="noConversion"/>
  </si>
  <si>
    <t>MCSA2016</t>
    <phoneticPr fontId="36" type="noConversion"/>
  </si>
  <si>
    <t>MCSAW10</t>
    <phoneticPr fontId="36" type="noConversion"/>
  </si>
  <si>
    <t>OFF CLK</t>
    <phoneticPr fontId="36" type="noConversion"/>
  </si>
  <si>
    <t>PAYROLL CLK</t>
    <phoneticPr fontId="36" type="noConversion"/>
  </si>
  <si>
    <t>PSA</t>
    <phoneticPr fontId="0" type="noConversion"/>
  </si>
  <si>
    <t>WEB DEV</t>
    <phoneticPr fontId="36" type="noConversion"/>
  </si>
  <si>
    <t>ESL</t>
    <phoneticPr fontId="37" type="noConversion"/>
  </si>
  <si>
    <t>A+N+MCPCrt</t>
    <phoneticPr fontId="36" type="noConversion"/>
  </si>
  <si>
    <t>AccAdminDip</t>
    <phoneticPr fontId="36" type="noConversion"/>
  </si>
  <si>
    <t>AccBusTechDip</t>
    <phoneticPr fontId="36" type="noConversion"/>
  </si>
  <si>
    <t>AccPayAdmDip</t>
  </si>
  <si>
    <t>AccBkCrt</t>
    <phoneticPr fontId="36" type="noConversion"/>
  </si>
  <si>
    <t>AccClrkCrt</t>
    <phoneticPr fontId="36" type="noConversion"/>
  </si>
  <si>
    <t>AddWrkCrt</t>
    <phoneticPr fontId="36" type="noConversion"/>
  </si>
  <si>
    <t>AdminAsstDip</t>
    <phoneticPr fontId="36" type="noConversion"/>
  </si>
  <si>
    <t>BusAdminCoop</t>
    <phoneticPr fontId="36" type="noConversion"/>
  </si>
  <si>
    <t>BusAdminDip</t>
    <phoneticPr fontId="36" type="noConversion"/>
  </si>
  <si>
    <t>BusManCrt</t>
  </si>
  <si>
    <t>BusOffSkillsDip</t>
    <phoneticPr fontId="36" type="noConversion"/>
  </si>
  <si>
    <t>BusRecCrt</t>
    <phoneticPr fontId="36" type="noConversion"/>
  </si>
  <si>
    <t>BusSrvEssCoop</t>
  </si>
  <si>
    <t>CalCtrCstRepDip</t>
    <phoneticPr fontId="36" type="noConversion"/>
  </si>
  <si>
    <t>CsAwWrkDip</t>
  </si>
  <si>
    <t>ComSrvWrkDip</t>
    <phoneticPr fontId="36" type="noConversion"/>
  </si>
  <si>
    <t>CmpSrvTechCrt</t>
    <phoneticPr fontId="36" type="noConversion"/>
  </si>
  <si>
    <t>CmpSrvTechDip</t>
    <phoneticPr fontId="36" type="noConversion"/>
  </si>
  <si>
    <t>CmpOffProCrt</t>
  </si>
  <si>
    <t>ConEvtPlnDip</t>
  </si>
  <si>
    <t>CusSrvRepCrt</t>
  </si>
  <si>
    <t>ESLCourses</t>
    <phoneticPr fontId="36" type="noConversion"/>
  </si>
  <si>
    <t>EntBusAppDip</t>
  </si>
  <si>
    <t>ExecAssDip</t>
  </si>
  <si>
    <t>GrphDesDip</t>
  </si>
  <si>
    <t>HRAdmCrt</t>
  </si>
  <si>
    <t>MrkAdmAssCrt</t>
  </si>
  <si>
    <t>MrkCordDip</t>
  </si>
  <si>
    <t>MedAdmAssCrt</t>
  </si>
  <si>
    <t>MOADip</t>
    <phoneticPr fontId="36" type="noConversion"/>
  </si>
  <si>
    <t>MOADipHUC</t>
  </si>
  <si>
    <t>MOFDACrt</t>
  </si>
  <si>
    <t>MCSASrvCrt</t>
  </si>
  <si>
    <t>NetAdminDip</t>
  </si>
  <si>
    <t>OffAdmAssCrt</t>
  </si>
  <si>
    <t>OffAdminDip</t>
  </si>
  <si>
    <t>OffClkCrt</t>
    <phoneticPr fontId="36" type="noConversion"/>
  </si>
  <si>
    <t>PayAdmCrt</t>
  </si>
  <si>
    <t>PayClkCrt</t>
  </si>
  <si>
    <t>PCSupSpecDip</t>
  </si>
  <si>
    <t>PrjAdminDip</t>
  </si>
  <si>
    <t>PSACrt</t>
  </si>
  <si>
    <t>SalesAscCrt</t>
  </si>
  <si>
    <t>SalesProfDip</t>
    <phoneticPr fontId="36" type="noConversion"/>
  </si>
  <si>
    <t>SoftWebDevDip</t>
  </si>
  <si>
    <t>WebDesDip</t>
  </si>
  <si>
    <t>WebDevDip</t>
  </si>
  <si>
    <t>Program Name</t>
    <phoneticPr fontId="36" type="noConversion"/>
  </si>
  <si>
    <t>Sheet Name</t>
    <phoneticPr fontId="36" type="noConversion"/>
  </si>
  <si>
    <r>
      <t>C</t>
    </r>
    <r>
      <rPr>
        <sz val="10"/>
        <rFont val="Times New Roman"/>
        <family val="1"/>
      </rPr>
      <t>ompTIA</t>
    </r>
    <phoneticPr fontId="0" type="noConversion"/>
  </si>
  <si>
    <t>Preceptorship/Co-Op</t>
    <phoneticPr fontId="0" type="noConversion"/>
  </si>
  <si>
    <r>
      <t>H</t>
    </r>
    <r>
      <rPr>
        <sz val="10"/>
        <rFont val="Times New Roman"/>
        <family val="1"/>
      </rPr>
      <t>ealthcare</t>
    </r>
    <phoneticPr fontId="0" type="noConversion"/>
  </si>
  <si>
    <t>Sessions.edu</t>
    <phoneticPr fontId="0" type="noConversion"/>
  </si>
  <si>
    <r>
      <t>E</t>
    </r>
    <r>
      <rPr>
        <sz val="10"/>
        <rFont val="Times New Roman"/>
        <family val="1"/>
      </rPr>
      <t>nglish</t>
    </r>
    <phoneticPr fontId="0" type="noConversion"/>
  </si>
  <si>
    <r>
      <t>D</t>
    </r>
    <r>
      <rPr>
        <sz val="10"/>
        <rFont val="Times New Roman"/>
        <family val="1"/>
      </rPr>
      <t>eveloper</t>
    </r>
    <phoneticPr fontId="0" type="noConversion"/>
  </si>
  <si>
    <r>
      <t xml:space="preserve">Group </t>
    </r>
    <r>
      <rPr>
        <sz val="10"/>
        <rFont val="Times New Roman"/>
        <family val="1"/>
      </rPr>
      <t>98</t>
    </r>
    <phoneticPr fontId="0" type="noConversion"/>
  </si>
  <si>
    <t>Fees</t>
    <phoneticPr fontId="0" type="noConversion"/>
  </si>
  <si>
    <r>
      <t>G</t>
    </r>
    <r>
      <rPr>
        <sz val="10"/>
        <rFont val="Times New Roman"/>
        <family val="1"/>
      </rPr>
      <t>roup 99</t>
    </r>
    <phoneticPr fontId="0" type="noConversion"/>
  </si>
  <si>
    <r>
      <t>R</t>
    </r>
    <r>
      <rPr>
        <sz val="10"/>
        <rFont val="Times New Roman"/>
        <family val="1"/>
      </rPr>
      <t>eview Items</t>
    </r>
    <phoneticPr fontId="0" type="noConversion"/>
  </si>
  <si>
    <t>Gr 13 or Mature</t>
  </si>
  <si>
    <t>Gr 14 or Mature</t>
  </si>
  <si>
    <t>Gr 15 or Mature</t>
  </si>
  <si>
    <t>Gr 16 or Mature</t>
  </si>
  <si>
    <t>Gr 17 or Mature</t>
  </si>
  <si>
    <t>Gr 18 or Mature</t>
  </si>
  <si>
    <t>No</t>
    <phoneticPr fontId="0" type="noConversion"/>
  </si>
  <si>
    <t>Yes</t>
    <phoneticPr fontId="0" type="noConversion"/>
  </si>
  <si>
    <t>Gr 19 or Mature</t>
  </si>
  <si>
    <t>Gr 20 or Mature</t>
  </si>
  <si>
    <t>6.9i</t>
    <phoneticPr fontId="36" type="noConversion"/>
  </si>
  <si>
    <r>
      <rPr>
        <b/>
        <sz val="10"/>
        <rFont val="Franklin Gothic Book"/>
        <family val="2"/>
      </rPr>
      <t>Program Change:</t>
    </r>
    <r>
      <rPr>
        <sz val="10"/>
        <rFont val="Franklin Gothic Book"/>
        <family val="2"/>
      </rPr>
      <t xml:space="preserve">
-Added two new programs: Software and Web Developer Diploma amd Web Developer Diploma; Navigation updated.
</t>
    </r>
    <r>
      <rPr>
        <b/>
        <sz val="10"/>
        <rFont val="Franklin Gothic Book"/>
        <family val="2"/>
      </rPr>
      <t xml:space="preserve">Housekeeping:
</t>
    </r>
    <r>
      <rPr>
        <sz val="10"/>
        <rFont val="Franklin Gothic Book"/>
        <family val="2"/>
      </rPr>
      <t>-Updated formulas on Summary, CSL Inst Appx, and PTIB Prog Info. They are now dynamic, and will update base on the Navigation sheet. All the information is up to date.
-Changed Group # allocation in Summary. Adjested gourp numbers on the Courses sheet in Outline.xlsx.
-A new sheet called Reference is added. It it used to store lookup informations.</t>
    </r>
    <phoneticPr fontId="36" type="noConversion"/>
  </si>
  <si>
    <t>6.9j</t>
    <phoneticPr fontId="36" type="noConversion"/>
  </si>
  <si>
    <t>-Verified with 2021/2022 PEDs</t>
    <phoneticPr fontId="36" type="noConversion"/>
  </si>
  <si>
    <t>6.9k</t>
    <phoneticPr fontId="36" type="noConversion"/>
  </si>
  <si>
    <t>-Adjusted the exam review % for the Individual Courses to 0%. This fixed an issue with allocating too much time in each course, letting days ran out before end date.</t>
    <phoneticPr fontId="36" type="noConversion"/>
  </si>
  <si>
    <t>SSMD100</t>
    <phoneticPr fontId="36" type="noConversion"/>
  </si>
  <si>
    <t>6.9l</t>
    <phoneticPr fontId="36" type="noConversion"/>
  </si>
  <si>
    <t>-Changed SSMD101 to SSMD100 in the Network Administrator Diploma Year 1, based on the email sent by Michael Ross on 22-02-03:
"The SMORG from head office states that the student will be able to get the Microsoft 365 Certified: Modern Desktop Administrator Associate, but that certification requires that the student take the MD-100 and MD-101 exams...but only 1 of those courses is included in the cost of the program.
Head office intended that the program only have the MD-100, and ACME CMS reflects this. However, the spreadsheets (and I assume the PEDs) have MD-101 listed instead.
I have sent Giancarlo a ticket and they are going to be updating their documentation, but can you please update the Network Administrator Diploma Year 1 to list the MD-100 instead of the MD-101?"</t>
    <phoneticPr fontId="36" type="noConversion"/>
  </si>
  <si>
    <t>WRD19E1</t>
  </si>
  <si>
    <t>WRD19E2</t>
  </si>
  <si>
    <t>WRD19E3</t>
  </si>
  <si>
    <t>PPT19E1</t>
  </si>
  <si>
    <t>PPT19E2</t>
  </si>
  <si>
    <t>OTL19E1</t>
  </si>
  <si>
    <t>EXC19E1</t>
  </si>
  <si>
    <t>KBD15E1, KBD15E2, PCF13E1, WIN10E1, WRD19E1, EXC19E1, IINF18E1 OTL19E1</t>
  </si>
  <si>
    <t>EXC19E2</t>
  </si>
  <si>
    <t>EXC19E3</t>
  </si>
  <si>
    <t>ACS19E1</t>
  </si>
  <si>
    <t>KBD15E1, KBD15E2, PCF13E1, WIN10E1, WRD19E1, WRD19E2, EXC19E1, EXC19E2, OTL19E1, ACS19E1</t>
  </si>
  <si>
    <t>ACS19E2</t>
  </si>
  <si>
    <t>6.9m</t>
    <phoneticPr fontId="36" type="noConversion"/>
  </si>
  <si>
    <t>HCCRP20O1</t>
  </si>
  <si>
    <t>SSSY0601A</t>
  </si>
  <si>
    <t>-Changed all Office courses from 2013 to 2019.
-Update HCCRP01O1 to HCCRP20O1.
-Update SSSY0501A to SSSY0601A.</t>
    <phoneticPr fontId="36" type="noConversion"/>
  </si>
  <si>
    <t>6.9n</t>
    <phoneticPr fontId="36" type="noConversion"/>
  </si>
  <si>
    <t>-Changed all sheet footer text from "Include text manuals…" to "Include e-manuals…"</t>
    <phoneticPr fontId="36" type="noConversion"/>
  </si>
  <si>
    <t>OTL19L2</t>
  </si>
  <si>
    <t>WDP14E1</t>
  </si>
  <si>
    <t>6.9o</t>
    <phoneticPr fontId="36" type="noConversion"/>
  </si>
  <si>
    <t>-Correct the following course code:
--OTL19E2 to OTL19L2.
--WDR14E1 to WDP14E1</t>
    <phoneticPr fontId="36" type="noConversion"/>
  </si>
  <si>
    <t>PUB19L1</t>
  </si>
  <si>
    <t>SSN10008A</t>
  </si>
  <si>
    <t>SSCAC1101A</t>
  </si>
  <si>
    <t>SSCAC1102A</t>
  </si>
  <si>
    <t>SSCAC1101A, SSCAC1102A, SSN10008A</t>
  </si>
  <si>
    <t>THPATI18</t>
  </si>
  <si>
    <r>
      <t>PRS0</t>
    </r>
    <r>
      <rPr>
        <sz val="8"/>
        <rFont val="Times New Roman"/>
        <family val="1"/>
      </rPr>
      <t>7E1</t>
    </r>
  </si>
  <si>
    <r>
      <t>PFS0</t>
    </r>
    <r>
      <rPr>
        <sz val="8"/>
        <rFont val="Times New Roman"/>
        <family val="1"/>
      </rPr>
      <t>7E1</t>
    </r>
  </si>
  <si>
    <t>Inactive</t>
  </si>
  <si>
    <t>6.9p</t>
  </si>
  <si>
    <t xml:space="preserve">-Cell D43 of each program has been adjusted for the hours/week so it can match with 22/23 PEDs. 
-The following course code has been updated: 
--PBL13E1 to PUB19L1 
--SSN100007A to SSN10008A 
--SSCAC1001A to SSCAC1101A 
--SSCAC1002A to SSCAC1102A 
--SSSK0004 to SSK0005A 
--THPATI to THPATI18 
-In the Navigation page, set the Medical Front Desk Assistant to Inactive. 
-For the programs that have Thought Patterns, moved it to the top of the list, just after keyboarding. Except for Business Administration Co-op program, as TP is in the second year. Moving it will change the price and time which make it inconsistent with the PEDs. </t>
  </si>
  <si>
    <t>PRJ19L1</t>
  </si>
  <si>
    <t>‘-HUC has two TP listed, which caused a increase of $10. Corrected one TP to JS.</t>
  </si>
  <si>
    <t>Version: 6.9p
Date: 2023-05-09</t>
  </si>
  <si>
    <t>COMMUNITY SERVICE WORKER AND ADDICTIONS WORKER 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</si>
</sst>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&quot;$&quot;#,##0"/>
    <numFmt numFmtId="166" formatCode="0.0"/>
    <numFmt numFmtId="167" formatCode="0.0%"/>
  </numFmts>
  <fonts count="40"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u/>
      <sz val="10"/>
      <color indexed="12"/>
      <name val="Times New Roman"/>
      <family val="1"/>
    </font>
    <font>
      <sz val="8"/>
      <name val="Times New Roman"/>
      <family val="1"/>
    </font>
    <font>
      <sz val="8"/>
      <name val="Franklin Gothic Book"/>
      <family val="2"/>
    </font>
    <font>
      <sz val="12"/>
      <name val="Franklin Gothic Book"/>
      <family val="2"/>
    </font>
    <font>
      <sz val="22"/>
      <name val="Franklin Gothic Book"/>
      <family val="2"/>
    </font>
    <font>
      <b/>
      <sz val="12"/>
      <name val="Franklin Gothic Book"/>
      <family val="2"/>
    </font>
    <font>
      <sz val="6"/>
      <name val="Franklin Gothic Book"/>
      <family val="2"/>
    </font>
    <font>
      <b/>
      <sz val="14"/>
      <name val="Franklin Gothic Book"/>
      <family val="2"/>
    </font>
    <font>
      <sz val="10"/>
      <name val="Franklin Gothic Book"/>
      <family val="2"/>
    </font>
    <font>
      <b/>
      <sz val="13.5"/>
      <name val="Franklin Gothic Book"/>
      <family val="2"/>
    </font>
    <font>
      <b/>
      <i/>
      <sz val="10"/>
      <name val="Franklin Gothic Book"/>
      <family val="2"/>
    </font>
    <font>
      <b/>
      <i/>
      <sz val="8"/>
      <name val="Franklin Gothic Book"/>
      <family val="2"/>
    </font>
    <font>
      <i/>
      <sz val="10"/>
      <name val="Franklin Gothic Book"/>
      <family val="2"/>
    </font>
    <font>
      <b/>
      <sz val="8"/>
      <name val="Franklin Gothic Book"/>
      <family val="2"/>
    </font>
    <font>
      <i/>
      <sz val="8"/>
      <name val="Franklin Gothic Book"/>
      <family val="2"/>
    </font>
    <font>
      <u/>
      <sz val="10"/>
      <name val="Franklin Gothic Book"/>
      <family val="2"/>
    </font>
    <font>
      <i/>
      <sz val="7"/>
      <name val="Franklin Gothic Book"/>
      <family val="2"/>
    </font>
    <font>
      <i/>
      <sz val="9"/>
      <name val="Franklin Gothic Book"/>
      <family val="2"/>
    </font>
    <font>
      <b/>
      <u/>
      <sz val="20"/>
      <color theme="0"/>
      <name val="Franklin Gothic Book"/>
      <family val="2"/>
    </font>
    <font>
      <b/>
      <u/>
      <sz val="12"/>
      <color theme="0"/>
      <name val="Franklin Gothic Book"/>
      <family val="2"/>
    </font>
    <font>
      <sz val="10"/>
      <color theme="0"/>
      <name val="Franklin Gothic Book"/>
      <family val="2"/>
    </font>
    <font>
      <b/>
      <i/>
      <sz val="14"/>
      <color theme="0"/>
      <name val="Franklin Gothic Book"/>
      <family val="2"/>
    </font>
    <font>
      <u/>
      <sz val="20"/>
      <color theme="0"/>
      <name val="Frutiger"/>
    </font>
    <font>
      <sz val="9"/>
      <color theme="0"/>
      <name val="Franklin Gothic Book"/>
      <family val="2"/>
    </font>
    <font>
      <sz val="9"/>
      <name val="宋体"/>
      <family val="3"/>
      <charset val="134"/>
    </font>
    <font>
      <sz val="9"/>
      <name val="DengXian"/>
      <family val="3"/>
      <charset val="134"/>
    </font>
    <font>
      <b/>
      <sz val="10"/>
      <name val="Franklin Gothic Book"/>
      <family val="2"/>
    </font>
    <font>
      <sz val="8"/>
      <color theme="0"/>
      <name val="Franklin Gothic Book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B1A0C7"/>
        <bgColor indexed="64"/>
      </patternFill>
    </fill>
  </fills>
  <borders count="5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3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8" fillId="2" borderId="6" xfId="0" applyFont="1" applyFill="1" applyBorder="1" applyAlignment="1">
      <alignment horizontal="center" wrapText="1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8" fontId="9" fillId="0" borderId="7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9" xfId="0" applyBorder="1"/>
    <xf numFmtId="1" fontId="9" fillId="0" borderId="7" xfId="0" applyNumberFormat="1" applyFont="1" applyBorder="1"/>
    <xf numFmtId="1" fontId="0" fillId="0" borderId="11" xfId="0" applyNumberFormat="1" applyBorder="1"/>
    <xf numFmtId="0" fontId="0" fillId="0" borderId="11" xfId="0" applyBorder="1"/>
    <xf numFmtId="0" fontId="0" fillId="0" borderId="11" xfId="0" applyBorder="1" applyAlignment="1">
      <alignment horizontal="centerContinuous"/>
    </xf>
    <xf numFmtId="0" fontId="0" fillId="0" borderId="0" xfId="0" quotePrefix="1"/>
    <xf numFmtId="0" fontId="0" fillId="0" borderId="2" xfId="0" applyBorder="1" applyAlignment="1">
      <alignment horizontal="center"/>
    </xf>
    <xf numFmtId="1" fontId="0" fillId="0" borderId="12" xfId="0" applyNumberFormat="1" applyBorder="1"/>
    <xf numFmtId="0" fontId="0" fillId="0" borderId="12" xfId="0" applyBorder="1"/>
    <xf numFmtId="0" fontId="0" fillId="0" borderId="12" xfId="0" quotePrefix="1" applyBorder="1"/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Continuous"/>
    </xf>
    <xf numFmtId="1" fontId="2" fillId="0" borderId="8" xfId="0" applyNumberFormat="1" applyFont="1" applyBorder="1"/>
    <xf numFmtId="9" fontId="2" fillId="0" borderId="8" xfId="0" applyNumberFormat="1" applyFont="1" applyBorder="1"/>
    <xf numFmtId="1" fontId="2" fillId="0" borderId="19" xfId="0" applyNumberFormat="1" applyFont="1" applyBorder="1"/>
    <xf numFmtId="165" fontId="2" fillId="0" borderId="8" xfId="0" applyNumberFormat="1" applyFont="1" applyBorder="1"/>
    <xf numFmtId="164" fontId="2" fillId="0" borderId="8" xfId="0" applyNumberFormat="1" applyFont="1" applyBorder="1"/>
    <xf numFmtId="166" fontId="2" fillId="0" borderId="8" xfId="0" applyNumberFormat="1" applyFont="1" applyBorder="1"/>
    <xf numFmtId="0" fontId="6" fillId="3" borderId="6" xfId="0" applyFont="1" applyFill="1" applyBorder="1" applyAlignment="1">
      <alignment horizontal="center" wrapText="1"/>
    </xf>
    <xf numFmtId="1" fontId="9" fillId="0" borderId="7" xfId="0" applyNumberFormat="1" applyFont="1" applyBorder="1" applyAlignment="1">
      <alignment horizontal="center"/>
    </xf>
    <xf numFmtId="165" fontId="9" fillId="0" borderId="7" xfId="0" applyNumberFormat="1" applyFont="1" applyBorder="1" applyAlignment="1">
      <alignment horizontal="center"/>
    </xf>
    <xf numFmtId="0" fontId="6" fillId="4" borderId="20" xfId="0" applyFont="1" applyFill="1" applyBorder="1"/>
    <xf numFmtId="0" fontId="7" fillId="4" borderId="20" xfId="0" applyFont="1" applyFill="1" applyBorder="1"/>
    <xf numFmtId="0" fontId="7" fillId="4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 wrapText="1"/>
    </xf>
    <xf numFmtId="0" fontId="9" fillId="0" borderId="21" xfId="0" applyFont="1" applyBorder="1" applyAlignment="1">
      <alignment horizontal="center"/>
    </xf>
    <xf numFmtId="0" fontId="0" fillId="0" borderId="23" xfId="0" applyBorder="1"/>
    <xf numFmtId="0" fontId="6" fillId="3" borderId="22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wrapText="1"/>
    </xf>
    <xf numFmtId="0" fontId="0" fillId="0" borderId="22" xfId="0" applyBorder="1"/>
    <xf numFmtId="15" fontId="6" fillId="4" borderId="27" xfId="0" applyNumberFormat="1" applyFont="1" applyFill="1" applyBorder="1"/>
    <xf numFmtId="0" fontId="6" fillId="4" borderId="20" xfId="0" applyFont="1" applyFill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0" xfId="0" applyAlignment="1">
      <alignment horizontal="left"/>
    </xf>
    <xf numFmtId="0" fontId="5" fillId="4" borderId="17" xfId="0" applyFont="1" applyFill="1" applyBorder="1"/>
    <xf numFmtId="0" fontId="5" fillId="4" borderId="27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0" fontId="11" fillId="4" borderId="20" xfId="0" applyFont="1" applyFill="1" applyBorder="1" applyAlignment="1">
      <alignment horizontal="left"/>
    </xf>
    <xf numFmtId="0" fontId="11" fillId="4" borderId="28" xfId="0" applyFont="1" applyFill="1" applyBorder="1" applyAlignment="1">
      <alignment horizontal="left"/>
    </xf>
    <xf numFmtId="10" fontId="0" fillId="0" borderId="26" xfId="0" applyNumberFormat="1" applyBorder="1" applyAlignment="1">
      <alignment horizontal="center"/>
    </xf>
    <xf numFmtId="0" fontId="0" fillId="0" borderId="17" xfId="0" applyBorder="1"/>
    <xf numFmtId="0" fontId="13" fillId="0" borderId="2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1" fillId="4" borderId="32" xfId="0" applyFont="1" applyFill="1" applyBorder="1" applyAlignment="1">
      <alignment horizontal="center"/>
    </xf>
    <xf numFmtId="0" fontId="0" fillId="0" borderId="7" xfId="0" applyBorder="1"/>
    <xf numFmtId="0" fontId="5" fillId="4" borderId="11" xfId="0" applyFont="1" applyFill="1" applyBorder="1"/>
    <xf numFmtId="0" fontId="9" fillId="0" borderId="7" xfId="0" applyFont="1" applyBorder="1" applyAlignment="1">
      <alignment horizontal="left"/>
    </xf>
    <xf numFmtId="0" fontId="6" fillId="3" borderId="7" xfId="0" applyFont="1" applyFill="1" applyBorder="1" applyAlignment="1">
      <alignment horizontal="center" wrapText="1"/>
    </xf>
    <xf numFmtId="0" fontId="4" fillId="0" borderId="11" xfId="0" applyFont="1" applyBorder="1"/>
    <xf numFmtId="0" fontId="14" fillId="5" borderId="33" xfId="0" applyFont="1" applyFill="1" applyBorder="1"/>
    <xf numFmtId="0" fontId="14" fillId="5" borderId="34" xfId="0" applyFont="1" applyFill="1" applyBorder="1"/>
    <xf numFmtId="0" fontId="14" fillId="5" borderId="35" xfId="0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 vertical="center"/>
    </xf>
    <xf numFmtId="1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4" fillId="5" borderId="36" xfId="0" applyFont="1" applyFill="1" applyBorder="1"/>
    <xf numFmtId="0" fontId="14" fillId="5" borderId="0" xfId="0" applyFont="1" applyFill="1"/>
    <xf numFmtId="0" fontId="18" fillId="0" borderId="8" xfId="0" applyFont="1" applyBorder="1"/>
    <xf numFmtId="0" fontId="19" fillId="0" borderId="8" xfId="0" applyFont="1" applyBorder="1" applyAlignment="1">
      <alignment horizontal="center"/>
    </xf>
    <xf numFmtId="1" fontId="15" fillId="0" borderId="8" xfId="0" applyNumberFormat="1" applyFont="1" applyBorder="1" applyAlignment="1">
      <alignment horizontal="centerContinuous"/>
    </xf>
    <xf numFmtId="0" fontId="20" fillId="0" borderId="0" xfId="0" applyFont="1"/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Continuous"/>
    </xf>
    <xf numFmtId="0" fontId="14" fillId="0" borderId="0" xfId="0" applyFont="1" applyAlignment="1">
      <alignment horizontal="left"/>
    </xf>
    <xf numFmtId="1" fontId="14" fillId="0" borderId="0" xfId="0" applyNumberFormat="1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14" fillId="0" borderId="0" xfId="0" applyFont="1"/>
    <xf numFmtId="0" fontId="14" fillId="5" borderId="8" xfId="0" applyFont="1" applyFill="1" applyBorder="1"/>
    <xf numFmtId="0" fontId="17" fillId="0" borderId="0" xfId="0" applyFont="1" applyAlignment="1">
      <alignment horizontal="right"/>
    </xf>
    <xf numFmtId="1" fontId="15" fillId="0" borderId="0" xfId="0" applyNumberFormat="1" applyFont="1"/>
    <xf numFmtId="0" fontId="22" fillId="0" borderId="0" xfId="0" applyFont="1"/>
    <xf numFmtId="0" fontId="23" fillId="0" borderId="0" xfId="0" applyFont="1" applyAlignment="1">
      <alignment horizontal="right"/>
    </xf>
    <xf numFmtId="1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22" fillId="0" borderId="29" xfId="0" applyFont="1" applyBorder="1"/>
    <xf numFmtId="0" fontId="24" fillId="0" borderId="0" xfId="0" applyFont="1"/>
    <xf numFmtId="1" fontId="20" fillId="0" borderId="0" xfId="0" applyNumberFormat="1" applyFont="1"/>
    <xf numFmtId="0" fontId="20" fillId="6" borderId="0" xfId="0" applyFont="1" applyFill="1"/>
    <xf numFmtId="0" fontId="20" fillId="5" borderId="36" xfId="0" applyFont="1" applyFill="1" applyBorder="1"/>
    <xf numFmtId="0" fontId="22" fillId="0" borderId="9" xfId="0" applyFont="1" applyBorder="1"/>
    <xf numFmtId="0" fontId="14" fillId="5" borderId="9" xfId="0" applyFont="1" applyFill="1" applyBorder="1"/>
    <xf numFmtId="0" fontId="14" fillId="5" borderId="24" xfId="0" applyFont="1" applyFill="1" applyBorder="1"/>
    <xf numFmtId="0" fontId="20" fillId="5" borderId="0" xfId="0" applyFont="1" applyFill="1"/>
    <xf numFmtId="0" fontId="20" fillId="5" borderId="9" xfId="0" applyFont="1" applyFill="1" applyBorder="1"/>
    <xf numFmtId="0" fontId="14" fillId="5" borderId="37" xfId="0" applyFont="1" applyFill="1" applyBorder="1"/>
    <xf numFmtId="0" fontId="22" fillId="0" borderId="19" xfId="0" applyFont="1" applyBorder="1"/>
    <xf numFmtId="0" fontId="14" fillId="5" borderId="6" xfId="0" applyFont="1" applyFill="1" applyBorder="1"/>
    <xf numFmtId="0" fontId="20" fillId="0" borderId="8" xfId="0" applyFont="1" applyBorder="1"/>
    <xf numFmtId="0" fontId="24" fillId="0" borderId="8" xfId="0" applyFont="1" applyBorder="1"/>
    <xf numFmtId="0" fontId="23" fillId="0" borderId="0" xfId="0" applyFont="1" applyAlignment="1">
      <alignment horizontal="centerContinuous"/>
    </xf>
    <xf numFmtId="1" fontId="14" fillId="0" borderId="38" xfId="0" applyNumberFormat="1" applyFont="1" applyBorder="1"/>
    <xf numFmtId="2" fontId="14" fillId="0" borderId="39" xfId="0" applyNumberFormat="1" applyFont="1" applyBorder="1"/>
    <xf numFmtId="9" fontId="14" fillId="5" borderId="7" xfId="0" applyNumberFormat="1" applyFont="1" applyFill="1" applyBorder="1"/>
    <xf numFmtId="2" fontId="14" fillId="0" borderId="0" xfId="0" applyNumberFormat="1" applyFont="1"/>
    <xf numFmtId="1" fontId="14" fillId="0" borderId="0" xfId="0" applyNumberFormat="1" applyFont="1"/>
    <xf numFmtId="0" fontId="22" fillId="0" borderId="8" xfId="0" applyFont="1" applyBorder="1" applyAlignment="1">
      <alignment horizontal="centerContinuous"/>
    </xf>
    <xf numFmtId="0" fontId="20" fillId="0" borderId="8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16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left"/>
    </xf>
    <xf numFmtId="15" fontId="14" fillId="0" borderId="0" xfId="0" applyNumberFormat="1" applyFont="1" applyAlignment="1">
      <alignment horizontal="left"/>
    </xf>
    <xf numFmtId="0" fontId="26" fillId="0" borderId="0" xfId="0" applyFont="1"/>
    <xf numFmtId="1" fontId="14" fillId="0" borderId="9" xfId="0" applyNumberFormat="1" applyFont="1" applyBorder="1"/>
    <xf numFmtId="1" fontId="20" fillId="0" borderId="8" xfId="0" applyNumberFormat="1" applyFont="1" applyBorder="1"/>
    <xf numFmtId="0" fontId="27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6" fontId="27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167" fontId="14" fillId="5" borderId="7" xfId="0" applyNumberFormat="1" applyFont="1" applyFill="1" applyBorder="1"/>
    <xf numFmtId="0" fontId="14" fillId="0" borderId="34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3" fillId="5" borderId="33" xfId="0" applyFont="1" applyFill="1" applyBorder="1"/>
    <xf numFmtId="0" fontId="23" fillId="0" borderId="29" xfId="0" applyFont="1" applyBorder="1"/>
    <xf numFmtId="0" fontId="24" fillId="0" borderId="0" xfId="0" applyFont="1" applyAlignment="1">
      <alignment horizontal="left"/>
    </xf>
    <xf numFmtId="0" fontId="23" fillId="0" borderId="9" xfId="0" applyFont="1" applyBorder="1"/>
    <xf numFmtId="0" fontId="23" fillId="0" borderId="19" xfId="0" applyFont="1" applyBorder="1"/>
    <xf numFmtId="0" fontId="24" fillId="0" borderId="8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9" fontId="14" fillId="5" borderId="44" xfId="0" applyNumberFormat="1" applyFont="1" applyFill="1" applyBorder="1"/>
    <xf numFmtId="0" fontId="29" fillId="0" borderId="0" xfId="0" applyFont="1" applyAlignment="1">
      <alignment horizontal="left"/>
    </xf>
    <xf numFmtId="0" fontId="31" fillId="12" borderId="3" xfId="0" applyFont="1" applyFill="1" applyBorder="1" applyAlignment="1">
      <alignment horizontal="center" vertical="center"/>
    </xf>
    <xf numFmtId="0" fontId="31" fillId="12" borderId="12" xfId="0" applyFont="1" applyFill="1" applyBorder="1" applyAlignment="1">
      <alignment horizontal="center" vertical="center"/>
    </xf>
    <xf numFmtId="0" fontId="30" fillId="12" borderId="12" xfId="0" applyFont="1" applyFill="1" applyBorder="1" applyAlignment="1">
      <alignment horizontal="center" vertical="center"/>
    </xf>
    <xf numFmtId="0" fontId="32" fillId="12" borderId="4" xfId="0" applyFont="1" applyFill="1" applyBorder="1" applyAlignment="1">
      <alignment horizontal="center" vertical="center" wrapText="1"/>
    </xf>
    <xf numFmtId="0" fontId="33" fillId="12" borderId="14" xfId="0" applyFont="1" applyFill="1" applyBorder="1"/>
    <xf numFmtId="0" fontId="33" fillId="12" borderId="40" xfId="0" applyFont="1" applyFill="1" applyBorder="1"/>
    <xf numFmtId="0" fontId="33" fillId="12" borderId="16" xfId="0" applyFont="1" applyFill="1" applyBorder="1"/>
    <xf numFmtId="0" fontId="33" fillId="12" borderId="41" xfId="0" applyFont="1" applyFill="1" applyBorder="1"/>
    <xf numFmtId="0" fontId="17" fillId="0" borderId="0" xfId="0" applyFont="1"/>
    <xf numFmtId="0" fontId="17" fillId="10" borderId="24" xfId="1" applyFont="1" applyFill="1" applyBorder="1" applyAlignment="1" applyProtection="1"/>
    <xf numFmtId="0" fontId="15" fillId="10" borderId="24" xfId="1" applyFont="1" applyFill="1" applyBorder="1" applyAlignment="1" applyProtection="1"/>
    <xf numFmtId="0" fontId="15" fillId="10" borderId="9" xfId="0" applyFont="1" applyFill="1" applyBorder="1"/>
    <xf numFmtId="0" fontId="17" fillId="9" borderId="24" xfId="1" applyFont="1" applyFill="1" applyBorder="1" applyAlignment="1" applyProtection="1"/>
    <xf numFmtId="0" fontId="15" fillId="9" borderId="24" xfId="1" applyFont="1" applyFill="1" applyBorder="1" applyAlignment="1" applyProtection="1"/>
    <xf numFmtId="0" fontId="15" fillId="9" borderId="9" xfId="0" applyFont="1" applyFill="1" applyBorder="1"/>
    <xf numFmtId="0" fontId="17" fillId="7" borderId="24" xfId="1" applyFont="1" applyFill="1" applyBorder="1" applyAlignment="1" applyProtection="1"/>
    <xf numFmtId="0" fontId="15" fillId="7" borderId="24" xfId="1" applyFont="1" applyFill="1" applyBorder="1" applyAlignment="1" applyProtection="1"/>
    <xf numFmtId="0" fontId="15" fillId="7" borderId="9" xfId="0" applyFont="1" applyFill="1" applyBorder="1"/>
    <xf numFmtId="0" fontId="17" fillId="8" borderId="24" xfId="1" applyFont="1" applyFill="1" applyBorder="1" applyAlignment="1" applyProtection="1"/>
    <xf numFmtId="0" fontId="15" fillId="8" borderId="24" xfId="1" applyFont="1" applyFill="1" applyBorder="1" applyAlignment="1" applyProtection="1"/>
    <xf numFmtId="0" fontId="15" fillId="8" borderId="9" xfId="0" applyFont="1" applyFill="1" applyBorder="1"/>
    <xf numFmtId="0" fontId="17" fillId="11" borderId="24" xfId="1" applyFont="1" applyFill="1" applyBorder="1" applyAlignment="1" applyProtection="1"/>
    <xf numFmtId="0" fontId="15" fillId="11" borderId="24" xfId="1" applyFont="1" applyFill="1" applyBorder="1" applyAlignment="1" applyProtection="1"/>
    <xf numFmtId="0" fontId="15" fillId="11" borderId="9" xfId="0" applyFont="1" applyFill="1" applyBorder="1"/>
    <xf numFmtId="0" fontId="15" fillId="10" borderId="45" xfId="0" applyFont="1" applyFill="1" applyBorder="1"/>
    <xf numFmtId="0" fontId="15" fillId="9" borderId="45" xfId="0" applyFont="1" applyFill="1" applyBorder="1"/>
    <xf numFmtId="0" fontId="15" fillId="7" borderId="45" xfId="0" applyFont="1" applyFill="1" applyBorder="1"/>
    <xf numFmtId="0" fontId="15" fillId="8" borderId="45" xfId="0" applyFont="1" applyFill="1" applyBorder="1"/>
    <xf numFmtId="0" fontId="15" fillId="11" borderId="45" xfId="0" applyFont="1" applyFill="1" applyBorder="1"/>
    <xf numFmtId="0" fontId="15" fillId="0" borderId="2" xfId="0" applyFont="1" applyBorder="1"/>
    <xf numFmtId="0" fontId="26" fillId="0" borderId="0" xfId="0" applyFont="1" applyAlignment="1">
      <alignment horizontal="left"/>
    </xf>
    <xf numFmtId="0" fontId="35" fillId="12" borderId="12" xfId="0" applyFont="1" applyFill="1" applyBorder="1" applyAlignment="1">
      <alignment horizontal="left" vertical="top" wrapText="1"/>
    </xf>
    <xf numFmtId="0" fontId="14" fillId="5" borderId="33" xfId="2" applyFont="1" applyFill="1" applyBorder="1"/>
    <xf numFmtId="0" fontId="14" fillId="5" borderId="34" xfId="2" applyFont="1" applyFill="1" applyBorder="1"/>
    <xf numFmtId="0" fontId="14" fillId="5" borderId="35" xfId="2" applyFont="1" applyFill="1" applyBorder="1"/>
    <xf numFmtId="0" fontId="15" fillId="0" borderId="0" xfId="2" applyFont="1"/>
    <xf numFmtId="0" fontId="16" fillId="0" borderId="0" xfId="2" applyFont="1" applyAlignment="1">
      <alignment horizontal="center" vertical="center"/>
    </xf>
    <xf numFmtId="1" fontId="15" fillId="0" borderId="0" xfId="2" applyNumberFormat="1" applyFont="1" applyAlignment="1">
      <alignment vertical="center"/>
    </xf>
    <xf numFmtId="0" fontId="15" fillId="0" borderId="0" xfId="2" applyFont="1" applyAlignment="1">
      <alignment vertical="center"/>
    </xf>
    <xf numFmtId="0" fontId="14" fillId="5" borderId="36" xfId="2" applyFont="1" applyFill="1" applyBorder="1"/>
    <xf numFmtId="0" fontId="14" fillId="5" borderId="0" xfId="2" applyFont="1" applyFill="1"/>
    <xf numFmtId="0" fontId="18" fillId="0" borderId="8" xfId="2" applyFont="1" applyBorder="1"/>
    <xf numFmtId="0" fontId="19" fillId="0" borderId="8" xfId="2" applyFont="1" applyBorder="1" applyAlignment="1">
      <alignment horizontal="center"/>
    </xf>
    <xf numFmtId="1" fontId="15" fillId="0" borderId="8" xfId="2" applyNumberFormat="1" applyFont="1" applyBorder="1" applyAlignment="1">
      <alignment horizontal="centerContinuous"/>
    </xf>
    <xf numFmtId="0" fontId="15" fillId="0" borderId="0" xfId="2" applyFont="1" applyAlignment="1">
      <alignment horizontal="centerContinuous"/>
    </xf>
    <xf numFmtId="0" fontId="20" fillId="0" borderId="0" xfId="2" applyFont="1"/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left"/>
    </xf>
    <xf numFmtId="1" fontId="14" fillId="0" borderId="0" xfId="2" applyNumberFormat="1" applyFont="1" applyAlignment="1">
      <alignment horizontal="centerContinuous"/>
    </xf>
    <xf numFmtId="0" fontId="14" fillId="0" borderId="0" xfId="2" applyFont="1" applyAlignment="1">
      <alignment horizontal="centerContinuous"/>
    </xf>
    <xf numFmtId="0" fontId="14" fillId="0" borderId="0" xfId="2" applyFont="1"/>
    <xf numFmtId="0" fontId="14" fillId="5" borderId="8" xfId="2" applyFont="1" applyFill="1" applyBorder="1"/>
    <xf numFmtId="0" fontId="17" fillId="0" borderId="0" xfId="2" applyFont="1" applyAlignment="1">
      <alignment horizontal="right"/>
    </xf>
    <xf numFmtId="1" fontId="20" fillId="0" borderId="0" xfId="2" applyNumberFormat="1" applyFont="1"/>
    <xf numFmtId="0" fontId="22" fillId="0" borderId="0" xfId="2" applyFont="1"/>
    <xf numFmtId="0" fontId="14" fillId="0" borderId="0" xfId="2" applyFont="1" applyAlignment="1">
      <alignment horizontal="right"/>
    </xf>
    <xf numFmtId="0" fontId="23" fillId="0" borderId="0" xfId="2" applyFont="1" applyAlignment="1">
      <alignment horizontal="right"/>
    </xf>
    <xf numFmtId="1" fontId="14" fillId="0" borderId="0" xfId="2" applyNumberFormat="1" applyFont="1" applyAlignment="1">
      <alignment horizontal="right"/>
    </xf>
    <xf numFmtId="0" fontId="23" fillId="5" borderId="33" xfId="2" applyFont="1" applyFill="1" applyBorder="1"/>
    <xf numFmtId="0" fontId="23" fillId="0" borderId="29" xfId="2" applyFont="1" applyBorder="1"/>
    <xf numFmtId="0" fontId="24" fillId="0" borderId="0" xfId="2" applyFont="1"/>
    <xf numFmtId="0" fontId="24" fillId="0" borderId="0" xfId="2" applyFont="1" applyAlignment="1">
      <alignment horizontal="left"/>
    </xf>
    <xf numFmtId="0" fontId="20" fillId="6" borderId="0" xfId="2" applyFont="1" applyFill="1"/>
    <xf numFmtId="0" fontId="23" fillId="0" borderId="9" xfId="2" applyFont="1" applyBorder="1"/>
    <xf numFmtId="0" fontId="14" fillId="5" borderId="24" xfId="2" applyFont="1" applyFill="1" applyBorder="1"/>
    <xf numFmtId="0" fontId="14" fillId="5" borderId="9" xfId="2" applyFont="1" applyFill="1" applyBorder="1"/>
    <xf numFmtId="0" fontId="14" fillId="5" borderId="37" xfId="2" applyFont="1" applyFill="1" applyBorder="1"/>
    <xf numFmtId="0" fontId="23" fillId="0" borderId="19" xfId="2" applyFont="1" applyBorder="1"/>
    <xf numFmtId="0" fontId="14" fillId="5" borderId="6" xfId="2" applyFont="1" applyFill="1" applyBorder="1"/>
    <xf numFmtId="0" fontId="20" fillId="0" borderId="8" xfId="2" applyFont="1" applyBorder="1"/>
    <xf numFmtId="0" fontId="24" fillId="0" borderId="8" xfId="2" applyFont="1" applyBorder="1" applyAlignment="1">
      <alignment horizontal="left"/>
    </xf>
    <xf numFmtId="0" fontId="23" fillId="0" borderId="0" xfId="2" applyFont="1" applyAlignment="1">
      <alignment horizontal="centerContinuous"/>
    </xf>
    <xf numFmtId="1" fontId="14" fillId="0" borderId="38" xfId="2" applyNumberFormat="1" applyFont="1" applyBorder="1"/>
    <xf numFmtId="2" fontId="14" fillId="0" borderId="39" xfId="2" applyNumberFormat="1" applyFont="1" applyBorder="1"/>
    <xf numFmtId="167" fontId="14" fillId="5" borderId="7" xfId="2" applyNumberFormat="1" applyFont="1" applyFill="1" applyBorder="1"/>
    <xf numFmtId="2" fontId="14" fillId="0" borderId="0" xfId="2" applyNumberFormat="1" applyFont="1"/>
    <xf numFmtId="1" fontId="14" fillId="0" borderId="0" xfId="2" applyNumberFormat="1" applyFont="1"/>
    <xf numFmtId="0" fontId="20" fillId="0" borderId="8" xfId="2" applyFont="1" applyBorder="1" applyAlignment="1">
      <alignment horizontal="centerContinuous"/>
    </xf>
    <xf numFmtId="0" fontId="25" fillId="0" borderId="0" xfId="2" applyFont="1" applyAlignment="1">
      <alignment horizontal="centerContinuous"/>
    </xf>
    <xf numFmtId="1" fontId="15" fillId="0" borderId="0" xfId="2" applyNumberFormat="1" applyFont="1"/>
    <xf numFmtId="0" fontId="38" fillId="0" borderId="0" xfId="2" applyFont="1"/>
    <xf numFmtId="14" fontId="20" fillId="0" borderId="0" xfId="2" applyNumberFormat="1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top" wrapText="1"/>
    </xf>
    <xf numFmtId="0" fontId="20" fillId="0" borderId="0" xfId="2" quotePrefix="1" applyFont="1" applyAlignment="1">
      <alignment vertical="top" wrapText="1"/>
    </xf>
    <xf numFmtId="0" fontId="20" fillId="0" borderId="0" xfId="2" applyFont="1" applyAlignment="1">
      <alignment wrapText="1"/>
    </xf>
    <xf numFmtId="0" fontId="17" fillId="13" borderId="24" xfId="1" applyFont="1" applyFill="1" applyBorder="1" applyAlignment="1" applyProtection="1"/>
    <xf numFmtId="0" fontId="15" fillId="13" borderId="24" xfId="1" applyFont="1" applyFill="1" applyBorder="1" applyAlignment="1" applyProtection="1"/>
    <xf numFmtId="0" fontId="15" fillId="13" borderId="9" xfId="0" applyFont="1" applyFill="1" applyBorder="1"/>
    <xf numFmtId="0" fontId="15" fillId="13" borderId="45" xfId="0" applyFont="1" applyFill="1" applyBorder="1"/>
    <xf numFmtId="0" fontId="15" fillId="10" borderId="40" xfId="1" applyFont="1" applyFill="1" applyBorder="1" applyAlignment="1" applyProtection="1"/>
    <xf numFmtId="0" fontId="15" fillId="10" borderId="16" xfId="0" applyFont="1" applyFill="1" applyBorder="1"/>
    <xf numFmtId="0" fontId="15" fillId="10" borderId="41" xfId="0" applyFont="1" applyFill="1" applyBorder="1"/>
    <xf numFmtId="0" fontId="0" fillId="0" borderId="7" xfId="0" applyBorder="1" applyAlignment="1">
      <alignment horizontal="center"/>
    </xf>
    <xf numFmtId="0" fontId="9" fillId="0" borderId="7" xfId="0" applyFont="1" applyBorder="1" applyAlignment="1">
      <alignment horizontal="centerContinuous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4" xfId="0" applyBorder="1"/>
    <xf numFmtId="0" fontId="1" fillId="0" borderId="0" xfId="0" applyFont="1"/>
    <xf numFmtId="0" fontId="1" fillId="0" borderId="15" xfId="0" applyFont="1" applyBorder="1"/>
    <xf numFmtId="0" fontId="1" fillId="0" borderId="0" xfId="2"/>
    <xf numFmtId="0" fontId="0" fillId="0" borderId="21" xfId="0" applyBorder="1"/>
    <xf numFmtId="0" fontId="0" fillId="0" borderId="48" xfId="0" applyBorder="1"/>
    <xf numFmtId="0" fontId="0" fillId="0" borderId="18" xfId="0" applyBorder="1"/>
    <xf numFmtId="0" fontId="0" fillId="0" borderId="50" xfId="0" applyBorder="1"/>
    <xf numFmtId="0" fontId="4" fillId="0" borderId="51" xfId="0" applyFont="1" applyBorder="1"/>
    <xf numFmtId="0" fontId="4" fillId="0" borderId="52" xfId="0" applyFont="1" applyBorder="1"/>
    <xf numFmtId="1" fontId="0" fillId="0" borderId="7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1" fontId="2" fillId="0" borderId="49" xfId="0" applyNumberFormat="1" applyFont="1" applyBorder="1"/>
    <xf numFmtId="1" fontId="2" fillId="0" borderId="53" xfId="0" applyNumberFormat="1" applyFont="1" applyBorder="1"/>
    <xf numFmtId="0" fontId="2" fillId="0" borderId="5" xfId="0" applyFont="1" applyBorder="1"/>
    <xf numFmtId="0" fontId="2" fillId="0" borderId="19" xfId="0" applyFont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6" xfId="0" applyFont="1" applyBorder="1" applyAlignment="1">
      <alignment horizontal="center"/>
    </xf>
    <xf numFmtId="9" fontId="2" fillId="0" borderId="12" xfId="0" applyNumberFormat="1" applyFont="1" applyBorder="1"/>
    <xf numFmtId="1" fontId="2" fillId="0" borderId="16" xfId="0" applyNumberFormat="1" applyFont="1" applyBorder="1"/>
    <xf numFmtId="165" fontId="2" fillId="0" borderId="12" xfId="0" applyNumberFormat="1" applyFont="1" applyBorder="1"/>
    <xf numFmtId="164" fontId="2" fillId="0" borderId="12" xfId="0" applyNumberFormat="1" applyFont="1" applyBorder="1"/>
    <xf numFmtId="166" fontId="2" fillId="0" borderId="12" xfId="0" applyNumberFormat="1" applyFont="1" applyBorder="1"/>
    <xf numFmtId="1" fontId="2" fillId="0" borderId="12" xfId="0" applyNumberFormat="1" applyFont="1" applyBorder="1"/>
    <xf numFmtId="1" fontId="2" fillId="0" borderId="51" xfId="0" applyNumberFormat="1" applyFont="1" applyBorder="1"/>
    <xf numFmtId="1" fontId="2" fillId="0" borderId="54" xfId="0" applyNumberFormat="1" applyFont="1" applyBorder="1"/>
    <xf numFmtId="0" fontId="0" fillId="0" borderId="1" xfId="0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9" fillId="0" borderId="47" xfId="0" applyFont="1" applyBorder="1" applyAlignment="1">
      <alignment horizontal="left"/>
    </xf>
    <xf numFmtId="0" fontId="9" fillId="0" borderId="47" xfId="0" applyFont="1" applyBorder="1" applyAlignment="1">
      <alignment horizontal="center"/>
    </xf>
    <xf numFmtId="0" fontId="9" fillId="0" borderId="47" xfId="0" applyFont="1" applyBorder="1"/>
    <xf numFmtId="1" fontId="9" fillId="0" borderId="47" xfId="0" applyNumberFormat="1" applyFont="1" applyBorder="1"/>
    <xf numFmtId="8" fontId="9" fillId="0" borderId="47" xfId="0" applyNumberFormat="1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14" fontId="20" fillId="0" borderId="0" xfId="2" applyNumberFormat="1" applyFont="1"/>
    <xf numFmtId="0" fontId="20" fillId="0" borderId="0" xfId="2" quotePrefix="1" applyFont="1"/>
    <xf numFmtId="0" fontId="20" fillId="0" borderId="0" xfId="2" quotePrefix="1" applyFont="1" applyAlignment="1">
      <alignment wrapText="1"/>
    </xf>
    <xf numFmtId="0" fontId="20" fillId="0" borderId="0" xfId="2" applyFont="1" applyAlignment="1">
      <alignment horizontal="left" vertical="top"/>
    </xf>
    <xf numFmtId="14" fontId="20" fillId="0" borderId="0" xfId="2" applyNumberFormat="1" applyFont="1" applyAlignment="1">
      <alignment horizontal="right" vertical="top"/>
    </xf>
    <xf numFmtId="0" fontId="20" fillId="0" borderId="0" xfId="2" quotePrefix="1" applyFont="1" applyAlignment="1">
      <alignment horizontal="left" vertical="top" wrapText="1"/>
    </xf>
    <xf numFmtId="0" fontId="39" fillId="0" borderId="0" xfId="0" applyFont="1"/>
    <xf numFmtId="0" fontId="14" fillId="5" borderId="29" xfId="0" applyFont="1" applyFill="1" applyBorder="1"/>
    <xf numFmtId="0" fontId="34" fillId="12" borderId="17" xfId="0" applyFont="1" applyFill="1" applyBorder="1" applyAlignment="1">
      <alignment horizontal="center" vertical="center"/>
    </xf>
    <xf numFmtId="0" fontId="34" fillId="12" borderId="11" xfId="0" applyFont="1" applyFill="1" applyBorder="1" applyAlignment="1">
      <alignment horizontal="center" vertical="center"/>
    </xf>
    <xf numFmtId="0" fontId="34" fillId="12" borderId="1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34" fillId="12" borderId="12" xfId="0" applyFont="1" applyFill="1" applyBorder="1" applyAlignment="1">
      <alignment horizontal="center" vertical="center"/>
    </xf>
    <xf numFmtId="0" fontId="34" fillId="12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1" fillId="0" borderId="0" xfId="0" applyFont="1" applyAlignment="1">
      <alignment horizontal="center" shrinkToFit="1"/>
    </xf>
    <xf numFmtId="1" fontId="27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0" fontId="26" fillId="0" borderId="36" xfId="0" applyFont="1" applyBorder="1" applyAlignment="1">
      <alignment horizontal="center"/>
    </xf>
    <xf numFmtId="0" fontId="22" fillId="0" borderId="25" xfId="2" applyFont="1" applyBorder="1" applyAlignment="1">
      <alignment horizontal="center"/>
    </xf>
    <xf numFmtId="0" fontId="17" fillId="0" borderId="0" xfId="2" applyFont="1" applyAlignment="1">
      <alignment horizontal="center" vertical="center" wrapText="1"/>
    </xf>
    <xf numFmtId="0" fontId="14" fillId="0" borderId="8" xfId="2" applyFont="1" applyBorder="1" applyAlignment="1">
      <alignment horizontal="center" vertical="center"/>
    </xf>
    <xf numFmtId="0" fontId="21" fillId="0" borderId="0" xfId="2" applyFont="1" applyAlignment="1">
      <alignment horizontal="center"/>
    </xf>
    <xf numFmtId="0" fontId="26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26" fillId="0" borderId="0" xfId="0" applyFont="1" applyAlignment="1">
      <alignment horizontal="left" wrapText="1"/>
    </xf>
    <xf numFmtId="0" fontId="23" fillId="0" borderId="34" xfId="0" applyFont="1" applyBorder="1" applyAlignment="1">
      <alignment horizontal="center" wrapText="1"/>
    </xf>
    <xf numFmtId="0" fontId="23" fillId="0" borderId="43" xfId="0" applyFont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0" fontId="23" fillId="0" borderId="34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11" fillId="4" borderId="42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1</xdr:row>
      <xdr:rowOff>190500</xdr:rowOff>
    </xdr:from>
    <xdr:ext cx="4448175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6675" y="447675"/>
          <a:ext cx="44481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i="0" u="sng">
              <a:solidFill>
                <a:schemeClr val="bg1"/>
              </a:solidFill>
              <a:latin typeface="Franklin Gothic Book" panose="020B0503020102020204" pitchFamily="34" charset="0"/>
            </a:rPr>
            <a:t>Instruction:</a:t>
          </a:r>
        </a:p>
        <a:p>
          <a:r>
            <a:rPr lang="en-US" sz="1100">
              <a:solidFill>
                <a:schemeClr val="bg1"/>
              </a:solidFill>
              <a:latin typeface="Franklin Gothic Book" panose="020B0503020102020204" pitchFamily="34" charset="0"/>
            </a:rPr>
            <a:t>Click</a:t>
          </a:r>
          <a:r>
            <a:rPr lang="en-US" sz="1100" baseline="0">
              <a:solidFill>
                <a:schemeClr val="bg1"/>
              </a:solidFill>
              <a:latin typeface="Franklin Gothic Book" panose="020B0503020102020204" pitchFamily="34" charset="0"/>
            </a:rPr>
            <a:t> on program titles and jump to it's sheet tab.</a:t>
          </a:r>
        </a:p>
        <a:p>
          <a:r>
            <a:rPr lang="en-US" sz="1100" baseline="0">
              <a:solidFill>
                <a:schemeClr val="bg1"/>
              </a:solidFill>
              <a:latin typeface="Franklin Gothic Book" panose="020B0503020102020204" pitchFamily="34" charset="0"/>
            </a:rPr>
            <a:t>Use "Sort &amp; Filter" to browse programs through Title, Type, and Category.</a:t>
          </a:r>
        </a:p>
        <a:p>
          <a:endParaRPr lang="en-US" sz="1100">
            <a:solidFill>
              <a:schemeClr val="bg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CxnSpPr/>
      </xdr:nvCxnSpPr>
      <xdr:spPr bwMode="auto">
        <a:xfrm flipH="1">
          <a:off x="1859280" y="728663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0547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 bwMode="auto">
        <a:xfrm flipH="1">
          <a:off x="1859280" y="728663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 bwMode="auto">
        <a:xfrm flipH="1">
          <a:off x="1859280" y="728663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 bwMode="auto">
        <a:xfrm flipV="1">
          <a:off x="826008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0547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CxnSpPr/>
      </xdr:nvCxnSpPr>
      <xdr:spPr bwMode="auto">
        <a:xfrm flipV="1">
          <a:off x="765175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CxnSpPr/>
      </xdr:nvCxnSpPr>
      <xdr:spPr bwMode="auto">
        <a:xfrm flipH="1">
          <a:off x="1720850" y="730250"/>
          <a:ext cx="39973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56704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4762</xdr:rowOff>
    </xdr:from>
    <xdr:to>
      <xdr:col>8</xdr:col>
      <xdr:colOff>0</xdr:colOff>
      <xdr:row>1</xdr:row>
      <xdr:rowOff>195262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CxnSpPr/>
      </xdr:nvCxnSpPr>
      <xdr:spPr bwMode="auto">
        <a:xfrm flipV="1">
          <a:off x="6896100" y="4762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9525</xdr:colOff>
      <xdr:row>2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CxnSpPr/>
      </xdr:nvCxnSpPr>
      <xdr:spPr bwMode="auto">
        <a:xfrm flipH="1">
          <a:off x="1552575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46672</xdr:rowOff>
    </xdr:from>
    <xdr:to>
      <xdr:col>4</xdr:col>
      <xdr:colOff>2754260</xdr:colOff>
      <xdr:row>1</xdr:row>
      <xdr:rowOff>153352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836665</xdr:colOff>
      <xdr:row>0</xdr:row>
      <xdr:rowOff>51435</xdr:rowOff>
    </xdr:from>
    <xdr:to>
      <xdr:col>4</xdr:col>
      <xdr:colOff>2744735</xdr:colOff>
      <xdr:row>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636890" y="51435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666750</xdr:colOff>
      <xdr:row>2</xdr:row>
      <xdr:rowOff>0</xdr:rowOff>
    </xdr:from>
    <xdr:to>
      <xdr:col>5</xdr:col>
      <xdr:colOff>0</xdr:colOff>
      <xdr:row>2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 bwMode="auto">
        <a:xfrm flipH="1">
          <a:off x="1790700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9525</xdr:rowOff>
    </xdr:from>
    <xdr:to>
      <xdr:col>8</xdr:col>
      <xdr:colOff>0</xdr:colOff>
      <xdr:row>2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 bwMode="auto">
        <a:xfrm flipV="1">
          <a:off x="7143750" y="9525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4762</xdr:rowOff>
    </xdr:from>
    <xdr:to>
      <xdr:col>8</xdr:col>
      <xdr:colOff>0</xdr:colOff>
      <xdr:row>1</xdr:row>
      <xdr:rowOff>195262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CxnSpPr/>
      </xdr:nvCxnSpPr>
      <xdr:spPr bwMode="auto">
        <a:xfrm flipV="1">
          <a:off x="6896100" y="4762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195263</xdr:rowOff>
    </xdr:from>
    <xdr:to>
      <xdr:col>5</xdr:col>
      <xdr:colOff>9525</xdr:colOff>
      <xdr:row>1</xdr:row>
      <xdr:rowOff>195263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CxnSpPr/>
      </xdr:nvCxnSpPr>
      <xdr:spPr bwMode="auto">
        <a:xfrm flipH="1">
          <a:off x="1552575" y="728663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46672</xdr:rowOff>
    </xdr:from>
    <xdr:to>
      <xdr:col>4</xdr:col>
      <xdr:colOff>2754260</xdr:colOff>
      <xdr:row>1</xdr:row>
      <xdr:rowOff>153352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3</xdr:col>
      <xdr:colOff>609600</xdr:colOff>
      <xdr:row>2</xdr:row>
      <xdr:rowOff>1</xdr:rowOff>
    </xdr:from>
    <xdr:to>
      <xdr:col>5</xdr:col>
      <xdr:colOff>0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CxnSpPr/>
      </xdr:nvCxnSpPr>
      <xdr:spPr bwMode="auto">
        <a:xfrm flipH="1">
          <a:off x="1543050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0829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0829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0829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CxnSpPr/>
      </xdr:nvCxnSpPr>
      <xdr:spPr bwMode="auto">
        <a:xfrm flipH="1">
          <a:off x="185928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CxnSpPr/>
      </xdr:nvCxnSpPr>
      <xdr:spPr bwMode="auto">
        <a:xfrm flipV="1">
          <a:off x="826960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CxnSpPr/>
      </xdr:nvCxnSpPr>
      <xdr:spPr bwMode="auto">
        <a:xfrm flipH="1">
          <a:off x="185928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891540</xdr:colOff>
      <xdr:row>0</xdr:row>
      <xdr:rowOff>52762</xdr:rowOff>
    </xdr:from>
    <xdr:to>
      <xdr:col>4</xdr:col>
      <xdr:colOff>2839395</xdr:colOff>
      <xdr:row>1</xdr:row>
      <xdr:rowOff>175259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50820" y="52762"/>
          <a:ext cx="1947855" cy="655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C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0</xdr:rowOff>
    </xdr:from>
    <xdr:to>
      <xdr:col>5</xdr:col>
      <xdr:colOff>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 bwMode="auto">
        <a:xfrm flipH="1">
          <a:off x="1447800" y="733425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0</xdr:colOff>
      <xdr:row>0</xdr:row>
      <xdr:rowOff>4762</xdr:rowOff>
    </xdr:from>
    <xdr:to>
      <xdr:col>8</xdr:col>
      <xdr:colOff>0</xdr:colOff>
      <xdr:row>1</xdr:row>
      <xdr:rowOff>195262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 bwMode="auto">
        <a:xfrm flipV="1">
          <a:off x="6800850" y="4762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817615</xdr:colOff>
      <xdr:row>0</xdr:row>
      <xdr:rowOff>46672</xdr:rowOff>
    </xdr:from>
    <xdr:to>
      <xdr:col>4</xdr:col>
      <xdr:colOff>2725685</xdr:colOff>
      <xdr:row>1</xdr:row>
      <xdr:rowOff>153352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293990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1F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0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1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1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2200-000007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2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2200-000009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3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CxnSpPr/>
      </xdr:nvCxnSpPr>
      <xdr:spPr bwMode="auto">
        <a:xfrm flipH="1">
          <a:off x="185166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CxnSpPr/>
      </xdr:nvCxnSpPr>
      <xdr:spPr bwMode="auto">
        <a:xfrm flipV="1">
          <a:off x="826198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2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1690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2400-000005000000}"/>
            </a:ext>
          </a:extLst>
        </xdr:cNvPr>
        <xdr:cNvCxnSpPr/>
      </xdr:nvCxnSpPr>
      <xdr:spPr bwMode="auto">
        <a:xfrm flipH="1">
          <a:off x="185166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5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5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2600-000007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2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2600-000009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 bwMode="auto">
        <a:xfrm flipV="1">
          <a:off x="688657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836665</xdr:colOff>
      <xdr:row>0</xdr:row>
      <xdr:rowOff>41910</xdr:rowOff>
    </xdr:from>
    <xdr:to>
      <xdr:col>4</xdr:col>
      <xdr:colOff>2744735</xdr:colOff>
      <xdr:row>1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8924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2</xdr:row>
      <xdr:rowOff>1</xdr:rowOff>
    </xdr:from>
    <xdr:to>
      <xdr:col>5</xdr:col>
      <xdr:colOff>38100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800-000004000000}"/>
            </a:ext>
          </a:extLst>
        </xdr:cNvPr>
        <xdr:cNvCxnSpPr/>
      </xdr:nvCxnSpPr>
      <xdr:spPr bwMode="auto">
        <a:xfrm flipH="1">
          <a:off x="1562100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855715</xdr:colOff>
      <xdr:row>0</xdr:row>
      <xdr:rowOff>41910</xdr:rowOff>
    </xdr:from>
    <xdr:to>
      <xdr:col>4</xdr:col>
      <xdr:colOff>2763785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800-000006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9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A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A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B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B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C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C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D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D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E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E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2F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2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2F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4468E0F-8B80-414C-9130-FB0D5197FF56}"/>
            </a:ext>
          </a:extLst>
        </xdr:cNvPr>
        <xdr:cNvCxnSpPr/>
      </xdr:nvCxnSpPr>
      <xdr:spPr bwMode="auto">
        <a:xfrm flipH="1">
          <a:off x="185166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26D8446-735B-4BBA-93BA-96C777BD13C4}"/>
            </a:ext>
          </a:extLst>
        </xdr:cNvPr>
        <xdr:cNvCxnSpPr/>
      </xdr:nvCxnSpPr>
      <xdr:spPr bwMode="auto">
        <a:xfrm flipV="1">
          <a:off x="826198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91FD8-D369-4F3B-8C7D-6527951E7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1690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92363DE-E0EF-4A9E-A606-6A6DB4A73996}"/>
            </a:ext>
          </a:extLst>
        </xdr:cNvPr>
        <xdr:cNvCxnSpPr/>
      </xdr:nvCxnSpPr>
      <xdr:spPr bwMode="auto">
        <a:xfrm flipH="1">
          <a:off x="185166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3000-000005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3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3000-000007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F9C8842-ACB9-45CC-B603-804D5BDCDBC0}"/>
            </a:ext>
          </a:extLst>
        </xdr:cNvPr>
        <xdr:cNvCxnSpPr/>
      </xdr:nvCxnSpPr>
      <xdr:spPr bwMode="auto">
        <a:xfrm flipH="1">
          <a:off x="1851660" y="72390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D13764-7916-4A65-B499-B04F57EC3C83}"/>
            </a:ext>
          </a:extLst>
        </xdr:cNvPr>
        <xdr:cNvCxnSpPr/>
      </xdr:nvCxnSpPr>
      <xdr:spPr bwMode="auto">
        <a:xfrm flipV="1">
          <a:off x="826198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0CB4A-9F92-4E70-B669-E4A7D21B9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1690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318FA73-D239-42D3-866A-DDF73E676820}"/>
            </a:ext>
          </a:extLst>
        </xdr:cNvPr>
        <xdr:cNvCxnSpPr/>
      </xdr:nvCxnSpPr>
      <xdr:spPr bwMode="auto">
        <a:xfrm flipH="1">
          <a:off x="185166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CxnSpPr/>
      </xdr:nvCxnSpPr>
      <xdr:spPr bwMode="auto">
        <a:xfrm flipV="1">
          <a:off x="690562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3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41781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3100-000005000000}"/>
            </a:ext>
          </a:extLst>
        </xdr:cNvPr>
        <xdr:cNvCxnSpPr/>
      </xdr:nvCxnSpPr>
      <xdr:spPr bwMode="auto">
        <a:xfrm flipH="1">
          <a:off x="1552575" y="733426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0</xdr:rowOff>
    </xdr:from>
    <xdr:to>
      <xdr:col>8</xdr:col>
      <xdr:colOff>9525</xdr:colOff>
      <xdr:row>1</xdr:row>
      <xdr:rowOff>190500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CxnSpPr/>
      </xdr:nvCxnSpPr>
      <xdr:spPr bwMode="auto">
        <a:xfrm flipV="1">
          <a:off x="8269605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865240</xdr:colOff>
      <xdr:row>0</xdr:row>
      <xdr:rowOff>41910</xdr:rowOff>
    </xdr:from>
    <xdr:to>
      <xdr:col>4</xdr:col>
      <xdr:colOff>2773310</xdr:colOff>
      <xdr:row>1</xdr:row>
      <xdr:rowOff>148590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72452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</xdr:row>
      <xdr:rowOff>1</xdr:rowOff>
    </xdr:from>
    <xdr:to>
      <xdr:col>5</xdr:col>
      <xdr:colOff>9525</xdr:colOff>
      <xdr:row>2</xdr:row>
      <xdr:rowOff>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CxnSpPr/>
      </xdr:nvCxnSpPr>
      <xdr:spPr bwMode="auto">
        <a:xfrm flipH="1">
          <a:off x="1859280" y="731521"/>
          <a:ext cx="4314825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8</xdr:col>
      <xdr:colOff>0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6896100" y="0"/>
          <a:ext cx="0" cy="723900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0</xdr:colOff>
      <xdr:row>1</xdr:row>
      <xdr:rowOff>190501</xdr:rowOff>
    </xdr:from>
    <xdr:to>
      <xdr:col>5</xdr:col>
      <xdr:colOff>9525</xdr:colOff>
      <xdr:row>1</xdr:row>
      <xdr:rowOff>190501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 bwMode="auto">
        <a:xfrm flipH="1">
          <a:off x="1552575" y="723901"/>
          <a:ext cx="3600450" cy="0"/>
        </a:xfrm>
        <a:prstGeom prst="line">
          <a:avLst/>
        </a:prstGeom>
        <a:solidFill>
          <a:srgbClr val="FFFFFF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836665</xdr:colOff>
      <xdr:row>0</xdr:row>
      <xdr:rowOff>41910</xdr:rowOff>
    </xdr:from>
    <xdr:to>
      <xdr:col>4</xdr:col>
      <xdr:colOff>2744735</xdr:colOff>
      <xdr:row>1</xdr:row>
      <xdr:rowOff>148590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89240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846190</xdr:colOff>
      <xdr:row>0</xdr:row>
      <xdr:rowOff>41910</xdr:rowOff>
    </xdr:from>
    <xdr:to>
      <xdr:col>4</xdr:col>
      <xdr:colOff>2754260</xdr:colOff>
      <xdr:row>1</xdr:row>
      <xdr:rowOff>148590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1910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846190</xdr:colOff>
      <xdr:row>0</xdr:row>
      <xdr:rowOff>46672</xdr:rowOff>
    </xdr:from>
    <xdr:to>
      <xdr:col>4</xdr:col>
      <xdr:colOff>2754260</xdr:colOff>
      <xdr:row>1</xdr:row>
      <xdr:rowOff>153352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 bwMode="auto">
        <a:xfrm>
          <a:off x="2398765" y="46672"/>
          <a:ext cx="190807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olccbc-my.sharepoint.com/personal/leo_aolccbc_com/Documents/Documents/Admissions%20Outline%20(WIP)/Outlin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Franchise Info"/>
      <sheetName val="Course Table"/>
      <sheetName val="BookCost"/>
      <sheetName val="Outline Info"/>
      <sheetName val="Student Info"/>
      <sheetName val="Outline Admin"/>
      <sheetName val="EndDate"/>
      <sheetName val="ClosedDays"/>
      <sheetName val="WorkBC Quote"/>
      <sheetName val="Outline Student"/>
      <sheetName val="Student Record"/>
      <sheetName val="SR-Backup"/>
      <sheetName val="Contract-Long"/>
      <sheetName val="ProgOutline"/>
      <sheetName val="WorkExp"/>
      <sheetName val="Contract-Short"/>
      <sheetName val="File Checklist"/>
      <sheetName val="WC-Checklist"/>
      <sheetName val="LoanObligation"/>
      <sheetName val="Attendance Agreement"/>
      <sheetName val="Handbook Form"/>
      <sheetName val="OrientationList"/>
      <sheetName val="WelcomeSign"/>
      <sheetName val="Parking+Time"/>
      <sheetName val="Internet Usage"/>
      <sheetName val="CRC Form"/>
      <sheetName val="Referral"/>
      <sheetName val="Consent to Release"/>
      <sheetName val="SL Budget Worksheet"/>
      <sheetName val="SL Budget Form"/>
      <sheetName val="Dispute Policy"/>
      <sheetName val="Statement of Rights"/>
      <sheetName val="Misconduct Policy"/>
      <sheetName val="IT Agreement"/>
      <sheetName val="Virtual Form"/>
      <sheetName val="Placement"/>
    </sheetNames>
    <sheetDataSet>
      <sheetData sheetId="0"/>
      <sheetData sheetId="1">
        <row r="4">
          <cell r="B4" t="str">
            <v>#204 - 2692 Clearbrook Road, Abbotsford, BC, V2T 2Y8</v>
          </cell>
        </row>
        <row r="5">
          <cell r="B5" t="str">
            <v>Eff. October 1, 2016</v>
          </cell>
        </row>
        <row r="6">
          <cell r="B6" t="str">
            <v>(o/b 0833917 B.C. Ltd.)</v>
          </cell>
        </row>
        <row r="7">
          <cell r="B7" t="str">
            <v>Phone : (604) 855-3315                                            E-Mail : admin.abbotsford@aolccbc.com                                             Fax : (604) 855-3365</v>
          </cell>
        </row>
        <row r="8">
          <cell r="B8" t="str">
            <v>Abbotsford</v>
          </cell>
        </row>
        <row r="9">
          <cell r="B9" t="str">
            <v>APNT</v>
          </cell>
        </row>
        <row r="10">
          <cell r="B10" t="str">
            <v>3500</v>
          </cell>
        </row>
        <row r="12">
          <cell r="C12">
            <v>0.3</v>
          </cell>
        </row>
      </sheetData>
      <sheetData sheetId="2">
        <row r="1">
          <cell r="A1" t="str">
            <v>Course Code</v>
          </cell>
          <cell r="B1" t="str">
            <v>Course Description</v>
          </cell>
          <cell r="C1" t="str">
            <v>Version</v>
          </cell>
          <cell r="D1" t="str">
            <v>Course 
Price</v>
          </cell>
          <cell r="E1" t="str">
            <v>Total 
Hours</v>
          </cell>
          <cell r="F1" t="str">
            <v>Combo Code</v>
          </cell>
          <cell r="G1" t="str">
            <v>Courses 
in Combo</v>
          </cell>
          <cell r="H1" t="str">
            <v>Group</v>
          </cell>
          <cell r="I1" t="str">
            <v>Credits</v>
          </cell>
        </row>
        <row r="2">
          <cell r="A2" t="str">
            <v>A+EXAMS1</v>
          </cell>
          <cell r="B2" t="str">
            <v>A+ Certification Exam (only 1 x single attempt)</v>
          </cell>
          <cell r="D2">
            <v>240</v>
          </cell>
          <cell r="E2">
            <v>4</v>
          </cell>
          <cell r="H2">
            <v>98</v>
          </cell>
          <cell r="I2">
            <v>0</v>
          </cell>
        </row>
        <row r="3">
          <cell r="A3" t="str">
            <v>A+EXAMS2</v>
          </cell>
          <cell r="B3" t="str">
            <v>A+ Certification Exam (only 2 x single attempts)</v>
          </cell>
          <cell r="D3">
            <v>440</v>
          </cell>
          <cell r="E3">
            <v>8</v>
          </cell>
          <cell r="H3">
            <v>98</v>
          </cell>
          <cell r="I3">
            <v>0</v>
          </cell>
        </row>
        <row r="4">
          <cell r="A4" t="str">
            <v>ACS19E1</v>
          </cell>
          <cell r="B4" t="str">
            <v>MS Access Level 1</v>
          </cell>
          <cell r="C4" t="str">
            <v>Ver 2019</v>
          </cell>
          <cell r="D4">
            <v>389</v>
          </cell>
          <cell r="E4">
            <v>27</v>
          </cell>
          <cell r="H4">
            <v>5</v>
          </cell>
          <cell r="I4">
            <v>1.5</v>
          </cell>
        </row>
        <row r="5">
          <cell r="A5" t="str">
            <v>ACS19E2</v>
          </cell>
          <cell r="B5" t="str">
            <v>MS Access Level 2</v>
          </cell>
          <cell r="C5" t="str">
            <v>Ver 2019</v>
          </cell>
          <cell r="D5">
            <v>389</v>
          </cell>
          <cell r="E5">
            <v>30</v>
          </cell>
          <cell r="H5">
            <v>5</v>
          </cell>
          <cell r="I5">
            <v>1.5</v>
          </cell>
        </row>
        <row r="6">
          <cell r="A6" t="str">
            <v>BAC-COOP(BAC-BC)</v>
          </cell>
          <cell r="B6" t="str">
            <v>Business Administration Co-op</v>
          </cell>
          <cell r="D6">
            <v>4400</v>
          </cell>
          <cell r="E6">
            <v>880</v>
          </cell>
          <cell r="H6">
            <v>98</v>
          </cell>
        </row>
        <row r="7">
          <cell r="A7" t="str">
            <v>BAIP04E1</v>
          </cell>
          <cell r="B7" t="str">
            <v>Business Administration Integrative Project</v>
          </cell>
          <cell r="D7">
            <v>657</v>
          </cell>
          <cell r="E7">
            <v>40</v>
          </cell>
          <cell r="H7">
            <v>9</v>
          </cell>
          <cell r="I7">
            <v>2</v>
          </cell>
        </row>
        <row r="8">
          <cell r="A8" t="str">
            <v>BBK99E1</v>
          </cell>
          <cell r="B8" t="str">
            <v>Basic Bookkeeping Level 1</v>
          </cell>
          <cell r="D8">
            <v>499</v>
          </cell>
          <cell r="E8">
            <v>30</v>
          </cell>
          <cell r="H8">
            <v>9</v>
          </cell>
          <cell r="I8">
            <v>1.5</v>
          </cell>
        </row>
        <row r="9">
          <cell r="A9" t="str">
            <v>BBK99E2</v>
          </cell>
          <cell r="B9" t="str">
            <v>Basic Bookkeeping Level 2</v>
          </cell>
          <cell r="D9">
            <v>449</v>
          </cell>
          <cell r="E9">
            <v>20</v>
          </cell>
          <cell r="H9">
            <v>9</v>
          </cell>
          <cell r="I9">
            <v>1</v>
          </cell>
        </row>
        <row r="10">
          <cell r="A10" t="str">
            <v>BDA15O1</v>
          </cell>
          <cell r="B10" t="str">
            <v>Business in the Digital Age</v>
          </cell>
          <cell r="D10">
            <v>499</v>
          </cell>
          <cell r="E10">
            <v>30</v>
          </cell>
          <cell r="H10">
            <v>9</v>
          </cell>
          <cell r="I10">
            <v>1.5</v>
          </cell>
        </row>
        <row r="11">
          <cell r="A11" t="str">
            <v>BEC04E1</v>
          </cell>
          <cell r="B11" t="str">
            <v>Business Economics</v>
          </cell>
          <cell r="D11">
            <v>499</v>
          </cell>
          <cell r="E11">
            <v>30</v>
          </cell>
          <cell r="H11">
            <v>9</v>
          </cell>
          <cell r="I11">
            <v>1.5</v>
          </cell>
        </row>
        <row r="12">
          <cell r="A12" t="str">
            <v>BEM06E1</v>
          </cell>
          <cell r="B12" t="str">
            <v>Event Marketing</v>
          </cell>
          <cell r="D12">
            <v>499</v>
          </cell>
          <cell r="E12">
            <v>30</v>
          </cell>
          <cell r="H12">
            <v>9</v>
          </cell>
          <cell r="I12">
            <v>1.5</v>
          </cell>
        </row>
        <row r="13">
          <cell r="A13" t="str">
            <v>BES14E1</v>
          </cell>
          <cell r="B13" t="str">
            <v>Business Essentials</v>
          </cell>
          <cell r="C13" t="str">
            <v>Ver 2014</v>
          </cell>
          <cell r="D13">
            <v>729</v>
          </cell>
          <cell r="E13">
            <v>40</v>
          </cell>
          <cell r="H13">
            <v>9</v>
          </cell>
          <cell r="I13">
            <v>2</v>
          </cell>
        </row>
        <row r="14">
          <cell r="A14" t="str">
            <v>BFM04E1</v>
          </cell>
          <cell r="B14" t="str">
            <v>Business Financial Management</v>
          </cell>
          <cell r="D14">
            <v>729</v>
          </cell>
          <cell r="E14">
            <v>40</v>
          </cell>
          <cell r="H14">
            <v>9</v>
          </cell>
          <cell r="I14">
            <v>2</v>
          </cell>
        </row>
        <row r="15">
          <cell r="A15" t="str">
            <v>BLE04E1</v>
          </cell>
          <cell r="B15" t="str">
            <v>Business Law &amp; Ethics</v>
          </cell>
          <cell r="D15">
            <v>479</v>
          </cell>
          <cell r="E15">
            <v>30</v>
          </cell>
          <cell r="H15">
            <v>9</v>
          </cell>
          <cell r="I15">
            <v>1.5</v>
          </cell>
        </row>
        <row r="16">
          <cell r="A16" t="str">
            <v>BLKCH19E1</v>
          </cell>
          <cell r="B16" t="str">
            <v>Introduction to Blockchain and Smart Contract Technology</v>
          </cell>
          <cell r="D16">
            <v>520</v>
          </cell>
          <cell r="E16">
            <v>20</v>
          </cell>
          <cell r="H16">
            <v>17</v>
          </cell>
          <cell r="I16">
            <v>1</v>
          </cell>
        </row>
        <row r="17">
          <cell r="A17" t="str">
            <v>BLKCH19E2</v>
          </cell>
          <cell r="B17" t="str">
            <v>Blockchain Application Development</v>
          </cell>
          <cell r="D17">
            <v>728</v>
          </cell>
          <cell r="E17">
            <v>28</v>
          </cell>
          <cell r="H17">
            <v>17</v>
          </cell>
          <cell r="I17">
            <v>1.5</v>
          </cell>
        </row>
        <row r="18">
          <cell r="A18" t="str">
            <v>BMA06E1</v>
          </cell>
          <cell r="B18" t="str">
            <v>Business Math</v>
          </cell>
          <cell r="D18">
            <v>399</v>
          </cell>
          <cell r="E18">
            <v>22</v>
          </cell>
          <cell r="H18">
            <v>2</v>
          </cell>
          <cell r="I18">
            <v>1</v>
          </cell>
        </row>
        <row r="19">
          <cell r="A19" t="str">
            <v>BNC06E1</v>
          </cell>
          <cell r="B19" t="str">
            <v>Business Negotiations and Contracts</v>
          </cell>
          <cell r="D19">
            <v>479</v>
          </cell>
          <cell r="E19">
            <v>30</v>
          </cell>
          <cell r="H19">
            <v>9</v>
          </cell>
          <cell r="I19">
            <v>1.5</v>
          </cell>
        </row>
        <row r="20">
          <cell r="A20" t="str">
            <v>BOOKS_AW</v>
          </cell>
          <cell r="B20" t="str">
            <v>Books Fee (Addiction Worker)</v>
          </cell>
          <cell r="D20">
            <v>115</v>
          </cell>
          <cell r="E20">
            <v>0</v>
          </cell>
          <cell r="H20">
            <v>98</v>
          </cell>
          <cell r="I20">
            <v>0</v>
          </cell>
        </row>
        <row r="21">
          <cell r="A21" t="str">
            <v>BOOKS_CSW</v>
          </cell>
          <cell r="B21" t="str">
            <v>Books Fee (Community Service Worker)</v>
          </cell>
          <cell r="D21">
            <v>600</v>
          </cell>
          <cell r="E21">
            <v>0</v>
          </cell>
          <cell r="H21">
            <v>98</v>
          </cell>
          <cell r="I21">
            <v>0</v>
          </cell>
        </row>
        <row r="22">
          <cell r="A22" t="str">
            <v>BOOKS_HUC</v>
          </cell>
          <cell r="B22" t="str">
            <v>Books Fee (MOA with Unit Clerk)</v>
          </cell>
          <cell r="D22">
            <v>826</v>
          </cell>
          <cell r="E22">
            <v>0</v>
          </cell>
          <cell r="H22">
            <v>98</v>
          </cell>
          <cell r="I22">
            <v>0</v>
          </cell>
        </row>
        <row r="23">
          <cell r="A23" t="str">
            <v>BOOKS_MOA</v>
          </cell>
          <cell r="B23" t="str">
            <v>Books Fee (Medical Office Assistant)</v>
          </cell>
          <cell r="D23">
            <v>700</v>
          </cell>
          <cell r="E23">
            <v>0</v>
          </cell>
          <cell r="H23">
            <v>98</v>
          </cell>
          <cell r="I23">
            <v>0</v>
          </cell>
        </row>
        <row r="24">
          <cell r="A24" t="str">
            <v>BOOKS_MOFA</v>
          </cell>
          <cell r="B24" t="str">
            <v>Books Fee (Medical Office Front Desk Assistant)</v>
          </cell>
          <cell r="D24">
            <v>170</v>
          </cell>
          <cell r="E24">
            <v>0</v>
          </cell>
          <cell r="H24">
            <v>98</v>
          </cell>
          <cell r="I24">
            <v>0</v>
          </cell>
        </row>
        <row r="25">
          <cell r="A25" t="str">
            <v>BPL15O1</v>
          </cell>
          <cell r="B25" t="str">
            <v>Business Planning</v>
          </cell>
          <cell r="D25">
            <v>375</v>
          </cell>
          <cell r="E25">
            <v>16</v>
          </cell>
          <cell r="H25">
            <v>9</v>
          </cell>
          <cell r="I25">
            <v>1</v>
          </cell>
        </row>
        <row r="26">
          <cell r="A26" t="str">
            <v>BPS05E1</v>
          </cell>
          <cell r="B26" t="str">
            <v>Business Presentations</v>
          </cell>
          <cell r="D26">
            <v>479</v>
          </cell>
          <cell r="E26">
            <v>30</v>
          </cell>
          <cell r="H26">
            <v>9</v>
          </cell>
          <cell r="I26">
            <v>1.5</v>
          </cell>
        </row>
        <row r="27">
          <cell r="A27" t="str">
            <v>BSC13E1</v>
          </cell>
          <cell r="B27" t="str">
            <v>Business Correspondence Level 1</v>
          </cell>
          <cell r="D27">
            <v>499</v>
          </cell>
          <cell r="E27">
            <v>32</v>
          </cell>
          <cell r="H27">
            <v>9</v>
          </cell>
          <cell r="I27">
            <v>1.5</v>
          </cell>
        </row>
        <row r="28">
          <cell r="A28" t="str">
            <v>BSC13E2</v>
          </cell>
          <cell r="B28" t="str">
            <v>Business Correspondence Level 2</v>
          </cell>
          <cell r="D28">
            <v>499</v>
          </cell>
          <cell r="E28">
            <v>32</v>
          </cell>
          <cell r="H28">
            <v>9</v>
          </cell>
          <cell r="I28">
            <v>1.5</v>
          </cell>
        </row>
        <row r="29">
          <cell r="A29" t="str">
            <v>BSE-COOP(BSE-BC)</v>
          </cell>
          <cell r="B29" t="str">
            <v>Business Service Essentials Co-op</v>
          </cell>
          <cell r="D29">
            <v>2600</v>
          </cell>
          <cell r="E29">
            <v>520</v>
          </cell>
          <cell r="H29">
            <v>98</v>
          </cell>
        </row>
        <row r="30">
          <cell r="A30" t="str">
            <v>BSS05E1</v>
          </cell>
          <cell r="B30" t="str">
            <v>Business Supervisory Skills</v>
          </cell>
          <cell r="D30">
            <v>479</v>
          </cell>
          <cell r="E30">
            <v>30</v>
          </cell>
          <cell r="H30">
            <v>9</v>
          </cell>
          <cell r="I30">
            <v>1.5</v>
          </cell>
        </row>
        <row r="31">
          <cell r="A31" t="str">
            <v>BVC06E1</v>
          </cell>
          <cell r="B31" t="str">
            <v>Business Verbal Communication</v>
          </cell>
          <cell r="D31">
            <v>479</v>
          </cell>
          <cell r="E31">
            <v>30</v>
          </cell>
          <cell r="H31">
            <v>9</v>
          </cell>
          <cell r="I31">
            <v>1.5</v>
          </cell>
        </row>
        <row r="32">
          <cell r="A32" t="str">
            <v>BWE06E1</v>
          </cell>
          <cell r="B32" t="str">
            <v>Grammar Essentials for Business Writing</v>
          </cell>
          <cell r="D32">
            <v>479</v>
          </cell>
          <cell r="E32">
            <v>30</v>
          </cell>
          <cell r="H32">
            <v>9</v>
          </cell>
          <cell r="I32">
            <v>1.5</v>
          </cell>
        </row>
        <row r="33">
          <cell r="A33" t="str">
            <v>CCC00E1</v>
          </cell>
          <cell r="B33" t="str">
            <v>Call Centre Career Options &amp; Opportunities</v>
          </cell>
          <cell r="D33">
            <v>341</v>
          </cell>
          <cell r="E33">
            <v>18</v>
          </cell>
          <cell r="H33">
            <v>13</v>
          </cell>
          <cell r="I33">
            <v>1</v>
          </cell>
        </row>
        <row r="34">
          <cell r="A34" t="str">
            <v>CCD00E1</v>
          </cell>
          <cell r="B34" t="str">
            <v>Call Centre Team Dynamics &amp; Personal Development</v>
          </cell>
          <cell r="D34">
            <v>341</v>
          </cell>
          <cell r="E34">
            <v>18</v>
          </cell>
          <cell r="H34">
            <v>13</v>
          </cell>
          <cell r="I34">
            <v>1</v>
          </cell>
        </row>
        <row r="35">
          <cell r="A35" t="str">
            <v>CCE00E1</v>
          </cell>
          <cell r="B35" t="str">
            <v>Call Centre Equipment &amp; Technology</v>
          </cell>
          <cell r="D35">
            <v>341</v>
          </cell>
          <cell r="E35">
            <v>21</v>
          </cell>
          <cell r="H35">
            <v>13</v>
          </cell>
          <cell r="I35">
            <v>1</v>
          </cell>
        </row>
        <row r="36">
          <cell r="A36" t="str">
            <v>CCI00E1</v>
          </cell>
          <cell r="B36" t="str">
            <v>Call Centre Industry Overview</v>
          </cell>
          <cell r="D36">
            <v>341</v>
          </cell>
          <cell r="E36">
            <v>23</v>
          </cell>
          <cell r="H36">
            <v>13</v>
          </cell>
          <cell r="I36">
            <v>1</v>
          </cell>
        </row>
        <row r="37">
          <cell r="A37" t="str">
            <v>CCS00E1</v>
          </cell>
          <cell r="B37" t="str">
            <v>Call Centre Telephone Sales</v>
          </cell>
          <cell r="D37">
            <v>341</v>
          </cell>
          <cell r="E37">
            <v>18</v>
          </cell>
          <cell r="H37">
            <v>13</v>
          </cell>
          <cell r="I37">
            <v>1</v>
          </cell>
        </row>
        <row r="38">
          <cell r="A38" t="str">
            <v>CCT00E1</v>
          </cell>
          <cell r="B38" t="str">
            <v>Call Centre Telephone Communication Skills</v>
          </cell>
          <cell r="D38">
            <v>375</v>
          </cell>
          <cell r="E38">
            <v>18</v>
          </cell>
          <cell r="H38">
            <v>13</v>
          </cell>
          <cell r="I38">
            <v>1</v>
          </cell>
        </row>
        <row r="39">
          <cell r="A39" t="str">
            <v>CEM06E1</v>
          </cell>
          <cell r="B39" t="str">
            <v>Conference and Event Management</v>
          </cell>
          <cell r="D39">
            <v>709</v>
          </cell>
          <cell r="E39">
            <v>40</v>
          </cell>
          <cell r="H39">
            <v>9</v>
          </cell>
          <cell r="I39">
            <v>2</v>
          </cell>
        </row>
        <row r="40">
          <cell r="A40" t="str">
            <v>CertBlaster</v>
          </cell>
          <cell r="B40" t="str">
            <v>CertBlaster Exam Preparation</v>
          </cell>
          <cell r="D40">
            <v>625</v>
          </cell>
          <cell r="E40">
            <v>70</v>
          </cell>
          <cell r="H40">
            <v>98</v>
          </cell>
          <cell r="I40">
            <v>0</v>
          </cell>
        </row>
        <row r="41">
          <cell r="A41" t="str">
            <v>CertBlaster1</v>
          </cell>
          <cell r="B41" t="str">
            <v>CertBlaster Exam Preparation 1 Unit</v>
          </cell>
          <cell r="D41">
            <v>314</v>
          </cell>
          <cell r="E41">
            <v>35</v>
          </cell>
          <cell r="H41">
            <v>98</v>
          </cell>
          <cell r="I41">
            <v>0</v>
          </cell>
        </row>
        <row r="42">
          <cell r="A42" t="str">
            <v>CertBlaster2</v>
          </cell>
          <cell r="B42" t="str">
            <v>CertBlaster Exam Preparation 2 Unit</v>
          </cell>
          <cell r="D42">
            <v>628</v>
          </cell>
          <cell r="E42">
            <v>70</v>
          </cell>
          <cell r="H42">
            <v>98</v>
          </cell>
          <cell r="I42">
            <v>0</v>
          </cell>
        </row>
        <row r="43">
          <cell r="A43" t="str">
            <v>CertBlaster4</v>
          </cell>
          <cell r="B43" t="str">
            <v>CertBlaster Exam Preparation 4 Unit</v>
          </cell>
          <cell r="D43">
            <v>1256</v>
          </cell>
          <cell r="E43">
            <v>140</v>
          </cell>
          <cell r="H43">
            <v>98</v>
          </cell>
          <cell r="I43">
            <v>0</v>
          </cell>
        </row>
        <row r="44">
          <cell r="A44" t="str">
            <v>CPA06E1</v>
          </cell>
          <cell r="B44" t="str">
            <v>Payroll Compliance Legislation</v>
          </cell>
          <cell r="D44">
            <v>1298</v>
          </cell>
          <cell r="E44">
            <v>80</v>
          </cell>
          <cell r="H44">
            <v>7</v>
          </cell>
          <cell r="I44">
            <v>4</v>
          </cell>
        </row>
        <row r="45">
          <cell r="A45" t="str">
            <v>CPA06E2</v>
          </cell>
          <cell r="B45" t="str">
            <v>Payroll Fundamentals 1</v>
          </cell>
          <cell r="D45">
            <v>1298</v>
          </cell>
          <cell r="E45">
            <v>80</v>
          </cell>
          <cell r="H45">
            <v>7</v>
          </cell>
          <cell r="I45">
            <v>4</v>
          </cell>
        </row>
        <row r="46">
          <cell r="A46" t="str">
            <v>CPA06E3</v>
          </cell>
          <cell r="B46" t="str">
            <v>Payroll Fundamentals 2</v>
          </cell>
          <cell r="D46">
            <v>1298</v>
          </cell>
          <cell r="E46">
            <v>80</v>
          </cell>
          <cell r="H46">
            <v>7</v>
          </cell>
          <cell r="I46">
            <v>4</v>
          </cell>
        </row>
        <row r="47">
          <cell r="A47" t="str">
            <v>CPACRED06</v>
          </cell>
          <cell r="B47" t="str">
            <v>CPA Course Credits - Payroll Fundamentals</v>
          </cell>
          <cell r="D47">
            <v>329</v>
          </cell>
          <cell r="E47">
            <v>0</v>
          </cell>
          <cell r="H47">
            <v>98</v>
          </cell>
          <cell r="I47">
            <v>0</v>
          </cell>
        </row>
        <row r="48">
          <cell r="A48" t="str">
            <v>CPAMEMB06</v>
          </cell>
          <cell r="B48" t="str">
            <v>CPA Membership</v>
          </cell>
          <cell r="D48">
            <v>53</v>
          </cell>
          <cell r="E48">
            <v>0</v>
          </cell>
          <cell r="H48">
            <v>98</v>
          </cell>
          <cell r="I48">
            <v>0</v>
          </cell>
        </row>
        <row r="49">
          <cell r="A49" t="str">
            <v>CPR00E1</v>
          </cell>
          <cell r="B49" t="str">
            <v>Basic Rescuer (Level C) CPR Certifications</v>
          </cell>
          <cell r="D49">
            <v>99</v>
          </cell>
          <cell r="E49">
            <v>0</v>
          </cell>
          <cell r="H49">
            <v>18</v>
          </cell>
          <cell r="I49">
            <v>0</v>
          </cell>
        </row>
        <row r="50">
          <cell r="A50" t="str">
            <v>CSR13E1</v>
          </cell>
          <cell r="B50" t="str">
            <v>Customer Service</v>
          </cell>
          <cell r="D50">
            <v>549</v>
          </cell>
          <cell r="E50">
            <v>30</v>
          </cell>
          <cell r="H50">
            <v>9</v>
          </cell>
          <cell r="I50">
            <v>1.5</v>
          </cell>
        </row>
        <row r="51">
          <cell r="A51" t="str">
            <v>CSR13E1A</v>
          </cell>
          <cell r="B51" t="str">
            <v>Customer Service Essentials</v>
          </cell>
          <cell r="D51">
            <v>341</v>
          </cell>
          <cell r="E51">
            <v>20</v>
          </cell>
          <cell r="H51">
            <v>9</v>
          </cell>
          <cell r="I51">
            <v>1</v>
          </cell>
        </row>
        <row r="52">
          <cell r="A52" t="str">
            <v>ESL0102</v>
          </cell>
          <cell r="B52" t="str">
            <v>English as Second Language (1w/2h)</v>
          </cell>
          <cell r="D52">
            <v>125</v>
          </cell>
          <cell r="E52">
            <v>10</v>
          </cell>
          <cell r="H52">
            <v>10</v>
          </cell>
        </row>
        <row r="53">
          <cell r="A53" t="str">
            <v>ESL0102-Books</v>
          </cell>
          <cell r="B53" t="str">
            <v>ESL Material Fees</v>
          </cell>
          <cell r="D53">
            <v>5</v>
          </cell>
          <cell r="E53">
            <v>0</v>
          </cell>
          <cell r="H53">
            <v>98</v>
          </cell>
        </row>
        <row r="54">
          <cell r="A54" t="str">
            <v>ESL0102-Lab</v>
          </cell>
          <cell r="B54" t="str">
            <v>ESL Lab Fees</v>
          </cell>
          <cell r="D54">
            <v>10</v>
          </cell>
          <cell r="E54">
            <v>0</v>
          </cell>
          <cell r="H54">
            <v>98</v>
          </cell>
        </row>
        <row r="55">
          <cell r="A55" t="str">
            <v>ESL0104</v>
          </cell>
          <cell r="B55" t="str">
            <v>English as Second Language (1w/4h)</v>
          </cell>
          <cell r="D55">
            <v>225</v>
          </cell>
          <cell r="E55">
            <v>20</v>
          </cell>
          <cell r="H55">
            <v>10</v>
          </cell>
        </row>
        <row r="56">
          <cell r="A56" t="str">
            <v>ESL0104-Books</v>
          </cell>
          <cell r="B56" t="str">
            <v>ESL Material Fees</v>
          </cell>
          <cell r="D56">
            <v>10</v>
          </cell>
          <cell r="E56">
            <v>0</v>
          </cell>
          <cell r="H56">
            <v>98</v>
          </cell>
        </row>
        <row r="57">
          <cell r="A57" t="str">
            <v>ESL0104-Lab</v>
          </cell>
          <cell r="B57" t="str">
            <v>ESL Lab Fees</v>
          </cell>
          <cell r="D57">
            <v>20</v>
          </cell>
          <cell r="E57">
            <v>0</v>
          </cell>
          <cell r="H57">
            <v>98</v>
          </cell>
        </row>
        <row r="58">
          <cell r="A58" t="str">
            <v>ESL0402</v>
          </cell>
          <cell r="B58" t="str">
            <v>English as Second Language (4w/2h)</v>
          </cell>
          <cell r="D58">
            <v>450</v>
          </cell>
          <cell r="E58">
            <v>40</v>
          </cell>
          <cell r="H58">
            <v>10</v>
          </cell>
        </row>
        <row r="59">
          <cell r="A59" t="str">
            <v>ESL0402-Books</v>
          </cell>
          <cell r="B59" t="str">
            <v>ESL Material Fees</v>
          </cell>
          <cell r="D59">
            <v>10</v>
          </cell>
          <cell r="E59">
            <v>0</v>
          </cell>
          <cell r="H59">
            <v>98</v>
          </cell>
        </row>
        <row r="60">
          <cell r="A60" t="str">
            <v>ESL0402-Lab</v>
          </cell>
          <cell r="B60" t="str">
            <v>ESL Lab Fees</v>
          </cell>
          <cell r="D60">
            <v>25</v>
          </cell>
          <cell r="E60">
            <v>0</v>
          </cell>
          <cell r="H60">
            <v>98</v>
          </cell>
        </row>
        <row r="61">
          <cell r="A61" t="str">
            <v>ESL0404</v>
          </cell>
          <cell r="B61" t="str">
            <v>English as Second Language (4w/4h)</v>
          </cell>
          <cell r="D61">
            <v>835</v>
          </cell>
          <cell r="E61">
            <v>80</v>
          </cell>
          <cell r="H61">
            <v>10</v>
          </cell>
        </row>
        <row r="62">
          <cell r="A62" t="str">
            <v>ESL0404-Books</v>
          </cell>
          <cell r="B62" t="str">
            <v>ESL Material Fees</v>
          </cell>
          <cell r="D62">
            <v>20</v>
          </cell>
          <cell r="E62">
            <v>0</v>
          </cell>
          <cell r="H62">
            <v>98</v>
          </cell>
        </row>
        <row r="63">
          <cell r="A63" t="str">
            <v>ESL0404-Lab</v>
          </cell>
          <cell r="B63" t="str">
            <v>ESL Lab Fees</v>
          </cell>
          <cell r="D63">
            <v>40</v>
          </cell>
          <cell r="E63">
            <v>0</v>
          </cell>
          <cell r="H63">
            <v>98</v>
          </cell>
        </row>
        <row r="64">
          <cell r="A64" t="str">
            <v>ESL0802</v>
          </cell>
          <cell r="B64" t="str">
            <v>English as Second Language (8w/2h)</v>
          </cell>
          <cell r="D64">
            <v>825</v>
          </cell>
          <cell r="E64">
            <v>80</v>
          </cell>
          <cell r="H64">
            <v>10</v>
          </cell>
        </row>
        <row r="65">
          <cell r="A65" t="str">
            <v>ESL0802-Books</v>
          </cell>
          <cell r="B65" t="str">
            <v>ESL Material Fees</v>
          </cell>
          <cell r="D65">
            <v>25</v>
          </cell>
          <cell r="E65">
            <v>0</v>
          </cell>
          <cell r="H65">
            <v>98</v>
          </cell>
        </row>
        <row r="66">
          <cell r="A66" t="str">
            <v>ESL0802-Lab</v>
          </cell>
          <cell r="B66" t="str">
            <v>ESL Lab Fees</v>
          </cell>
          <cell r="D66">
            <v>40</v>
          </cell>
          <cell r="E66">
            <v>0</v>
          </cell>
          <cell r="H66">
            <v>98</v>
          </cell>
        </row>
        <row r="67">
          <cell r="A67" t="str">
            <v>ESL0804</v>
          </cell>
          <cell r="B67" t="str">
            <v>English as Second Language (8w/4h)</v>
          </cell>
          <cell r="D67">
            <v>1595</v>
          </cell>
          <cell r="E67">
            <v>160</v>
          </cell>
          <cell r="H67">
            <v>10</v>
          </cell>
        </row>
        <row r="68">
          <cell r="A68" t="str">
            <v>ESL0804-Books</v>
          </cell>
          <cell r="B68" t="str">
            <v>ESL Material Fees</v>
          </cell>
          <cell r="D68">
            <v>30</v>
          </cell>
          <cell r="E68">
            <v>0</v>
          </cell>
          <cell r="H68">
            <v>98</v>
          </cell>
        </row>
        <row r="69">
          <cell r="A69" t="str">
            <v>ESL0804-Lab</v>
          </cell>
          <cell r="B69" t="str">
            <v>ESL Lab Fees</v>
          </cell>
          <cell r="D69">
            <v>70</v>
          </cell>
          <cell r="E69">
            <v>0</v>
          </cell>
          <cell r="H69">
            <v>98</v>
          </cell>
        </row>
        <row r="70">
          <cell r="A70" t="str">
            <v>ESL1202</v>
          </cell>
          <cell r="B70" t="str">
            <v>English as Second Language (12w/2h)</v>
          </cell>
          <cell r="D70">
            <v>1295</v>
          </cell>
          <cell r="E70">
            <v>120</v>
          </cell>
          <cell r="H70">
            <v>10</v>
          </cell>
        </row>
        <row r="71">
          <cell r="A71" t="str">
            <v>ESL1202-Books</v>
          </cell>
          <cell r="B71" t="str">
            <v>ESL Material Fees</v>
          </cell>
          <cell r="D71">
            <v>25</v>
          </cell>
          <cell r="E71">
            <v>0</v>
          </cell>
          <cell r="H71">
            <v>98</v>
          </cell>
        </row>
        <row r="72">
          <cell r="A72" t="str">
            <v>ESL1202-Lab</v>
          </cell>
          <cell r="B72" t="str">
            <v>ESL Lab Fees</v>
          </cell>
          <cell r="D72">
            <v>45</v>
          </cell>
          <cell r="E72">
            <v>0</v>
          </cell>
          <cell r="H72">
            <v>98</v>
          </cell>
        </row>
        <row r="73">
          <cell r="A73" t="str">
            <v>ESL1204</v>
          </cell>
          <cell r="B73" t="str">
            <v>English as Second Language (12w/4h)</v>
          </cell>
          <cell r="D73">
            <v>2390</v>
          </cell>
          <cell r="E73">
            <v>240</v>
          </cell>
          <cell r="H73">
            <v>10</v>
          </cell>
        </row>
        <row r="74">
          <cell r="A74" t="str">
            <v>ESL1204-Books</v>
          </cell>
          <cell r="B74" t="str">
            <v>ESL Material Fees</v>
          </cell>
          <cell r="D74">
            <v>40</v>
          </cell>
          <cell r="E74">
            <v>0</v>
          </cell>
          <cell r="H74">
            <v>98</v>
          </cell>
        </row>
        <row r="75">
          <cell r="A75" t="str">
            <v>ESL1204-Lab</v>
          </cell>
          <cell r="B75" t="str">
            <v>ESL Lab Fees</v>
          </cell>
          <cell r="D75">
            <v>65</v>
          </cell>
          <cell r="E75">
            <v>0</v>
          </cell>
          <cell r="H75">
            <v>98</v>
          </cell>
        </row>
        <row r="76">
          <cell r="A76" t="str">
            <v>ESS15E1</v>
          </cell>
          <cell r="B76" t="str">
            <v>Employment Success Strategies</v>
          </cell>
          <cell r="D76">
            <v>699</v>
          </cell>
          <cell r="E76">
            <v>40</v>
          </cell>
          <cell r="H76">
            <v>9</v>
          </cell>
          <cell r="I76">
            <v>2</v>
          </cell>
        </row>
        <row r="77">
          <cell r="A77" t="str">
            <v>EXC19E1</v>
          </cell>
          <cell r="B77" t="str">
            <v>MS Excel Level 1</v>
          </cell>
          <cell r="C77" t="str">
            <v>Ver 2019</v>
          </cell>
          <cell r="D77">
            <v>389</v>
          </cell>
          <cell r="E77">
            <v>28</v>
          </cell>
          <cell r="H77">
            <v>4</v>
          </cell>
          <cell r="I77">
            <v>1.5</v>
          </cell>
        </row>
        <row r="78">
          <cell r="A78" t="str">
            <v>EXC19E2</v>
          </cell>
          <cell r="B78" t="str">
            <v>MS Excel Level 2</v>
          </cell>
          <cell r="C78" t="str">
            <v>Ver 2019</v>
          </cell>
          <cell r="D78">
            <v>389</v>
          </cell>
          <cell r="E78">
            <v>35</v>
          </cell>
          <cell r="H78">
            <v>4</v>
          </cell>
          <cell r="I78">
            <v>2</v>
          </cell>
        </row>
        <row r="79">
          <cell r="A79" t="str">
            <v>EXC19E3</v>
          </cell>
          <cell r="B79" t="str">
            <v>MS Excel Level 3</v>
          </cell>
          <cell r="C79" t="str">
            <v>Ver 2020</v>
          </cell>
          <cell r="D79">
            <v>399</v>
          </cell>
          <cell r="E79">
            <v>35</v>
          </cell>
          <cell r="H79">
            <v>4</v>
          </cell>
          <cell r="I79">
            <v>2</v>
          </cell>
        </row>
        <row r="80">
          <cell r="A80" t="str">
            <v>HCAP11O1</v>
          </cell>
          <cell r="B80" t="str">
            <v>Anatomy and Physiology Part 1</v>
          </cell>
          <cell r="D80">
            <v>949</v>
          </cell>
          <cell r="E80">
            <v>75</v>
          </cell>
          <cell r="H80">
            <v>18</v>
          </cell>
          <cell r="I80">
            <v>4</v>
          </cell>
        </row>
        <row r="81">
          <cell r="A81" t="str">
            <v>HCAP11O2</v>
          </cell>
          <cell r="B81" t="str">
            <v>Anatomy and Physiology Part 2</v>
          </cell>
          <cell r="D81">
            <v>949</v>
          </cell>
          <cell r="E81">
            <v>75</v>
          </cell>
          <cell r="H81">
            <v>18</v>
          </cell>
          <cell r="I81">
            <v>4</v>
          </cell>
        </row>
        <row r="82">
          <cell r="A82" t="str">
            <v>HCAW19O1</v>
          </cell>
          <cell r="B82" t="str">
            <v>Addition Workers Specialty Level 1</v>
          </cell>
          <cell r="D82">
            <v>988</v>
          </cell>
          <cell r="E82">
            <v>100</v>
          </cell>
          <cell r="H82">
            <v>18</v>
          </cell>
          <cell r="I82">
            <v>5</v>
          </cell>
        </row>
        <row r="83">
          <cell r="A83" t="str">
            <v>HCAW19O2</v>
          </cell>
          <cell r="B83" t="str">
            <v>Addition Workers Specialty Level 2</v>
          </cell>
          <cell r="D83">
            <v>988</v>
          </cell>
          <cell r="E83">
            <v>100</v>
          </cell>
          <cell r="H83">
            <v>18</v>
          </cell>
          <cell r="I83">
            <v>5</v>
          </cell>
        </row>
        <row r="84">
          <cell r="A84" t="str">
            <v>HCAW19O3</v>
          </cell>
          <cell r="B84" t="str">
            <v>Addition Workers Specialty Level 3</v>
          </cell>
          <cell r="D84">
            <v>988</v>
          </cell>
          <cell r="E84">
            <v>100</v>
          </cell>
          <cell r="H84">
            <v>18</v>
          </cell>
          <cell r="I84">
            <v>5</v>
          </cell>
        </row>
        <row r="85">
          <cell r="A85" t="str">
            <v>HCBC01O1</v>
          </cell>
          <cell r="B85" t="str">
            <v>Business Communication and Report Writing</v>
          </cell>
          <cell r="D85">
            <v>949</v>
          </cell>
          <cell r="E85">
            <v>75</v>
          </cell>
          <cell r="H85">
            <v>18</v>
          </cell>
          <cell r="I85">
            <v>4</v>
          </cell>
        </row>
        <row r="86">
          <cell r="A86" t="str">
            <v>HCCMC19O1</v>
          </cell>
          <cell r="B86" t="str">
            <v>Case Management, Counseling, and Ethics</v>
          </cell>
          <cell r="D86">
            <v>949</v>
          </cell>
          <cell r="E86">
            <v>75</v>
          </cell>
          <cell r="H86">
            <v>18</v>
          </cell>
          <cell r="I86">
            <v>4</v>
          </cell>
        </row>
        <row r="87">
          <cell r="A87" t="str">
            <v>HCCP13O1</v>
          </cell>
          <cell r="B87" t="str">
            <v>Clinical Procedures</v>
          </cell>
          <cell r="D87">
            <v>949</v>
          </cell>
          <cell r="E87">
            <v>75</v>
          </cell>
          <cell r="H87">
            <v>18</v>
          </cell>
          <cell r="I87">
            <v>4</v>
          </cell>
        </row>
        <row r="88">
          <cell r="A88" t="str">
            <v>HCCP1BC_CSW</v>
          </cell>
          <cell r="B88" t="str">
            <v>Preceptorship for CSW - BC</v>
          </cell>
          <cell r="D88">
            <v>889</v>
          </cell>
          <cell r="E88">
            <v>75</v>
          </cell>
          <cell r="H88">
            <v>14</v>
          </cell>
          <cell r="I88">
            <v>4</v>
          </cell>
        </row>
        <row r="89">
          <cell r="A89" t="str">
            <v>HCCP1BC_CSWAW</v>
          </cell>
          <cell r="B89" t="str">
            <v>Preceptorship for CSW and AW - BC</v>
          </cell>
          <cell r="D89">
            <v>889</v>
          </cell>
          <cell r="E89">
            <v>105</v>
          </cell>
          <cell r="H89">
            <v>14</v>
          </cell>
          <cell r="I89">
            <v>5.5</v>
          </cell>
        </row>
        <row r="90">
          <cell r="A90" t="str">
            <v>HCCP1BC_HUC</v>
          </cell>
          <cell r="B90" t="str">
            <v>Preceptorship for MOA with UC - BC</v>
          </cell>
          <cell r="D90">
            <v>889</v>
          </cell>
          <cell r="E90">
            <v>113</v>
          </cell>
          <cell r="H90">
            <v>14</v>
          </cell>
          <cell r="I90">
            <v>5.5</v>
          </cell>
        </row>
        <row r="91">
          <cell r="A91" t="str">
            <v>HCCP1BC_MOA</v>
          </cell>
          <cell r="B91" t="str">
            <v>Preceptorship for MOA - BC</v>
          </cell>
          <cell r="D91">
            <v>889</v>
          </cell>
          <cell r="E91">
            <v>75</v>
          </cell>
          <cell r="H91">
            <v>14</v>
          </cell>
          <cell r="I91">
            <v>4</v>
          </cell>
        </row>
        <row r="92">
          <cell r="A92" t="str">
            <v>HCCRP20O1</v>
          </cell>
          <cell r="B92" t="str">
            <v>Criminology and At-Risk Populations</v>
          </cell>
          <cell r="D92">
            <v>649</v>
          </cell>
          <cell r="E92">
            <v>50</v>
          </cell>
          <cell r="H92">
            <v>18</v>
          </cell>
          <cell r="I92">
            <v>2.5</v>
          </cell>
        </row>
        <row r="93">
          <cell r="A93" t="str">
            <v>HCEHR20E1</v>
          </cell>
          <cell r="B93" t="str">
            <v>EHR Billing and Coding</v>
          </cell>
          <cell r="D93">
            <v>625</v>
          </cell>
          <cell r="E93">
            <v>39</v>
          </cell>
          <cell r="H93">
            <v>18</v>
          </cell>
          <cell r="I93">
            <v>2</v>
          </cell>
        </row>
        <row r="94">
          <cell r="A94" t="str">
            <v>HCGSS18E1</v>
          </cell>
          <cell r="B94" t="str">
            <v>Government and Social Services</v>
          </cell>
          <cell r="D94">
            <v>949</v>
          </cell>
          <cell r="E94">
            <v>75</v>
          </cell>
          <cell r="H94">
            <v>18</v>
          </cell>
          <cell r="I94">
            <v>4</v>
          </cell>
        </row>
        <row r="95">
          <cell r="A95" t="str">
            <v>HCHUC07O1</v>
          </cell>
          <cell r="B95" t="str">
            <v>Health Unit Coordinator Level 1</v>
          </cell>
          <cell r="D95">
            <v>949</v>
          </cell>
          <cell r="E95">
            <v>100</v>
          </cell>
          <cell r="H95">
            <v>18</v>
          </cell>
          <cell r="I95">
            <v>5</v>
          </cell>
        </row>
        <row r="96">
          <cell r="A96" t="str">
            <v>HCHUC07O2</v>
          </cell>
          <cell r="B96" t="str">
            <v>Health Unit Coordinator Level 2</v>
          </cell>
          <cell r="D96">
            <v>949</v>
          </cell>
          <cell r="E96">
            <v>100</v>
          </cell>
          <cell r="H96">
            <v>18</v>
          </cell>
          <cell r="I96">
            <v>5</v>
          </cell>
        </row>
        <row r="97">
          <cell r="A97" t="str">
            <v>HCHUC07O3</v>
          </cell>
          <cell r="B97" t="str">
            <v>Health Unit Coordinator Level 3</v>
          </cell>
          <cell r="D97">
            <v>949</v>
          </cell>
          <cell r="E97">
            <v>100</v>
          </cell>
          <cell r="H97">
            <v>18</v>
          </cell>
          <cell r="I97">
            <v>5</v>
          </cell>
        </row>
        <row r="98">
          <cell r="A98" t="str">
            <v>HCLD05O1</v>
          </cell>
          <cell r="B98" t="str">
            <v>Life-Span Development</v>
          </cell>
          <cell r="D98">
            <v>649</v>
          </cell>
          <cell r="E98">
            <v>50</v>
          </cell>
          <cell r="H98">
            <v>18</v>
          </cell>
          <cell r="I98">
            <v>2.5</v>
          </cell>
        </row>
        <row r="99">
          <cell r="A99" t="str">
            <v>HCLML10OE1</v>
          </cell>
          <cell r="B99" t="str">
            <v>Learning Medical Language</v>
          </cell>
          <cell r="D99">
            <v>1639</v>
          </cell>
          <cell r="E99">
            <v>150</v>
          </cell>
          <cell r="H99">
            <v>18</v>
          </cell>
          <cell r="I99">
            <v>7.5</v>
          </cell>
        </row>
        <row r="100">
          <cell r="A100" t="str">
            <v>HCMHA06O1</v>
          </cell>
          <cell r="B100" t="str">
            <v>Introduction to Mental Health and Addictions</v>
          </cell>
          <cell r="D100">
            <v>649</v>
          </cell>
          <cell r="E100">
            <v>50</v>
          </cell>
          <cell r="H100">
            <v>18</v>
          </cell>
          <cell r="I100">
            <v>2.5</v>
          </cell>
        </row>
        <row r="101">
          <cell r="A101" t="str">
            <v>HCMOP13O1</v>
          </cell>
          <cell r="B101" t="str">
            <v>Medical Office Procedures</v>
          </cell>
          <cell r="D101">
            <v>949</v>
          </cell>
          <cell r="E101">
            <v>75</v>
          </cell>
          <cell r="H101">
            <v>18</v>
          </cell>
          <cell r="I101">
            <v>4</v>
          </cell>
        </row>
        <row r="102">
          <cell r="A102" t="str">
            <v>HCMT18E1A</v>
          </cell>
          <cell r="B102" t="str">
            <v>Introduction to Medical Terminology</v>
          </cell>
          <cell r="D102">
            <v>949</v>
          </cell>
          <cell r="E102">
            <v>75</v>
          </cell>
          <cell r="H102">
            <v>18</v>
          </cell>
          <cell r="I102">
            <v>4</v>
          </cell>
        </row>
        <row r="103">
          <cell r="A103" t="str">
            <v>HCPF18E1</v>
          </cell>
          <cell r="B103" t="str">
            <v>Psychology Fundamentals</v>
          </cell>
          <cell r="D103">
            <v>949</v>
          </cell>
          <cell r="E103">
            <v>75</v>
          </cell>
          <cell r="H103">
            <v>18</v>
          </cell>
          <cell r="I103">
            <v>4</v>
          </cell>
        </row>
        <row r="104">
          <cell r="A104" t="str">
            <v>HCSFL18E1</v>
          </cell>
          <cell r="B104" t="str">
            <v>Sociology and Family Life in Canada</v>
          </cell>
          <cell r="D104">
            <v>949</v>
          </cell>
          <cell r="E104">
            <v>75</v>
          </cell>
          <cell r="H104">
            <v>18</v>
          </cell>
          <cell r="I104">
            <v>4</v>
          </cell>
        </row>
        <row r="105">
          <cell r="A105" t="str">
            <v>HCTR07O1</v>
          </cell>
          <cell r="B105" t="str">
            <v>Introduction to Medical Transcription</v>
          </cell>
          <cell r="D105">
            <v>949</v>
          </cell>
          <cell r="E105">
            <v>75</v>
          </cell>
          <cell r="H105">
            <v>18</v>
          </cell>
          <cell r="I105">
            <v>4</v>
          </cell>
        </row>
        <row r="106">
          <cell r="A106" t="str">
            <v>HCTR07OE1A</v>
          </cell>
          <cell r="B106" t="str">
            <v>Introduction to Medical Transcription</v>
          </cell>
          <cell r="D106">
            <v>949</v>
          </cell>
          <cell r="E106">
            <v>75</v>
          </cell>
          <cell r="H106">
            <v>18</v>
          </cell>
          <cell r="I106">
            <v>4</v>
          </cell>
        </row>
        <row r="107">
          <cell r="A107" t="str">
            <v>HDA05E1</v>
          </cell>
          <cell r="B107" t="str">
            <v>Help Desk Analyst</v>
          </cell>
          <cell r="D107">
            <v>657</v>
          </cell>
          <cell r="E107">
            <v>24</v>
          </cell>
          <cell r="H107">
            <v>13</v>
          </cell>
          <cell r="I107">
            <v>1</v>
          </cell>
        </row>
        <row r="108">
          <cell r="A108" t="str">
            <v>HRM13E1</v>
          </cell>
          <cell r="B108" t="str">
            <v>Human Resource Management</v>
          </cell>
          <cell r="D108">
            <v>456</v>
          </cell>
          <cell r="E108">
            <v>30</v>
          </cell>
          <cell r="H108">
            <v>9</v>
          </cell>
          <cell r="I108">
            <v>1.5</v>
          </cell>
        </row>
        <row r="109">
          <cell r="A109" t="str">
            <v>INF18E1</v>
          </cell>
          <cell r="B109" t="str">
            <v>Internet Fundamentals</v>
          </cell>
          <cell r="D109">
            <v>389</v>
          </cell>
          <cell r="E109">
            <v>22</v>
          </cell>
          <cell r="H109">
            <v>2</v>
          </cell>
          <cell r="I109">
            <v>1</v>
          </cell>
        </row>
        <row r="110">
          <cell r="A110" t="str">
            <v>JOBSRCHBLM</v>
          </cell>
          <cell r="B110" t="str">
            <v>Job Search/Resume Writing</v>
          </cell>
          <cell r="D110">
            <v>579</v>
          </cell>
          <cell r="E110">
            <v>30</v>
          </cell>
          <cell r="H110">
            <v>15</v>
          </cell>
          <cell r="I110">
            <v>1.5</v>
          </cell>
        </row>
        <row r="111">
          <cell r="A111" t="str">
            <v>JSR11E1</v>
          </cell>
          <cell r="B111" t="str">
            <v>Job Search/Resume Writing</v>
          </cell>
          <cell r="D111">
            <v>579</v>
          </cell>
          <cell r="E111">
            <v>30</v>
          </cell>
          <cell r="H111">
            <v>15</v>
          </cell>
          <cell r="I111">
            <v>1.5</v>
          </cell>
        </row>
        <row r="112">
          <cell r="A112" t="str">
            <v>KBD15E1</v>
          </cell>
          <cell r="B112" t="str">
            <v>Introduction to Keyboarding</v>
          </cell>
          <cell r="C112" t="str">
            <v>Ver 2015</v>
          </cell>
          <cell r="D112">
            <v>349</v>
          </cell>
          <cell r="E112">
            <v>19</v>
          </cell>
          <cell r="H112">
            <v>1</v>
          </cell>
          <cell r="I112">
            <v>1</v>
          </cell>
        </row>
        <row r="113">
          <cell r="A113" t="str">
            <v>KBD15E2</v>
          </cell>
          <cell r="B113" t="str">
            <v>Keyboard Skill Building Level 1 (25 WPM)</v>
          </cell>
          <cell r="C113" t="str">
            <v>Ver 2015</v>
          </cell>
          <cell r="D113">
            <v>389</v>
          </cell>
          <cell r="E113">
            <v>25</v>
          </cell>
          <cell r="H113">
            <v>1</v>
          </cell>
          <cell r="I113">
            <v>1.5</v>
          </cell>
        </row>
        <row r="114">
          <cell r="A114" t="str">
            <v>KBD15E3</v>
          </cell>
          <cell r="B114" t="str">
            <v>Keyboard Skill Building Level 2 (40 WPM)</v>
          </cell>
          <cell r="C114" t="str">
            <v>Ver 2015</v>
          </cell>
          <cell r="D114">
            <v>389</v>
          </cell>
          <cell r="E114">
            <v>25</v>
          </cell>
          <cell r="H114">
            <v>1</v>
          </cell>
          <cell r="I114">
            <v>1.5</v>
          </cell>
        </row>
        <row r="115">
          <cell r="A115" t="str">
            <v>KBD15E4</v>
          </cell>
          <cell r="B115" t="str">
            <v>Keyboard Skill Building Level 3 (55 WPM)</v>
          </cell>
          <cell r="C115" t="str">
            <v>Ver 2015</v>
          </cell>
          <cell r="D115">
            <v>399</v>
          </cell>
          <cell r="E115">
            <v>25</v>
          </cell>
          <cell r="H115">
            <v>1</v>
          </cell>
          <cell r="I115">
            <v>1.5</v>
          </cell>
        </row>
        <row r="116">
          <cell r="A116" t="str">
            <v>LAB_CSW</v>
          </cell>
          <cell r="B116" t="str">
            <v>Lab &amp; Uniform Fees</v>
          </cell>
          <cell r="D116">
            <v>140</v>
          </cell>
          <cell r="E116">
            <v>0</v>
          </cell>
          <cell r="H116">
            <v>98</v>
          </cell>
          <cell r="I116">
            <v>0</v>
          </cell>
        </row>
        <row r="117">
          <cell r="A117" t="str">
            <v>LAB_MOA</v>
          </cell>
          <cell r="B117" t="str">
            <v>Lab &amp; Uniform Fees</v>
          </cell>
          <cell r="D117">
            <v>160</v>
          </cell>
          <cell r="E117">
            <v>0</v>
          </cell>
          <cell r="H117">
            <v>98</v>
          </cell>
          <cell r="I117">
            <v>0</v>
          </cell>
        </row>
        <row r="118">
          <cell r="A118" t="str">
            <v>MCExams1</v>
          </cell>
          <cell r="B118" t="str">
            <v>Microsoft Certification Exams - 1 Single Attempts</v>
          </cell>
          <cell r="D118">
            <v>170</v>
          </cell>
          <cell r="E118">
            <v>4</v>
          </cell>
          <cell r="H118">
            <v>98</v>
          </cell>
        </row>
        <row r="119">
          <cell r="A119" t="str">
            <v>MCExams2</v>
          </cell>
          <cell r="B119" t="str">
            <v>Microsoft Certification Exams - 2 Single Attempts</v>
          </cell>
          <cell r="D119">
            <v>340</v>
          </cell>
          <cell r="E119">
            <v>8</v>
          </cell>
          <cell r="H119">
            <v>98</v>
          </cell>
        </row>
        <row r="120">
          <cell r="A120" t="str">
            <v>MCExams3</v>
          </cell>
          <cell r="B120" t="str">
            <v>Microsoft Certification Exams - 3 Single Attempts</v>
          </cell>
          <cell r="D120">
            <v>510</v>
          </cell>
          <cell r="E120">
            <v>12</v>
          </cell>
          <cell r="H120">
            <v>98</v>
          </cell>
        </row>
        <row r="121">
          <cell r="A121" t="str">
            <v>MCExams4</v>
          </cell>
          <cell r="B121" t="str">
            <v>Microsoft Certification Exams - 4 Single Attempts</v>
          </cell>
          <cell r="D121">
            <v>680</v>
          </cell>
          <cell r="E121">
            <v>16</v>
          </cell>
          <cell r="H121">
            <v>98</v>
          </cell>
        </row>
        <row r="122">
          <cell r="A122" t="str">
            <v>MCExams5</v>
          </cell>
          <cell r="B122" t="str">
            <v>Microsoft Certification Exams - 5 Single Attempts</v>
          </cell>
          <cell r="D122">
            <v>850</v>
          </cell>
          <cell r="E122">
            <v>20</v>
          </cell>
          <cell r="H122">
            <v>98</v>
          </cell>
        </row>
        <row r="123">
          <cell r="A123" t="str">
            <v>MCExams6</v>
          </cell>
          <cell r="B123" t="str">
            <v>Microsoft Certification Exams - 6 Single Attempts</v>
          </cell>
          <cell r="D123">
            <v>1020</v>
          </cell>
          <cell r="E123">
            <v>24</v>
          </cell>
          <cell r="H123">
            <v>98</v>
          </cell>
        </row>
        <row r="124">
          <cell r="A124" t="str">
            <v>MDP00E1</v>
          </cell>
          <cell r="B124" t="str">
            <v>Medical Office Procedures</v>
          </cell>
          <cell r="D124">
            <v>625</v>
          </cell>
          <cell r="E124">
            <v>32</v>
          </cell>
          <cell r="H124">
            <v>18</v>
          </cell>
          <cell r="I124">
            <v>1.5</v>
          </cell>
        </row>
        <row r="125">
          <cell r="A125" t="str">
            <v>MDT00E1</v>
          </cell>
          <cell r="B125" t="str">
            <v>Introduction to Medical Terminology</v>
          </cell>
          <cell r="D125">
            <v>625</v>
          </cell>
          <cell r="E125">
            <v>34</v>
          </cell>
          <cell r="H125">
            <v>18</v>
          </cell>
          <cell r="I125">
            <v>1.5</v>
          </cell>
        </row>
        <row r="126">
          <cell r="A126" t="str">
            <v>MFN06E1</v>
          </cell>
          <cell r="B126" t="str">
            <v>Management Fundamentals</v>
          </cell>
          <cell r="D126">
            <v>688</v>
          </cell>
          <cell r="E126">
            <v>36</v>
          </cell>
          <cell r="H126">
            <v>9</v>
          </cell>
          <cell r="I126">
            <v>2</v>
          </cell>
        </row>
        <row r="127">
          <cell r="A127" t="str">
            <v>MKA15O1</v>
          </cell>
          <cell r="B127" t="str">
            <v>Marketing Administration</v>
          </cell>
          <cell r="D127">
            <v>698</v>
          </cell>
          <cell r="E127">
            <v>40</v>
          </cell>
          <cell r="H127">
            <v>9</v>
          </cell>
          <cell r="I127">
            <v>2</v>
          </cell>
        </row>
        <row r="128">
          <cell r="A128" t="str">
            <v>MKS13E1</v>
          </cell>
          <cell r="B128" t="str">
            <v>Marketing &amp; Sales</v>
          </cell>
          <cell r="D128">
            <v>696</v>
          </cell>
          <cell r="E128">
            <v>40</v>
          </cell>
          <cell r="H128">
            <v>9</v>
          </cell>
          <cell r="I128">
            <v>2</v>
          </cell>
        </row>
        <row r="129">
          <cell r="A129" t="str">
            <v>MOCExams3</v>
          </cell>
          <cell r="B129" t="str">
            <v>Microsoft Certification Exams - 3 Single Attempts</v>
          </cell>
          <cell r="D129">
            <v>724</v>
          </cell>
          <cell r="E129">
            <v>0</v>
          </cell>
          <cell r="H129">
            <v>98</v>
          </cell>
        </row>
        <row r="130">
          <cell r="A130" t="str">
            <v>MRPS00E1</v>
          </cell>
          <cell r="B130" t="str">
            <v>Medical Receptionist Pratical Simulation</v>
          </cell>
          <cell r="D130">
            <v>314</v>
          </cell>
          <cell r="E130">
            <v>20</v>
          </cell>
          <cell r="H130">
            <v>98</v>
          </cell>
          <cell r="I130">
            <v>1</v>
          </cell>
        </row>
        <row r="131">
          <cell r="A131" t="str">
            <v>N+EXAM1</v>
          </cell>
          <cell r="B131" t="str">
            <v>Network+ Certification Exam (only 1 x single attempt)</v>
          </cell>
          <cell r="D131">
            <v>305</v>
          </cell>
          <cell r="E131">
            <v>4</v>
          </cell>
          <cell r="H131">
            <v>98</v>
          </cell>
          <cell r="I131">
            <v>0</v>
          </cell>
        </row>
        <row r="132">
          <cell r="A132" t="str">
            <v>OFP10E1</v>
          </cell>
          <cell r="B132" t="str">
            <v>Office Procedures Level 1</v>
          </cell>
          <cell r="C132" t="str">
            <v>Ver 2010</v>
          </cell>
          <cell r="D132">
            <v>399</v>
          </cell>
          <cell r="E132">
            <v>24</v>
          </cell>
          <cell r="H132">
            <v>2</v>
          </cell>
          <cell r="I132">
            <v>1</v>
          </cell>
        </row>
        <row r="133">
          <cell r="A133" t="str">
            <v>OFP10E2</v>
          </cell>
          <cell r="B133" t="str">
            <v>Office Procedures Level 2</v>
          </cell>
          <cell r="C133" t="str">
            <v>Ver 2010</v>
          </cell>
          <cell r="D133">
            <v>399</v>
          </cell>
          <cell r="E133">
            <v>24</v>
          </cell>
          <cell r="H133">
            <v>2</v>
          </cell>
          <cell r="I133">
            <v>1</v>
          </cell>
        </row>
        <row r="134">
          <cell r="A134" t="str">
            <v>OTL19E1</v>
          </cell>
          <cell r="B134" t="str">
            <v>MS Outlook Level 1</v>
          </cell>
          <cell r="C134" t="str">
            <v>Ver 2019</v>
          </cell>
          <cell r="D134">
            <v>389</v>
          </cell>
          <cell r="E134">
            <v>25</v>
          </cell>
          <cell r="H134">
            <v>2</v>
          </cell>
          <cell r="I134">
            <v>1.5</v>
          </cell>
        </row>
        <row r="135">
          <cell r="A135" t="str">
            <v>OTL19L2</v>
          </cell>
          <cell r="B135" t="str">
            <v>MS Outlook Level 2</v>
          </cell>
          <cell r="C135" t="str">
            <v>Ver 2019</v>
          </cell>
          <cell r="D135">
            <v>399</v>
          </cell>
          <cell r="E135">
            <v>25</v>
          </cell>
          <cell r="H135">
            <v>2</v>
          </cell>
          <cell r="I135">
            <v>1.5</v>
          </cell>
        </row>
        <row r="136">
          <cell r="A136" t="str">
            <v>PCF20E1</v>
          </cell>
          <cell r="B136" t="str">
            <v>Personal Computer Fundamentals</v>
          </cell>
          <cell r="D136">
            <v>389</v>
          </cell>
          <cell r="E136">
            <v>24</v>
          </cell>
          <cell r="H136">
            <v>2</v>
          </cell>
          <cell r="I136">
            <v>1</v>
          </cell>
        </row>
        <row r="137">
          <cell r="A137" t="str">
            <v>PFS07E1</v>
          </cell>
          <cell r="B137" t="str">
            <v>Professional Selling</v>
          </cell>
          <cell r="D137">
            <v>698</v>
          </cell>
          <cell r="E137">
            <v>40</v>
          </cell>
          <cell r="H137">
            <v>9</v>
          </cell>
          <cell r="I137">
            <v>2</v>
          </cell>
        </row>
        <row r="138">
          <cell r="A138" t="str">
            <v>PMF20E1</v>
          </cell>
          <cell r="B138" t="str">
            <v>Project Management Fundamentals - Level 1</v>
          </cell>
          <cell r="D138">
            <v>995</v>
          </cell>
          <cell r="E138">
            <v>36</v>
          </cell>
          <cell r="H138">
            <v>9</v>
          </cell>
          <cell r="I138">
            <v>2</v>
          </cell>
        </row>
        <row r="139">
          <cell r="A139" t="str">
            <v>PMF20E2</v>
          </cell>
          <cell r="B139" t="str">
            <v>Project Management Fundamentals - Level 2</v>
          </cell>
          <cell r="D139">
            <v>695</v>
          </cell>
          <cell r="E139">
            <v>30</v>
          </cell>
          <cell r="H139">
            <v>9</v>
          </cell>
          <cell r="I139">
            <v>1.5</v>
          </cell>
        </row>
        <row r="140">
          <cell r="A140" t="str">
            <v>PPT19E1</v>
          </cell>
          <cell r="B140" t="str">
            <v>MS Powerpoint Level 1</v>
          </cell>
          <cell r="C140" t="str">
            <v>Ver 2019</v>
          </cell>
          <cell r="D140">
            <v>389</v>
          </cell>
          <cell r="E140">
            <v>24</v>
          </cell>
          <cell r="H140">
            <v>6</v>
          </cell>
          <cell r="I140">
            <v>1</v>
          </cell>
        </row>
        <row r="141">
          <cell r="A141" t="str">
            <v>PPT19E2</v>
          </cell>
          <cell r="B141" t="str">
            <v>MS Powerpoint Level 2</v>
          </cell>
          <cell r="C141" t="str">
            <v>Ver 2019</v>
          </cell>
          <cell r="D141">
            <v>399</v>
          </cell>
          <cell r="E141">
            <v>26</v>
          </cell>
          <cell r="H141">
            <v>6</v>
          </cell>
          <cell r="I141">
            <v>1.5</v>
          </cell>
        </row>
        <row r="142">
          <cell r="A142" t="str">
            <v>PRA101</v>
          </cell>
          <cell r="B142" t="str">
            <v>Practical Applications - 1 Unit</v>
          </cell>
          <cell r="D142">
            <v>314</v>
          </cell>
          <cell r="E142">
            <v>20</v>
          </cell>
          <cell r="H142">
            <v>2</v>
          </cell>
          <cell r="I142">
            <v>0</v>
          </cell>
        </row>
        <row r="143">
          <cell r="A143" t="str">
            <v>PRA102</v>
          </cell>
          <cell r="B143" t="str">
            <v>Practical Applications - 2 Units</v>
          </cell>
          <cell r="D143">
            <v>689</v>
          </cell>
          <cell r="E143">
            <v>40</v>
          </cell>
          <cell r="H143">
            <v>2</v>
          </cell>
          <cell r="I143">
            <v>0</v>
          </cell>
        </row>
        <row r="144">
          <cell r="A144" t="str">
            <v>PRA103</v>
          </cell>
          <cell r="B144" t="str">
            <v>Practical Applications - 3 Units</v>
          </cell>
          <cell r="D144">
            <v>965</v>
          </cell>
          <cell r="E144">
            <v>60</v>
          </cell>
          <cell r="H144">
            <v>2</v>
          </cell>
          <cell r="I144">
            <v>0</v>
          </cell>
        </row>
        <row r="145">
          <cell r="A145" t="str">
            <v>PRA104</v>
          </cell>
          <cell r="B145" t="str">
            <v>Practical Applications - 4 Units</v>
          </cell>
          <cell r="D145">
            <v>1266</v>
          </cell>
          <cell r="E145">
            <v>80</v>
          </cell>
          <cell r="H145">
            <v>2</v>
          </cell>
          <cell r="I145">
            <v>0</v>
          </cell>
        </row>
        <row r="146">
          <cell r="A146" t="str">
            <v>PRJ13M2</v>
          </cell>
          <cell r="B146" t="str">
            <v>MS Project Level 2</v>
          </cell>
          <cell r="C146" t="str">
            <v>Ver 2013</v>
          </cell>
          <cell r="D146">
            <v>499</v>
          </cell>
          <cell r="E146">
            <v>30</v>
          </cell>
          <cell r="H146">
            <v>9</v>
          </cell>
          <cell r="I146">
            <v>1.5</v>
          </cell>
        </row>
        <row r="147">
          <cell r="A147" t="str">
            <v>PRJ19L1</v>
          </cell>
          <cell r="B147" t="str">
            <v>MS Project Level 1</v>
          </cell>
          <cell r="C147" t="str">
            <v>Ver 2019</v>
          </cell>
          <cell r="D147">
            <v>499</v>
          </cell>
          <cell r="E147">
            <v>30</v>
          </cell>
          <cell r="H147">
            <v>9</v>
          </cell>
          <cell r="I147">
            <v>1.5</v>
          </cell>
        </row>
        <row r="148">
          <cell r="A148" t="str">
            <v>PRJ19L2</v>
          </cell>
          <cell r="B148" t="str">
            <v>MS Project Level 2</v>
          </cell>
          <cell r="C148" t="str">
            <v>Ver 2019</v>
          </cell>
          <cell r="D148">
            <v>499</v>
          </cell>
          <cell r="E148">
            <v>30</v>
          </cell>
          <cell r="H148">
            <v>9</v>
          </cell>
          <cell r="I148">
            <v>1.5</v>
          </cell>
        </row>
        <row r="149">
          <cell r="A149" t="str">
            <v>PRS07E1</v>
          </cell>
          <cell r="B149" t="str">
            <v>Principles of Selling</v>
          </cell>
          <cell r="D149">
            <v>698</v>
          </cell>
          <cell r="E149">
            <v>40</v>
          </cell>
          <cell r="H149">
            <v>9</v>
          </cell>
          <cell r="I149">
            <v>2</v>
          </cell>
        </row>
        <row r="150">
          <cell r="A150" t="str">
            <v>PTENG01</v>
          </cell>
          <cell r="B150" t="str">
            <v>Pitman English (1 month)</v>
          </cell>
          <cell r="D150">
            <v>150</v>
          </cell>
          <cell r="E150">
            <v>80</v>
          </cell>
          <cell r="H150">
            <v>10</v>
          </cell>
          <cell r="I150">
            <v>0</v>
          </cell>
        </row>
        <row r="151">
          <cell r="A151" t="str">
            <v>PTENG03</v>
          </cell>
          <cell r="B151" t="str">
            <v>Pitman English (3 month)</v>
          </cell>
          <cell r="D151">
            <v>400</v>
          </cell>
          <cell r="E151">
            <v>240</v>
          </cell>
          <cell r="H151">
            <v>10</v>
          </cell>
          <cell r="I151">
            <v>0</v>
          </cell>
        </row>
        <row r="152">
          <cell r="A152" t="str">
            <v>PUB19L1</v>
          </cell>
          <cell r="B152" t="str">
            <v>MS Publisher Level 1</v>
          </cell>
          <cell r="C152" t="str">
            <v>Ver 2019</v>
          </cell>
          <cell r="D152">
            <v>428</v>
          </cell>
          <cell r="E152">
            <v>26</v>
          </cell>
          <cell r="H152">
            <v>6</v>
          </cell>
          <cell r="I152">
            <v>1.5</v>
          </cell>
        </row>
        <row r="153">
          <cell r="A153" t="str">
            <v>QBK20E1</v>
          </cell>
          <cell r="B153" t="str">
            <v>QuickBooks Premier 2019</v>
          </cell>
          <cell r="C153" t="str">
            <v>Ver 2012</v>
          </cell>
          <cell r="D153">
            <v>495</v>
          </cell>
          <cell r="E153">
            <v>29</v>
          </cell>
          <cell r="H153">
            <v>7</v>
          </cell>
          <cell r="I153">
            <v>1.5</v>
          </cell>
        </row>
        <row r="154">
          <cell r="A154" t="str">
            <v>SE4013GD</v>
          </cell>
          <cell r="B154" t="str">
            <v>Graphic Design 1</v>
          </cell>
          <cell r="C154" t="str">
            <v>Graphic Design</v>
          </cell>
          <cell r="D154">
            <v>990</v>
          </cell>
          <cell r="E154">
            <v>60</v>
          </cell>
          <cell r="H154">
            <v>19</v>
          </cell>
          <cell r="I154">
            <v>3</v>
          </cell>
        </row>
        <row r="155">
          <cell r="A155" t="str">
            <v>SE4017CC</v>
          </cell>
          <cell r="B155" t="str">
            <v>Colour Theory</v>
          </cell>
          <cell r="C155" t="str">
            <v>Creative Cloud</v>
          </cell>
          <cell r="D155">
            <v>419</v>
          </cell>
          <cell r="E155">
            <v>25</v>
          </cell>
          <cell r="H155">
            <v>19</v>
          </cell>
          <cell r="I155">
            <v>1.5</v>
          </cell>
        </row>
        <row r="156">
          <cell r="A156" t="str">
            <v>SE4017GD</v>
          </cell>
          <cell r="B156" t="str">
            <v>Colour Theory</v>
          </cell>
          <cell r="C156" t="str">
            <v>Graphic Design</v>
          </cell>
          <cell r="D156">
            <v>495</v>
          </cell>
          <cell r="E156">
            <v>30</v>
          </cell>
          <cell r="H156">
            <v>19</v>
          </cell>
          <cell r="I156">
            <v>1.5</v>
          </cell>
        </row>
        <row r="157">
          <cell r="A157" t="str">
            <v>SE4019GD</v>
          </cell>
          <cell r="B157" t="str">
            <v>The Study of Graphic Design</v>
          </cell>
          <cell r="C157" t="str">
            <v>Graphic Design</v>
          </cell>
          <cell r="D157">
            <v>495</v>
          </cell>
          <cell r="E157">
            <v>30</v>
          </cell>
          <cell r="H157">
            <v>19</v>
          </cell>
          <cell r="I157">
            <v>1.5</v>
          </cell>
        </row>
        <row r="158">
          <cell r="A158" t="str">
            <v>SE4020GD</v>
          </cell>
          <cell r="B158" t="str">
            <v>Design and Composition</v>
          </cell>
          <cell r="C158" t="str">
            <v>Graphic Design</v>
          </cell>
          <cell r="D158">
            <v>495</v>
          </cell>
          <cell r="E158">
            <v>30</v>
          </cell>
          <cell r="H158">
            <v>19</v>
          </cell>
          <cell r="I158">
            <v>1.5</v>
          </cell>
        </row>
        <row r="159">
          <cell r="A159" t="str">
            <v>SE4211GD</v>
          </cell>
          <cell r="B159" t="str">
            <v>Fundamentals of Logo Design</v>
          </cell>
          <cell r="C159" t="str">
            <v>Graphic Design</v>
          </cell>
          <cell r="D159">
            <v>495</v>
          </cell>
          <cell r="E159">
            <v>30</v>
          </cell>
          <cell r="H159">
            <v>19</v>
          </cell>
          <cell r="I159">
            <v>1.5</v>
          </cell>
        </row>
        <row r="160">
          <cell r="A160" t="str">
            <v>SE4213CC</v>
          </cell>
          <cell r="B160" t="str">
            <v>Web Portfolio Design</v>
          </cell>
          <cell r="C160" t="str">
            <v>Creative Cloud</v>
          </cell>
          <cell r="D160">
            <v>419</v>
          </cell>
          <cell r="E160">
            <v>25</v>
          </cell>
          <cell r="H160">
            <v>19</v>
          </cell>
          <cell r="I160">
            <v>1.5</v>
          </cell>
        </row>
        <row r="161">
          <cell r="A161" t="str">
            <v>SE4218CC</v>
          </cell>
          <cell r="B161" t="str">
            <v>Photoshop Basics</v>
          </cell>
          <cell r="C161" t="str">
            <v>Creative Cloud</v>
          </cell>
          <cell r="D161">
            <v>829</v>
          </cell>
          <cell r="E161">
            <v>40</v>
          </cell>
          <cell r="H161">
            <v>19</v>
          </cell>
          <cell r="I161">
            <v>2</v>
          </cell>
        </row>
        <row r="162">
          <cell r="A162" t="str">
            <v>SE4218GD</v>
          </cell>
          <cell r="B162" t="str">
            <v>Photoshop Basics</v>
          </cell>
          <cell r="C162" t="str">
            <v>Graphic Design</v>
          </cell>
          <cell r="D162">
            <v>990</v>
          </cell>
          <cell r="E162">
            <v>60</v>
          </cell>
          <cell r="H162">
            <v>19</v>
          </cell>
          <cell r="I162">
            <v>3</v>
          </cell>
        </row>
        <row r="163">
          <cell r="A163" t="str">
            <v>SE4221CC</v>
          </cell>
          <cell r="B163" t="str">
            <v>Fundamentals of Typography</v>
          </cell>
          <cell r="C163" t="str">
            <v>Creative Cloud</v>
          </cell>
          <cell r="D163">
            <v>419</v>
          </cell>
          <cell r="E163">
            <v>20</v>
          </cell>
          <cell r="H163">
            <v>19</v>
          </cell>
          <cell r="I163">
            <v>1</v>
          </cell>
        </row>
        <row r="164">
          <cell r="A164" t="str">
            <v>SE4221GD</v>
          </cell>
          <cell r="B164" t="str">
            <v>Fundamentals of Typography</v>
          </cell>
          <cell r="C164" t="str">
            <v>Graphic Design</v>
          </cell>
          <cell r="D164">
            <v>495</v>
          </cell>
          <cell r="E164">
            <v>30</v>
          </cell>
          <cell r="H164">
            <v>19</v>
          </cell>
          <cell r="I164">
            <v>1.5</v>
          </cell>
        </row>
        <row r="165">
          <cell r="A165" t="str">
            <v>SE4226CC</v>
          </cell>
          <cell r="B165" t="str">
            <v>Illustrator Basics</v>
          </cell>
          <cell r="C165" t="str">
            <v>Creative Cloud</v>
          </cell>
          <cell r="D165">
            <v>829</v>
          </cell>
          <cell r="E165">
            <v>40</v>
          </cell>
          <cell r="H165">
            <v>19</v>
          </cell>
          <cell r="I165">
            <v>2</v>
          </cell>
        </row>
        <row r="166">
          <cell r="A166" t="str">
            <v>SE4226GD</v>
          </cell>
          <cell r="B166" t="str">
            <v>Illustrator Basics</v>
          </cell>
          <cell r="C166" t="str">
            <v>Graphic Design</v>
          </cell>
          <cell r="D166">
            <v>990</v>
          </cell>
          <cell r="E166">
            <v>60</v>
          </cell>
          <cell r="H166">
            <v>19</v>
          </cell>
          <cell r="I166">
            <v>3</v>
          </cell>
        </row>
        <row r="167">
          <cell r="A167" t="str">
            <v>SE4228GD</v>
          </cell>
          <cell r="B167" t="str">
            <v>InDesign Basics</v>
          </cell>
          <cell r="C167" t="str">
            <v>Graphic Design</v>
          </cell>
          <cell r="D167">
            <v>990</v>
          </cell>
          <cell r="E167">
            <v>60</v>
          </cell>
          <cell r="H167">
            <v>19</v>
          </cell>
          <cell r="I167">
            <v>3</v>
          </cell>
        </row>
        <row r="168">
          <cell r="A168" t="str">
            <v>SE4301GD</v>
          </cell>
          <cell r="B168" t="str">
            <v>Print Production</v>
          </cell>
          <cell r="C168" t="str">
            <v>Graphic Design</v>
          </cell>
          <cell r="D168">
            <v>990</v>
          </cell>
          <cell r="E168">
            <v>60</v>
          </cell>
          <cell r="H168">
            <v>19</v>
          </cell>
          <cell r="I168">
            <v>3</v>
          </cell>
        </row>
        <row r="169">
          <cell r="A169" t="str">
            <v>SE4303GD</v>
          </cell>
          <cell r="B169" t="str">
            <v>Design Business</v>
          </cell>
          <cell r="C169" t="str">
            <v>Graphic Design</v>
          </cell>
          <cell r="D169">
            <v>495</v>
          </cell>
          <cell r="E169">
            <v>30</v>
          </cell>
          <cell r="H169">
            <v>19</v>
          </cell>
          <cell r="I169">
            <v>1.5</v>
          </cell>
        </row>
        <row r="170">
          <cell r="A170" t="str">
            <v>SE5002CC</v>
          </cell>
          <cell r="B170" t="str">
            <v>Web 101</v>
          </cell>
          <cell r="C170" t="str">
            <v>Creative Cloud</v>
          </cell>
          <cell r="D170">
            <v>419</v>
          </cell>
          <cell r="E170">
            <v>25</v>
          </cell>
          <cell r="H170">
            <v>19</v>
          </cell>
          <cell r="I170">
            <v>1.5</v>
          </cell>
        </row>
        <row r="171">
          <cell r="A171" t="str">
            <v>SE5011CC</v>
          </cell>
          <cell r="B171" t="str">
            <v>Introduction to Web Design</v>
          </cell>
          <cell r="C171" t="str">
            <v>Creative Cloud</v>
          </cell>
          <cell r="D171">
            <v>268</v>
          </cell>
          <cell r="E171">
            <v>20</v>
          </cell>
          <cell r="H171">
            <v>19</v>
          </cell>
          <cell r="I171">
            <v>1</v>
          </cell>
        </row>
        <row r="172">
          <cell r="A172" t="str">
            <v>SE5013CC</v>
          </cell>
          <cell r="B172" t="str">
            <v>Web Design 1</v>
          </cell>
          <cell r="C172" t="str">
            <v>Creative Cloud</v>
          </cell>
          <cell r="D172">
            <v>829</v>
          </cell>
          <cell r="E172">
            <v>50</v>
          </cell>
          <cell r="H172">
            <v>19</v>
          </cell>
          <cell r="I172">
            <v>2.5</v>
          </cell>
        </row>
        <row r="173">
          <cell r="A173" t="str">
            <v>SE5221CC</v>
          </cell>
          <cell r="B173" t="str">
            <v>Information Design</v>
          </cell>
          <cell r="C173" t="str">
            <v>Creative Cloud</v>
          </cell>
          <cell r="D173">
            <v>419</v>
          </cell>
          <cell r="E173">
            <v>20</v>
          </cell>
          <cell r="H173">
            <v>19</v>
          </cell>
          <cell r="I173">
            <v>1</v>
          </cell>
        </row>
        <row r="174">
          <cell r="A174" t="str">
            <v>SE5229CC</v>
          </cell>
          <cell r="B174" t="str">
            <v>HTML and CSS Essentials</v>
          </cell>
          <cell r="C174" t="str">
            <v>Creative Cloud</v>
          </cell>
          <cell r="D174">
            <v>829</v>
          </cell>
          <cell r="E174">
            <v>60</v>
          </cell>
          <cell r="H174">
            <v>19</v>
          </cell>
          <cell r="I174">
            <v>3</v>
          </cell>
        </row>
        <row r="175">
          <cell r="A175" t="str">
            <v>SE5300CC</v>
          </cell>
          <cell r="B175" t="str">
            <v>Bootstrap using Dreamweaver 1</v>
          </cell>
          <cell r="C175" t="str">
            <v>Creative Cloud</v>
          </cell>
          <cell r="D175">
            <v>829</v>
          </cell>
          <cell r="E175">
            <v>50</v>
          </cell>
          <cell r="H175">
            <v>19</v>
          </cell>
          <cell r="I175">
            <v>2.5</v>
          </cell>
        </row>
        <row r="176">
          <cell r="A176" t="str">
            <v>SE5302CC</v>
          </cell>
          <cell r="B176" t="str">
            <v>Dreamweaver 2</v>
          </cell>
          <cell r="C176" t="str">
            <v>Creative Cloud</v>
          </cell>
          <cell r="D176">
            <v>829</v>
          </cell>
          <cell r="E176">
            <v>40</v>
          </cell>
          <cell r="H176">
            <v>19</v>
          </cell>
          <cell r="I176">
            <v>2</v>
          </cell>
        </row>
        <row r="177">
          <cell r="A177" t="str">
            <v>SE5315CC</v>
          </cell>
          <cell r="B177" t="str">
            <v>WordPress For Designers</v>
          </cell>
          <cell r="C177" t="str">
            <v>Creative Cloud</v>
          </cell>
          <cell r="D177">
            <v>829</v>
          </cell>
          <cell r="E177">
            <v>50</v>
          </cell>
          <cell r="H177">
            <v>19</v>
          </cell>
          <cell r="I177">
            <v>2</v>
          </cell>
        </row>
        <row r="178">
          <cell r="A178" t="str">
            <v>SE5442CC</v>
          </cell>
          <cell r="B178" t="str">
            <v>Dynamic Web Development with PHP</v>
          </cell>
          <cell r="C178" t="str">
            <v>Creative Cloud</v>
          </cell>
          <cell r="D178">
            <v>829</v>
          </cell>
          <cell r="E178">
            <v>60</v>
          </cell>
          <cell r="H178">
            <v>19</v>
          </cell>
          <cell r="I178">
            <v>3</v>
          </cell>
        </row>
        <row r="179">
          <cell r="A179" t="str">
            <v>SE5500CC</v>
          </cell>
          <cell r="B179" t="str">
            <v>Animate I</v>
          </cell>
          <cell r="C179" t="str">
            <v>Creative Cloud</v>
          </cell>
          <cell r="D179">
            <v>829</v>
          </cell>
          <cell r="E179">
            <v>40</v>
          </cell>
          <cell r="H179">
            <v>19</v>
          </cell>
          <cell r="I179">
            <v>2</v>
          </cell>
        </row>
        <row r="180">
          <cell r="A180" t="str">
            <v>SE7116CC</v>
          </cell>
          <cell r="B180" t="str">
            <v>JavaScript for Designers</v>
          </cell>
          <cell r="C180" t="str">
            <v>Creative Cloud</v>
          </cell>
          <cell r="D180">
            <v>829</v>
          </cell>
          <cell r="E180">
            <v>40</v>
          </cell>
          <cell r="H180">
            <v>19</v>
          </cell>
          <cell r="I180">
            <v>2</v>
          </cell>
        </row>
        <row r="181">
          <cell r="A181" t="str">
            <v>Sec+EXAM1</v>
          </cell>
          <cell r="B181" t="str">
            <v>Security+ Certification Exam (1 x single attempt)</v>
          </cell>
          <cell r="D181">
            <v>466</v>
          </cell>
          <cell r="E181">
            <v>4</v>
          </cell>
          <cell r="H181">
            <v>98</v>
          </cell>
          <cell r="I181">
            <v>0</v>
          </cell>
        </row>
        <row r="182">
          <cell r="A182" t="str">
            <v>Ser+EXAM1</v>
          </cell>
          <cell r="B182" t="str">
            <v>Server+ Certification Exam (1 x single attempt)</v>
          </cell>
          <cell r="D182">
            <v>428</v>
          </cell>
          <cell r="E182">
            <v>4</v>
          </cell>
          <cell r="H182">
            <v>98</v>
          </cell>
          <cell r="I182">
            <v>0.5</v>
          </cell>
        </row>
        <row r="183">
          <cell r="A183" t="str">
            <v>SFA00E1</v>
          </cell>
          <cell r="B183" t="str">
            <v>Standard First Aid</v>
          </cell>
          <cell r="D183">
            <v>99</v>
          </cell>
          <cell r="E183">
            <v>0</v>
          </cell>
          <cell r="H183">
            <v>98</v>
          </cell>
          <cell r="I183">
            <v>0</v>
          </cell>
        </row>
        <row r="184">
          <cell r="A184" t="str">
            <v>SG30018E1</v>
          </cell>
          <cell r="B184" t="str">
            <v>Sage 300 2018 General Ledger</v>
          </cell>
          <cell r="D184">
            <v>495</v>
          </cell>
          <cell r="E184">
            <v>32</v>
          </cell>
          <cell r="H184">
            <v>7</v>
          </cell>
          <cell r="I184">
            <v>1.5</v>
          </cell>
        </row>
        <row r="185">
          <cell r="A185" t="str">
            <v>SG30018E2</v>
          </cell>
          <cell r="B185" t="str">
            <v>Sage 300 2018 Accounts Payable</v>
          </cell>
          <cell r="D185">
            <v>495</v>
          </cell>
          <cell r="E185">
            <v>21</v>
          </cell>
          <cell r="H185">
            <v>7</v>
          </cell>
          <cell r="I185">
            <v>1</v>
          </cell>
        </row>
        <row r="186">
          <cell r="A186" t="str">
            <v>SG30018E3</v>
          </cell>
          <cell r="B186" t="str">
            <v>Sage 300 2018 Accounts Receivable</v>
          </cell>
          <cell r="D186">
            <v>495</v>
          </cell>
          <cell r="E186">
            <v>21</v>
          </cell>
          <cell r="H186">
            <v>7</v>
          </cell>
          <cell r="I186">
            <v>1</v>
          </cell>
        </row>
        <row r="187">
          <cell r="A187" t="str">
            <v>SG30018E4</v>
          </cell>
          <cell r="B187" t="str">
            <v>Sage 300 2018 Inventory Control and Order Entry</v>
          </cell>
          <cell r="D187">
            <v>495</v>
          </cell>
          <cell r="E187">
            <v>27</v>
          </cell>
          <cell r="H187">
            <v>7</v>
          </cell>
          <cell r="I187">
            <v>1.5</v>
          </cell>
        </row>
        <row r="188">
          <cell r="A188" t="str">
            <v>SG5013E1</v>
          </cell>
          <cell r="B188" t="str">
            <v>Sage 50 Premium Accounting 2013</v>
          </cell>
          <cell r="C188" t="str">
            <v>Ver 2013</v>
          </cell>
          <cell r="D188">
            <v>799</v>
          </cell>
          <cell r="E188">
            <v>46</v>
          </cell>
          <cell r="H188">
            <v>7</v>
          </cell>
          <cell r="I188">
            <v>2.5</v>
          </cell>
        </row>
        <row r="189">
          <cell r="A189" t="str">
            <v>SR(AA-BC)</v>
          </cell>
          <cell r="B189" t="str">
            <v>Study/Review - Accounting Adm - BC</v>
          </cell>
          <cell r="D189">
            <v>0</v>
          </cell>
          <cell r="E189">
            <v>64</v>
          </cell>
          <cell r="H189">
            <v>99</v>
          </cell>
          <cell r="I189">
            <v>3</v>
          </cell>
        </row>
        <row r="190">
          <cell r="A190" t="str">
            <v>SR(AA-BC)</v>
          </cell>
          <cell r="B190" t="str">
            <v>Study/Review - Adm Assistant BC</v>
          </cell>
          <cell r="D190">
            <v>0</v>
          </cell>
          <cell r="E190">
            <v>64</v>
          </cell>
          <cell r="H190">
            <v>99</v>
          </cell>
          <cell r="I190">
            <v>3</v>
          </cell>
        </row>
        <row r="191">
          <cell r="A191" t="str">
            <v>SR(ABCert-BC)</v>
          </cell>
          <cell r="B191" t="str">
            <v>Study/Review - Accounting Bookeepers - Cert - BC</v>
          </cell>
          <cell r="D191">
            <v>0</v>
          </cell>
          <cell r="E191">
            <v>54</v>
          </cell>
          <cell r="H191">
            <v>99</v>
          </cell>
          <cell r="I191">
            <v>2.5</v>
          </cell>
        </row>
        <row r="192">
          <cell r="A192" t="str">
            <v>SR(ABT-BC)</v>
          </cell>
          <cell r="B192" t="str">
            <v>Study/Review - Accounting and Bus Technology - BC</v>
          </cell>
          <cell r="D192">
            <v>0</v>
          </cell>
          <cell r="E192">
            <v>75</v>
          </cell>
          <cell r="H192">
            <v>99</v>
          </cell>
          <cell r="I192">
            <v>4</v>
          </cell>
        </row>
        <row r="193">
          <cell r="A193" t="str">
            <v>SR(ACCert-BC)</v>
          </cell>
          <cell r="B193" t="str">
            <v>Study/Review - Accounting Clerk Cert - BC</v>
          </cell>
          <cell r="D193">
            <v>0</v>
          </cell>
          <cell r="E193">
            <v>36</v>
          </cell>
          <cell r="H193">
            <v>99</v>
          </cell>
          <cell r="I193">
            <v>2</v>
          </cell>
        </row>
        <row r="194">
          <cell r="A194" t="str">
            <v>SR(ANetCert-BC)</v>
          </cell>
          <cell r="B194" t="str">
            <v>Study/Review - A+ Network and MCSA Desktop Cert - BC</v>
          </cell>
          <cell r="D194">
            <v>1713</v>
          </cell>
          <cell r="E194">
            <v>145</v>
          </cell>
          <cell r="H194">
            <v>99</v>
          </cell>
          <cell r="I194">
            <v>7.5</v>
          </cell>
        </row>
        <row r="195">
          <cell r="A195" t="str">
            <v>SR(APA-BC)</v>
          </cell>
          <cell r="B195" t="str">
            <v>Study/Review - Accounting and Payroll Admin - BC</v>
          </cell>
          <cell r="D195">
            <v>382</v>
          </cell>
          <cell r="E195">
            <v>88</v>
          </cell>
          <cell r="H195">
            <v>99</v>
          </cell>
          <cell r="I195">
            <v>4.5</v>
          </cell>
        </row>
        <row r="196">
          <cell r="A196" t="str">
            <v>SR(BAC-Y1-BC)</v>
          </cell>
          <cell r="B196" t="str">
            <v>Study/Review - Business Admin Co-op Year 1 - BC</v>
          </cell>
          <cell r="D196">
            <v>0</v>
          </cell>
          <cell r="E196">
            <v>75</v>
          </cell>
          <cell r="H196">
            <v>99</v>
          </cell>
          <cell r="I196">
            <v>4</v>
          </cell>
        </row>
        <row r="197">
          <cell r="A197" t="str">
            <v>SR(BAC-Y2-BC)</v>
          </cell>
          <cell r="B197" t="str">
            <v>Study/Review - Business Admin Co-op Year 2 - BC</v>
          </cell>
          <cell r="D197">
            <v>0</v>
          </cell>
          <cell r="E197">
            <v>26</v>
          </cell>
          <cell r="H197">
            <v>99</v>
          </cell>
          <cell r="I197">
            <v>1.5</v>
          </cell>
        </row>
        <row r="198">
          <cell r="A198" t="str">
            <v>SR(BA-Y1-BC)</v>
          </cell>
          <cell r="B198" t="str">
            <v>Study/Review - Bus Admin Year 1 - BC</v>
          </cell>
          <cell r="D198">
            <v>0</v>
          </cell>
          <cell r="E198">
            <v>78</v>
          </cell>
          <cell r="H198">
            <v>99</v>
          </cell>
          <cell r="I198">
            <v>4</v>
          </cell>
        </row>
        <row r="199">
          <cell r="A199" t="str">
            <v>SR(BA-Y2-BC)</v>
          </cell>
          <cell r="B199" t="str">
            <v>Study/Review - Bus Admin Year 2 - BC</v>
          </cell>
          <cell r="D199">
            <v>0</v>
          </cell>
          <cell r="E199">
            <v>28</v>
          </cell>
          <cell r="H199">
            <v>99</v>
          </cell>
          <cell r="I199">
            <v>1.5</v>
          </cell>
        </row>
        <row r="200">
          <cell r="A200" t="str">
            <v>SR(BMCert-BC)</v>
          </cell>
          <cell r="B200" t="str">
            <v>Study/Review - Bus Management Cert-BC</v>
          </cell>
          <cell r="D200">
            <v>0</v>
          </cell>
          <cell r="E200">
            <v>51</v>
          </cell>
          <cell r="H200">
            <v>99</v>
          </cell>
          <cell r="I200">
            <v>2.5</v>
          </cell>
        </row>
        <row r="201">
          <cell r="A201" t="str">
            <v>SR(BOS-BC)</v>
          </cell>
          <cell r="B201" t="str">
            <v>Study/Review - Bus Office Skills - BC</v>
          </cell>
          <cell r="D201">
            <v>0</v>
          </cell>
          <cell r="E201">
            <v>71</v>
          </cell>
          <cell r="H201">
            <v>99</v>
          </cell>
          <cell r="I201">
            <v>3.5</v>
          </cell>
        </row>
        <row r="202">
          <cell r="A202" t="str">
            <v>SR(BRCert-BC)</v>
          </cell>
          <cell r="B202" t="str">
            <v>Study/Review - Business Receptionsit Cert BC</v>
          </cell>
          <cell r="D202">
            <v>0</v>
          </cell>
          <cell r="E202">
            <v>45</v>
          </cell>
          <cell r="H202">
            <v>99</v>
          </cell>
          <cell r="I202">
            <v>2.5</v>
          </cell>
        </row>
        <row r="203">
          <cell r="A203" t="str">
            <v>SR(BSE-BC)</v>
          </cell>
          <cell r="B203" t="str">
            <v>Study/Review - Business Service Essentials Co-op - BC</v>
          </cell>
          <cell r="D203">
            <v>0</v>
          </cell>
          <cell r="E203">
            <v>36</v>
          </cell>
          <cell r="H203">
            <v>99</v>
          </cell>
          <cell r="I203">
            <v>2</v>
          </cell>
        </row>
        <row r="204">
          <cell r="A204" t="str">
            <v>SR(CCCR-BC)</v>
          </cell>
          <cell r="B204" t="str">
            <v>Study/Review - Call Centre Customer Service Rep - BC</v>
          </cell>
          <cell r="D204">
            <v>0</v>
          </cell>
          <cell r="E204">
            <v>58</v>
          </cell>
          <cell r="H204">
            <v>99</v>
          </cell>
          <cell r="I204">
            <v>3</v>
          </cell>
        </row>
        <row r="205">
          <cell r="A205" t="str">
            <v>SR(CEP-BC)</v>
          </cell>
          <cell r="B205" t="str">
            <v>Study/Review - Conference and Event Planner - BC</v>
          </cell>
          <cell r="D205">
            <v>0</v>
          </cell>
          <cell r="E205">
            <v>85</v>
          </cell>
          <cell r="H205">
            <v>99</v>
          </cell>
          <cell r="I205">
            <v>4.5</v>
          </cell>
        </row>
        <row r="206">
          <cell r="A206" t="str">
            <v>SR(COPCert-BC)</v>
          </cell>
          <cell r="B206" t="str">
            <v>Study/Review - Comp Office Procedures Cert-BC</v>
          </cell>
          <cell r="D206">
            <v>0</v>
          </cell>
          <cell r="E206">
            <v>47</v>
          </cell>
          <cell r="H206">
            <v>99</v>
          </cell>
          <cell r="I206">
            <v>2.5</v>
          </cell>
        </row>
        <row r="207">
          <cell r="A207" t="str">
            <v>SR(CSHD-BC)</v>
          </cell>
          <cell r="B207" t="str">
            <v>Study/Review - Customer Service Help Desk - BC</v>
          </cell>
          <cell r="D207">
            <v>628</v>
          </cell>
          <cell r="E207">
            <v>162</v>
          </cell>
          <cell r="H207">
            <v>99</v>
          </cell>
          <cell r="I207">
            <v>8</v>
          </cell>
        </row>
        <row r="208">
          <cell r="A208" t="str">
            <v>SR(CSRCert-BC)</v>
          </cell>
          <cell r="B208" t="str">
            <v>Study/Review - Customer Service Rep Cert - BC</v>
          </cell>
          <cell r="D208">
            <v>0</v>
          </cell>
          <cell r="E208">
            <v>38</v>
          </cell>
          <cell r="H208">
            <v>99</v>
          </cell>
          <cell r="I208">
            <v>2</v>
          </cell>
        </row>
        <row r="209">
          <cell r="A209" t="str">
            <v>SR(CSS-BC)</v>
          </cell>
          <cell r="B209" t="str">
            <v>Study/Review - Comp Software Support - BC</v>
          </cell>
          <cell r="D209">
            <v>0</v>
          </cell>
          <cell r="E209">
            <v>84</v>
          </cell>
          <cell r="H209">
            <v>99</v>
          </cell>
          <cell r="I209">
            <v>4</v>
          </cell>
        </row>
        <row r="210">
          <cell r="A210" t="str">
            <v>SR(CST-BC)</v>
          </cell>
          <cell r="B210" t="str">
            <v>Study/Review - Computer Service Tech - BC</v>
          </cell>
          <cell r="D210">
            <v>625</v>
          </cell>
          <cell r="E210">
            <v>149</v>
          </cell>
          <cell r="H210">
            <v>99</v>
          </cell>
          <cell r="I210">
            <v>7.5</v>
          </cell>
        </row>
        <row r="211">
          <cell r="A211" t="str">
            <v>SR(CSTCert-BC)</v>
          </cell>
          <cell r="B211" t="str">
            <v>Study/Review - Comp Service Tech Cert-BC</v>
          </cell>
          <cell r="D211">
            <v>625</v>
          </cell>
          <cell r="E211">
            <v>113</v>
          </cell>
          <cell r="H211">
            <v>99</v>
          </cell>
          <cell r="I211">
            <v>2</v>
          </cell>
        </row>
        <row r="212">
          <cell r="A212" t="str">
            <v>SR(EA-BC)</v>
          </cell>
          <cell r="B212" t="str">
            <v>Study/Review - Executive Assistant - BC</v>
          </cell>
          <cell r="D212">
            <v>0</v>
          </cell>
          <cell r="E212">
            <v>88</v>
          </cell>
          <cell r="H212">
            <v>99</v>
          </cell>
          <cell r="I212">
            <v>4.5</v>
          </cell>
        </row>
        <row r="213">
          <cell r="A213" t="str">
            <v>SR(EBA-BC)</v>
          </cell>
          <cell r="B213" t="str">
            <v>Study/Review - Entrepreneurial Bus Applications - BC</v>
          </cell>
          <cell r="D213">
            <v>0</v>
          </cell>
          <cell r="E213">
            <v>76</v>
          </cell>
          <cell r="H213">
            <v>99</v>
          </cell>
          <cell r="I213">
            <v>4</v>
          </cell>
        </row>
        <row r="214">
          <cell r="A214" t="str">
            <v>SR(GD-BC)</v>
          </cell>
          <cell r="B214" t="str">
            <v>Study/Review - Graphic Designer - BC</v>
          </cell>
          <cell r="D214">
            <v>0</v>
          </cell>
          <cell r="E214">
            <v>68</v>
          </cell>
          <cell r="H214">
            <v>99</v>
          </cell>
          <cell r="I214">
            <v>3.5</v>
          </cell>
        </row>
        <row r="215">
          <cell r="A215" t="str">
            <v>SR(HRACert-BC)</v>
          </cell>
          <cell r="B215" t="str">
            <v>Study/Review - Human Resources Admin-BC</v>
          </cell>
          <cell r="D215">
            <v>0</v>
          </cell>
          <cell r="E215">
            <v>53</v>
          </cell>
          <cell r="H215">
            <v>99</v>
          </cell>
          <cell r="I215">
            <v>2.5</v>
          </cell>
        </row>
        <row r="216">
          <cell r="A216" t="str">
            <v>SR(MAACert-BC)</v>
          </cell>
          <cell r="B216" t="str">
            <v>Study/Review - Marketing Administrative Assistant Cert - BC</v>
          </cell>
          <cell r="D216">
            <v>0</v>
          </cell>
          <cell r="E216">
            <v>63</v>
          </cell>
          <cell r="H216">
            <v>99</v>
          </cell>
          <cell r="I216">
            <v>3</v>
          </cell>
        </row>
        <row r="217">
          <cell r="A217" t="str">
            <v>SR(MC-BC)</v>
          </cell>
          <cell r="B217" t="str">
            <v>Study/Review - Marketing Coordinator - BC</v>
          </cell>
          <cell r="D217">
            <v>0</v>
          </cell>
          <cell r="E217">
            <v>79</v>
          </cell>
          <cell r="H217">
            <v>99</v>
          </cell>
          <cell r="I217">
            <v>4</v>
          </cell>
        </row>
        <row r="218">
          <cell r="A218" t="str">
            <v>SR(MCSAWinCert-BC)</v>
          </cell>
          <cell r="B218" t="str">
            <v>Study/Review - MCSA Windows Cert - BC</v>
          </cell>
          <cell r="D218">
            <v>0</v>
          </cell>
          <cell r="E218">
            <v>24</v>
          </cell>
          <cell r="H218">
            <v>99</v>
          </cell>
          <cell r="I218">
            <v>1</v>
          </cell>
        </row>
        <row r="219">
          <cell r="A219" t="str">
            <v>SR(MCSAWinSerCert-BC)</v>
          </cell>
          <cell r="B219" t="str">
            <v>Study/Review - MSCA Windows Server Cert - BC</v>
          </cell>
          <cell r="D219">
            <v>0</v>
          </cell>
          <cell r="E219">
            <v>35</v>
          </cell>
          <cell r="H219">
            <v>99</v>
          </cell>
          <cell r="I219">
            <v>4</v>
          </cell>
        </row>
        <row r="220">
          <cell r="A220" t="str">
            <v>SR(MedAACert-BC)</v>
          </cell>
          <cell r="B220" t="str">
            <v>Study/Review - Med Adm Assistant Cert - BC</v>
          </cell>
          <cell r="D220">
            <v>0</v>
          </cell>
          <cell r="E220">
            <v>73</v>
          </cell>
          <cell r="H220">
            <v>99</v>
          </cell>
          <cell r="I220">
            <v>3.5</v>
          </cell>
        </row>
        <row r="221">
          <cell r="A221" t="str">
            <v>SR(MOA-BC)</v>
          </cell>
          <cell r="B221" t="str">
            <v>Study/Review - Medical Office Assistant - BC</v>
          </cell>
          <cell r="D221">
            <v>0</v>
          </cell>
          <cell r="E221">
            <v>35</v>
          </cell>
          <cell r="H221">
            <v>99</v>
          </cell>
          <cell r="I221">
            <v>2</v>
          </cell>
        </row>
        <row r="222">
          <cell r="A222" t="str">
            <v>SR(MOA-UC-BC)</v>
          </cell>
          <cell r="B222" t="str">
            <v>Study/Review - MOA with UC - BC</v>
          </cell>
          <cell r="D222">
            <v>0</v>
          </cell>
          <cell r="E222">
            <v>33</v>
          </cell>
          <cell r="H222">
            <v>99</v>
          </cell>
          <cell r="I222">
            <v>1.5</v>
          </cell>
        </row>
        <row r="223">
          <cell r="A223" t="str">
            <v>SR(MOFDACert-BC)</v>
          </cell>
          <cell r="B223" t="str">
            <v>Study/Review - Med Office Front Desk Assist Cert-BC</v>
          </cell>
          <cell r="D223">
            <v>0</v>
          </cell>
          <cell r="E223">
            <v>48</v>
          </cell>
          <cell r="H223">
            <v>99</v>
          </cell>
          <cell r="I223">
            <v>2.5</v>
          </cell>
        </row>
        <row r="224">
          <cell r="A224" t="str">
            <v>SR(NA-Y1-BC)</v>
          </cell>
          <cell r="B224" t="str">
            <v>Study/Review - Network Adm - Year 1- BC</v>
          </cell>
          <cell r="D224">
            <v>628</v>
          </cell>
          <cell r="E224">
            <v>155</v>
          </cell>
          <cell r="H224">
            <v>99</v>
          </cell>
          <cell r="I224">
            <v>8</v>
          </cell>
        </row>
        <row r="225">
          <cell r="A225" t="str">
            <v>SR(NA-Y2-BC)</v>
          </cell>
          <cell r="B225" t="str">
            <v>Study/Review - Network Adm - Year 2- BC</v>
          </cell>
          <cell r="D225">
            <v>628</v>
          </cell>
          <cell r="E225">
            <v>120</v>
          </cell>
          <cell r="H225">
            <v>99</v>
          </cell>
          <cell r="I225">
            <v>6</v>
          </cell>
        </row>
        <row r="226">
          <cell r="A226" t="str">
            <v>SR(OAACert-BC)</v>
          </cell>
          <cell r="B226" t="str">
            <v>Study/Review - Office Adm Assistant Cert-BC</v>
          </cell>
          <cell r="D226">
            <v>0</v>
          </cell>
          <cell r="E226">
            <v>40</v>
          </cell>
          <cell r="H226">
            <v>99</v>
          </cell>
          <cell r="I226">
            <v>2</v>
          </cell>
        </row>
        <row r="227">
          <cell r="A227" t="str">
            <v>SR(OA-BC)</v>
          </cell>
          <cell r="B227" t="str">
            <v>Study/Review - Office Administration - BC</v>
          </cell>
          <cell r="D227">
            <v>0</v>
          </cell>
          <cell r="E227">
            <v>89</v>
          </cell>
          <cell r="H227">
            <v>99</v>
          </cell>
          <cell r="I227">
            <v>4.5</v>
          </cell>
        </row>
        <row r="228">
          <cell r="A228" t="str">
            <v>SR(OC-Cert-BC)</v>
          </cell>
          <cell r="B228" t="str">
            <v>Study/Review - Office Clerk - BC</v>
          </cell>
          <cell r="D228">
            <v>0</v>
          </cell>
          <cell r="E228">
            <v>37</v>
          </cell>
          <cell r="H228">
            <v>99</v>
          </cell>
          <cell r="I228">
            <v>2</v>
          </cell>
        </row>
        <row r="229">
          <cell r="A229" t="str">
            <v>SR(PA-BC)</v>
          </cell>
          <cell r="B229" t="str">
            <v>Study/Review - Project Adm - BC</v>
          </cell>
          <cell r="D229">
            <v>0</v>
          </cell>
          <cell r="E229">
            <v>84</v>
          </cell>
          <cell r="H229">
            <v>99</v>
          </cell>
          <cell r="I229">
            <v>4</v>
          </cell>
        </row>
        <row r="230">
          <cell r="A230" t="str">
            <v>SR(PAdmCert-BC)</v>
          </cell>
          <cell r="B230" t="str">
            <v>Study/Review - Payroll Adm Cert - BC</v>
          </cell>
          <cell r="D230">
            <v>382</v>
          </cell>
          <cell r="E230">
            <v>63</v>
          </cell>
          <cell r="H230">
            <v>99</v>
          </cell>
          <cell r="I230">
            <v>3</v>
          </cell>
        </row>
        <row r="231">
          <cell r="A231" t="str">
            <v>SR(PCCert-BC)</v>
          </cell>
          <cell r="B231" t="str">
            <v>Study/Review - Payroll Clerk Cert - BC</v>
          </cell>
          <cell r="D231">
            <v>329</v>
          </cell>
          <cell r="E231">
            <v>45</v>
          </cell>
          <cell r="H231">
            <v>99</v>
          </cell>
          <cell r="I231">
            <v>2.5</v>
          </cell>
        </row>
        <row r="232">
          <cell r="A232" t="str">
            <v>SR(PCSS-BC)</v>
          </cell>
          <cell r="B232" t="str">
            <v>Study/Review - PC Support Specialist - BC</v>
          </cell>
          <cell r="D232">
            <v>625</v>
          </cell>
          <cell r="E232">
            <v>161</v>
          </cell>
          <cell r="H232">
            <v>99</v>
          </cell>
          <cell r="I232">
            <v>8</v>
          </cell>
        </row>
        <row r="233">
          <cell r="A233" t="str">
            <v>SR(SACert-BC)</v>
          </cell>
          <cell r="B233" t="str">
            <v>Study/Review - Sales Associate Cert - BC</v>
          </cell>
          <cell r="D233">
            <v>0</v>
          </cell>
          <cell r="E233">
            <v>34</v>
          </cell>
          <cell r="H233">
            <v>99</v>
          </cell>
          <cell r="I233">
            <v>1.5</v>
          </cell>
        </row>
        <row r="234">
          <cell r="A234" t="str">
            <v>SR(SP-BC)</v>
          </cell>
          <cell r="B234" t="str">
            <v>Study/Review - Sales Professional - BC</v>
          </cell>
          <cell r="D234">
            <v>0</v>
          </cell>
          <cell r="E234">
            <v>71</v>
          </cell>
          <cell r="H234">
            <v>99</v>
          </cell>
          <cell r="I234">
            <v>3.5</v>
          </cell>
        </row>
        <row r="235">
          <cell r="A235" t="str">
            <v>SR(WD-BC)</v>
          </cell>
          <cell r="B235" t="str">
            <v>Study/Review (WD-BC)</v>
          </cell>
          <cell r="D235">
            <v>0</v>
          </cell>
          <cell r="E235">
            <v>99</v>
          </cell>
          <cell r="H235">
            <v>99</v>
          </cell>
          <cell r="I235">
            <v>5</v>
          </cell>
        </row>
        <row r="236">
          <cell r="A236" t="str">
            <v>SSCAC1101A</v>
          </cell>
          <cell r="B236" t="str">
            <v xml:space="preserve">CompTIA A+ Certification: 220-1101                                  </v>
          </cell>
          <cell r="D236">
            <v>1301</v>
          </cell>
          <cell r="E236">
            <v>100</v>
          </cell>
          <cell r="H236">
            <v>11</v>
          </cell>
          <cell r="I236">
            <v>5</v>
          </cell>
        </row>
        <row r="237">
          <cell r="A237" t="str">
            <v>SSCAC1102A</v>
          </cell>
          <cell r="B237" t="str">
            <v>CompTIA A+ Certification: 220-1102</v>
          </cell>
          <cell r="D237">
            <v>1301</v>
          </cell>
          <cell r="E237">
            <v>100</v>
          </cell>
          <cell r="H237">
            <v>11</v>
          </cell>
          <cell r="I237">
            <v>5</v>
          </cell>
        </row>
        <row r="238">
          <cell r="A238" t="str">
            <v>SSMD100</v>
          </cell>
          <cell r="B238" t="str">
            <v>Microsoft Windows 10 (MD-100)</v>
          </cell>
          <cell r="D238">
            <v>1600</v>
          </cell>
          <cell r="E238">
            <v>100</v>
          </cell>
          <cell r="H238">
            <v>16</v>
          </cell>
          <cell r="I238">
            <v>5</v>
          </cell>
        </row>
        <row r="239">
          <cell r="A239" t="str">
            <v>SSMD101</v>
          </cell>
          <cell r="B239" t="str">
            <v>Managing Modern Desktops (MD-101)</v>
          </cell>
          <cell r="D239">
            <v>1600</v>
          </cell>
          <cell r="E239">
            <v>100</v>
          </cell>
          <cell r="H239">
            <v>16</v>
          </cell>
          <cell r="I239">
            <v>5</v>
          </cell>
        </row>
        <row r="240">
          <cell r="A240" t="str">
            <v>SSMS410R2</v>
          </cell>
          <cell r="B240" t="str">
            <v>Microsoft Windows Server 2012 R2 Installing and Configuring</v>
          </cell>
          <cell r="D240">
            <v>1469</v>
          </cell>
          <cell r="E240">
            <v>100</v>
          </cell>
          <cell r="H240">
            <v>16</v>
          </cell>
          <cell r="I240">
            <v>5</v>
          </cell>
        </row>
        <row r="241">
          <cell r="A241" t="str">
            <v>SSMS411R2</v>
          </cell>
          <cell r="B241" t="str">
            <v>Microsoft Windows Server 2012 R2 Administering</v>
          </cell>
          <cell r="D241">
            <v>1469</v>
          </cell>
          <cell r="E241">
            <v>100</v>
          </cell>
          <cell r="H241">
            <v>16</v>
          </cell>
          <cell r="I241">
            <v>5</v>
          </cell>
        </row>
        <row r="242">
          <cell r="A242" t="str">
            <v>SSMS412R2</v>
          </cell>
          <cell r="B242" t="str">
            <v>Microsoft Windows Server 2012 R2 Configuring Advance Services</v>
          </cell>
          <cell r="D242">
            <v>1469</v>
          </cell>
          <cell r="E242">
            <v>100</v>
          </cell>
          <cell r="H242">
            <v>16</v>
          </cell>
          <cell r="I242">
            <v>5</v>
          </cell>
        </row>
        <row r="243">
          <cell r="A243" t="str">
            <v>SSMS697</v>
          </cell>
          <cell r="B243" t="str">
            <v>Microsoft Windows 10 Configuring Devices</v>
          </cell>
          <cell r="D243">
            <v>1469</v>
          </cell>
          <cell r="E243">
            <v>100</v>
          </cell>
          <cell r="H243">
            <v>16</v>
          </cell>
          <cell r="I243">
            <v>5</v>
          </cell>
        </row>
        <row r="244">
          <cell r="A244" t="str">
            <v>SSMS698</v>
          </cell>
          <cell r="B244" t="str">
            <v>Microsoft Windows 10 Installing and Configuring</v>
          </cell>
          <cell r="D244">
            <v>1469</v>
          </cell>
          <cell r="E244">
            <v>100</v>
          </cell>
          <cell r="H244">
            <v>16</v>
          </cell>
          <cell r="I244">
            <v>5</v>
          </cell>
        </row>
        <row r="245">
          <cell r="A245" t="str">
            <v>SSMS740</v>
          </cell>
          <cell r="B245" t="str">
            <v>Installation, Storage, and Compute with Windows Server 2016</v>
          </cell>
          <cell r="D245">
            <v>1600</v>
          </cell>
          <cell r="E245">
            <v>100</v>
          </cell>
          <cell r="H245">
            <v>16</v>
          </cell>
          <cell r="I245">
            <v>5</v>
          </cell>
        </row>
        <row r="246">
          <cell r="A246" t="str">
            <v>SSMS741</v>
          </cell>
          <cell r="B246" t="str">
            <v>Networking with Windows Server 2016</v>
          </cell>
          <cell r="D246">
            <v>1600</v>
          </cell>
          <cell r="E246">
            <v>100</v>
          </cell>
          <cell r="H246">
            <v>16</v>
          </cell>
          <cell r="I246">
            <v>5</v>
          </cell>
        </row>
        <row r="247">
          <cell r="A247" t="str">
            <v>SSMS742</v>
          </cell>
          <cell r="B247" t="str">
            <v>Identity with Windows Server 2016</v>
          </cell>
          <cell r="D247">
            <v>1600</v>
          </cell>
          <cell r="E247">
            <v>100</v>
          </cell>
          <cell r="H247">
            <v>16</v>
          </cell>
          <cell r="I247">
            <v>5</v>
          </cell>
        </row>
        <row r="248">
          <cell r="A248" t="str">
            <v>SSN10008A</v>
          </cell>
          <cell r="B248" t="str">
            <v>CompTIA Network+</v>
          </cell>
          <cell r="D248">
            <v>995</v>
          </cell>
          <cell r="E248">
            <v>60</v>
          </cell>
          <cell r="H248">
            <v>11</v>
          </cell>
          <cell r="I248">
            <v>3</v>
          </cell>
        </row>
        <row r="249">
          <cell r="A249" t="str">
            <v>SSSK0005A</v>
          </cell>
          <cell r="B249" t="str">
            <v>CompTIA Server+</v>
          </cell>
          <cell r="D249">
            <v>792</v>
          </cell>
          <cell r="E249">
            <v>60</v>
          </cell>
          <cell r="H249">
            <v>11</v>
          </cell>
          <cell r="I249">
            <v>3</v>
          </cell>
        </row>
        <row r="250">
          <cell r="A250" t="str">
            <v>SSSY0601A</v>
          </cell>
          <cell r="B250" t="str">
            <v>CompTIA Security+</v>
          </cell>
          <cell r="D250">
            <v>1600</v>
          </cell>
          <cell r="E250">
            <v>100</v>
          </cell>
          <cell r="H250">
            <v>11</v>
          </cell>
          <cell r="I250">
            <v>5</v>
          </cell>
        </row>
        <row r="251">
          <cell r="A251" t="str">
            <v>TACN11E1</v>
          </cell>
          <cell r="B251" t="str">
            <v>C# and .NET Framework - Part 1</v>
          </cell>
          <cell r="D251">
            <v>1818</v>
          </cell>
          <cell r="E251">
            <v>100</v>
          </cell>
          <cell r="H251">
            <v>17</v>
          </cell>
          <cell r="I251">
            <v>5</v>
          </cell>
        </row>
        <row r="252">
          <cell r="A252" t="str">
            <v>TACN21E1</v>
          </cell>
          <cell r="B252" t="str">
            <v>C# and .NET Framework - Part 2</v>
          </cell>
          <cell r="D252">
            <v>1662</v>
          </cell>
          <cell r="E252">
            <v>92</v>
          </cell>
          <cell r="H252">
            <v>17</v>
          </cell>
          <cell r="I252">
            <v>4.5</v>
          </cell>
        </row>
        <row r="253">
          <cell r="A253" t="str">
            <v>TACS01E1</v>
          </cell>
          <cell r="B253" t="str">
            <v>CSS and Bootstrap</v>
          </cell>
          <cell r="D253">
            <v>1020</v>
          </cell>
          <cell r="E253">
            <v>56</v>
          </cell>
          <cell r="H253">
            <v>17</v>
          </cell>
          <cell r="I253">
            <v>3</v>
          </cell>
        </row>
        <row r="254">
          <cell r="A254" t="str">
            <v>TAHT01E1</v>
          </cell>
          <cell r="B254" t="str">
            <v>HTML</v>
          </cell>
          <cell r="D254">
            <v>438</v>
          </cell>
          <cell r="E254">
            <v>24</v>
          </cell>
          <cell r="H254">
            <v>17</v>
          </cell>
          <cell r="I254">
            <v>1</v>
          </cell>
        </row>
        <row r="255">
          <cell r="A255" t="str">
            <v>TAJS01E1</v>
          </cell>
          <cell r="B255" t="str">
            <v>JavaScript</v>
          </cell>
          <cell r="D255">
            <v>870</v>
          </cell>
          <cell r="E255">
            <v>48</v>
          </cell>
          <cell r="H255">
            <v>17</v>
          </cell>
          <cell r="I255">
            <v>2.5</v>
          </cell>
        </row>
        <row r="256">
          <cell r="A256" t="str">
            <v>TAPM01E1</v>
          </cell>
          <cell r="B256" t="str">
            <v>Managing Software Development Projects</v>
          </cell>
          <cell r="D256">
            <v>144</v>
          </cell>
          <cell r="E256">
            <v>8</v>
          </cell>
          <cell r="H256">
            <v>17</v>
          </cell>
          <cell r="I256">
            <v>0.5</v>
          </cell>
        </row>
        <row r="257">
          <cell r="A257" t="str">
            <v>TASD01E1</v>
          </cell>
          <cell r="B257" t="str">
            <v>Overview of Software Development</v>
          </cell>
          <cell r="D257">
            <v>582</v>
          </cell>
          <cell r="E257">
            <v>32</v>
          </cell>
          <cell r="H257">
            <v>17</v>
          </cell>
          <cell r="I257">
            <v>1.5</v>
          </cell>
        </row>
        <row r="258">
          <cell r="A258" t="str">
            <v>TASQ01E1</v>
          </cell>
          <cell r="B258" t="str">
            <v>Database and SQL</v>
          </cell>
          <cell r="D258">
            <v>1158</v>
          </cell>
          <cell r="E258">
            <v>64</v>
          </cell>
          <cell r="H258">
            <v>17</v>
          </cell>
          <cell r="I258">
            <v>3</v>
          </cell>
        </row>
        <row r="259">
          <cell r="A259" t="str">
            <v>TATB01E1</v>
          </cell>
          <cell r="B259" t="str">
            <v>Computer and Technology Basics for Developers</v>
          </cell>
          <cell r="D259">
            <v>720</v>
          </cell>
          <cell r="E259">
            <v>40</v>
          </cell>
          <cell r="H259">
            <v>17</v>
          </cell>
          <cell r="I259">
            <v>2</v>
          </cell>
        </row>
        <row r="260">
          <cell r="A260" t="str">
            <v>TAVC01E1</v>
          </cell>
          <cell r="B260" t="str">
            <v>Version Control</v>
          </cell>
          <cell r="D260">
            <v>438</v>
          </cell>
          <cell r="E260">
            <v>24</v>
          </cell>
          <cell r="H260">
            <v>17</v>
          </cell>
          <cell r="I260">
            <v>1</v>
          </cell>
        </row>
        <row r="261">
          <cell r="A261" t="str">
            <v>TAVS01E1</v>
          </cell>
          <cell r="B261" t="str">
            <v>Visual Studio</v>
          </cell>
          <cell r="D261">
            <v>144</v>
          </cell>
          <cell r="E261">
            <v>8</v>
          </cell>
          <cell r="H261">
            <v>17</v>
          </cell>
          <cell r="I261">
            <v>0.5</v>
          </cell>
        </row>
        <row r="262">
          <cell r="A262" t="str">
            <v>THPATI18</v>
          </cell>
          <cell r="B262" t="str">
            <v>Thought Patterns for a Successful Career</v>
          </cell>
          <cell r="D262">
            <v>589</v>
          </cell>
          <cell r="E262">
            <v>24</v>
          </cell>
          <cell r="H262">
            <v>15</v>
          </cell>
          <cell r="I262">
            <v>1</v>
          </cell>
        </row>
        <row r="263">
          <cell r="A263" t="str">
            <v>THPEE18</v>
          </cell>
          <cell r="B263" t="str">
            <v>Thought Patterns For a Successful Career: Education to Employment &amp; Beyond</v>
          </cell>
          <cell r="D263">
            <v>615</v>
          </cell>
          <cell r="E263">
            <v>24</v>
          </cell>
          <cell r="H263">
            <v>15</v>
          </cell>
          <cell r="I263">
            <v>1</v>
          </cell>
        </row>
        <row r="264">
          <cell r="A264" t="str">
            <v>VEESP10E1</v>
          </cell>
          <cell r="B264" t="str">
            <v>English Success! English for Specific Purposes</v>
          </cell>
          <cell r="D264">
            <v>350</v>
          </cell>
          <cell r="E264">
            <v>90</v>
          </cell>
          <cell r="H264">
            <v>10</v>
          </cell>
          <cell r="I264">
            <v>0</v>
          </cell>
        </row>
        <row r="265">
          <cell r="A265" t="str">
            <v>VEG10E1</v>
          </cell>
          <cell r="B265" t="str">
            <v>English Success! General</v>
          </cell>
          <cell r="D265">
            <v>350</v>
          </cell>
          <cell r="E265">
            <v>90</v>
          </cell>
          <cell r="H265">
            <v>10</v>
          </cell>
          <cell r="I265">
            <v>0</v>
          </cell>
        </row>
        <row r="266">
          <cell r="A266" t="str">
            <v>VEIETP10E1</v>
          </cell>
          <cell r="B266" t="str">
            <v>English Success! IELTS Test Preparation</v>
          </cell>
          <cell r="D266">
            <v>350</v>
          </cell>
          <cell r="E266">
            <v>90</v>
          </cell>
          <cell r="H266">
            <v>10</v>
          </cell>
          <cell r="I266">
            <v>0</v>
          </cell>
        </row>
        <row r="267">
          <cell r="A267" t="str">
            <v>WDP14E1</v>
          </cell>
          <cell r="B267" t="str">
            <v>Web Practical Simulation</v>
          </cell>
          <cell r="C267" t="str">
            <v>Creative Cloud</v>
          </cell>
          <cell r="D267">
            <v>677</v>
          </cell>
          <cell r="E267">
            <v>60</v>
          </cell>
          <cell r="H267">
            <v>19</v>
          </cell>
          <cell r="I267">
            <v>3</v>
          </cell>
        </row>
        <row r="268">
          <cell r="A268" t="str">
            <v>WIN10E1</v>
          </cell>
          <cell r="B268" t="str">
            <v>Windows 10 Level 1</v>
          </cell>
          <cell r="C268" t="str">
            <v>Win 10</v>
          </cell>
          <cell r="D268">
            <v>389</v>
          </cell>
          <cell r="E268">
            <v>21</v>
          </cell>
          <cell r="H268">
            <v>8</v>
          </cell>
          <cell r="I268">
            <v>1</v>
          </cell>
        </row>
        <row r="269">
          <cell r="A269" t="str">
            <v>WIN10E2</v>
          </cell>
          <cell r="B269" t="str">
            <v>Windows 10 Level 2</v>
          </cell>
          <cell r="C269" t="str">
            <v>Win 10</v>
          </cell>
          <cell r="D269">
            <v>389</v>
          </cell>
          <cell r="E269">
            <v>20</v>
          </cell>
          <cell r="H269">
            <v>8</v>
          </cell>
          <cell r="I269">
            <v>1</v>
          </cell>
        </row>
        <row r="270">
          <cell r="A270" t="str">
            <v>WRD19E1</v>
          </cell>
          <cell r="B270" t="str">
            <v>MS Word Level 1</v>
          </cell>
          <cell r="C270" t="str">
            <v>Ver 2019</v>
          </cell>
          <cell r="D270">
            <v>389</v>
          </cell>
          <cell r="E270">
            <v>28</v>
          </cell>
          <cell r="H270">
            <v>3</v>
          </cell>
          <cell r="I270">
            <v>1.5</v>
          </cell>
        </row>
        <row r="271">
          <cell r="A271" t="str">
            <v>WRD19E2</v>
          </cell>
          <cell r="B271" t="str">
            <v>MS Word Level 2</v>
          </cell>
          <cell r="C271" t="str">
            <v>Ver 2019</v>
          </cell>
          <cell r="D271">
            <v>389</v>
          </cell>
          <cell r="E271">
            <v>37</v>
          </cell>
          <cell r="H271">
            <v>3</v>
          </cell>
          <cell r="I271">
            <v>2</v>
          </cell>
        </row>
        <row r="272">
          <cell r="A272" t="str">
            <v>WRD19E3</v>
          </cell>
          <cell r="B272" t="str">
            <v>MS Word Level 3</v>
          </cell>
          <cell r="C272" t="str">
            <v>Ver 2019</v>
          </cell>
          <cell r="D272">
            <v>399</v>
          </cell>
          <cell r="E272">
            <v>34</v>
          </cell>
          <cell r="H272">
            <v>3</v>
          </cell>
          <cell r="I272">
            <v>1.5</v>
          </cell>
        </row>
        <row r="273">
          <cell r="A273" t="str">
            <v>WSI00E1</v>
          </cell>
          <cell r="B273" t="str">
            <v>Workplace Success/Intrapreneurship</v>
          </cell>
          <cell r="D273">
            <v>688</v>
          </cell>
          <cell r="E273">
            <v>32</v>
          </cell>
          <cell r="H273">
            <v>9</v>
          </cell>
          <cell r="I273">
            <v>1.5</v>
          </cell>
        </row>
        <row r="274">
          <cell r="A274" t="str">
            <v>ZZZZZZZZ</v>
          </cell>
          <cell r="B274" t="str">
            <v xml:space="preserve">     </v>
          </cell>
          <cell r="D274" t="e">
            <v>#REF!</v>
          </cell>
        </row>
        <row r="275">
          <cell r="A275" t="str">
            <v>ZZZZZZZZZ</v>
          </cell>
          <cell r="D275" t="e">
            <v>#REF!</v>
          </cell>
        </row>
      </sheetData>
      <sheetData sheetId="3"/>
      <sheetData sheetId="4">
        <row r="14">
          <cell r="B14">
            <v>250</v>
          </cell>
        </row>
        <row r="15">
          <cell r="B15">
            <v>100</v>
          </cell>
          <cell r="C15">
            <v>4</v>
          </cell>
        </row>
      </sheetData>
      <sheetData sheetId="5">
        <row r="9">
          <cell r="B9" t="str">
            <v>N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1"/>
  <dimension ref="A1:C13"/>
  <sheetViews>
    <sheetView workbookViewId="0">
      <selection activeCell="A2" sqref="A2"/>
    </sheetView>
  </sheetViews>
  <sheetFormatPr defaultColWidth="8.83203125" defaultRowHeight="13.5"/>
  <cols>
    <col min="1" max="1" width="12.6640625" style="193" bestFit="1" customWidth="1"/>
    <col min="2" max="2" width="8.83203125" style="193"/>
    <col min="3" max="3" width="180.1640625" style="193" customWidth="1"/>
    <col min="4" max="16384" width="8.83203125" style="193"/>
  </cols>
  <sheetData>
    <row r="1" spans="1:3">
      <c r="A1" s="228" t="s">
        <v>556</v>
      </c>
      <c r="B1" s="228" t="s">
        <v>557</v>
      </c>
      <c r="C1" s="228" t="s">
        <v>558</v>
      </c>
    </row>
    <row r="2" spans="1:3" s="285" customFormat="1">
      <c r="A2" s="286">
        <v>45055</v>
      </c>
      <c r="B2" s="285" t="s">
        <v>789</v>
      </c>
      <c r="C2" s="287" t="s">
        <v>792</v>
      </c>
    </row>
    <row r="3" spans="1:3" s="285" customFormat="1" ht="148.5">
      <c r="A3" s="286">
        <v>45000</v>
      </c>
      <c r="B3" s="285" t="s">
        <v>789</v>
      </c>
      <c r="C3" s="287" t="s">
        <v>790</v>
      </c>
    </row>
    <row r="4" spans="1:3" s="285" customFormat="1" ht="40.5">
      <c r="A4" s="286">
        <v>44644</v>
      </c>
      <c r="B4" s="285" t="s">
        <v>778</v>
      </c>
      <c r="C4" s="287" t="s">
        <v>779</v>
      </c>
    </row>
    <row r="5" spans="1:3" s="285" customFormat="1">
      <c r="A5" s="286">
        <v>44638</v>
      </c>
      <c r="B5" s="285" t="s">
        <v>774</v>
      </c>
      <c r="C5" s="287" t="s">
        <v>775</v>
      </c>
    </row>
    <row r="6" spans="1:3" s="285" customFormat="1" ht="40.5">
      <c r="A6" s="286">
        <v>44634</v>
      </c>
      <c r="B6" s="285" t="s">
        <v>770</v>
      </c>
      <c r="C6" s="287" t="s">
        <v>773</v>
      </c>
    </row>
    <row r="7" spans="1:3" ht="81">
      <c r="A7" s="229">
        <v>44596</v>
      </c>
      <c r="B7" s="230" t="s">
        <v>755</v>
      </c>
      <c r="C7" s="284" t="s">
        <v>756</v>
      </c>
    </row>
    <row r="8" spans="1:3">
      <c r="A8" s="282">
        <v>44491</v>
      </c>
      <c r="B8" s="193" t="s">
        <v>752</v>
      </c>
      <c r="C8" s="283" t="s">
        <v>753</v>
      </c>
    </row>
    <row r="9" spans="1:3">
      <c r="A9" s="282">
        <v>44440</v>
      </c>
      <c r="B9" s="193" t="s">
        <v>750</v>
      </c>
      <c r="C9" s="283" t="s">
        <v>751</v>
      </c>
    </row>
    <row r="10" spans="1:3" ht="94.5">
      <c r="A10" s="229">
        <v>44279</v>
      </c>
      <c r="B10" s="230" t="s">
        <v>748</v>
      </c>
      <c r="C10" s="233" t="s">
        <v>749</v>
      </c>
    </row>
    <row r="11" spans="1:3" ht="202.5">
      <c r="A11" s="229">
        <v>44004</v>
      </c>
      <c r="B11" s="230" t="s">
        <v>562</v>
      </c>
      <c r="C11" s="232" t="s">
        <v>614</v>
      </c>
    </row>
    <row r="12" spans="1:3" ht="378">
      <c r="A12" s="229">
        <v>44004</v>
      </c>
      <c r="B12" s="230" t="s">
        <v>595</v>
      </c>
      <c r="C12" s="233" t="s">
        <v>598</v>
      </c>
    </row>
    <row r="13" spans="1:3" ht="324">
      <c r="A13" s="229">
        <v>43658</v>
      </c>
      <c r="B13" s="230" t="s">
        <v>559</v>
      </c>
      <c r="C13" s="231" t="s">
        <v>561</v>
      </c>
    </row>
  </sheetData>
  <phoneticPr fontId="36" type="noConversion"/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D1" s="84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123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88</v>
      </c>
      <c r="E3" s="85" t="str">
        <f>'[1]Franchise Info'!$B$4</f>
        <v>#204 - 2692 Clearbrook Road, Abbotsford, BC, V2T 2Y8</v>
      </c>
      <c r="F3" s="84"/>
      <c r="G3" s="124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6</v>
      </c>
      <c r="E4" s="299"/>
      <c r="F4" s="299"/>
      <c r="G4" s="92" t="s">
        <v>502</v>
      </c>
      <c r="H4" s="100"/>
      <c r="I4" s="84" t="s">
        <v>7</v>
      </c>
      <c r="P4" s="84"/>
      <c r="Q4" s="84"/>
    </row>
    <row r="5" spans="1:17">
      <c r="A5" s="90" t="s">
        <v>199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24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24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24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84"/>
      <c r="E9" s="99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24</v>
      </c>
      <c r="M9" s="84">
        <f>COUNTIF($J$6:$J9,$J9)</f>
        <v>4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580</v>
      </c>
      <c r="D10" s="84"/>
      <c r="E10" s="99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24</v>
      </c>
      <c r="M10" s="84">
        <f>COUNTIF($J$6:$J10,$J10)</f>
        <v>5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463</v>
      </c>
      <c r="D11" s="84"/>
      <c r="E11" s="99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24</v>
      </c>
      <c r="M11" s="84">
        <f>COUNTIF($J$6:$J11,$J11)</f>
        <v>6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03"/>
      <c r="C12" s="105" t="s">
        <v>757</v>
      </c>
      <c r="D12" s="84"/>
      <c r="E12" s="99" t="str">
        <f>IF($C12&lt;&gt;0,VLOOKUP($C12,'[1]Course Table'!$A$1:$G$330,2,TRUE),"")</f>
        <v>MS Word Level 1</v>
      </c>
      <c r="F12" s="84"/>
      <c r="G12" s="84">
        <f>I12</f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24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03"/>
      <c r="C13" s="105" t="s">
        <v>758</v>
      </c>
      <c r="D13" s="84"/>
      <c r="E13" s="99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24</v>
      </c>
      <c r="M13" s="84">
        <f>COUNTIF($J$6:$J13,$J13)</f>
        <v>8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03"/>
      <c r="C14" s="105" t="s">
        <v>759</v>
      </c>
      <c r="D14" s="84"/>
      <c r="E14" s="99" t="str">
        <f>IF($C14&lt;&gt;0,VLOOKUP($C14,'[1]Course Table'!$A$1:$G$330,2,TRUE),"")</f>
        <v>MS Word Level 3</v>
      </c>
      <c r="F14" s="84"/>
      <c r="G14" s="84">
        <f t="shared" si="0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24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366</v>
      </c>
      <c r="D15" s="84"/>
      <c r="E15" s="99" t="str">
        <f>IF($C15&lt;&gt;0,VLOOKUP($C15,'[1]Course Table'!$A$1:$G$330,2,TRUE),"")</f>
        <v>Business Correspondence Level 1</v>
      </c>
      <c r="F15" s="84"/>
      <c r="G15" s="84">
        <f t="shared" si="0"/>
        <v>32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32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24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367</v>
      </c>
      <c r="D16" s="84"/>
      <c r="E16" s="99" t="str">
        <f>IF($C16&lt;&gt;0,VLOOKUP($C16,'[1]Course Table'!$A$1:$G$330,2,TRUE),"")</f>
        <v>Business Correspondence Level 2</v>
      </c>
      <c r="F16" s="84"/>
      <c r="G16" s="84">
        <f t="shared" si="0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24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181</v>
      </c>
      <c r="D17" s="84"/>
      <c r="E17" s="99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24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763</v>
      </c>
      <c r="D18" s="84"/>
      <c r="E18" s="99" t="str">
        <f>IF($C18&lt;&gt;0,VLOOKUP($C18,'[1]Course Table'!$A$1:$G$330,2,TRUE),"")</f>
        <v>MS Excel Level 1</v>
      </c>
      <c r="F18" s="84"/>
      <c r="G18" s="84">
        <f t="shared" si="0"/>
        <v>28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24</v>
      </c>
      <c r="M18" s="84">
        <f>COUNTIF($J$6:$J18,$J18)</f>
        <v>13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 t="s">
        <v>765</v>
      </c>
      <c r="D19" s="84"/>
      <c r="E19" s="99" t="str">
        <f>IF($C19&lt;&gt;0,VLOOKUP($C19,'[1]Course Table'!$A$1:$G$330,2,TRUE),"")</f>
        <v>MS Excel Level 2</v>
      </c>
      <c r="F19" s="84"/>
      <c r="G19" s="84">
        <f t="shared" si="0"/>
        <v>35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35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24</v>
      </c>
      <c r="M19" s="84">
        <f>COUNTIF($J$6:$J19,$J19)</f>
        <v>14</v>
      </c>
      <c r="N19" s="84">
        <f>IF($C19&lt;&gt;"",VLOOKUP($C19,'[1]Course Table'!$A$1:$I$330,8,FALSE),"")</f>
        <v>4</v>
      </c>
      <c r="O19" s="84">
        <f>IF($C19&lt;&gt;"",VLOOKUP($C19,'[1]Course Table'!$A$1:$I$330,9,FALSE),"")</f>
        <v>2</v>
      </c>
      <c r="P19" s="84"/>
      <c r="Q19" s="84"/>
    </row>
    <row r="20" spans="1:18">
      <c r="A20" s="79" t="s">
        <v>0</v>
      </c>
      <c r="B20" s="103"/>
      <c r="C20" s="105" t="s">
        <v>767</v>
      </c>
      <c r="D20" s="84"/>
      <c r="E20" s="99" t="str">
        <f>IF($C20&lt;&gt;0,VLOOKUP($C20,'[1]Course Table'!$A$1:$G$330,2,TRUE),"")</f>
        <v>MS Access Level 1</v>
      </c>
      <c r="F20" s="84"/>
      <c r="G20" s="84">
        <f t="shared" si="0"/>
        <v>27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27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24</v>
      </c>
      <c r="M20" s="84">
        <f>COUNTIF($J$6:$J20,$J20)</f>
        <v>15</v>
      </c>
      <c r="N20" s="84">
        <f>IF($C20&lt;&gt;"",VLOOKUP($C20,'[1]Course Table'!$A$1:$I$330,8,FALSE),"")</f>
        <v>5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03"/>
      <c r="C21" s="105" t="s">
        <v>328</v>
      </c>
      <c r="E21" s="99" t="str">
        <f>IF($C21&lt;&gt;0,VLOOKUP($C21,'[1]Course Table'!$A$1:$G$330,2,TRUE),"")</f>
        <v>Office Procedures Level 1</v>
      </c>
      <c r="F21" s="84"/>
      <c r="G21" s="84">
        <f t="shared" si="0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399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24</v>
      </c>
      <c r="M21" s="84">
        <f>COUNTIF($J$6:$J21,$J21)</f>
        <v>16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329</v>
      </c>
      <c r="D22" s="84"/>
      <c r="E22" s="99" t="str">
        <f>IF($C22&lt;&gt;0,VLOOKUP($C22,'[1]Course Table'!$A$1:$G$330,2,TRUE),"")</f>
        <v>Office Procedures Level 2</v>
      </c>
      <c r="F22" s="84"/>
      <c r="G22" s="84">
        <f t="shared" si="0"/>
        <v>24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24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24</v>
      </c>
      <c r="M22" s="84">
        <f>COUNTIF($J$6:$J22,$J22)</f>
        <v>17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</row>
    <row r="23" spans="1:18">
      <c r="A23" s="79" t="s">
        <v>0</v>
      </c>
      <c r="B23" s="103"/>
      <c r="C23" s="105" t="s">
        <v>324</v>
      </c>
      <c r="D23" s="84"/>
      <c r="E23" s="99" t="str">
        <f>IF($C23&lt;&gt;0,VLOOKUP($C23,'[1]Course Table'!$A$1:$G$330,2,TRUE),"")</f>
        <v>Customer Service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24</v>
      </c>
      <c r="M23" s="84">
        <f>COUNTIF($J$6:$J23,$J23)</f>
        <v>18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03"/>
      <c r="C24" s="105" t="s">
        <v>760</v>
      </c>
      <c r="D24" s="84"/>
      <c r="E24" s="99" t="str">
        <f>IF($C24&lt;&gt;0,VLOOKUP($C24,'[1]Course Table'!$A$1:$G$330,2,TRUE),"")</f>
        <v>MS Powerpoint Level 1</v>
      </c>
      <c r="F24" s="84"/>
      <c r="G24" s="84">
        <f t="shared" si="0"/>
        <v>24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24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24</v>
      </c>
      <c r="M24" s="84">
        <f>COUNTIF($J$6:$J24,$J24)</f>
        <v>19</v>
      </c>
      <c r="N24" s="84">
        <f>IF($C24&lt;&gt;"",VLOOKUP($C24,'[1]Course Table'!$A$1:$I$330,8,FALSE),"")</f>
        <v>6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462</v>
      </c>
      <c r="D25" s="84"/>
      <c r="E25" s="99" t="str">
        <f>IF($C25&lt;&gt;0,VLOOKUP($C25,'[1]Course Table'!$A$1:$G$330,2,TRUE),"")</f>
        <v>Internet Fundamentals</v>
      </c>
      <c r="F25" s="84"/>
      <c r="G25" s="84">
        <f t="shared" si="0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24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03"/>
      <c r="C26" s="105" t="s">
        <v>762</v>
      </c>
      <c r="D26" s="84"/>
      <c r="E26" s="99" t="str">
        <f>IF($C26&lt;&gt;0,VLOOKUP($C26,'[1]Course Table'!$A$1:$G$330,2,TRUE),"")</f>
        <v>MS Outlook Level 1</v>
      </c>
      <c r="F26" s="84"/>
      <c r="G26" s="84">
        <f t="shared" si="0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24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1.5</v>
      </c>
      <c r="P26" s="84"/>
      <c r="Q26" s="84"/>
    </row>
    <row r="27" spans="1:18" ht="13.5" customHeight="1">
      <c r="A27" s="79" t="s">
        <v>1</v>
      </c>
      <c r="B27" s="103"/>
      <c r="C27" s="105" t="s">
        <v>23</v>
      </c>
      <c r="D27" s="84"/>
      <c r="E27" s="99" t="str">
        <f>IF($C27&lt;&gt;0,VLOOKUP($C27,'[1]Course Table'!$A$1:$G$330,2,TRUE),"")</f>
        <v>Practical Applications - 2 Units</v>
      </c>
      <c r="F27" s="84"/>
      <c r="G27" s="84">
        <f t="shared" si="0"/>
        <v>40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689</v>
      </c>
      <c r="I27" s="84">
        <f>IF($C27&lt;&gt;"",VLOOKUP($C27,'[1]Course Table'!$A$1:$G$330,5,FALSE),"")</f>
        <v>40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24</v>
      </c>
      <c r="M27" s="84">
        <f>COUNTIF($J$6:$J27,$J27)</f>
        <v>22</v>
      </c>
      <c r="N27" s="84">
        <f>IF($C27&lt;&gt;"",VLOOKUP($C27,'[1]Course Table'!$A$1:$I$330,8,FALSE),"")</f>
        <v>2</v>
      </c>
      <c r="O27" s="84">
        <f>IF($C27&lt;&gt;"",VLOOKUP($C27,'[1]Course Table'!$A$1:$I$330,9,FALSE),"")</f>
        <v>0</v>
      </c>
      <c r="P27" s="84"/>
      <c r="Q27" s="84"/>
    </row>
    <row r="28" spans="1:18">
      <c r="A28" s="79" t="s">
        <v>0</v>
      </c>
      <c r="B28" s="103"/>
      <c r="C28" s="105" t="s">
        <v>249</v>
      </c>
      <c r="D28" s="84"/>
      <c r="E28" s="99" t="str">
        <f>IF($C28&lt;&gt;0,VLOOKUP($C28,'[1]Course Table'!$A$1:$G$330,2,TRUE),"")</f>
        <v>Job Search/Resume Writing</v>
      </c>
      <c r="F28" s="84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579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24</v>
      </c>
      <c r="M28" s="84">
        <f>COUNTIF($J$6:$J28,$J28)</f>
        <v>23</v>
      </c>
      <c r="N28" s="84">
        <f>IF($C28&lt;&gt;"",VLOOKUP($C28,'[1]Course Table'!$A$1:$I$330,8,FALSE),"")</f>
        <v>15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03"/>
      <c r="C29" s="105" t="s">
        <v>411</v>
      </c>
      <c r="D29" s="84"/>
      <c r="E29" s="99" t="str">
        <f>IF($C29&lt;&gt;0,VLOOKUP($C29,'[1]Course Table'!$A$1:$G$330,2,TRUE),"")</f>
        <v>Study/Review - Adm Assistant BC</v>
      </c>
      <c r="F29" s="84"/>
      <c r="G29" s="84">
        <f t="shared" si="0"/>
        <v>64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0</v>
      </c>
      <c r="I29" s="84">
        <f>IF($C29&lt;&gt;"",VLOOKUP($C29,'[1]Course Table'!$A$1:$G$330,5,FALSE),"")</f>
        <v>64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24</v>
      </c>
      <c r="M29" s="84">
        <f>COUNTIF($J$6:$J29,$J29)</f>
        <v>24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3</v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11</v>
      </c>
      <c r="M30" s="84">
        <f>COUNTIF($J$6:$J30,$J30)</f>
        <v>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11</v>
      </c>
      <c r="M31" s="84">
        <f>COUNTIF($J$6:$J31,$J31)</f>
        <v>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11</v>
      </c>
      <c r="M32" s="84">
        <f>COUNTIF($J$6:$J32,$J32)</f>
        <v>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3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11</v>
      </c>
      <c r="M33" s="84">
        <f>COUNTIF($J$6:$J33,$J33)</f>
        <v>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3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11</v>
      </c>
      <c r="M34" s="84">
        <f>COUNTIF($J$6:$J34,$J34)</f>
        <v>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3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11</v>
      </c>
      <c r="M35" s="84">
        <f>COUNTIF($J$6:$J35,$J35)</f>
        <v>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3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11</v>
      </c>
      <c r="M36" s="84">
        <f>COUNTIF($J$6:$J36,$J36)</f>
        <v>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3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11</v>
      </c>
      <c r="M37" s="84">
        <f>COUNTIF($J$6:$J37,$J37)</f>
        <v>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3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11</v>
      </c>
      <c r="M38" s="84">
        <f>COUNTIF($J$6:$J38,$J38)</f>
        <v>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3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11</v>
      </c>
      <c r="M39" s="84">
        <f>COUNTIF($J$6:$J39,$J39)</f>
        <v>10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3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11</v>
      </c>
      <c r="M40" s="84">
        <f>COUNTIF($J$6:$J40,$J40)</f>
        <v>11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33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10097</v>
      </c>
      <c r="I41" s="115">
        <f>SUM(I6:I40)</f>
        <v>704</v>
      </c>
    </row>
    <row r="42" spans="1:3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- 640          Exam &amp; Review Hours - 64          Total Course Hours - 704</v>
      </c>
      <c r="E42" s="301"/>
      <c r="F42" s="301"/>
      <c r="G42" s="301"/>
      <c r="H42" s="117">
        <f>ROUNDUP(H41/(I41+C43),2)</f>
        <v>14.35</v>
      </c>
    </row>
    <row r="43" spans="1:3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Hrs/Week:8.1 Months (35 Weeks); at 25 Hrs/Week:6.5 Months (28 Weeks); +2 weeks holiday</v>
      </c>
      <c r="E43" s="300"/>
      <c r="F43" s="300"/>
      <c r="G43" s="300"/>
      <c r="H43" s="118"/>
    </row>
    <row r="44" spans="1:33" s="84" customFormat="1" ht="13.5">
      <c r="C44" s="90">
        <f>VLOOKUP("SR"&amp;"*",$C$6:$G$40,5,FALSE)</f>
        <v>64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$10451</v>
      </c>
      <c r="E44" s="120"/>
      <c r="F44" s="120"/>
      <c r="G44" s="120"/>
      <c r="H44" s="100"/>
    </row>
    <row r="45" spans="1:33" s="84" customFormat="1" ht="13.5">
      <c r="D45" s="298" t="s">
        <v>150</v>
      </c>
      <c r="E45" s="298"/>
      <c r="F45" s="298"/>
      <c r="G45" s="298"/>
      <c r="H45" s="100"/>
    </row>
    <row r="46" spans="1:3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33" ht="13.5" customHeight="1">
      <c r="D47" s="113"/>
      <c r="E47" s="74"/>
      <c r="F47" s="74"/>
      <c r="G47" s="74"/>
      <c r="N47" s="84" t="s">
        <v>19</v>
      </c>
      <c r="O47" s="78">
        <f>SUM(O6:O40)</f>
        <v>33</v>
      </c>
    </row>
    <row r="48" spans="1:33" ht="13.5" customHeight="1">
      <c r="D48" s="121"/>
      <c r="E48" s="121"/>
      <c r="F48" s="121"/>
      <c r="G48" s="121"/>
      <c r="H48" s="78"/>
      <c r="N48" s="78">
        <f>SUMIF($N$6:$N$40,Summary!N4,$O$6:$O$40)</f>
        <v>4</v>
      </c>
      <c r="O48" s="78">
        <f>SUMIF($N$6:$N$40,Summary!O4,$O$6:$O$40)</f>
        <v>5.5</v>
      </c>
      <c r="P48" s="78">
        <f>SUMIF($N$6:$N$40,Summary!P4,$O$6:$O$40)</f>
        <v>5</v>
      </c>
      <c r="Q48" s="78">
        <f>SUMIF($N$6:$N$40,Summary!Q4,$O$6:$O$40)</f>
        <v>3.5</v>
      </c>
      <c r="R48" s="78">
        <f>SUMIF($N$6:$N$40,Summary!R4,$O$6:$O$40)</f>
        <v>1.5</v>
      </c>
      <c r="S48" s="78">
        <f>SUMIF($N$6:$N$40,Summary!S4,$O$6:$O$40)</f>
        <v>1</v>
      </c>
      <c r="T48" s="78">
        <f>SUMIF($N$6:$N$40,Summary!T4,$O$6:$O$40)</f>
        <v>0</v>
      </c>
      <c r="U48" s="78">
        <f>SUMIF($N$6:$N$40,Summary!U4,$O$6:$O$40)</f>
        <v>1</v>
      </c>
      <c r="V48" s="78">
        <f>SUMIF($N$6:$N$40,Summary!V4,$O$6:$O$40)</f>
        <v>6</v>
      </c>
      <c r="W48" s="78">
        <f>SUMIF($N$6:$N$40,Summary!W4,$O$6:$O$40)</f>
        <v>0</v>
      </c>
      <c r="X48" s="78">
        <f>SUMIF($N$6:$N$40,Summary!X4,$O$6:$O$40)</f>
        <v>0</v>
      </c>
      <c r="Y48" s="78">
        <f>SUMIF($N$6:$N$40,Summary!Y4,$O$6:$O$40)</f>
        <v>0</v>
      </c>
      <c r="Z48" s="78">
        <f>SUMIF($N$6:$N$40,Summary!Z4,$O$6:$O$40)</f>
        <v>0</v>
      </c>
      <c r="AA48" s="78">
        <f>SUMIF($N$6:$N$40,Summary!AA4,$O$6:$O$40)</f>
        <v>0</v>
      </c>
      <c r="AB48" s="78">
        <f>SUMIF($N$6:$N$40,Summary!AB4,$O$6:$O$40)</f>
        <v>2.5</v>
      </c>
      <c r="AC48" s="78">
        <f>SUMIF($N$6:$N$40,Summary!AC4,$O$6:$O$40)</f>
        <v>0</v>
      </c>
      <c r="AD48" s="78">
        <f>SUMIF($N$6:$N$40,Summary!AD4,$O$6:$O$40)</f>
        <v>0</v>
      </c>
      <c r="AE48" s="78">
        <f>SUMIF($N$6:$N$40,Summary!AE4,$O$6:$O$40)</f>
        <v>0</v>
      </c>
      <c r="AF48" s="78">
        <f>SUMIF($N$6:$N$40,Summary!AF4,$O$6:$O$40)</f>
        <v>0</v>
      </c>
      <c r="AG48" s="78">
        <f>SUMIF($N$6:$N$40,Summary!AG4,$O$6:$O$40)</f>
        <v>0</v>
      </c>
    </row>
    <row r="49" spans="4:7" ht="13.5" customHeight="1">
      <c r="D49" s="121"/>
      <c r="E49" s="121"/>
      <c r="F49" s="121"/>
      <c r="G49" s="121"/>
    </row>
    <row r="50" spans="4:7" ht="13.5" customHeight="1">
      <c r="D50" s="121"/>
      <c r="E50" s="121"/>
      <c r="F50" s="121"/>
      <c r="G50" s="121"/>
    </row>
    <row r="51" spans="4:7">
      <c r="D51" s="113"/>
      <c r="E51" s="74"/>
      <c r="F51" s="74"/>
      <c r="G51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55118110236220474" top="0.6" bottom="0.35433070866141736" header="0.11811023622047245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8">
    <tabColor indexed="10"/>
    <pageSetUpPr fitToPage="1"/>
  </sheetPr>
  <dimension ref="A1:AG55"/>
  <sheetViews>
    <sheetView showZeros="0" topLeftCell="A4" zoomScaleNormal="100" workbookViewId="0">
      <selection activeCell="H45" sqref="H45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8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8" ht="15.75" customHeight="1">
      <c r="A2" s="79" t="s">
        <v>3</v>
      </c>
      <c r="B2" s="80"/>
      <c r="C2" s="80"/>
      <c r="D2" s="81" t="s">
        <v>88</v>
      </c>
      <c r="E2" s="82"/>
      <c r="F2" s="297" t="str">
        <f>'[1]Franchise Info'!$B$6</f>
        <v>(o/b 0833917 B.C. Ltd.)</v>
      </c>
      <c r="G2" s="297"/>
      <c r="H2" s="83"/>
      <c r="I2" s="74"/>
    </row>
    <row r="3" spans="1:18" ht="14.25" customHeight="1">
      <c r="A3" s="79" t="s">
        <v>4</v>
      </c>
      <c r="B3" s="80"/>
      <c r="C3" s="80"/>
      <c r="D3" s="84" t="s">
        <v>169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8" ht="18.75">
      <c r="A4" s="79" t="s">
        <v>5</v>
      </c>
      <c r="B4" s="91"/>
      <c r="C4" s="91"/>
      <c r="D4" s="299" t="s">
        <v>162</v>
      </c>
      <c r="E4" s="299"/>
      <c r="F4" s="299"/>
      <c r="G4" s="92" t="s">
        <v>503</v>
      </c>
      <c r="I4" s="84" t="s">
        <v>7</v>
      </c>
      <c r="P4" s="84"/>
      <c r="Q4" s="84"/>
    </row>
    <row r="5" spans="1:18">
      <c r="A5" s="90" t="s">
        <v>200</v>
      </c>
      <c r="B5" s="90"/>
      <c r="C5" s="90"/>
      <c r="D5" s="94" t="s">
        <v>325</v>
      </c>
      <c r="E5" s="125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8">
      <c r="A6" s="71" t="s">
        <v>167</v>
      </c>
      <c r="B6" s="126"/>
      <c r="C6" s="73" t="s">
        <v>388</v>
      </c>
      <c r="D6" s="9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COUNTIF($J$6:$J$44,$J6)</f>
        <v>37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8">
      <c r="A7" s="79" t="s">
        <v>167</v>
      </c>
      <c r="B7" s="126"/>
      <c r="C7" s="105" t="s">
        <v>390</v>
      </c>
      <c r="D7" s="94"/>
      <c r="E7" s="99" t="str">
        <f>IF($C7&lt;&gt;0,VLOOKUP($C7,'[1]Course Table'!$A$1:$G$330,2,TRUE),"")</f>
        <v>Keyboard Skill Building Level 1 (25 WPM)</v>
      </c>
      <c r="F7" s="100"/>
      <c r="G7" s="84">
        <f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>COUNTIF($J$6:$J$44,$J7)</f>
        <v>37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8">
      <c r="A8" s="79" t="s">
        <v>167</v>
      </c>
      <c r="B8" s="126"/>
      <c r="C8" s="105" t="s">
        <v>580</v>
      </c>
      <c r="D8" s="94"/>
      <c r="E8" s="99" t="str">
        <f>IF($C8&lt;&gt;0,VLOOKUP($C8,'[1]Course Table'!$A$1:$G$330,2,TRUE),"")</f>
        <v>Personal Computer Fundamentals</v>
      </c>
      <c r="F8" s="100"/>
      <c r="G8" s="84">
        <f>I8</f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>COUNTIF($J$6:$J$44,$J8)</f>
        <v>37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8">
      <c r="A9" s="79" t="s">
        <v>167</v>
      </c>
      <c r="B9" s="126"/>
      <c r="C9" s="105" t="s">
        <v>462</v>
      </c>
      <c r="D9" s="94"/>
      <c r="E9" s="99" t="str">
        <f>IF($C9&lt;&gt;0,VLOOKUP($C9,'[1]Course Table'!$A$1:$G$330,2,TRUE),"")</f>
        <v>Internet Fundamentals</v>
      </c>
      <c r="F9" s="100"/>
      <c r="G9" s="84">
        <f>I9</f>
        <v>22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22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>COUNTIF($J$6:$J$44,$J9)</f>
        <v>37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8">
      <c r="A10" s="79"/>
      <c r="B10" s="126"/>
      <c r="C10" s="105"/>
      <c r="D10" s="94" t="s">
        <v>244</v>
      </c>
      <c r="E10" s="99"/>
      <c r="F10" s="100"/>
      <c r="G10" s="84"/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/>
      <c r="J10" s="101"/>
      <c r="K10" s="101"/>
      <c r="L10" s="84"/>
      <c r="M10" s="84"/>
      <c r="N10" s="84"/>
      <c r="O10" s="84"/>
      <c r="P10" s="84"/>
      <c r="Q10" s="84"/>
    </row>
    <row r="11" spans="1:18">
      <c r="A11" s="79" t="s">
        <v>0</v>
      </c>
      <c r="B11" s="126"/>
      <c r="C11" s="105" t="s">
        <v>785</v>
      </c>
      <c r="E11" s="99" t="str">
        <f>IF($C11&lt;&gt;0,VLOOKUP($C11,'[1]Course Table'!$A$1:$G$330,2,TRUE),"")</f>
        <v>Thought Patterns for a Successful Career</v>
      </c>
      <c r="F11" s="100"/>
      <c r="G11" s="84">
        <f t="shared" ref="G11:G32" si="0">I11</f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589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ref="L11:L33" si="1">COUNTIF($J$6:$J$44,$J11)</f>
        <v>37</v>
      </c>
      <c r="M11" s="84">
        <f>COUNTIF($J$6:$J11,$J11)</f>
        <v>5</v>
      </c>
      <c r="N11" s="84">
        <f>IF($C11&lt;&gt;"",VLOOKUP($C11,'[1]Course Table'!$A$1:$I$330,8,FALSE),"")</f>
        <v>15</v>
      </c>
      <c r="O11" s="84">
        <f>IF($C11&lt;&gt;"",VLOOKUP($C11,'[1]Course Table'!$A$1:$I$330,9,FALSE),"")</f>
        <v>1</v>
      </c>
      <c r="P11" s="84"/>
      <c r="Q11" s="84"/>
    </row>
    <row r="12" spans="1:18">
      <c r="A12" s="79" t="s">
        <v>0</v>
      </c>
      <c r="B12" s="126"/>
      <c r="C12" s="105" t="s">
        <v>463</v>
      </c>
      <c r="D12" s="84"/>
      <c r="E12" s="99" t="str">
        <f>IF($C12&lt;&gt;0,VLOOKUP($C12,'[1]Course Table'!$A$1:$G$330,2,TRUE),"")</f>
        <v>Windows 10 Level 1</v>
      </c>
      <c r="F12" s="100"/>
      <c r="G12" s="84">
        <f t="shared" si="0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37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8">
      <c r="A13" s="79" t="s">
        <v>0</v>
      </c>
      <c r="B13" s="126"/>
      <c r="C13" s="105" t="s">
        <v>757</v>
      </c>
      <c r="D13" s="84"/>
      <c r="E13" s="99" t="str">
        <f>IF($C13&lt;&gt;0,VLOOKUP($C13,'[1]Course Table'!$A$1:$G$330,2,TRUE),"")</f>
        <v>MS Word Level 1</v>
      </c>
      <c r="F13" s="100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37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8">
      <c r="A14" s="79" t="s">
        <v>0</v>
      </c>
      <c r="B14" s="126"/>
      <c r="C14" s="105" t="s">
        <v>758</v>
      </c>
      <c r="D14" s="84"/>
      <c r="E14" s="99" t="str">
        <f>IF($C14&lt;&gt;0,VLOOKUP($C14,'[1]Course Table'!$A$1:$G$330,2,TRUE),"")</f>
        <v>MS Word Level 2</v>
      </c>
      <c r="F14" s="100"/>
      <c r="G14" s="84">
        <f t="shared" si="0"/>
        <v>37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37</v>
      </c>
      <c r="M14" s="84">
        <f>COUNTIF($J$6:$J24,$J14)</f>
        <v>18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2</v>
      </c>
      <c r="P14" s="84"/>
      <c r="Q14" s="84"/>
    </row>
    <row r="15" spans="1:18">
      <c r="A15" s="79" t="s">
        <v>0</v>
      </c>
      <c r="B15" s="126"/>
      <c r="C15" s="105" t="s">
        <v>763</v>
      </c>
      <c r="D15" s="84"/>
      <c r="E15" s="99" t="str">
        <f>IF($C15&lt;&gt;0,VLOOKUP($C15,'[1]Course Table'!$A$1:$G$330,2,TRUE),"")</f>
        <v>MS Excel Level 1</v>
      </c>
      <c r="F15" s="100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37</v>
      </c>
      <c r="M15" s="84">
        <f>COUNTIF($J$6:$J40,$J15)</f>
        <v>33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  <c r="R15" s="90"/>
    </row>
    <row r="16" spans="1:18">
      <c r="A16" s="79" t="s">
        <v>0</v>
      </c>
      <c r="B16" s="126"/>
      <c r="C16" s="105" t="s">
        <v>765</v>
      </c>
      <c r="D16" s="84"/>
      <c r="E16" s="99" t="str">
        <f>IF($C16&lt;&gt;0,VLOOKUP($C16,'[1]Course Table'!$A$1:$G$330,2,TRUE),"")</f>
        <v>MS Excel Level 2</v>
      </c>
      <c r="F16" s="100"/>
      <c r="G16" s="84">
        <f t="shared" si="0"/>
        <v>35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35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37</v>
      </c>
      <c r="M16" s="84">
        <f>COUNTIF($J$6:$J16,$J16)</f>
        <v>10</v>
      </c>
      <c r="N16" s="84">
        <f>IF($C16&lt;&gt;"",VLOOKUP($C16,'[1]Course Table'!$A$1:$I$330,8,FALSE),"")</f>
        <v>4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26"/>
      <c r="C17" s="105" t="s">
        <v>359</v>
      </c>
      <c r="D17" s="94"/>
      <c r="E17" s="99" t="str">
        <f>IF($C17&lt;&gt;0,VLOOKUP($C17,'[1]Course Table'!$A$1:$G$330,2,TRUE),"")</f>
        <v>Business Essentials</v>
      </c>
      <c r="F17" s="100"/>
      <c r="G17" s="84">
        <f t="shared" si="0"/>
        <v>40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729</v>
      </c>
      <c r="I17" s="84">
        <f>IF($C17&lt;&gt;"",VLOOKUP($C17,'[1]Course Table'!$A$1:$G$330,5,FALSE),"")</f>
        <v>40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37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26"/>
      <c r="C18" s="105" t="s">
        <v>323</v>
      </c>
      <c r="D18" s="94"/>
      <c r="E18" s="99" t="str">
        <f>IF($C18&lt;&gt;0,VLOOKUP($C18,'[1]Course Table'!$A$1:$G$330,2,TRUE),"")</f>
        <v>Marketing &amp; Sales</v>
      </c>
      <c r="F18" s="100"/>
      <c r="G18" s="84">
        <f t="shared" si="0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696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37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2</v>
      </c>
      <c r="P18" s="84"/>
      <c r="Q18" s="84"/>
    </row>
    <row r="19" spans="1:18">
      <c r="A19" s="79" t="s">
        <v>0</v>
      </c>
      <c r="B19" s="126"/>
      <c r="C19" s="105" t="s">
        <v>324</v>
      </c>
      <c r="D19" s="84"/>
      <c r="E19" s="99" t="str">
        <f>IF($C19&lt;&gt;0,VLOOKUP($C19,'[1]Course Table'!$A$1:$G$330,2,TRUE),"")</f>
        <v>Customer Service</v>
      </c>
      <c r="F19" s="100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549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37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26"/>
      <c r="C20" s="105" t="s">
        <v>181</v>
      </c>
      <c r="D20" s="84"/>
      <c r="E20" s="99" t="str">
        <f>IF($C20&lt;&gt;0,VLOOKUP($C20,'[1]Course Table'!$A$1:$G$330,2,TRUE),"")</f>
        <v>Grammar Essentials for Business Writing</v>
      </c>
      <c r="F20" s="100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37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26"/>
      <c r="C21" s="105" t="s">
        <v>366</v>
      </c>
      <c r="D21" s="84"/>
      <c r="E21" s="99" t="str">
        <f>IF($C21&lt;&gt;0,VLOOKUP($C21,'[1]Course Table'!$A$1:$G$330,2,TRUE),"")</f>
        <v>Business Correspondence Level 1</v>
      </c>
      <c r="F21" s="100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37</v>
      </c>
      <c r="M21" s="84">
        <f>COUNTIF($J$6:$J24,$J21)</f>
        <v>18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26"/>
      <c r="C22" s="105" t="s">
        <v>367</v>
      </c>
      <c r="D22" s="84"/>
      <c r="E22" s="99" t="str">
        <f>IF($C22&lt;&gt;0,VLOOKUP($C22,'[1]Course Table'!$A$1:$G$330,2,TRUE),"")</f>
        <v>Business Correspondence Level 2</v>
      </c>
      <c r="F22" s="100"/>
      <c r="G22" s="84">
        <f t="shared" si="0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37</v>
      </c>
      <c r="M22" s="84">
        <f>COUNTIF($J$6:$J22,$J22)</f>
        <v>16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  <c r="P22" s="84"/>
      <c r="Q22" s="84"/>
    </row>
    <row r="23" spans="1:18">
      <c r="A23" s="79" t="s">
        <v>0</v>
      </c>
      <c r="B23" s="126"/>
      <c r="C23" s="105" t="s">
        <v>180</v>
      </c>
      <c r="D23" s="84"/>
      <c r="E23" s="99" t="str">
        <f>IF($C23&lt;&gt;0,VLOOKUP($C23,'[1]Course Table'!$A$1:$G$330,2,TRUE),"")</f>
        <v>Business Math</v>
      </c>
      <c r="F23" s="100"/>
      <c r="G23" s="84">
        <f t="shared" si="0"/>
        <v>22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399</v>
      </c>
      <c r="I23" s="84">
        <f>IF($C23&lt;&gt;"",VLOOKUP($C23,'[1]Course Table'!$A$1:$G$330,5,FALSE),"")</f>
        <v>22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37</v>
      </c>
      <c r="M23" s="84">
        <f>COUNTIF($J$6:$J23,$J23)</f>
        <v>17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26"/>
      <c r="C24" s="105" t="s">
        <v>123</v>
      </c>
      <c r="D24" s="84"/>
      <c r="E24" s="99" t="str">
        <f>IF($C24&lt;&gt;0,VLOOKUP($C24,'[1]Course Table'!$A$1:$G$330,2,TRUE),"")</f>
        <v>Basic Bookkeeping Level 1</v>
      </c>
      <c r="F24" s="100"/>
      <c r="G24" s="84">
        <f t="shared" si="0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37</v>
      </c>
      <c r="M24" s="84">
        <f>COUNTIF($J$6:$J24,$J24)</f>
        <v>18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1.5</v>
      </c>
      <c r="P24" s="84"/>
      <c r="Q24" s="84"/>
    </row>
    <row r="25" spans="1:18">
      <c r="A25" s="79" t="s">
        <v>0</v>
      </c>
      <c r="B25" s="126"/>
      <c r="C25" s="105" t="s">
        <v>124</v>
      </c>
      <c r="D25" s="94"/>
      <c r="E25" s="99" t="str">
        <f>IF($C25&lt;&gt;0,VLOOKUP($C25,'[1]Course Table'!$A$1:$G$330,2,TRUE),"")</f>
        <v>Basic Bookkeeping Level 2</v>
      </c>
      <c r="F25" s="100"/>
      <c r="G25" s="84">
        <f t="shared" si="0"/>
        <v>20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449</v>
      </c>
      <c r="I25" s="84">
        <f>IF($C25&lt;&gt;"",VLOOKUP($C25,'[1]Course Table'!$A$1:$G$330,5,FALSE),"")</f>
        <v>20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37</v>
      </c>
      <c r="M25" s="84">
        <f>COUNTIF($J$6:$J25,$J25)</f>
        <v>19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26"/>
      <c r="C26" s="105" t="s">
        <v>322</v>
      </c>
      <c r="D26" s="94"/>
      <c r="E26" s="99" t="str">
        <f>IF($C26&lt;&gt;0,VLOOKUP($C26,'[1]Course Table'!$A$1:$G$330,2,TRUE),"")</f>
        <v>Sage 50 Premium Accounting 2013</v>
      </c>
      <c r="F26" s="100"/>
      <c r="G26" s="84">
        <f t="shared" si="0"/>
        <v>46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799</v>
      </c>
      <c r="I26" s="84">
        <f>IF($C26&lt;&gt;"",VLOOKUP($C26,'[1]Course Table'!$A$1:$G$330,5,FALSE),"")</f>
        <v>46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37</v>
      </c>
      <c r="M26" s="84">
        <f>COUNTIF($J$6:$J26,$J26)</f>
        <v>20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2.5</v>
      </c>
      <c r="P26" s="84"/>
      <c r="Q26" s="84"/>
    </row>
    <row r="27" spans="1:18">
      <c r="A27" s="79" t="s">
        <v>0</v>
      </c>
      <c r="B27" s="126"/>
      <c r="C27" s="105" t="s">
        <v>164</v>
      </c>
      <c r="D27" s="94"/>
      <c r="E27" s="99" t="str">
        <f>IF($C27&lt;&gt;0,VLOOKUP($C27,'[1]Course Table'!$A$1:$G$330,2,TRUE),"")</f>
        <v>Business Financial Management</v>
      </c>
      <c r="F27" s="100"/>
      <c r="G27" s="84">
        <f t="shared" si="0"/>
        <v>40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729</v>
      </c>
      <c r="I27" s="84">
        <f>IF($C27&lt;&gt;"",VLOOKUP($C27,'[1]Course Table'!$A$1:$G$330,5,FALSE),"")</f>
        <v>40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37</v>
      </c>
      <c r="M27" s="84">
        <f>COUNTIF($J$6:$J27,$J27)</f>
        <v>21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26"/>
      <c r="C28" s="105" t="s">
        <v>360</v>
      </c>
      <c r="D28" s="84"/>
      <c r="E28" s="99" t="str">
        <f>IF($C28&lt;&gt;0,VLOOKUP($C28,'[1]Course Table'!$A$1:$G$330,2,TRUE),"")</f>
        <v>Human Resource Management</v>
      </c>
      <c r="F28" s="100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456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37</v>
      </c>
      <c r="M28" s="84">
        <f>COUNTIF($J$6:$J40,$J28)</f>
        <v>33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1.5</v>
      </c>
      <c r="P28" s="84"/>
      <c r="Q28" s="84"/>
      <c r="R28" s="90"/>
    </row>
    <row r="29" spans="1:18">
      <c r="A29" s="79" t="s">
        <v>0</v>
      </c>
      <c r="B29" s="126"/>
      <c r="C29" s="105" t="s">
        <v>361</v>
      </c>
      <c r="D29" s="84"/>
      <c r="E29" s="99" t="str">
        <f>IF($C29&lt;&gt;0,VLOOKUP($C29,'[1]Course Table'!$A$1:$G$330,2,TRUE),"")</f>
        <v>Employment Success Strategies</v>
      </c>
      <c r="F29" s="100"/>
      <c r="G29" s="84">
        <f t="shared" si="0"/>
        <v>40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699</v>
      </c>
      <c r="I29" s="84">
        <f>IF($C29&lt;&gt;"",VLOOKUP($C29,'[1]Course Table'!$A$1:$G$330,5,FALSE),"")</f>
        <v>40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37</v>
      </c>
      <c r="M29" s="84">
        <f>COUNTIF($J$6:$J40,$J29)</f>
        <v>33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2</v>
      </c>
      <c r="P29" s="84"/>
      <c r="Q29" s="84"/>
      <c r="R29" s="90"/>
    </row>
    <row r="30" spans="1:18">
      <c r="A30" s="79" t="s">
        <v>0</v>
      </c>
      <c r="B30" s="126"/>
      <c r="C30" s="105" t="s">
        <v>328</v>
      </c>
      <c r="D30" s="84"/>
      <c r="E30" s="99" t="str">
        <f>IF($C30&lt;&gt;0,VLOOKUP($C30,'[1]Course Table'!$A$1:$G$330,2,TRUE),"")</f>
        <v>Office Procedures Level 1</v>
      </c>
      <c r="F30" s="100"/>
      <c r="G30" s="84">
        <f t="shared" si="0"/>
        <v>24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399</v>
      </c>
      <c r="I30" s="84">
        <f>IF($C30&lt;&gt;"",VLOOKUP($C30,'[1]Course Table'!$A$1:$G$330,5,FALSE),"")</f>
        <v>24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37</v>
      </c>
      <c r="M30" s="84">
        <f>COUNTIF($J$6:$J40,$J30)</f>
        <v>33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26"/>
      <c r="C31" s="105" t="s">
        <v>329</v>
      </c>
      <c r="D31" s="84"/>
      <c r="E31" s="99" t="str">
        <f>IF($C31&lt;&gt;0,VLOOKUP($C31,'[1]Course Table'!$A$1:$G$330,2,TRUE),"")</f>
        <v>Office Procedures Level 2</v>
      </c>
      <c r="F31" s="100"/>
      <c r="G31" s="84">
        <f t="shared" si="0"/>
        <v>24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399</v>
      </c>
      <c r="I31" s="84">
        <f>IF($C31&lt;&gt;"",VLOOKUP($C31,'[1]Course Table'!$A$1:$G$330,5,FALSE),"")</f>
        <v>24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37</v>
      </c>
      <c r="M31" s="84">
        <f>COUNTIF($J$6:$J40,$J31)</f>
        <v>33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1</v>
      </c>
      <c r="P31" s="84"/>
      <c r="Q31" s="84"/>
      <c r="R31" s="90"/>
    </row>
    <row r="32" spans="1:18">
      <c r="A32" s="79" t="s">
        <v>1</v>
      </c>
      <c r="B32" s="126"/>
      <c r="C32" s="105" t="s">
        <v>165</v>
      </c>
      <c r="D32" s="94"/>
      <c r="E32" s="99" t="str">
        <f>IF($C32&lt;&gt;0,VLOOKUP($C32,'[1]Course Table'!$A$1:$G$330,2,TRUE),"")</f>
        <v>Business Law &amp; Ethics</v>
      </c>
      <c r="F32" s="100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37</v>
      </c>
      <c r="M32" s="84">
        <f>COUNTIF($J$6:$J40,$J32)</f>
        <v>33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</row>
    <row r="33" spans="1:18">
      <c r="A33" s="79"/>
      <c r="B33" s="126"/>
      <c r="C33" s="105" t="s">
        <v>413</v>
      </c>
      <c r="D33" s="94"/>
      <c r="E33" s="99" t="str">
        <f>IF($C33&lt;&gt;0,VLOOKUP($C33,'[1]Course Table'!$A$1:$G$330,2,TRUE),"")</f>
        <v>Study/Review - Bus Admin Year 1 - BC</v>
      </c>
      <c r="F33" s="100"/>
      <c r="G33" s="84">
        <f>I33</f>
        <v>78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0</v>
      </c>
      <c r="I33" s="84">
        <f>IF($C33&lt;&gt;"",VLOOKUP($C33,'[1]Course Table'!$A$1:$G$330,5,FALSE),"")</f>
        <v>78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37</v>
      </c>
      <c r="M33" s="84">
        <f>COUNTIF($J$6:$J41,$J33)</f>
        <v>34</v>
      </c>
      <c r="N33" s="84">
        <f>IF($C33&lt;&gt;"",VLOOKUP($C33,'[1]Course Table'!$A$1:$I$330,8,FALSE),"")</f>
        <v>99</v>
      </c>
      <c r="O33" s="84">
        <f>IF($C33&lt;&gt;"",VLOOKUP($C33,'[1]Course Table'!$A$1:$I$330,9,FALSE),"")</f>
        <v>4</v>
      </c>
      <c r="P33" s="84"/>
      <c r="Q33" s="84"/>
      <c r="R33" s="90"/>
    </row>
    <row r="34" spans="1:18">
      <c r="A34" s="79" t="s">
        <v>0</v>
      </c>
      <c r="B34" s="126"/>
      <c r="C34" s="105"/>
      <c r="D34" s="94" t="s">
        <v>248</v>
      </c>
      <c r="E34" s="99" t="str">
        <f>IF($C34&lt;&gt;0,VLOOKUP($C34,'[1]Course Table'!$A$1:$G$330,2,TRUE),"")</f>
        <v/>
      </c>
      <c r="F34" s="100"/>
      <c r="G34" s="84" t="str">
        <f t="shared" ref="G34:G44" si="2">I34</f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ref="L34:L44" si="3">COUNTIF($J$6:$J$44,$J34)</f>
        <v>2</v>
      </c>
      <c r="M34" s="84">
        <f>COUNTIF($J$6:$J40,$J34)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 t="s">
        <v>0</v>
      </c>
      <c r="B35" s="126"/>
      <c r="C35" s="105" t="s">
        <v>568</v>
      </c>
      <c r="D35" s="94"/>
      <c r="E35" s="99" t="str">
        <f>IF($C35&lt;&gt;0,VLOOKUP($C35,'[1]Course Table'!$A$1:$G$330,2,TRUE),"")</f>
        <v>Project Management Fundamentals - Level 1</v>
      </c>
      <c r="F35" s="100"/>
      <c r="G35" s="84">
        <f t="shared" si="2"/>
        <v>36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995</v>
      </c>
      <c r="I35" s="84">
        <f>IF($C35&lt;&gt;"",VLOOKUP($C35,'[1]Course Table'!$A$1:$G$330,5,FALSE),"")</f>
        <v>36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3"/>
        <v>37</v>
      </c>
      <c r="M35" s="84">
        <f>COUNTIF($J$6:$J44,$J35)</f>
        <v>37</v>
      </c>
      <c r="N35" s="84">
        <f>IF($C35&lt;&gt;"",VLOOKUP($C35,'[1]Course Table'!$A$1:$I$330,8,FALSE),"")</f>
        <v>9</v>
      </c>
      <c r="O35" s="84">
        <f>IF($C35&lt;&gt;"",VLOOKUP($C35,'[1]Course Table'!$A$1:$I$330,9,FALSE),"")</f>
        <v>2</v>
      </c>
      <c r="P35" s="84"/>
      <c r="Q35" s="84"/>
    </row>
    <row r="36" spans="1:18">
      <c r="A36" s="79" t="s">
        <v>0</v>
      </c>
      <c r="B36" s="126"/>
      <c r="C36" s="105" t="s">
        <v>163</v>
      </c>
      <c r="D36" s="94"/>
      <c r="E36" s="99" t="str">
        <f>IF($C36&lt;&gt;0,VLOOKUP($C36,'[1]Course Table'!$A$1:$G$330,2,TRUE),"")</f>
        <v>Business Economics</v>
      </c>
      <c r="F36" s="100"/>
      <c r="G36" s="84">
        <f t="shared" si="2"/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499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3"/>
        <v>37</v>
      </c>
      <c r="M36" s="84">
        <f>COUNTIF($J$6:$J36,$J36)</f>
        <v>29</v>
      </c>
      <c r="N36" s="84">
        <f>IF($C36&lt;&gt;"",VLOOKUP($C36,'[1]Course Table'!$A$1:$I$330,8,FALSE),"")</f>
        <v>9</v>
      </c>
      <c r="O36" s="84">
        <f>IF($C36&lt;&gt;"",VLOOKUP($C36,'[1]Course Table'!$A$1:$I$330,9,FALSE),"")</f>
        <v>1.5</v>
      </c>
      <c r="P36" s="84"/>
      <c r="Q36" s="84"/>
    </row>
    <row r="37" spans="1:18">
      <c r="A37" s="79" t="s">
        <v>0</v>
      </c>
      <c r="B37" s="126"/>
      <c r="C37" s="105" t="s">
        <v>767</v>
      </c>
      <c r="D37" s="84"/>
      <c r="E37" s="99" t="str">
        <f>IF($C37&lt;&gt;0,VLOOKUP($C37,'[1]Course Table'!$A$1:$G$330,2,TRUE),"")</f>
        <v>MS Access Level 1</v>
      </c>
      <c r="F37" s="100"/>
      <c r="G37" s="84">
        <f t="shared" si="2"/>
        <v>27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389</v>
      </c>
      <c r="I37" s="84">
        <f>IF($C37&lt;&gt;"",VLOOKUP($C37,'[1]Course Table'!$A$1:$G$330,5,FALSE),"")</f>
        <v>27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3"/>
        <v>37</v>
      </c>
      <c r="M37" s="84">
        <f>COUNTIF($J$6:$J37,$J37)</f>
        <v>30</v>
      </c>
      <c r="N37" s="84">
        <f>IF($C37&lt;&gt;"",VLOOKUP($C37,'[1]Course Table'!$A$1:$I$330,8,FALSE),"")</f>
        <v>5</v>
      </c>
      <c r="O37" s="84">
        <f>IF($C37&lt;&gt;"",VLOOKUP($C37,'[1]Course Table'!$A$1:$I$330,9,FALSE),"")</f>
        <v>1.5</v>
      </c>
    </row>
    <row r="38" spans="1:18">
      <c r="A38" s="79" t="s">
        <v>0</v>
      </c>
      <c r="B38" s="126"/>
      <c r="C38" s="105" t="s">
        <v>760</v>
      </c>
      <c r="D38" s="84"/>
      <c r="E38" s="99" t="str">
        <f>IF($C38&lt;&gt;0,VLOOKUP($C38,'[1]Course Table'!$A$1:$G$330,2,TRUE),"")</f>
        <v>MS Powerpoint Level 1</v>
      </c>
      <c r="F38" s="100"/>
      <c r="G38" s="84">
        <f t="shared" si="2"/>
        <v>24</v>
      </c>
      <c r="H38" s="100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>389</v>
      </c>
      <c r="I38" s="84">
        <f>IF($C38&lt;&gt;"",VLOOKUP($C38,'[1]Course Table'!$A$1:$G$330,5,FALSE),"")</f>
        <v>24</v>
      </c>
      <c r="J38" s="101">
        <f>IF(AND($C38&lt;&gt;"",A38&lt;&gt;"E"),VLOOKUP($C38,'[1]Course Table'!$A$1:$G$330,6,FALSE),"")</f>
        <v>0</v>
      </c>
      <c r="K38" s="101">
        <f>IF($C38&lt;&gt;"",VLOOKUP($C38,'[1]Course Table'!$A$1:$G$330,7,FALSE),"")</f>
        <v>0</v>
      </c>
      <c r="L38" s="84">
        <f t="shared" si="3"/>
        <v>37</v>
      </c>
      <c r="M38" s="84">
        <f>COUNTIF($J$6:$J38,$J38)</f>
        <v>31</v>
      </c>
      <c r="N38" s="84">
        <f>IF($C38&lt;&gt;"",VLOOKUP($C38,'[1]Course Table'!$A$1:$I$330,8,FALSE),"")</f>
        <v>6</v>
      </c>
      <c r="O38" s="84">
        <f>IF($C38&lt;&gt;"",VLOOKUP($C38,'[1]Course Table'!$A$1:$I$330,9,FALSE),"")</f>
        <v>1</v>
      </c>
      <c r="P38" s="84"/>
      <c r="Q38" s="84"/>
    </row>
    <row r="39" spans="1:18">
      <c r="A39" s="79" t="s">
        <v>0</v>
      </c>
      <c r="B39" s="126"/>
      <c r="C39" s="105" t="s">
        <v>23</v>
      </c>
      <c r="D39" s="84"/>
      <c r="E39" s="99" t="str">
        <f>IF($C39&lt;&gt;0,VLOOKUP($C39,'[1]Course Table'!$A$1:$G$330,2,TRUE),"")</f>
        <v>Practical Applications - 2 Units</v>
      </c>
      <c r="F39" s="100"/>
      <c r="G39" s="84">
        <f t="shared" si="2"/>
        <v>40</v>
      </c>
      <c r="H39" s="100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>689</v>
      </c>
      <c r="I39" s="84">
        <f>IF($C39&lt;&gt;"",VLOOKUP($C39,'[1]Course Table'!$A$1:$G$330,5,FALSE),"")</f>
        <v>40</v>
      </c>
      <c r="J39" s="101">
        <f>IF(AND($C39&lt;&gt;"",A39&lt;&gt;"E"),VLOOKUP($C39,'[1]Course Table'!$A$1:$G$330,6,FALSE),"")</f>
        <v>0</v>
      </c>
      <c r="K39" s="101">
        <f>IF($C39&lt;&gt;"",VLOOKUP($C39,'[1]Course Table'!$A$1:$G$330,7,FALSE),"")</f>
        <v>0</v>
      </c>
      <c r="L39" s="84">
        <f t="shared" si="3"/>
        <v>37</v>
      </c>
      <c r="M39" s="84">
        <f>COUNTIF($J$6:$J39,$J39)</f>
        <v>32</v>
      </c>
      <c r="N39" s="84">
        <f>IF($C39&lt;&gt;"",VLOOKUP($C39,'[1]Course Table'!$A$1:$I$330,8,FALSE),"")</f>
        <v>2</v>
      </c>
      <c r="O39" s="84">
        <f>IF($C39&lt;&gt;"",VLOOKUP($C39,'[1]Course Table'!$A$1:$I$330,9,FALSE),"")</f>
        <v>0</v>
      </c>
      <c r="P39" s="84"/>
      <c r="Q39" s="84"/>
    </row>
    <row r="40" spans="1:18">
      <c r="A40" s="79" t="s">
        <v>0</v>
      </c>
      <c r="B40" s="126"/>
      <c r="C40" s="105" t="s">
        <v>762</v>
      </c>
      <c r="D40" s="84"/>
      <c r="E40" s="99" t="str">
        <f>IF($C40&lt;&gt;0,VLOOKUP($C40,'[1]Course Table'!$A$1:$G$330,2,TRUE),"")</f>
        <v>MS Outlook Level 1</v>
      </c>
      <c r="F40" s="100"/>
      <c r="G40" s="84">
        <f t="shared" si="2"/>
        <v>25</v>
      </c>
      <c r="H40" s="100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>389</v>
      </c>
      <c r="I40" s="84">
        <f>IF($C40&lt;&gt;"",VLOOKUP($C40,'[1]Course Table'!$A$1:$G$330,5,FALSE),"")</f>
        <v>25</v>
      </c>
      <c r="J40" s="101">
        <f>IF(AND($C40&lt;&gt;"",A40&lt;&gt;"E"),VLOOKUP($C40,'[1]Course Table'!$A$1:$G$330,6,FALSE),"")</f>
        <v>0</v>
      </c>
      <c r="K40" s="101">
        <f>IF($C40&lt;&gt;"",VLOOKUP($C40,'[1]Course Table'!$A$1:$G$330,7,FALSE),"")</f>
        <v>0</v>
      </c>
      <c r="L40" s="84">
        <f t="shared" si="3"/>
        <v>37</v>
      </c>
      <c r="M40" s="84">
        <f>COUNTIF($J$6:$J40,$J40)</f>
        <v>33</v>
      </c>
      <c r="N40" s="84">
        <f>IF($C40&lt;&gt;"",VLOOKUP($C40,'[1]Course Table'!$A$1:$I$330,8,FALSE),"")</f>
        <v>2</v>
      </c>
      <c r="O40" s="84">
        <f>IF($C40&lt;&gt;"",VLOOKUP($C40,'[1]Course Table'!$A$1:$I$330,9,FALSE),"")</f>
        <v>1.5</v>
      </c>
      <c r="P40" s="84"/>
      <c r="Q40" s="84"/>
      <c r="R40" s="90"/>
    </row>
    <row r="41" spans="1:18">
      <c r="A41" s="79" t="s">
        <v>0</v>
      </c>
      <c r="B41" s="126"/>
      <c r="C41" s="105" t="s">
        <v>363</v>
      </c>
      <c r="D41" s="84"/>
      <c r="E41" s="99" t="str">
        <f>IF($C41&lt;&gt;0,VLOOKUP($C41,'[1]Course Table'!$A$1:$G$330,2,TRUE),"")</f>
        <v>Business in the Digital Age</v>
      </c>
      <c r="F41" s="100"/>
      <c r="G41" s="84">
        <f>I41</f>
        <v>30</v>
      </c>
      <c r="H41" s="100">
        <f>IF($C41&lt;&gt;"",IF(AND($L41=$K41,$K41&lt;&gt;0),IF($M41=1,VLOOKUP($J41,'[1]Course Table'!$A$1:$G$330,4,FALSE)*IF('[1]Student Info'!$B$9="Y",1.3,1),""),VLOOKUP($C41,'[1]Course Table'!$A$1:$G$330,4,FALSE)*IF('[1]Student Info'!$B$9="Y",IF(OR(MID($C41,1,5)="BOOKS",MID($C41,1,3)="LAB",RIGHT($C41,5)="BOOKS",RIGHT($C41,3)="LAB"),1,1+'[1]Franchise Info'!$C$12),1)),"")</f>
        <v>499</v>
      </c>
      <c r="I41" s="84">
        <f>IF($C41&lt;&gt;"",VLOOKUP($C41,'[1]Course Table'!$A$1:$G$330,5,FALSE),"")</f>
        <v>30</v>
      </c>
      <c r="J41" s="101">
        <f>IF(AND($C41&lt;&gt;"",A41&lt;&gt;"E"),VLOOKUP($C41,'[1]Course Table'!$A$1:$G$330,6,FALSE),"")</f>
        <v>0</v>
      </c>
      <c r="K41" s="101">
        <f>IF($C41&lt;&gt;"",VLOOKUP($C41,'[1]Course Table'!$A$1:$G$330,7,FALSE),"")</f>
        <v>0</v>
      </c>
      <c r="L41" s="84">
        <f t="shared" si="3"/>
        <v>37</v>
      </c>
      <c r="M41" s="84">
        <f>COUNTIF($J$6:$J41,$J41)</f>
        <v>34</v>
      </c>
      <c r="N41" s="84">
        <f>IF($C41&lt;&gt;"",VLOOKUP($C41,'[1]Course Table'!$A$1:$I$330,8,FALSE),"")</f>
        <v>9</v>
      </c>
      <c r="O41" s="84">
        <f>IF($C41&lt;&gt;"",VLOOKUP($C41,'[1]Course Table'!$A$1:$I$330,9,FALSE),"")</f>
        <v>1.5</v>
      </c>
      <c r="P41" s="84"/>
      <c r="Q41" s="84"/>
      <c r="R41" s="90"/>
    </row>
    <row r="42" spans="1:18">
      <c r="A42" s="79" t="s">
        <v>0</v>
      </c>
      <c r="B42" s="126"/>
      <c r="C42" s="105" t="s">
        <v>364</v>
      </c>
      <c r="D42" s="84"/>
      <c r="E42" s="99" t="str">
        <f>IF($C42&lt;&gt;0,VLOOKUP($C42,'[1]Course Table'!$A$1:$G$330,2,TRUE),"")</f>
        <v>Business Administration Integrative Project</v>
      </c>
      <c r="F42" s="100"/>
      <c r="G42" s="84">
        <f>I42</f>
        <v>40</v>
      </c>
      <c r="H42" s="100">
        <f>IF($C42&lt;&gt;"",IF(AND($L42=$K42,$K42&lt;&gt;0),IF($M42=1,VLOOKUP($J42,'[1]Course Table'!$A$1:$G$330,4,FALSE)*IF('[1]Student Info'!$B$9="Y",1.3,1),""),VLOOKUP($C42,'[1]Course Table'!$A$1:$G$330,4,FALSE)*IF('[1]Student Info'!$B$9="Y",IF(OR(MID($C42,1,5)="BOOKS",MID($C42,1,3)="LAB",RIGHT($C42,5)="BOOKS",RIGHT($C42,3)="LAB"),1,1+'[1]Franchise Info'!$C$12),1)),"")</f>
        <v>657</v>
      </c>
      <c r="I42" s="84">
        <f>IF($C42&lt;&gt;"",VLOOKUP($C42,'[1]Course Table'!$A$1:$G$330,5,FALSE),"")</f>
        <v>40</v>
      </c>
      <c r="J42" s="101">
        <f>IF(AND($C42&lt;&gt;"",A42&lt;&gt;"E"),VLOOKUP($C42,'[1]Course Table'!$A$1:$G$330,6,FALSE),"")</f>
        <v>0</v>
      </c>
      <c r="K42" s="101">
        <f>IF($C42&lt;&gt;"",VLOOKUP($C42,'[1]Course Table'!$A$1:$G$330,7,FALSE),"")</f>
        <v>0</v>
      </c>
      <c r="L42" s="84">
        <f t="shared" si="3"/>
        <v>37</v>
      </c>
      <c r="M42" s="84">
        <f>COUNTIF($J$6:$J42,$J42)</f>
        <v>35</v>
      </c>
      <c r="N42" s="84">
        <f>IF($C42&lt;&gt;"",VLOOKUP($C42,'[1]Course Table'!$A$1:$I$330,8,FALSE),"")</f>
        <v>9</v>
      </c>
      <c r="O42" s="84">
        <f>IF($C42&lt;&gt;"",VLOOKUP($C42,'[1]Course Table'!$A$1:$I$330,9,FALSE),"")</f>
        <v>2</v>
      </c>
      <c r="P42" s="84"/>
      <c r="Q42" s="84"/>
      <c r="R42" s="90"/>
    </row>
    <row r="43" spans="1:18">
      <c r="A43" s="79" t="s">
        <v>0</v>
      </c>
      <c r="B43" s="126"/>
      <c r="C43" s="105" t="s">
        <v>249</v>
      </c>
      <c r="D43" s="84"/>
      <c r="E43" s="99" t="str">
        <f>IF($C43&lt;&gt;0,VLOOKUP($C43,'[1]Course Table'!$A$1:$G$330,2,TRUE),"")</f>
        <v>Job Search/Resume Writing</v>
      </c>
      <c r="F43" s="100"/>
      <c r="G43" s="84">
        <f t="shared" si="2"/>
        <v>30</v>
      </c>
      <c r="H43" s="100">
        <f>IF($C43&lt;&gt;"",IF(AND($L43=$K43,$K43&lt;&gt;0),IF($M43=1,VLOOKUP($J43,'[1]Course Table'!$A$1:$G$330,4,FALSE)*IF('[1]Student Info'!$B$9="Y",1.3,1),""),VLOOKUP($C43,'[1]Course Table'!$A$1:$G$330,4,FALSE)*IF('[1]Student Info'!$B$9="Y",IF(OR(MID($C43,1,5)="BOOKS",MID($C43,1,3)="LAB",RIGHT($C43,5)="BOOKS",RIGHT($C43,3)="LAB"),1,1+'[1]Franchise Info'!$C$12),1)),"")</f>
        <v>579</v>
      </c>
      <c r="I43" s="84">
        <f>IF($C43&lt;&gt;"",VLOOKUP($C43,'[1]Course Table'!$A$1:$G$330,5,FALSE),"")</f>
        <v>30</v>
      </c>
      <c r="J43" s="101">
        <f>IF(AND($C43&lt;&gt;"",A43&lt;&gt;"E"),VLOOKUP($C43,'[1]Course Table'!$A$1:$G$330,6,FALSE),"")</f>
        <v>0</v>
      </c>
      <c r="K43" s="101">
        <f>IF($C43&lt;&gt;"",VLOOKUP($C43,'[1]Course Table'!$A$1:$G$330,7,FALSE),"")</f>
        <v>0</v>
      </c>
      <c r="L43" s="84">
        <f t="shared" si="3"/>
        <v>37</v>
      </c>
      <c r="M43" s="84">
        <f>COUNTIF($J$6:$J43,$J43)</f>
        <v>36</v>
      </c>
      <c r="N43" s="84">
        <f>IF($C43&lt;&gt;"",VLOOKUP($C43,'[1]Course Table'!$A$1:$I$330,8,FALSE),"")</f>
        <v>15</v>
      </c>
      <c r="O43" s="84">
        <f>IF($C43&lt;&gt;"",VLOOKUP($C43,'[1]Course Table'!$A$1:$I$330,9,FALSE),"")</f>
        <v>1.5</v>
      </c>
      <c r="P43" s="84"/>
      <c r="Q43" s="84"/>
    </row>
    <row r="44" spans="1:18" ht="17.25" thickBot="1">
      <c r="A44" s="79"/>
      <c r="B44" s="126"/>
      <c r="C44" s="105" t="s">
        <v>415</v>
      </c>
      <c r="D44" s="111"/>
      <c r="E44" s="112" t="str">
        <f>IF($C44&lt;&gt;0,VLOOKUP($C44,'[1]Course Table'!$A$1:$G$330,2,TRUE),"")</f>
        <v>Study/Review - Bus Admin Year 2 - BC</v>
      </c>
      <c r="F44" s="127"/>
      <c r="G44" s="111">
        <f t="shared" si="2"/>
        <v>28</v>
      </c>
      <c r="H44" s="100">
        <f>IF($C44&lt;&gt;"",IF(AND($L44=$K44,$K44&lt;&gt;0),IF($M44=1,VLOOKUP($J44,'[1]Course Table'!$A$1:$G$330,4,FALSE)*IF('[1]Student Info'!$B$9="Y",1.3,1),""),VLOOKUP($C44,'[1]Course Table'!$A$1:$G$330,4,FALSE)*IF('[1]Student Info'!$B$9="Y",IF(OR(MID($C44,1,5)="BOOKS",MID($C44,1,3)="LAB",RIGHT($C44,5)="BOOKS",RIGHT($C44,3)="LAB"),1,1+'[1]Franchise Info'!$C$12),1)),"")</f>
        <v>0</v>
      </c>
      <c r="I44" s="84">
        <f>IF($C44&lt;&gt;"",VLOOKUP($C44,'[1]Course Table'!$A$1:$G$330,5,FALSE),"")</f>
        <v>28</v>
      </c>
      <c r="J44" s="101">
        <f>IF(AND($C44&lt;&gt;"",A44&lt;&gt;"E"),VLOOKUP($C44,'[1]Course Table'!$A$1:$G$330,6,FALSE),"")</f>
        <v>0</v>
      </c>
      <c r="K44" s="101">
        <f>IF($C44&lt;&gt;"",VLOOKUP($C44,'[1]Course Table'!$A$1:$G$330,7,FALSE),"")</f>
        <v>0</v>
      </c>
      <c r="L44" s="84">
        <f t="shared" si="3"/>
        <v>37</v>
      </c>
      <c r="M44" s="84">
        <f>COUNTIF($J$6:$J44,$J44)</f>
        <v>37</v>
      </c>
      <c r="N44" s="84">
        <f>IF($C44&lt;&gt;"",VLOOKUP($C44,'[1]Course Table'!$A$1:$I$330,8,FALSE),"")</f>
        <v>99</v>
      </c>
      <c r="O44" s="84">
        <f>IF($C44&lt;&gt;"",VLOOKUP($C44,'[1]Course Table'!$A$1:$I$330,9,FALSE),"")</f>
        <v>1.5</v>
      </c>
      <c r="P44" s="84"/>
      <c r="Q44" s="84"/>
    </row>
    <row r="45" spans="1:18" s="90" customFormat="1" ht="13.5" customHeight="1" thickBot="1">
      <c r="C45" s="90" t="s">
        <v>17</v>
      </c>
      <c r="D45" s="113" t="s">
        <v>22</v>
      </c>
      <c r="E45" s="89"/>
      <c r="F45" s="89"/>
      <c r="G45" s="89"/>
      <c r="H45" s="114">
        <f>SUM(H6:H44)</f>
        <v>17893</v>
      </c>
      <c r="I45" s="115">
        <f>SUM(I6:I44)</f>
        <v>1161</v>
      </c>
    </row>
    <row r="46" spans="1:18" s="90" customFormat="1" ht="12.75">
      <c r="C46" s="116">
        <v>0</v>
      </c>
      <c r="D46" s="301" t="str">
        <f>CONCATENATE("Course Hours - ",I45-C48,"          Exam &amp; Review Hours - ",C48,"          Total Course Hours - ",I45)</f>
        <v>Course Hours - 1055          Exam &amp; Review Hours - 106          Total Course Hours - 1161</v>
      </c>
      <c r="E46" s="301"/>
      <c r="F46" s="301"/>
      <c r="G46" s="301"/>
      <c r="H46" s="117">
        <f>ROUNDUP(H45/(I45+C47),2)</f>
        <v>15.42</v>
      </c>
    </row>
    <row r="47" spans="1:18" s="90" customFormat="1" ht="13.5" customHeight="1">
      <c r="C47" s="90">
        <f>ROUNDUP(I45*C46,0)</f>
        <v>0</v>
      </c>
      <c r="D47" s="300" t="str">
        <f>CONCATENATE("Duration at 20 Hrs/Week:",ROUND((I45+C47)/(20*4.33),1)," Months (",ROUND((I45+C47)/20.5,0)," Weeks); at 25 Hrs/Week:",ROUND((I45+C47)/(25*4.33),1)," Months (",ROUND((I45+C47)/25,0)," Weeks)","; +2 weeks holiday")</f>
        <v>Duration at 20 Hrs/Week:13.4 Months (57 Weeks); at 25 Hrs/Week:10.7 Months (46 Weeks); +2 weeks holiday</v>
      </c>
      <c r="E47" s="300"/>
      <c r="F47" s="300"/>
      <c r="G47" s="300"/>
      <c r="H47" s="118"/>
    </row>
    <row r="48" spans="1:18" s="84" customFormat="1" ht="13.5">
      <c r="C48" s="90">
        <f>VLOOKUP("SR"&amp;"*",$C$6:$G$44,5,FALSE)+VLOOKUP("SR"&amp;"*"&amp;"Y2"&amp;"*",$C$6:$G$44,5,FALSE)</f>
        <v>106</v>
      </c>
      <c r="D48" s="119" t="str">
        <f>CONCATENATE("Total Costs (including e-manuals, registration &amp; assessment fees) -  $",ROUND(H45,0)+'[1]Outline Info'!$B$14+'[1]Outline Info'!$B$15+'[1]Outline Info'!$C$15)</f>
        <v>Total Costs (including e-manuals, registration &amp; assessment fees) -  $18247</v>
      </c>
      <c r="E48" s="120"/>
      <c r="F48" s="120"/>
      <c r="G48" s="120"/>
      <c r="H48" s="100"/>
    </row>
    <row r="49" spans="4:33" s="84" customFormat="1" ht="13.5">
      <c r="D49" s="298" t="s">
        <v>150</v>
      </c>
      <c r="E49" s="298"/>
      <c r="F49" s="298"/>
      <c r="G49" s="298"/>
      <c r="H49" s="100"/>
    </row>
    <row r="50" spans="4:33" s="90" customFormat="1" ht="12.75">
      <c r="D50" s="121" t="str">
        <f>AdminAsstDip!D46</f>
        <v>Phone : (604) 855-3315                                            E-Mail : admin.abbotsford@aolccbc.com                                             Fax : (604) 855-3365</v>
      </c>
      <c r="E50" s="121"/>
      <c r="F50" s="121"/>
      <c r="G50" s="121"/>
      <c r="H50" s="118"/>
    </row>
    <row r="51" spans="4:33">
      <c r="F51" s="128" t="s">
        <v>9</v>
      </c>
      <c r="G51" s="128" t="s">
        <v>247</v>
      </c>
      <c r="H51" s="304" t="s">
        <v>246</v>
      </c>
      <c r="I51" s="304"/>
      <c r="J51" s="128" t="s">
        <v>245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</row>
    <row r="52" spans="4:33" ht="13.5" customHeight="1">
      <c r="E52" s="129" t="s">
        <v>244</v>
      </c>
      <c r="F52" s="130">
        <f>SUM(G6:G33)</f>
        <v>851</v>
      </c>
      <c r="G52" s="131">
        <f>ROUND(J52/4.3,1)</f>
        <v>9.8000000000000007</v>
      </c>
      <c r="H52" s="305">
        <f>ROUND(SUM(H6:H32),0)</f>
        <v>12808</v>
      </c>
      <c r="I52" s="305"/>
      <c r="J52" s="131">
        <f>ROUNDDOWN(F52/20,0)</f>
        <v>42</v>
      </c>
      <c r="N52" s="84" t="s">
        <v>19</v>
      </c>
      <c r="O52" s="78">
        <f>SUM(O6:O44)</f>
        <v>56.5</v>
      </c>
    </row>
    <row r="53" spans="4:33" ht="13.5" customHeight="1">
      <c r="E53" s="129" t="s">
        <v>248</v>
      </c>
      <c r="F53" s="132">
        <f>SUM(G35:G44)</f>
        <v>310</v>
      </c>
      <c r="G53" s="133">
        <f>ROUND(J53/4.3,1)</f>
        <v>3.5</v>
      </c>
      <c r="H53" s="304">
        <f>ROUND(SUM(H34:H44),0)</f>
        <v>5085</v>
      </c>
      <c r="I53" s="304"/>
      <c r="J53" s="133">
        <f>ROUNDDOWN(F53/20,0)</f>
        <v>15</v>
      </c>
      <c r="N53" s="78">
        <f>SUMIF($N$6:$N$44,Summary!N4,$O$6:$O$44)</f>
        <v>2.5</v>
      </c>
      <c r="O53" s="78">
        <f>SUMIF($N$6:$N$44,Summary!O4,$O$6:$O$44)</f>
        <v>6.5</v>
      </c>
      <c r="P53" s="78">
        <f>SUMIF($N$6:$N$44,Summary!P4,$O$6:$O$44)</f>
        <v>3.5</v>
      </c>
      <c r="Q53" s="78">
        <f>SUMIF($N$6:$N$44,Summary!Q4,$O$6:$O$44)</f>
        <v>3.5</v>
      </c>
      <c r="R53" s="78">
        <f>SUMIF($N$6:$N$44,Summary!R4,$O$6:$O$44)</f>
        <v>1.5</v>
      </c>
      <c r="S53" s="78">
        <f>SUMIF($N$6:$N$44,Summary!S4,$O$6:$O$44)</f>
        <v>1</v>
      </c>
      <c r="T53" s="78">
        <f>SUMIF($N$6:$N$44,Summary!T4,$O$6:$O$44)</f>
        <v>2.5</v>
      </c>
      <c r="U53" s="78">
        <f>SUMIF($N$6:$N$44,Summary!U4,$O$6:$O$44)</f>
        <v>1</v>
      </c>
      <c r="V53" s="78">
        <f>SUMIF($N$6:$N$44,Summary!V4,$O$6:$O$44)</f>
        <v>26.5</v>
      </c>
      <c r="W53" s="78">
        <f>SUMIF($N$6:$N$44,Summary!W4,$O$6:$O$44)</f>
        <v>0</v>
      </c>
      <c r="X53" s="78">
        <f>SUMIF($N$6:$N$44,Summary!X4,$O$6:$O$44)</f>
        <v>0</v>
      </c>
      <c r="Y53" s="78">
        <f>SUMIF($N$6:$N$44,Summary!Y4,$O$6:$O$44)</f>
        <v>0</v>
      </c>
      <c r="Z53" s="78">
        <f>SUMIF($N$6:$N$44,Summary!Z4,$O$6:$O$44)</f>
        <v>0</v>
      </c>
      <c r="AA53" s="78">
        <f>SUMIF($N$6:$N$44,Summary!AA4,$O$6:$O$44)</f>
        <v>0</v>
      </c>
      <c r="AB53" s="78">
        <f>SUMIF($N$6:$N$44,Summary!AB4,$O$6:$O$44)</f>
        <v>2.5</v>
      </c>
      <c r="AC53" s="78">
        <f>SUMIF($N$6:$N$44,Summary!AC4,$O$6:$O$44)</f>
        <v>0</v>
      </c>
      <c r="AD53" s="78">
        <f>SUMIF($N$6:$N$44,Summary!AD4,$O$6:$O$44)</f>
        <v>0</v>
      </c>
      <c r="AE53" s="78">
        <f>SUMIF($N$6:$N$44,Summary!AE4,$O$6:$O$44)</f>
        <v>0</v>
      </c>
      <c r="AF53" s="78">
        <f>SUMIF($N$6:$N$44,Summary!AF4,$O$6:$O$44)</f>
        <v>0</v>
      </c>
      <c r="AG53" s="78">
        <f>SUMIF($N$6:$N$44,Summary!AG4,$O$6:$O$44)</f>
        <v>0</v>
      </c>
    </row>
    <row r="54" spans="4:33" ht="13.5" customHeight="1">
      <c r="E54" s="129"/>
      <c r="F54" s="130">
        <f>SUM(F52:F53)</f>
        <v>1161</v>
      </c>
      <c r="G54" s="131">
        <f>SUM(G52:G53)</f>
        <v>13.3</v>
      </c>
      <c r="H54" s="305">
        <f>SUM(H52:H53)</f>
        <v>17893</v>
      </c>
      <c r="I54" s="305"/>
      <c r="J54" s="131">
        <f>SUM(J52:J53)</f>
        <v>57</v>
      </c>
    </row>
    <row r="55" spans="4:33" ht="13.5" customHeight="1">
      <c r="E55" s="129"/>
      <c r="F55" s="100"/>
    </row>
  </sheetData>
  <sheetProtection selectLockedCells="1" selectUnlockedCells="1"/>
  <mergeCells count="10">
    <mergeCell ref="H51:I51"/>
    <mergeCell ref="H52:I52"/>
    <mergeCell ref="H53:I53"/>
    <mergeCell ref="H54:I54"/>
    <mergeCell ref="F1:G1"/>
    <mergeCell ref="D49:G49"/>
    <mergeCell ref="F2:G2"/>
    <mergeCell ref="D4:F4"/>
    <mergeCell ref="D47:G47"/>
    <mergeCell ref="D46:G46"/>
  </mergeCells>
  <phoneticPr fontId="0" type="noConversion"/>
  <pageMargins left="0.74803149606299213" right="0.70866141732283472" top="0.6" bottom="0.39370078740157483" header="0.11811023622047245" footer="0"/>
  <pageSetup scale="9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9">
    <tabColor indexed="10"/>
    <pageSetUpPr fitToPage="1"/>
  </sheetPr>
  <dimension ref="A1:AG55"/>
  <sheetViews>
    <sheetView showZeros="0" topLeftCell="A37" zoomScaleNormal="100" workbookViewId="0">
      <selection activeCell="H44" sqref="H44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8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8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8" ht="14.25" customHeight="1">
      <c r="A3" s="79" t="s">
        <v>4</v>
      </c>
      <c r="B3" s="80"/>
      <c r="C3" s="80"/>
      <c r="D3" s="84" t="s">
        <v>169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8" ht="18.75">
      <c r="A4" s="79" t="s">
        <v>5</v>
      </c>
      <c r="B4" s="91"/>
      <c r="C4" s="91"/>
      <c r="D4" s="299" t="s">
        <v>470</v>
      </c>
      <c r="E4" s="299"/>
      <c r="F4" s="299"/>
      <c r="G4" s="92" t="s">
        <v>471</v>
      </c>
      <c r="I4" s="84" t="s">
        <v>7</v>
      </c>
      <c r="P4" s="84"/>
      <c r="Q4" s="84"/>
    </row>
    <row r="5" spans="1:18">
      <c r="A5" s="90" t="s">
        <v>662</v>
      </c>
      <c r="B5" s="90"/>
      <c r="C5" s="90"/>
      <c r="D5" s="94" t="s">
        <v>244</v>
      </c>
      <c r="E5" s="125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8">
      <c r="A6" s="71" t="s">
        <v>167</v>
      </c>
      <c r="B6" s="126"/>
      <c r="C6" s="73" t="s">
        <v>388</v>
      </c>
      <c r="D6" s="9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COUNTIF($J$6:$J$44,$J6)</f>
        <v>37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8">
      <c r="A7" s="79" t="s">
        <v>167</v>
      </c>
      <c r="B7" s="126"/>
      <c r="C7" s="105" t="s">
        <v>390</v>
      </c>
      <c r="D7" s="94"/>
      <c r="E7" s="99" t="str">
        <f>IF($C7&lt;&gt;0,VLOOKUP($C7,'[1]Course Table'!$A$1:$G$330,2,TRUE),"")</f>
        <v>Keyboard Skill Building Level 1 (25 WPM)</v>
      </c>
      <c r="F7" s="100"/>
      <c r="G7" s="84">
        <f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>COUNTIF($J$6:$J$44,$J7)</f>
        <v>37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8">
      <c r="A8" s="79" t="s">
        <v>167</v>
      </c>
      <c r="B8" s="126"/>
      <c r="C8" s="105" t="s">
        <v>580</v>
      </c>
      <c r="D8" s="94"/>
      <c r="E8" s="99" t="str">
        <f>IF($C8&lt;&gt;0,VLOOKUP($C8,'[1]Course Table'!$A$1:$G$330,2,TRUE),"")</f>
        <v>Personal Computer Fundamentals</v>
      </c>
      <c r="F8" s="100"/>
      <c r="G8" s="84">
        <f>I8</f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>COUNTIF($J$6:$J$44,$J8)</f>
        <v>37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8">
      <c r="A9" s="79" t="s">
        <v>167</v>
      </c>
      <c r="B9" s="126"/>
      <c r="C9" s="105" t="s">
        <v>462</v>
      </c>
      <c r="D9" s="94"/>
      <c r="E9" s="99" t="str">
        <f>IF($C9&lt;&gt;0,VLOOKUP($C9,'[1]Course Table'!$A$1:$G$330,2,TRUE),"")</f>
        <v>Internet Fundamentals</v>
      </c>
      <c r="F9" s="100"/>
      <c r="G9" s="84">
        <f>I9</f>
        <v>22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22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>COUNTIF($J$6:$J$44,$J9)</f>
        <v>37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8">
      <c r="A10" s="79"/>
      <c r="B10" s="126"/>
      <c r="C10" s="105" t="s">
        <v>463</v>
      </c>
      <c r="D10" s="94"/>
      <c r="E10" s="99" t="str">
        <f>IF($C10&lt;&gt;0,VLOOKUP($C10,'[1]Course Table'!$A$1:$G$330,2,TRUE),"")</f>
        <v>Windows 10 Level 1</v>
      </c>
      <c r="F10" s="100"/>
      <c r="G10" s="84">
        <f>I10</f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/>
      <c r="K10" s="101"/>
      <c r="L10" s="84"/>
      <c r="M10" s="84"/>
      <c r="N10" s="84"/>
      <c r="O10" s="84"/>
      <c r="P10" s="84"/>
      <c r="Q10" s="84"/>
    </row>
    <row r="11" spans="1:18">
      <c r="A11" s="79" t="s">
        <v>0</v>
      </c>
      <c r="B11" s="126"/>
      <c r="C11" s="105" t="s">
        <v>757</v>
      </c>
      <c r="E11" s="99" t="str">
        <f>IF($C11&lt;&gt;0,VLOOKUP($C11,'[1]Course Table'!$A$1:$G$330,2,TRUE),"")</f>
        <v>MS Word Level 1</v>
      </c>
      <c r="F11" s="100"/>
      <c r="G11" s="84">
        <f t="shared" ref="G11:G44" si="0">I11</f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ref="L11:L44" si="1">COUNTIF($J$6:$J$44,$J11)</f>
        <v>37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8">
      <c r="A12" s="79" t="s">
        <v>0</v>
      </c>
      <c r="B12" s="126"/>
      <c r="C12" s="105" t="s">
        <v>758</v>
      </c>
      <c r="D12" s="84"/>
      <c r="E12" s="99" t="str">
        <f>IF($C12&lt;&gt;0,VLOOKUP($C12,'[1]Course Table'!$A$1:$G$330,2,TRUE),"")</f>
        <v>MS Word Level 2</v>
      </c>
      <c r="F12" s="100"/>
      <c r="G12" s="84">
        <f t="shared" si="0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37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8">
      <c r="A13" s="79" t="s">
        <v>0</v>
      </c>
      <c r="B13" s="126"/>
      <c r="C13" s="105" t="s">
        <v>763</v>
      </c>
      <c r="D13" s="84"/>
      <c r="E13" s="99" t="str">
        <f>IF($C13&lt;&gt;0,VLOOKUP($C13,'[1]Course Table'!$A$1:$G$330,2,TRUE),"")</f>
        <v>MS Excel Level 1</v>
      </c>
      <c r="F13" s="100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37</v>
      </c>
      <c r="M13" s="84">
        <f>COUNTIF($J$6:$J13,$J13)</f>
        <v>7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8">
      <c r="A14" s="79" t="s">
        <v>0</v>
      </c>
      <c r="B14" s="126"/>
      <c r="C14" s="105" t="s">
        <v>765</v>
      </c>
      <c r="D14" s="84"/>
      <c r="E14" s="99" t="str">
        <f>IF($C14&lt;&gt;0,VLOOKUP($C14,'[1]Course Table'!$A$1:$G$330,2,TRUE),"")</f>
        <v>MS Excel Level 2</v>
      </c>
      <c r="F14" s="100"/>
      <c r="G14" s="84">
        <f t="shared" si="0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37</v>
      </c>
      <c r="M14" s="84">
        <f>COUNTIF($J$6:$J24,$J14)</f>
        <v>18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8">
      <c r="A15" s="79" t="s">
        <v>0</v>
      </c>
      <c r="B15" s="126"/>
      <c r="C15" s="105" t="s">
        <v>359</v>
      </c>
      <c r="D15" s="84"/>
      <c r="E15" s="99" t="str">
        <f>IF($C15&lt;&gt;0,VLOOKUP($C15,'[1]Course Table'!$A$1:$G$330,2,TRUE),"")</f>
        <v>Business Essentials</v>
      </c>
      <c r="F15" s="100"/>
      <c r="G15" s="84">
        <f t="shared" si="0"/>
        <v>40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729</v>
      </c>
      <c r="I15" s="84">
        <f>IF($C15&lt;&gt;"",VLOOKUP($C15,'[1]Course Table'!$A$1:$G$330,5,FALSE),"")</f>
        <v>40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37</v>
      </c>
      <c r="M15" s="84">
        <f>COUNTIF($J$6:$J40,$J15)</f>
        <v>33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2</v>
      </c>
      <c r="P15" s="84"/>
      <c r="Q15" s="84"/>
      <c r="R15" s="90"/>
    </row>
    <row r="16" spans="1:18">
      <c r="A16" s="79" t="s">
        <v>0</v>
      </c>
      <c r="B16" s="126"/>
      <c r="C16" s="105" t="s">
        <v>323</v>
      </c>
      <c r="D16" s="84"/>
      <c r="E16" s="99" t="str">
        <f>IF($C16&lt;&gt;0,VLOOKUP($C16,'[1]Course Table'!$A$1:$G$330,2,TRUE),"")</f>
        <v>Marketing &amp; Sales</v>
      </c>
      <c r="F16" s="100"/>
      <c r="G16" s="84">
        <f t="shared" si="0"/>
        <v>40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696</v>
      </c>
      <c r="I16" s="84">
        <f>IF($C16&lt;&gt;"",VLOOKUP($C16,'[1]Course Table'!$A$1:$G$330,5,FALSE),"")</f>
        <v>40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37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26"/>
      <c r="C17" s="105" t="s">
        <v>324</v>
      </c>
      <c r="D17" s="94"/>
      <c r="E17" s="99" t="str">
        <f>IF($C17&lt;&gt;0,VLOOKUP($C17,'[1]Course Table'!$A$1:$G$330,2,TRUE),"")</f>
        <v>Customer Service</v>
      </c>
      <c r="F17" s="100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37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26"/>
      <c r="C18" s="105" t="s">
        <v>762</v>
      </c>
      <c r="D18" s="94"/>
      <c r="E18" s="99" t="str">
        <f>IF($C18&lt;&gt;0,VLOOKUP($C18,'[1]Course Table'!$A$1:$G$330,2,TRUE),"")</f>
        <v>MS Outlook Level 1</v>
      </c>
      <c r="F18" s="100"/>
      <c r="G18" s="84">
        <f t="shared" si="0"/>
        <v>25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37</v>
      </c>
      <c r="M18" s="84">
        <f>COUNTIF($J$6:$J18,$J18)</f>
        <v>12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26"/>
      <c r="C19" s="105" t="s">
        <v>181</v>
      </c>
      <c r="D19" s="84"/>
      <c r="E19" s="99" t="str">
        <f>IF($C19&lt;&gt;0,VLOOKUP($C19,'[1]Course Table'!$A$1:$G$330,2,TRUE),"")</f>
        <v>Grammar Essentials for Business Writing</v>
      </c>
      <c r="F19" s="100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37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26"/>
      <c r="C20" s="105" t="s">
        <v>366</v>
      </c>
      <c r="D20" s="84"/>
      <c r="E20" s="99" t="str">
        <f>IF($C20&lt;&gt;0,VLOOKUP($C20,'[1]Course Table'!$A$1:$G$330,2,TRUE),"")</f>
        <v>Business Correspondence Level 1</v>
      </c>
      <c r="F20" s="100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37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26"/>
      <c r="C21" s="105" t="s">
        <v>367</v>
      </c>
      <c r="D21" s="84"/>
      <c r="E21" s="99" t="str">
        <f>IF($C21&lt;&gt;0,VLOOKUP($C21,'[1]Course Table'!$A$1:$G$330,2,TRUE),"")</f>
        <v>Business Correspondence Level 2</v>
      </c>
      <c r="F21" s="100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37</v>
      </c>
      <c r="M21" s="84">
        <f>COUNTIF($J$6:$J24,$J21)</f>
        <v>18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26"/>
      <c r="C22" s="105" t="s">
        <v>180</v>
      </c>
      <c r="D22" s="84"/>
      <c r="E22" s="99" t="str">
        <f>IF($C22&lt;&gt;0,VLOOKUP($C22,'[1]Course Table'!$A$1:$G$330,2,TRUE),"")</f>
        <v>Business Math</v>
      </c>
      <c r="F22" s="100"/>
      <c r="G22" s="84">
        <f t="shared" si="0"/>
        <v>22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37</v>
      </c>
      <c r="M22" s="84">
        <f>COUNTIF($J$6:$J22,$J22)</f>
        <v>16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  <c r="P22" s="84"/>
      <c r="Q22" s="84"/>
    </row>
    <row r="23" spans="1:18">
      <c r="A23" s="79" t="s">
        <v>0</v>
      </c>
      <c r="B23" s="126"/>
      <c r="C23" s="105" t="s">
        <v>123</v>
      </c>
      <c r="D23" s="84"/>
      <c r="E23" s="99" t="str">
        <f>IF($C23&lt;&gt;0,VLOOKUP($C23,'[1]Course Table'!$A$1:$G$330,2,TRUE),"")</f>
        <v>Basic Bookkeeping Level 1</v>
      </c>
      <c r="F23" s="100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37</v>
      </c>
      <c r="M23" s="84">
        <f>COUNTIF($J$6:$J23,$J23)</f>
        <v>17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26"/>
      <c r="C24" s="105" t="s">
        <v>124</v>
      </c>
      <c r="D24" s="84"/>
      <c r="E24" s="99" t="str">
        <f>IF($C24&lt;&gt;0,VLOOKUP($C24,'[1]Course Table'!$A$1:$G$330,2,TRUE),"")</f>
        <v>Basic Bookkeeping Level 2</v>
      </c>
      <c r="F24" s="100"/>
      <c r="G24" s="84">
        <f t="shared" si="0"/>
        <v>20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449</v>
      </c>
      <c r="I24" s="84">
        <f>IF($C24&lt;&gt;"",VLOOKUP($C24,'[1]Course Table'!$A$1:$G$330,5,FALSE),"")</f>
        <v>20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37</v>
      </c>
      <c r="M24" s="84">
        <f>COUNTIF($J$6:$J24,$J24)</f>
        <v>18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26"/>
      <c r="C25" s="105" t="s">
        <v>322</v>
      </c>
      <c r="D25" s="94"/>
      <c r="E25" s="99" t="str">
        <f>IF($C25&lt;&gt;0,VLOOKUP($C25,'[1]Course Table'!$A$1:$G$330,2,TRUE),"")</f>
        <v>Sage 50 Premium Accounting 2013</v>
      </c>
      <c r="F25" s="100"/>
      <c r="G25" s="84">
        <f t="shared" si="0"/>
        <v>46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799</v>
      </c>
      <c r="I25" s="84">
        <f>IF($C25&lt;&gt;"",VLOOKUP($C25,'[1]Course Table'!$A$1:$G$330,5,FALSE),"")</f>
        <v>46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37</v>
      </c>
      <c r="M25" s="84">
        <f>COUNTIF($J$6:$J25,$J25)</f>
        <v>19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2.5</v>
      </c>
      <c r="P25" s="84"/>
      <c r="Q25" s="84"/>
    </row>
    <row r="26" spans="1:18">
      <c r="A26" s="79" t="s">
        <v>0</v>
      </c>
      <c r="B26" s="126"/>
      <c r="C26" s="105" t="s">
        <v>164</v>
      </c>
      <c r="D26" s="94"/>
      <c r="E26" s="99" t="str">
        <f>IF($C26&lt;&gt;0,VLOOKUP($C26,'[1]Course Table'!$A$1:$G$330,2,TRUE),"")</f>
        <v>Business Financial Management</v>
      </c>
      <c r="F26" s="100"/>
      <c r="G26" s="84">
        <f t="shared" si="0"/>
        <v>40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729</v>
      </c>
      <c r="I26" s="84">
        <f>IF($C26&lt;&gt;"",VLOOKUP($C26,'[1]Course Table'!$A$1:$G$330,5,FALSE),"")</f>
        <v>40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37</v>
      </c>
      <c r="M26" s="84">
        <f>COUNTIF($J$6:$J26,$J26)</f>
        <v>20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2</v>
      </c>
      <c r="P26" s="84"/>
      <c r="Q26" s="84"/>
    </row>
    <row r="27" spans="1:18">
      <c r="A27" s="79" t="s">
        <v>0</v>
      </c>
      <c r="B27" s="126"/>
      <c r="C27" s="105" t="s">
        <v>360</v>
      </c>
      <c r="D27" s="94"/>
      <c r="E27" s="99" t="str">
        <f>IF($C27&lt;&gt;0,VLOOKUP($C27,'[1]Course Table'!$A$1:$G$330,2,TRUE),"")</f>
        <v>Human Resource Management</v>
      </c>
      <c r="F27" s="100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456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37</v>
      </c>
      <c r="M27" s="84">
        <f>COUNTIF($J$6:$J27,$J27)</f>
        <v>21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26"/>
      <c r="C28" s="105" t="s">
        <v>361</v>
      </c>
      <c r="D28" s="84"/>
      <c r="E28" s="99" t="str">
        <f>IF($C28&lt;&gt;0,VLOOKUP($C28,'[1]Course Table'!$A$1:$G$330,2,TRUE),"")</f>
        <v>Employment Success Strategies</v>
      </c>
      <c r="F28" s="100"/>
      <c r="G28" s="84">
        <f t="shared" si="0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699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37</v>
      </c>
      <c r="M28" s="84">
        <f>COUNTIF($J$6:$J40,$J28)</f>
        <v>33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2</v>
      </c>
      <c r="P28" s="84"/>
      <c r="Q28" s="84"/>
      <c r="R28" s="90"/>
    </row>
    <row r="29" spans="1:18">
      <c r="A29" s="79" t="s">
        <v>0</v>
      </c>
      <c r="B29" s="126"/>
      <c r="C29" s="105" t="s">
        <v>328</v>
      </c>
      <c r="D29" s="84"/>
      <c r="E29" s="99" t="str">
        <f>IF($C29&lt;&gt;0,VLOOKUP($C29,'[1]Course Table'!$A$1:$G$330,2,TRUE),"")</f>
        <v>Office Procedures Level 1</v>
      </c>
      <c r="F29" s="100"/>
      <c r="G29" s="84">
        <f t="shared" si="0"/>
        <v>24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399</v>
      </c>
      <c r="I29" s="84">
        <f>IF($C29&lt;&gt;"",VLOOKUP($C29,'[1]Course Table'!$A$1:$G$330,5,FALSE),"")</f>
        <v>24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37</v>
      </c>
      <c r="M29" s="84">
        <f>COUNTIF($J$6:$J40,$J29)</f>
        <v>33</v>
      </c>
      <c r="N29" s="84">
        <f>IF($C29&lt;&gt;"",VLOOKUP($C29,'[1]Course Table'!$A$1:$I$330,8,FALSE),"")</f>
        <v>2</v>
      </c>
      <c r="O29" s="84">
        <f>IF($C29&lt;&gt;"",VLOOKUP($C29,'[1]Course Table'!$A$1:$I$330,9,FALSE),"")</f>
        <v>1</v>
      </c>
      <c r="P29" s="84"/>
      <c r="Q29" s="84"/>
      <c r="R29" s="90"/>
    </row>
    <row r="30" spans="1:18">
      <c r="A30" s="79" t="s">
        <v>0</v>
      </c>
      <c r="B30" s="126"/>
      <c r="C30" s="105" t="s">
        <v>329</v>
      </c>
      <c r="D30" s="84"/>
      <c r="E30" s="99" t="str">
        <f>IF($C30&lt;&gt;0,VLOOKUP($C30,'[1]Course Table'!$A$1:$G$330,2,TRUE),"")</f>
        <v>Office Procedures Level 2</v>
      </c>
      <c r="F30" s="100"/>
      <c r="G30" s="84">
        <f t="shared" si="0"/>
        <v>24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399</v>
      </c>
      <c r="I30" s="84">
        <f>IF($C30&lt;&gt;"",VLOOKUP($C30,'[1]Course Table'!$A$1:$G$330,5,FALSE),"")</f>
        <v>24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37</v>
      </c>
      <c r="M30" s="84">
        <f>COUNTIF($J$6:$J40,$J30)</f>
        <v>33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26"/>
      <c r="C31" s="105" t="s">
        <v>165</v>
      </c>
      <c r="D31" s="84"/>
      <c r="E31" s="99" t="str">
        <f>IF($C31&lt;&gt;0,VLOOKUP($C31,'[1]Course Table'!$A$1:$G$330,2,TRUE),"")</f>
        <v>Business Law &amp; Ethics</v>
      </c>
      <c r="F31" s="100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479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37</v>
      </c>
      <c r="M31" s="84">
        <f>COUNTIF($J$6:$J40,$J31)</f>
        <v>33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1.5</v>
      </c>
      <c r="P31" s="84"/>
      <c r="Q31" s="84"/>
      <c r="R31" s="90"/>
    </row>
    <row r="32" spans="1:18">
      <c r="A32" s="79" t="s">
        <v>1</v>
      </c>
      <c r="B32" s="126"/>
      <c r="C32" s="105" t="s">
        <v>760</v>
      </c>
      <c r="D32" s="94"/>
      <c r="E32" s="99" t="str">
        <f>IF($C32&lt;&gt;0,VLOOKUP($C32,'[1]Course Table'!$A$1:$G$330,2,TRUE),"")</f>
        <v>MS Powerpoint Level 1</v>
      </c>
      <c r="F32" s="100"/>
      <c r="G32" s="84">
        <f t="shared" si="0"/>
        <v>24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389</v>
      </c>
      <c r="I32" s="84">
        <f>IF($C32&lt;&gt;"",VLOOKUP($C32,'[1]Course Table'!$A$1:$G$330,5,FALSE),"")</f>
        <v>24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37</v>
      </c>
      <c r="M32" s="84">
        <f>COUNTIF($J$6:$J40,$J32)</f>
        <v>33</v>
      </c>
      <c r="N32" s="84">
        <f>IF($C32&lt;&gt;"",VLOOKUP($C32,'[1]Course Table'!$A$1:$I$330,8,FALSE),"")</f>
        <v>6</v>
      </c>
      <c r="O32" s="84">
        <f>IF($C32&lt;&gt;"",VLOOKUP($C32,'[1]Course Table'!$A$1:$I$330,9,FALSE),"")</f>
        <v>1</v>
      </c>
      <c r="P32" s="84"/>
      <c r="Q32" s="84"/>
    </row>
    <row r="33" spans="1:18">
      <c r="A33" s="79"/>
      <c r="B33" s="126"/>
      <c r="C33" s="105" t="s">
        <v>767</v>
      </c>
      <c r="D33" s="94"/>
      <c r="E33" s="99" t="str">
        <f>IF($C33&lt;&gt;0,VLOOKUP($C33,'[1]Course Table'!$A$1:$G$330,2,TRUE),"")</f>
        <v>MS Access Level 1</v>
      </c>
      <c r="F33" s="100"/>
      <c r="G33" s="84">
        <f t="shared" si="0"/>
        <v>27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389</v>
      </c>
      <c r="I33" s="84">
        <f>IF($C33&lt;&gt;"",VLOOKUP($C33,'[1]Course Table'!$A$1:$G$330,5,FALSE),"")</f>
        <v>27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37</v>
      </c>
      <c r="M33" s="84">
        <f>COUNTIF($J$6:$J41,$J33)</f>
        <v>34</v>
      </c>
      <c r="N33" s="84">
        <f>IF($C33&lt;&gt;"",VLOOKUP($C33,'[1]Course Table'!$A$1:$I$330,8,FALSE),"")</f>
        <v>5</v>
      </c>
      <c r="O33" s="84">
        <f>IF($C33&lt;&gt;"",VLOOKUP($C33,'[1]Course Table'!$A$1:$I$330,9,FALSE),"")</f>
        <v>1.5</v>
      </c>
      <c r="P33" s="84"/>
      <c r="Q33" s="84"/>
      <c r="R33" s="90"/>
    </row>
    <row r="34" spans="1:18">
      <c r="A34" s="79" t="s">
        <v>0</v>
      </c>
      <c r="B34" s="126"/>
      <c r="C34" s="105" t="s">
        <v>568</v>
      </c>
      <c r="D34" s="94"/>
      <c r="E34" s="99" t="str">
        <f>IF($C34&lt;&gt;0,VLOOKUP($C34,'[1]Course Table'!$A$1:$G$330,2,TRUE),"")</f>
        <v>Project Management Fundamentals - Level 1</v>
      </c>
      <c r="F34" s="100"/>
      <c r="G34" s="84">
        <f t="shared" si="0"/>
        <v>36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995</v>
      </c>
      <c r="I34" s="84">
        <f>IF($C34&lt;&gt;"",VLOOKUP($C34,'[1]Course Table'!$A$1:$G$330,5,FALSE),"")</f>
        <v>36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37</v>
      </c>
      <c r="M34" s="84">
        <f>COUNTIF($J$6:$J40,$J34)</f>
        <v>33</v>
      </c>
      <c r="N34" s="84">
        <f>IF($C34&lt;&gt;"",VLOOKUP($C34,'[1]Course Table'!$A$1:$I$330,8,FALSE),"")</f>
        <v>9</v>
      </c>
      <c r="O34" s="84">
        <f>IF($C34&lt;&gt;"",VLOOKUP($C34,'[1]Course Table'!$A$1:$I$330,9,FALSE),"")</f>
        <v>2</v>
      </c>
      <c r="P34" s="84"/>
      <c r="Q34" s="84"/>
      <c r="R34" s="90"/>
    </row>
    <row r="35" spans="1:18">
      <c r="A35" s="79" t="s">
        <v>0</v>
      </c>
      <c r="B35" s="126"/>
      <c r="C35" s="105" t="s">
        <v>163</v>
      </c>
      <c r="D35" s="94"/>
      <c r="E35" s="99" t="str">
        <f>IF($C35&lt;&gt;0,VLOOKUP($C35,'[1]Course Table'!$A$1:$G$330,2,TRUE),"")</f>
        <v>Business Economics</v>
      </c>
      <c r="F35" s="100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499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37</v>
      </c>
      <c r="M35" s="84">
        <f>COUNTIF($J$6:$J44,$J35)</f>
        <v>37</v>
      </c>
      <c r="N35" s="84">
        <f>IF($C35&lt;&gt;"",VLOOKUP($C35,'[1]Course Table'!$A$1:$I$330,8,FALSE),"")</f>
        <v>9</v>
      </c>
      <c r="O35" s="84">
        <f>IF($C35&lt;&gt;"",VLOOKUP($C35,'[1]Course Table'!$A$1:$I$330,9,FALSE),"")</f>
        <v>1.5</v>
      </c>
      <c r="P35" s="84"/>
      <c r="Q35" s="84"/>
    </row>
    <row r="36" spans="1:18">
      <c r="A36" s="79" t="s">
        <v>0</v>
      </c>
      <c r="B36" s="126"/>
      <c r="C36" s="105" t="s">
        <v>363</v>
      </c>
      <c r="D36" s="94"/>
      <c r="E36" s="99" t="str">
        <f>IF($C36&lt;&gt;0,VLOOKUP($C36,'[1]Course Table'!$A$1:$G$330,2,TRUE),"")</f>
        <v>Business in the Digital Age</v>
      </c>
      <c r="F36" s="100"/>
      <c r="G36" s="84">
        <f t="shared" si="0"/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499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37</v>
      </c>
      <c r="M36" s="84">
        <f>COUNTIF($J$6:$J36,$J36)</f>
        <v>30</v>
      </c>
      <c r="N36" s="84">
        <f>IF($C36&lt;&gt;"",VLOOKUP($C36,'[1]Course Table'!$A$1:$I$330,8,FALSE),"")</f>
        <v>9</v>
      </c>
      <c r="O36" s="84">
        <f>IF($C36&lt;&gt;"",VLOOKUP($C36,'[1]Course Table'!$A$1:$I$330,9,FALSE),"")</f>
        <v>1.5</v>
      </c>
      <c r="P36" s="84"/>
      <c r="Q36" s="84"/>
    </row>
    <row r="37" spans="1:18">
      <c r="A37" s="79" t="s">
        <v>0</v>
      </c>
      <c r="B37" s="126"/>
      <c r="C37" s="105" t="s">
        <v>472</v>
      </c>
      <c r="D37" s="84"/>
      <c r="E37" s="99" t="str">
        <f>IF($C37&lt;&gt;0,VLOOKUP($C37,'[1]Course Table'!$A$1:$G$330,2,TRUE),"")</f>
        <v>Study/Review - Business Admin Co-op Year 1 - BC</v>
      </c>
      <c r="F37" s="100"/>
      <c r="G37" s="84">
        <f t="shared" si="0"/>
        <v>75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0</v>
      </c>
      <c r="I37" s="84">
        <f>IF($C37&lt;&gt;"",VLOOKUP($C37,'[1]Course Table'!$A$1:$G$330,5,FALSE),"")</f>
        <v>75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37</v>
      </c>
      <c r="M37" s="84">
        <f>COUNTIF($J$6:$J37,$J37)</f>
        <v>31</v>
      </c>
      <c r="N37" s="84">
        <f>IF($C37&lt;&gt;"",VLOOKUP($C37,'[1]Course Table'!$A$1:$I$330,8,FALSE),"")</f>
        <v>99</v>
      </c>
      <c r="O37" s="84">
        <f>IF($C37&lt;&gt;"",VLOOKUP($C37,'[1]Course Table'!$A$1:$I$330,9,FALSE),"")</f>
        <v>4</v>
      </c>
    </row>
    <row r="38" spans="1:18">
      <c r="A38" s="79" t="s">
        <v>0</v>
      </c>
      <c r="B38" s="126"/>
      <c r="C38" s="105"/>
      <c r="D38" s="94" t="s">
        <v>248</v>
      </c>
      <c r="E38" s="99" t="str">
        <f>IF($C38&lt;&gt;0,VLOOKUP($C38,'[1]Course Table'!$A$1:$G$330,2,TRUE),"")</f>
        <v/>
      </c>
      <c r="F38" s="100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</v>
      </c>
      <c r="M38" s="84">
        <f>COUNTIF($J$6:$J38,$J38)</f>
        <v>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 t="s">
        <v>0</v>
      </c>
      <c r="B39" s="126"/>
      <c r="C39" s="105" t="s">
        <v>23</v>
      </c>
      <c r="D39" s="94"/>
      <c r="E39" s="99" t="str">
        <f>IF($C39&lt;&gt;0,VLOOKUP($C39,'[1]Course Table'!$A$1:$G$330,2,TRUE),"")</f>
        <v>Practical Applications - 2 Units</v>
      </c>
      <c r="F39" s="100"/>
      <c r="G39" s="84">
        <f t="shared" si="0"/>
        <v>40</v>
      </c>
      <c r="H39" s="100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>689</v>
      </c>
      <c r="I39" s="84">
        <f>IF($C39&lt;&gt;"",VLOOKUP($C39,'[1]Course Table'!$A$1:$G$330,5,FALSE),"")</f>
        <v>40</v>
      </c>
      <c r="J39" s="101">
        <f>IF(AND($C39&lt;&gt;"",A39&lt;&gt;"E"),VLOOKUP($C39,'[1]Course Table'!$A$1:$G$330,6,FALSE),"")</f>
        <v>0</v>
      </c>
      <c r="K39" s="101">
        <f>IF($C39&lt;&gt;"",VLOOKUP($C39,'[1]Course Table'!$A$1:$G$330,7,FALSE),"")</f>
        <v>0</v>
      </c>
      <c r="L39" s="84">
        <f t="shared" si="1"/>
        <v>37</v>
      </c>
      <c r="M39" s="84">
        <f>COUNTIF($J$6:$J39,$J39)</f>
        <v>32</v>
      </c>
      <c r="N39" s="84">
        <f>IF($C39&lt;&gt;"",VLOOKUP($C39,'[1]Course Table'!$A$1:$I$330,8,FALSE),"")</f>
        <v>2</v>
      </c>
      <c r="O39" s="84">
        <f>IF($C39&lt;&gt;"",VLOOKUP($C39,'[1]Course Table'!$A$1:$I$330,9,FALSE),"")</f>
        <v>0</v>
      </c>
      <c r="P39" s="84"/>
      <c r="Q39" s="84"/>
    </row>
    <row r="40" spans="1:18">
      <c r="A40" s="79" t="s">
        <v>0</v>
      </c>
      <c r="B40" s="126"/>
      <c r="C40" s="105" t="s">
        <v>249</v>
      </c>
      <c r="D40" s="84"/>
      <c r="E40" s="99" t="str">
        <f>IF($C40&lt;&gt;0,VLOOKUP($C40,'[1]Course Table'!$A$1:$G$330,2,TRUE),"")</f>
        <v>Job Search/Resume Writing</v>
      </c>
      <c r="F40" s="100"/>
      <c r="G40" s="84">
        <f t="shared" si="0"/>
        <v>30</v>
      </c>
      <c r="H40" s="100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>579</v>
      </c>
      <c r="I40" s="84">
        <f>IF($C40&lt;&gt;"",VLOOKUP($C40,'[1]Course Table'!$A$1:$G$330,5,FALSE),"")</f>
        <v>30</v>
      </c>
      <c r="J40" s="101">
        <f>IF(AND($C40&lt;&gt;"",A40&lt;&gt;"E"),VLOOKUP($C40,'[1]Course Table'!$A$1:$G$330,6,FALSE),"")</f>
        <v>0</v>
      </c>
      <c r="K40" s="101">
        <f>IF($C40&lt;&gt;"",VLOOKUP($C40,'[1]Course Table'!$A$1:$G$330,7,FALSE),"")</f>
        <v>0</v>
      </c>
      <c r="L40" s="84">
        <f t="shared" si="1"/>
        <v>37</v>
      </c>
      <c r="M40" s="84">
        <f>COUNTIF($J$6:$J40,$J40)</f>
        <v>33</v>
      </c>
      <c r="N40" s="84">
        <f>IF($C40&lt;&gt;"",VLOOKUP($C40,'[1]Course Table'!$A$1:$I$330,8,FALSE),"")</f>
        <v>15</v>
      </c>
      <c r="O40" s="84">
        <f>IF($C40&lt;&gt;"",VLOOKUP($C40,'[1]Course Table'!$A$1:$I$330,9,FALSE),"")</f>
        <v>1.5</v>
      </c>
      <c r="P40" s="84"/>
      <c r="Q40" s="84"/>
      <c r="R40" s="90"/>
    </row>
    <row r="41" spans="1:18">
      <c r="A41" s="79" t="s">
        <v>0</v>
      </c>
      <c r="B41" s="126"/>
      <c r="C41" s="105" t="s">
        <v>364</v>
      </c>
      <c r="D41" s="84"/>
      <c r="E41" s="99" t="str">
        <f>IF($C41&lt;&gt;0,VLOOKUP($C41,'[1]Course Table'!$A$1:$G$330,2,TRUE),"")</f>
        <v>Business Administration Integrative Project</v>
      </c>
      <c r="F41" s="100"/>
      <c r="G41" s="84">
        <f t="shared" si="0"/>
        <v>40</v>
      </c>
      <c r="H41" s="100">
        <f>IF($C41&lt;&gt;"",IF(AND($L41=$K41,$K41&lt;&gt;0),IF($M41=1,VLOOKUP($J41,'[1]Course Table'!$A$1:$G$330,4,FALSE)*IF('[1]Student Info'!$B$9="Y",1.3,1),""),VLOOKUP($C41,'[1]Course Table'!$A$1:$G$330,4,FALSE)*IF('[1]Student Info'!$B$9="Y",IF(OR(MID($C41,1,5)="BOOKS",MID($C41,1,3)="LAB",RIGHT($C41,5)="BOOKS",RIGHT($C41,3)="LAB"),1,1+'[1]Franchise Info'!$C$12),1)),"")</f>
        <v>657</v>
      </c>
      <c r="I41" s="84">
        <f>IF($C41&lt;&gt;"",VLOOKUP($C41,'[1]Course Table'!$A$1:$G$330,5,FALSE),"")</f>
        <v>40</v>
      </c>
      <c r="J41" s="101">
        <f>IF(AND($C41&lt;&gt;"",A41&lt;&gt;"E"),VLOOKUP($C41,'[1]Course Table'!$A$1:$G$330,6,FALSE),"")</f>
        <v>0</v>
      </c>
      <c r="K41" s="101">
        <f>IF($C41&lt;&gt;"",VLOOKUP($C41,'[1]Course Table'!$A$1:$G$330,7,FALSE),"")</f>
        <v>0</v>
      </c>
      <c r="L41" s="84">
        <f t="shared" si="1"/>
        <v>37</v>
      </c>
      <c r="M41" s="84">
        <f>COUNTIF($J$6:$J41,$J41)</f>
        <v>34</v>
      </c>
      <c r="N41" s="84">
        <f>IF($C41&lt;&gt;"",VLOOKUP($C41,'[1]Course Table'!$A$1:$I$330,8,FALSE),"")</f>
        <v>9</v>
      </c>
      <c r="O41" s="84">
        <f>IF($C41&lt;&gt;"",VLOOKUP($C41,'[1]Course Table'!$A$1:$I$330,9,FALSE),"")</f>
        <v>2</v>
      </c>
      <c r="P41" s="84"/>
      <c r="Q41" s="84"/>
      <c r="R41" s="90"/>
    </row>
    <row r="42" spans="1:18">
      <c r="A42" s="79" t="s">
        <v>0</v>
      </c>
      <c r="B42" s="126"/>
      <c r="C42" s="105" t="s">
        <v>785</v>
      </c>
      <c r="D42" s="84"/>
      <c r="E42" s="99" t="str">
        <f>IF($C42&lt;&gt;0,VLOOKUP($C42,'[1]Course Table'!$A$1:$G$330,2,TRUE),"")</f>
        <v>Thought Patterns for a Successful Career</v>
      </c>
      <c r="F42" s="100"/>
      <c r="G42" s="84">
        <f t="shared" si="0"/>
        <v>24</v>
      </c>
      <c r="H42" s="100">
        <f>IF($C42&lt;&gt;"",IF(AND($L42=$K42,$K42&lt;&gt;0),IF($M42=1,VLOOKUP($J42,'[1]Course Table'!$A$1:$G$330,4,FALSE)*IF('[1]Student Info'!$B$9="Y",1.3,1),""),VLOOKUP($C42,'[1]Course Table'!$A$1:$G$330,4,FALSE)*IF('[1]Student Info'!$B$9="Y",IF(OR(MID($C42,1,5)="BOOKS",MID($C42,1,3)="LAB",RIGHT($C42,5)="BOOKS",RIGHT($C42,3)="LAB"),1,1+'[1]Franchise Info'!$C$12),1)),"")</f>
        <v>589</v>
      </c>
      <c r="I42" s="84">
        <f>IF($C42&lt;&gt;"",VLOOKUP($C42,'[1]Course Table'!$A$1:$G$330,5,FALSE),"")</f>
        <v>24</v>
      </c>
      <c r="J42" s="101">
        <f>IF(AND($C42&lt;&gt;"",A42&lt;&gt;"E"),VLOOKUP($C42,'[1]Course Table'!$A$1:$G$330,6,FALSE),"")</f>
        <v>0</v>
      </c>
      <c r="K42" s="101">
        <f>IF($C42&lt;&gt;"",VLOOKUP($C42,'[1]Course Table'!$A$1:$G$330,7,FALSE),"")</f>
        <v>0</v>
      </c>
      <c r="L42" s="84">
        <f t="shared" si="1"/>
        <v>37</v>
      </c>
      <c r="M42" s="84">
        <f>COUNTIF($J$6:$J42,$J42)</f>
        <v>35</v>
      </c>
      <c r="N42" s="84">
        <f>IF($C42&lt;&gt;"",VLOOKUP($C42,'[1]Course Table'!$A$1:$I$330,8,FALSE),"")</f>
        <v>15</v>
      </c>
      <c r="O42" s="84">
        <f>IF($C42&lt;&gt;"",VLOOKUP($C42,'[1]Course Table'!$A$1:$I$330,9,FALSE),"")</f>
        <v>1</v>
      </c>
      <c r="P42" s="84"/>
      <c r="Q42" s="84"/>
      <c r="R42" s="90"/>
    </row>
    <row r="43" spans="1:18">
      <c r="A43" s="79" t="s">
        <v>0</v>
      </c>
      <c r="B43" s="126"/>
      <c r="C43" s="105" t="s">
        <v>551</v>
      </c>
      <c r="D43" s="84"/>
      <c r="E43" s="99" t="str">
        <f>IF($C43&lt;&gt;0,VLOOKUP($C43,'[1]Course Table'!$A$1:$G$330,2,TRUE),"")</f>
        <v>Study/Review - Business Admin Co-op Year 2 - BC</v>
      </c>
      <c r="F43" s="100"/>
      <c r="G43" s="84">
        <f t="shared" si="0"/>
        <v>26</v>
      </c>
      <c r="H43" s="100">
        <f>IF($C43&lt;&gt;"",IF(AND($L43=$K43,$K43&lt;&gt;0),IF($M43=1,VLOOKUP($J43,'[1]Course Table'!$A$1:$G$330,4,FALSE)*IF('[1]Student Info'!$B$9="Y",1.3,1),""),VLOOKUP($C43,'[1]Course Table'!$A$1:$G$330,4,FALSE)*IF('[1]Student Info'!$B$9="Y",IF(OR(MID($C43,1,5)="BOOKS",MID($C43,1,3)="LAB",RIGHT($C43,5)="BOOKS",RIGHT($C43,3)="LAB"),1,1+'[1]Franchise Info'!$C$12),1)),"")</f>
        <v>0</v>
      </c>
      <c r="I43" s="84">
        <f>IF($C43&lt;&gt;"",VLOOKUP($C43,'[1]Course Table'!$A$1:$G$330,5,FALSE),"")</f>
        <v>26</v>
      </c>
      <c r="J43" s="101">
        <f>IF(AND($C43&lt;&gt;"",A43&lt;&gt;"E"),VLOOKUP($C43,'[1]Course Table'!$A$1:$G$330,6,FALSE),"")</f>
        <v>0</v>
      </c>
      <c r="K43" s="101">
        <f>IF($C43&lt;&gt;"",VLOOKUP($C43,'[1]Course Table'!$A$1:$G$330,7,FALSE),"")</f>
        <v>0</v>
      </c>
      <c r="L43" s="84">
        <f t="shared" si="1"/>
        <v>37</v>
      </c>
      <c r="M43" s="84">
        <f>COUNTIF($J$6:$J43,$J43)</f>
        <v>36</v>
      </c>
      <c r="N43" s="84">
        <f>IF($C43&lt;&gt;"",VLOOKUP($C43,'[1]Course Table'!$A$1:$I$330,8,FALSE),"")</f>
        <v>99</v>
      </c>
      <c r="O43" s="84">
        <f>IF($C43&lt;&gt;"",VLOOKUP($C43,'[1]Course Table'!$A$1:$I$330,9,FALSE),"")</f>
        <v>1.5</v>
      </c>
      <c r="P43" s="84"/>
      <c r="Q43" s="84"/>
    </row>
    <row r="44" spans="1:18" ht="17.25" thickBot="1">
      <c r="A44" s="79"/>
      <c r="B44" s="126"/>
      <c r="C44" s="105" t="s">
        <v>473</v>
      </c>
      <c r="D44" s="84"/>
      <c r="E44" s="99" t="str">
        <f>IF($C44&lt;&gt;0,VLOOKUP($C44,'[1]Course Table'!$A$1:$G$330,2,TRUE),"")</f>
        <v>Business Administration Co-op</v>
      </c>
      <c r="F44" s="100"/>
      <c r="G44" s="84">
        <f t="shared" si="0"/>
        <v>880</v>
      </c>
      <c r="H44" s="100">
        <f>IF($C44&lt;&gt;"",IF(AND($L44=$K44,$K44&lt;&gt;0),IF($M44=1,VLOOKUP($J44,'[1]Course Table'!$A$1:$G$330,4,FALSE)*IF('[1]Student Info'!$B$9="Y",1.3,1),""),VLOOKUP($C44,'[1]Course Table'!$A$1:$G$330,4,FALSE)*IF('[1]Student Info'!$B$9="Y",IF(OR(MID($C44,1,5)="BOOKS",MID($C44,1,3)="LAB",RIGHT($C44,5)="BOOKS",RIGHT($C44,3)="LAB"),1,1+'[1]Franchise Info'!$C$12),1)),"")</f>
        <v>4400</v>
      </c>
      <c r="I44" s="84">
        <f>IF($C44&lt;&gt;"",VLOOKUP($C44,'[1]Course Table'!$A$1:$G$330,5,FALSE),"")</f>
        <v>880</v>
      </c>
      <c r="J44" s="101">
        <f>IF(AND($C44&lt;&gt;"",A44&lt;&gt;"E"),VLOOKUP($C44,'[1]Course Table'!$A$1:$G$330,6,FALSE),"")</f>
        <v>0</v>
      </c>
      <c r="K44" s="101">
        <f>IF($C44&lt;&gt;"",VLOOKUP($C44,'[1]Course Table'!$A$1:$G$330,7,FALSE),"")</f>
        <v>0</v>
      </c>
      <c r="L44" s="84">
        <f t="shared" si="1"/>
        <v>37</v>
      </c>
      <c r="M44" s="84">
        <f>COUNTIF($J$6:$J44,$J44)</f>
        <v>37</v>
      </c>
      <c r="N44" s="84">
        <f>IF($C44&lt;&gt;"",VLOOKUP($C44,'[1]Course Table'!$A$1:$I$330,8,FALSE),"")</f>
        <v>98</v>
      </c>
      <c r="O44" s="84">
        <f>IF($C44&lt;&gt;"",VLOOKUP($C44,'[1]Course Table'!$A$1:$I$330,9,FALSE),"")</f>
        <v>0</v>
      </c>
      <c r="P44" s="84"/>
      <c r="Q44" s="84"/>
    </row>
    <row r="45" spans="1:18" s="90" customFormat="1" ht="13.5" customHeight="1" thickBot="1">
      <c r="C45" s="90" t="s">
        <v>17</v>
      </c>
      <c r="D45" s="113" t="s">
        <v>22</v>
      </c>
      <c r="E45" s="89"/>
      <c r="F45" s="89"/>
      <c r="G45" s="89"/>
      <c r="H45" s="114">
        <f>SUM(H6:H44)</f>
        <v>22293</v>
      </c>
      <c r="I45" s="115">
        <f>SUM(I6:I44)</f>
        <v>2036</v>
      </c>
    </row>
    <row r="46" spans="1:18" s="90" customFormat="1" ht="12.75">
      <c r="C46" s="116">
        <v>0</v>
      </c>
      <c r="D46" s="301" t="str">
        <f>CONCATENATE("Course Hours - ",I45-C48-C49,"          Co-op Hours - ",C49,"          Exam &amp; Review Hours - ",C48,"          Total Course Hours - ",I45)</f>
        <v>Course Hours - 1055          Co-op Hours - 880          Exam &amp; Review Hours - 101          Total Course Hours - 2036</v>
      </c>
      <c r="E46" s="301"/>
      <c r="F46" s="301"/>
      <c r="G46" s="301"/>
      <c r="H46" s="117">
        <f>ROUNDUP(H45/(I45+C47),2)</f>
        <v>10.95</v>
      </c>
    </row>
    <row r="47" spans="1:18" s="90" customFormat="1" ht="13.5" customHeight="1">
      <c r="C47" s="90">
        <f>ROUNDUP(I45*C46,0)</f>
        <v>0</v>
      </c>
      <c r="D47" s="300" t="str">
        <f>CONCATENATE("Duration at 20 Hrs/Week:",ROUND((I45+C47)/(20*4.33),1)," Months (",ROUND((I45+C47)/20,0)," Weeks); at 25 Hrs/Week:",ROUND((I45+C47)/(25*4.33),1)," Months (",ROUND((I45+C47)/25,0)," Weeks)","; +2 weeks holiday")</f>
        <v>Duration at 20 Hrs/Week:23.5 Months (102 Weeks); at 25 Hrs/Week:18.8 Months (81 Weeks); +2 weeks holiday</v>
      </c>
      <c r="E47" s="300"/>
      <c r="F47" s="300"/>
      <c r="G47" s="300"/>
      <c r="H47" s="118"/>
    </row>
    <row r="48" spans="1:18" s="84" customFormat="1" ht="13.5">
      <c r="C48" s="90">
        <f>VLOOKUP("SR"&amp;"*",$C$6:$G$44,5,FALSE)+VLOOKUP("SR"&amp;"*",$C$40:$G$44,5,FALSE)</f>
        <v>101</v>
      </c>
      <c r="D48" s="119" t="str">
        <f>CONCATENATE("Total Costs (including e-manuals, registration &amp; assessment fees) -  $",ROUND(H45,0)+'[1]Outline Info'!$B$14+'[1]Outline Info'!$B$15+'[1]Outline Info'!$C$15)</f>
        <v>Total Costs (including e-manuals, registration &amp; assessment fees) -  $22647</v>
      </c>
      <c r="E48" s="120"/>
      <c r="F48" s="120"/>
      <c r="G48" s="120"/>
      <c r="H48" s="100"/>
    </row>
    <row r="49" spans="3:33" s="84" customFormat="1" ht="13.5">
      <c r="C49" s="90">
        <f>VLOOKUP("BAC"&amp;"*",$C$6:$G$44,5,FALSE)</f>
        <v>880</v>
      </c>
      <c r="D49" s="298" t="s">
        <v>150</v>
      </c>
      <c r="E49" s="298"/>
      <c r="F49" s="298"/>
      <c r="G49" s="298"/>
      <c r="H49" s="100"/>
    </row>
    <row r="50" spans="3:33" s="90" customFormat="1" ht="12.75">
      <c r="D50" s="121" t="str">
        <f>AdminAsstDip!D46</f>
        <v>Phone : (604) 855-3315                                            E-Mail : admin.abbotsford@aolccbc.com                                             Fax : (604) 855-3365</v>
      </c>
      <c r="E50" s="121"/>
      <c r="F50" s="121"/>
      <c r="G50" s="121"/>
      <c r="H50" s="118"/>
    </row>
    <row r="51" spans="3:33">
      <c r="F51" s="128" t="s">
        <v>9</v>
      </c>
      <c r="G51" s="128" t="s">
        <v>247</v>
      </c>
      <c r="H51" s="304" t="s">
        <v>246</v>
      </c>
      <c r="I51" s="304"/>
      <c r="J51" s="128" t="s">
        <v>245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</row>
    <row r="52" spans="3:33" ht="13.5" customHeight="1">
      <c r="E52" s="129" t="s">
        <v>244</v>
      </c>
      <c r="F52" s="130">
        <f>SUM(G6:G37)</f>
        <v>996</v>
      </c>
      <c r="G52" s="131">
        <f>ROUND(J52/4.3,1)</f>
        <v>11.6</v>
      </c>
      <c r="H52" s="305">
        <f>ROUND(SUM(H6:H38),0)</f>
        <v>15379</v>
      </c>
      <c r="I52" s="305"/>
      <c r="J52" s="131">
        <f>ROUND(F52/20,0)</f>
        <v>50</v>
      </c>
      <c r="N52" s="84" t="s">
        <v>19</v>
      </c>
      <c r="O52" s="78">
        <f>SUM(O6:O44)</f>
        <v>55.5</v>
      </c>
    </row>
    <row r="53" spans="3:33" ht="13.5" customHeight="1">
      <c r="E53" s="129" t="s">
        <v>248</v>
      </c>
      <c r="F53" s="132">
        <f>SUM(G39:G44)</f>
        <v>1040</v>
      </c>
      <c r="G53" s="133">
        <f>ROUND(J53/4.3,1)</f>
        <v>12.1</v>
      </c>
      <c r="H53" s="304">
        <f>ROUND(SUM(H39:H44),0)</f>
        <v>6914</v>
      </c>
      <c r="I53" s="304"/>
      <c r="J53" s="133">
        <f>ROUND(F53/20,0)</f>
        <v>52</v>
      </c>
      <c r="N53" s="78">
        <f>SUMIF($N$6:$N$44,Summary!N4,$O$6:$O$44)</f>
        <v>2.5</v>
      </c>
      <c r="O53" s="78">
        <f>SUMIF($N$6:$N$44,Summary!O4,$O$6:$O$44)</f>
        <v>6.5</v>
      </c>
      <c r="P53" s="78">
        <f>SUMIF($N$6:$N$44,Summary!P4,$O$6:$O$44)</f>
        <v>3.5</v>
      </c>
      <c r="Q53" s="78">
        <f>SUMIF($N$6:$N$44,Summary!Q4,$O$6:$O$44)</f>
        <v>3.5</v>
      </c>
      <c r="R53" s="78">
        <f>SUMIF($N$6:$N$44,Summary!R4,$O$6:$O$44)</f>
        <v>1.5</v>
      </c>
      <c r="S53" s="78">
        <f>SUMIF($N$6:$N$44,Summary!S4,$O$6:$O$44)</f>
        <v>1</v>
      </c>
      <c r="T53" s="78">
        <f>SUMIF($N$6:$N$44,Summary!T4,$O$6:$O$44)</f>
        <v>2.5</v>
      </c>
      <c r="U53" s="78">
        <f>SUMIF($N$6:$N$44,Summary!U4,$O$6:$O$44)</f>
        <v>0</v>
      </c>
      <c r="V53" s="78">
        <f>SUMIF($N$6:$N$44,Summary!V4,$O$6:$O$44)</f>
        <v>26.5</v>
      </c>
      <c r="W53" s="78">
        <f>SUMIF($N$6:$N$44,Summary!W4,$O$6:$O$44)</f>
        <v>0</v>
      </c>
      <c r="X53" s="78">
        <f>SUMIF($N$6:$N$44,Summary!X4,$O$6:$O$44)</f>
        <v>0</v>
      </c>
      <c r="Y53" s="78">
        <f>SUMIF($N$6:$N$44,Summary!Y4,$O$6:$O$44)</f>
        <v>0</v>
      </c>
      <c r="Z53" s="78">
        <f>SUMIF($N$6:$N$44,Summary!Z4,$O$6:$O$44)</f>
        <v>0</v>
      </c>
      <c r="AA53" s="78">
        <f>SUMIF($N$6:$N$44,Summary!AA4,$O$6:$O$44)</f>
        <v>0</v>
      </c>
      <c r="AB53" s="78">
        <f>SUMIF($N$6:$N$44,Summary!AB4,$O$6:$O$44)</f>
        <v>2.5</v>
      </c>
      <c r="AC53" s="78">
        <f>SUMIF($N$6:$N$44,Summary!AC4,$O$6:$O$44)</f>
        <v>0</v>
      </c>
      <c r="AD53" s="78">
        <f>SUMIF($N$6:$N$44,Summary!AD4,$O$6:$O$44)</f>
        <v>0</v>
      </c>
      <c r="AE53" s="78">
        <f>SUMIF($N$6:$N$44,Summary!AE4,$O$6:$O$44)</f>
        <v>0</v>
      </c>
      <c r="AF53" s="78">
        <f>SUMIF($N$6:$N$44,Summary!AF4,$O$6:$O$44)</f>
        <v>0</v>
      </c>
      <c r="AG53" s="78">
        <f>SUMIF($N$6:$N$44,Summary!AG4,$O$6:$O$44)</f>
        <v>0</v>
      </c>
    </row>
    <row r="54" spans="3:33" ht="13.5" customHeight="1">
      <c r="E54" s="129"/>
      <c r="F54" s="130">
        <f>SUM(F52:F53)</f>
        <v>2036</v>
      </c>
      <c r="G54" s="131">
        <f>SUM(G52:G53)</f>
        <v>23.7</v>
      </c>
      <c r="H54" s="305">
        <f>SUM(H52:H53)</f>
        <v>22293</v>
      </c>
      <c r="I54" s="305"/>
      <c r="J54" s="131">
        <f>SUM(J52:J53)</f>
        <v>102</v>
      </c>
    </row>
    <row r="55" spans="3:33" ht="13.5" customHeight="1">
      <c r="E55" s="129"/>
      <c r="F55" s="100"/>
    </row>
  </sheetData>
  <sheetProtection selectLockedCells="1" selectUnlockedCells="1"/>
  <mergeCells count="10">
    <mergeCell ref="H51:I51"/>
    <mergeCell ref="H52:I52"/>
    <mergeCell ref="H53:I53"/>
    <mergeCell ref="H54:I54"/>
    <mergeCell ref="F1:G1"/>
    <mergeCell ref="F2:G2"/>
    <mergeCell ref="D4:F4"/>
    <mergeCell ref="D46:G46"/>
    <mergeCell ref="D47:G47"/>
    <mergeCell ref="D49:G49"/>
  </mergeCells>
  <phoneticPr fontId="36" type="noConversion"/>
  <pageMargins left="0.74803149606299213" right="0.70866141732283472" top="0.6" bottom="0.39370078740157483" header="0.11811023622047245" footer="0"/>
  <pageSetup scale="9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6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176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173</v>
      </c>
      <c r="E4" s="299"/>
      <c r="F4" s="299"/>
      <c r="G4" s="92" t="s">
        <v>503</v>
      </c>
      <c r="I4" s="84" t="s">
        <v>7</v>
      </c>
      <c r="P4" s="84"/>
      <c r="Q4" s="84"/>
    </row>
    <row r="5" spans="1:17">
      <c r="A5" s="90" t="s">
        <v>201</v>
      </c>
      <c r="B5" s="90"/>
      <c r="C5" s="90"/>
      <c r="D5" s="94" t="s">
        <v>168</v>
      </c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0"/>
      <c r="E6" s="134" t="s">
        <v>764</v>
      </c>
      <c r="F6" s="84"/>
      <c r="G6" s="84" t="str">
        <f t="shared" ref="G6:G33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18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5"/>
      <c r="D7" s="94" t="s">
        <v>8</v>
      </c>
      <c r="E7" s="99"/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18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17</v>
      </c>
      <c r="M8" s="84">
        <f>COUNTIF($J$6:$J8,$J8)</f>
        <v>1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324</v>
      </c>
      <c r="D9" s="84"/>
      <c r="E9" s="99" t="str">
        <f>IF($C9&lt;&gt;0,VLOOKUP($C9,'[1]Course Table'!$A$1:$G$330,2,TRUE),"")</f>
        <v>Customer Service</v>
      </c>
      <c r="F9" s="84"/>
      <c r="G9" s="84">
        <f t="shared" si="0"/>
        <v>30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549</v>
      </c>
      <c r="I9" s="84">
        <f>IF($C9&lt;&gt;"",VLOOKUP($C9,'[1]Course Table'!$A$1:$G$330,5,FALSE),"")</f>
        <v>30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17</v>
      </c>
      <c r="M9" s="84">
        <f>COUNTIF($J$6:$J9,$J9)</f>
        <v>2</v>
      </c>
      <c r="N9" s="84">
        <f>IF($C9&lt;&gt;"",VLOOKUP($C9,'[1]Course Table'!$A$1:$I$330,8,FALSE),"")</f>
        <v>9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03"/>
      <c r="C10" s="105" t="s">
        <v>183</v>
      </c>
      <c r="D10" s="84"/>
      <c r="E10" s="99" t="str">
        <f>IF($C10&lt;&gt;0,VLOOKUP($C10,'[1]Course Table'!$A$1:$G$330,2,TRUE),"")</f>
        <v>Management Fundamentals</v>
      </c>
      <c r="F10" s="84"/>
      <c r="G10" s="84">
        <f t="shared" si="0"/>
        <v>36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688</v>
      </c>
      <c r="I10" s="84">
        <f>IF($C10&lt;&gt;"",VLOOKUP($C10,'[1]Course Table'!$A$1:$G$330,5,FALSE),"")</f>
        <v>36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17</v>
      </c>
      <c r="M10" s="84">
        <f>COUNTIF($J$6:$J10,$J10)</f>
        <v>3</v>
      </c>
      <c r="N10" s="84">
        <f>IF($C10&lt;&gt;"",VLOOKUP($C10,'[1]Course Table'!$A$1:$I$330,8,FALSE),"")</f>
        <v>9</v>
      </c>
      <c r="O10" s="84">
        <f>IF($C10&lt;&gt;"",VLOOKUP($C10,'[1]Course Table'!$A$1:$I$330,9,FALSE),"")</f>
        <v>2</v>
      </c>
      <c r="P10" s="84"/>
      <c r="Q10" s="84"/>
    </row>
    <row r="11" spans="1:17">
      <c r="A11" s="79" t="s">
        <v>0</v>
      </c>
      <c r="B11" s="103"/>
      <c r="C11" s="105" t="s">
        <v>181</v>
      </c>
      <c r="D11" s="84"/>
      <c r="E11" s="99" t="str">
        <f>IF($C11&lt;&gt;0,VLOOKUP($C11,'[1]Course Table'!$A$1:$G$330,2,TRUE),"")</f>
        <v>Grammar Essentials for Business Writing</v>
      </c>
      <c r="F11" s="84"/>
      <c r="G11" s="84">
        <f t="shared" si="0"/>
        <v>30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479</v>
      </c>
      <c r="I11" s="84">
        <f>IF($C11&lt;&gt;"",VLOOKUP($C11,'[1]Course Table'!$A$1:$G$330,5,FALSE),"")</f>
        <v>30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17</v>
      </c>
      <c r="M11" s="84">
        <f>COUNTIF($J$6:$J11,$J11)</f>
        <v>4</v>
      </c>
      <c r="N11" s="84">
        <f>IF($C11&lt;&gt;"",VLOOKUP($C11,'[1]Course Table'!$A$1:$I$330,8,FALSE),"")</f>
        <v>9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568</v>
      </c>
      <c r="D12" s="94"/>
      <c r="E12" s="99" t="str">
        <f>IF($C12&lt;&gt;0,VLOOKUP($C12,'[1]Course Table'!$A$1:$G$330,2,TRUE),"")</f>
        <v>Project Management Fundamentals - Level 1</v>
      </c>
      <c r="F12" s="84"/>
      <c r="G12" s="84">
        <f t="shared" si="0"/>
        <v>36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995</v>
      </c>
      <c r="I12" s="84">
        <f>IF($C12&lt;&gt;"",VLOOKUP($C12,'[1]Course Table'!$A$1:$G$330,5,FALSE),"")</f>
        <v>36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17</v>
      </c>
      <c r="M12" s="84">
        <f>COUNTIF($J$6:$J12,$J12)</f>
        <v>5</v>
      </c>
      <c r="N12" s="84">
        <f>IF($C12&lt;&gt;"",VLOOKUP($C12,'[1]Course Table'!$A$1:$I$330,8,FALSE),"")</f>
        <v>9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03"/>
      <c r="C13" s="105" t="s">
        <v>791</v>
      </c>
      <c r="D13" s="84"/>
      <c r="E13" s="99" t="str">
        <f>IF($C13&lt;&gt;0,VLOOKUP($C13,'[1]Course Table'!$A$1:$G$330,2,TRUE),"")</f>
        <v>MS Project Level 1</v>
      </c>
      <c r="F13" s="84"/>
      <c r="G13" s="84">
        <f t="shared" si="0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499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17</v>
      </c>
      <c r="M13" s="84">
        <f>COUNTIF($J$6:$J13,$J13)</f>
        <v>6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376</v>
      </c>
      <c r="D14" s="94"/>
      <c r="E14" s="99" t="str">
        <f>IF($C14&lt;&gt;0,VLOOKUP($C14,'[1]Course Table'!$A$1:$G$330,2,TRUE),"")</f>
        <v>MS Project Level 2</v>
      </c>
      <c r="F14" s="84"/>
      <c r="G14" s="84">
        <f t="shared" si="0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17</v>
      </c>
      <c r="M14" s="84">
        <f>COUNTIF($J$6:$J14,$J14)</f>
        <v>7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1</v>
      </c>
      <c r="B15" s="103"/>
      <c r="C15" s="105" t="s">
        <v>361</v>
      </c>
      <c r="D15" s="84"/>
      <c r="E15" s="99" t="str">
        <f>IF($C15&lt;&gt;0,VLOOKUP($C15,'[1]Course Table'!$A$1:$G$330,2,TRUE),"")</f>
        <v>Employment Success Strategies</v>
      </c>
      <c r="F15" s="84"/>
      <c r="G15" s="84">
        <f t="shared" si="0"/>
        <v>40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699</v>
      </c>
      <c r="I15" s="84">
        <f>IF($C15&lt;&gt;"",VLOOKUP($C15,'[1]Course Table'!$A$1:$G$330,5,FALSE),"")</f>
        <v>40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17</v>
      </c>
      <c r="M15" s="84">
        <f>COUNTIF($J$6:$J15,$J15)</f>
        <v>8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2</v>
      </c>
      <c r="P15" s="84"/>
      <c r="Q15" s="84"/>
    </row>
    <row r="16" spans="1:17">
      <c r="A16" s="79"/>
      <c r="B16" s="103"/>
      <c r="C16" s="105" t="s">
        <v>123</v>
      </c>
      <c r="D16" s="94"/>
      <c r="E16" s="99" t="str">
        <f>IF($C16&lt;&gt;0,VLOOKUP($C16,'[1]Course Table'!$A$1:$G$330,2,TRUE),"")</f>
        <v>Basic Bookkeeping Level 1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17</v>
      </c>
      <c r="M16" s="84">
        <f>COUNTIF($J$6:$J16,$J16)</f>
        <v>9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570</v>
      </c>
      <c r="D17" s="94"/>
      <c r="E17" s="99" t="str">
        <f>IF($C17&lt;&gt;0,VLOOKUP($C17,'[1]Course Table'!$A$1:$G$330,2,TRUE),"")</f>
        <v>QuickBooks Premier 2019</v>
      </c>
      <c r="F17" s="84"/>
      <c r="G17" s="84">
        <f t="shared" si="0"/>
        <v>29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495</v>
      </c>
      <c r="I17" s="84">
        <f>IF($C17&lt;&gt;"",VLOOKUP($C17,'[1]Course Table'!$A$1:$G$330,5,FALSE),"")</f>
        <v>29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17</v>
      </c>
      <c r="M17" s="84">
        <f>COUNTIF($J$6:$J17,$J17)</f>
        <v>10</v>
      </c>
      <c r="N17" s="84">
        <f>IF($C17&lt;&gt;"",VLOOKUP($C17,'[1]Course Table'!$A$1:$I$330,8,FALSE),"")</f>
        <v>7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359</v>
      </c>
      <c r="D18" s="94"/>
      <c r="E18" s="99" t="str">
        <f>IF($C18&lt;&gt;0,VLOOKUP($C18,'[1]Course Table'!$A$1:$G$330,2,TRUE),"")</f>
        <v>Business Essentials</v>
      </c>
      <c r="F18" s="84"/>
      <c r="G18" s="84">
        <f t="shared" si="0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729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17</v>
      </c>
      <c r="M18" s="84">
        <f>COUNTIF($J$6:$J18,$J18)</f>
        <v>11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2</v>
      </c>
      <c r="P18" s="84"/>
      <c r="Q18" s="84"/>
    </row>
    <row r="19" spans="1:18">
      <c r="A19" s="79"/>
      <c r="B19" s="103"/>
      <c r="C19" s="105" t="s">
        <v>323</v>
      </c>
      <c r="D19" s="94"/>
      <c r="E19" s="99" t="str">
        <f>IF($C19&lt;&gt;0,VLOOKUP($C19,'[1]Course Table'!$A$1:$G$330,2,TRUE),"")</f>
        <v>Marketing &amp; Sales</v>
      </c>
      <c r="F19" s="84"/>
      <c r="G19" s="84">
        <f t="shared" si="0"/>
        <v>40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696</v>
      </c>
      <c r="I19" s="84">
        <f>IF($C19&lt;&gt;"",VLOOKUP($C19,'[1]Course Table'!$A$1:$G$330,5,FALSE),"")</f>
        <v>40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17</v>
      </c>
      <c r="M19" s="84">
        <f>COUNTIF($J$6:$J19,$J19)</f>
        <v>12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03"/>
      <c r="C20" s="105" t="s">
        <v>174</v>
      </c>
      <c r="D20" s="94"/>
      <c r="E20" s="99" t="str">
        <f>IF($C20&lt;&gt;0,VLOOKUP($C20,'[1]Course Table'!$A$1:$G$330,2,TRUE),"")</f>
        <v>Business Supervisory Skills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17</v>
      </c>
      <c r="M20" s="84">
        <f>COUNTIF($J$6:$J20,$J20)</f>
        <v>13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03"/>
      <c r="C21" s="105" t="s">
        <v>360</v>
      </c>
      <c r="D21" s="84"/>
      <c r="E21" s="99" t="str">
        <f>IF($C21&lt;&gt;0,VLOOKUP($C21,'[1]Course Table'!$A$1:$G$330,2,TRUE),"")</f>
        <v>Human Resource Management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456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17</v>
      </c>
      <c r="M21" s="84">
        <f>COUNTIF($J$6:$J21,$J21)</f>
        <v>14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03"/>
      <c r="C22" s="105" t="s">
        <v>363</v>
      </c>
      <c r="D22" s="84"/>
      <c r="E22" s="99" t="str">
        <f>IF($C22&lt;&gt;0,VLOOKUP($C22,'[1]Course Table'!$A$1:$G$330,2,TRUE),"")</f>
        <v>Business in the Digital Age</v>
      </c>
      <c r="F22" s="84"/>
      <c r="G22" s="84">
        <f t="shared" si="0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17</v>
      </c>
      <c r="M22" s="84">
        <f>COUNTIF($J$6:$J22,$J22)</f>
        <v>15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172</v>
      </c>
      <c r="D23" s="94"/>
      <c r="E23" s="99" t="str">
        <f>IF($C23&lt;&gt;0,VLOOKUP($C23,'[1]Course Table'!$A$1:$G$330,2,TRUE),"")</f>
        <v>Business Presentations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17</v>
      </c>
      <c r="M23" s="84">
        <f>COUNTIF($J$6:$J23,$J23)</f>
        <v>16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03"/>
      <c r="C24" s="105" t="s">
        <v>436</v>
      </c>
      <c r="D24" s="84"/>
      <c r="E24" s="99" t="str">
        <f>IF($C24&lt;&gt;0,VLOOKUP($C24,'[1]Course Table'!$A$1:$G$330,2,TRUE),"")</f>
        <v>Study/Review - Bus Management Cert-BC</v>
      </c>
      <c r="F24" s="84"/>
      <c r="G24" s="84">
        <f t="shared" si="0"/>
        <v>51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0</v>
      </c>
      <c r="I24" s="84">
        <f>IF($C24&lt;&gt;"",VLOOKUP($C24,'[1]Course Table'!$A$1:$G$330,5,FALSE),"")</f>
        <v>51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17</v>
      </c>
      <c r="M24" s="84">
        <f>COUNTIF($J$6:$J24,$J24)</f>
        <v>17</v>
      </c>
      <c r="N24" s="84">
        <f>IF($C24&lt;&gt;"",VLOOKUP($C24,'[1]Course Table'!$A$1:$I$330,8,FALSE),"")</f>
        <v>99</v>
      </c>
      <c r="O24" s="84">
        <f>IF($C24&lt;&gt;"",VLOOKUP($C24,'[1]Course Table'!$A$1:$I$330,9,FALSE),"")</f>
        <v>2.5</v>
      </c>
      <c r="P24" s="84"/>
      <c r="Q24" s="84"/>
    </row>
    <row r="25" spans="1:18">
      <c r="A25" s="79" t="s">
        <v>0</v>
      </c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18</v>
      </c>
      <c r="M25" s="84">
        <f>COUNTIF($J$6:$J25,$J25)</f>
        <v>3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 t="s">
        <v>0</v>
      </c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18</v>
      </c>
      <c r="M26" s="84">
        <f>COUNTIF($J$6:$J26,$J26)</f>
        <v>4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 ht="13.5" customHeight="1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18</v>
      </c>
      <c r="M27" s="84">
        <f>COUNTIF($J$6:$J27,$J27)</f>
        <v>5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18</v>
      </c>
      <c r="M28" s="84">
        <f>COUNTIF($J$6:$J28,$J28)</f>
        <v>6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18</v>
      </c>
      <c r="M29" s="84">
        <f>COUNTIF($J$6:$J29,$J29)</f>
        <v>7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9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18</v>
      </c>
      <c r="M30" s="84">
        <f>COUNTIF($J$6:$J30,$J30)</f>
        <v>8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18</v>
      </c>
      <c r="M31" s="84">
        <f>COUNTIF($J$6:$J31,$J31)</f>
        <v>9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18</v>
      </c>
      <c r="M32" s="84">
        <f>COUNTIF($J$6:$J32,$J32)</f>
        <v>10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18</v>
      </c>
      <c r="M33" s="84">
        <f>COUNTIF($J$6:$J33,$J33)</f>
        <v>11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ref="G34:G40" si="2">I34</f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18</v>
      </c>
      <c r="M34" s="84">
        <f>COUNTIF($J$6:$J34,$J34)</f>
        <v>12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2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18</v>
      </c>
      <c r="M35" s="84">
        <f>COUNTIF($J$6:$J35,$J35)</f>
        <v>13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2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18</v>
      </c>
      <c r="M36" s="84">
        <f>COUNTIF($J$6:$J36,$J36)</f>
        <v>14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2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18</v>
      </c>
      <c r="M37" s="84">
        <f>COUNTIF($J$6:$J37,$J37)</f>
        <v>15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2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18</v>
      </c>
      <c r="M38" s="84">
        <f>COUNTIF($J$6:$J38,$J38)</f>
        <v>16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2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18</v>
      </c>
      <c r="M39" s="84">
        <f>COUNTIF($J$6:$J39,$J39)</f>
        <v>17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2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18</v>
      </c>
      <c r="M40" s="84">
        <f>COUNTIF($J$6:$J40,$J40)</f>
        <v>18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9329</v>
      </c>
      <c r="I41" s="115">
        <f>SUM(I6:I40)</f>
        <v>566</v>
      </c>
    </row>
    <row r="42" spans="1:23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- 515          Exam &amp; Review Hours - 51          Total Course Hours - 566</v>
      </c>
      <c r="E42" s="301"/>
      <c r="F42" s="301"/>
      <c r="G42" s="301"/>
      <c r="H42" s="117">
        <f>ROUNDUP(H41/(I41+C43),2)</f>
        <v>16.490000000000002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Hrs/Week:6.5 Months (28 Weeks); at 25 Hrs/Week:5.2 Months (23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51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$9683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28.5</v>
      </c>
    </row>
    <row r="49" spans="14:33" ht="13.5" customHeight="1"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1.5</v>
      </c>
      <c r="U49" s="78">
        <f>SUMIF($N$6:$N$40,Summary!U4,$O$6:$O$40)</f>
        <v>0</v>
      </c>
      <c r="V49" s="78">
        <f>SUMIF($N$6:$N$40,Summary!V4,$O$6:$O$40)</f>
        <v>23.5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89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21</v>
      </c>
      <c r="E4" s="299"/>
      <c r="F4" s="299"/>
      <c r="G4" s="92" t="s">
        <v>504</v>
      </c>
      <c r="I4" s="84" t="s">
        <v>7</v>
      </c>
      <c r="P4" s="84"/>
      <c r="Q4" s="84"/>
    </row>
    <row r="5" spans="1:17">
      <c r="A5" s="90" t="s">
        <v>202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27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84"/>
      <c r="E9" s="99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27</v>
      </c>
      <c r="M9" s="84">
        <f>COUNTIF($J$6:$J9,$J9)</f>
        <v>4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580</v>
      </c>
      <c r="D10" s="84"/>
      <c r="E10" s="99" t="str">
        <f>IF($C10&lt;&gt;0,VLOOKUP($C10,'[1]Course Table'!$A$1:$G$330,2,TRUE),"")</f>
        <v>Personal Computer Fundamentals</v>
      </c>
      <c r="F10" s="84"/>
      <c r="G10" s="84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27</v>
      </c>
      <c r="M10" s="84">
        <f>COUNTIF($J$6:$J10,$J10)</f>
        <v>5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462</v>
      </c>
      <c r="D11" s="84"/>
      <c r="E11" s="99" t="str">
        <f>IF($C11&lt;&gt;0,VLOOKUP($C11,'[1]Course Table'!$A$1:$G$330,2,TRUE),"")</f>
        <v>Internet Fundamentals</v>
      </c>
      <c r="F11" s="84"/>
      <c r="G11" s="84">
        <f t="shared" si="1"/>
        <v>22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22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27</v>
      </c>
      <c r="M11" s="84">
        <f>COUNTIF($J$6:$J11,$J11)</f>
        <v>6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03"/>
      <c r="C12" s="105" t="s">
        <v>463</v>
      </c>
      <c r="D12" s="84"/>
      <c r="E12" s="99" t="str">
        <f>IF($C12&lt;&gt;0,VLOOKUP($C12,'[1]Course Table'!$A$1:$G$330,2,TRUE),"")</f>
        <v>Windows 10 Level 1</v>
      </c>
      <c r="F12" s="84"/>
      <c r="G12" s="84">
        <f t="shared" si="1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27</v>
      </c>
      <c r="M12" s="84">
        <f>COUNTIF($J$6:$J12,$J12)</f>
        <v>7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03"/>
      <c r="C13" s="105" t="s">
        <v>467</v>
      </c>
      <c r="D13" s="84"/>
      <c r="E13" s="99" t="str">
        <f>IF($C13&lt;&gt;0,VLOOKUP($C13,'[1]Course Table'!$A$1:$G$330,2,TRUE),"")</f>
        <v>Windows 10 Level 2</v>
      </c>
      <c r="F13" s="84"/>
      <c r="G13" s="84">
        <f t="shared" si="1"/>
        <v>20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27</v>
      </c>
      <c r="M13" s="84">
        <f>COUNTIF($J$6:$J13,$J13)</f>
        <v>8</v>
      </c>
      <c r="N13" s="84">
        <f>IF($C13&lt;&gt;"",VLOOKUP($C13,'[1]Course Table'!$A$1:$I$330,8,FALSE),"")</f>
        <v>8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03"/>
      <c r="C14" s="105" t="s">
        <v>757</v>
      </c>
      <c r="D14" s="84"/>
      <c r="E14" s="99" t="str">
        <f>IF($C14&lt;&gt;0,VLOOKUP($C14,'[1]Course Table'!$A$1:$G$330,2,TRUE),"")</f>
        <v>MS Word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27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758</v>
      </c>
      <c r="D15" s="84"/>
      <c r="E15" s="99" t="str">
        <f>IF($C15&lt;&gt;0,VLOOKUP($C15,'[1]Course Table'!$A$1:$G$330,2,TRUE),"")</f>
        <v>MS Word Level 2</v>
      </c>
      <c r="F15" s="84"/>
      <c r="G15" s="84">
        <f t="shared" si="1"/>
        <v>37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37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27</v>
      </c>
      <c r="M15" s="84">
        <f>COUNTIF($J$6:$J15,$J15)</f>
        <v>10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03"/>
      <c r="C16" s="105" t="s">
        <v>763</v>
      </c>
      <c r="D16" s="84"/>
      <c r="E16" s="99" t="str">
        <f>IF($C16&lt;&gt;0,VLOOKUP($C16,'[1]Course Table'!$A$1:$G$330,2,TRUE),"")</f>
        <v>MS Excel Level 1</v>
      </c>
      <c r="F16" s="84"/>
      <c r="G16" s="84">
        <f t="shared" si="1"/>
        <v>28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28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27</v>
      </c>
      <c r="M16" s="84">
        <f>COUNTIF($J$6:$J16,$J16)</f>
        <v>11</v>
      </c>
      <c r="N16" s="84">
        <f>IF($C16&lt;&gt;"",VLOOKUP($C16,'[1]Course Table'!$A$1:$I$330,8,FALSE),"")</f>
        <v>4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765</v>
      </c>
      <c r="D17" s="84"/>
      <c r="E17" s="99" t="str">
        <f>IF($C17&lt;&gt;0,VLOOKUP($C17,'[1]Course Table'!$A$1:$G$330,2,TRUE),"")</f>
        <v>MS Excel Level 2</v>
      </c>
      <c r="F17" s="84"/>
      <c r="G17" s="84">
        <f t="shared" si="1"/>
        <v>35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35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27</v>
      </c>
      <c r="M17" s="84">
        <f>COUNTIF($J$6:$J17,$J17)</f>
        <v>12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03"/>
      <c r="C18" s="105" t="s">
        <v>23</v>
      </c>
      <c r="D18" s="84"/>
      <c r="E18" s="99" t="str">
        <f>IF($C18&lt;&gt;0,VLOOKUP($C18,'[1]Course Table'!$A$1:$G$330,2,TRUE),"")</f>
        <v>Practical Applications - 2 Units</v>
      </c>
      <c r="F18" s="84"/>
      <c r="G18" s="84">
        <f t="shared" si="1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689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27</v>
      </c>
      <c r="M18" s="84">
        <f>COUNTIF($J$6:$J18,$J18)</f>
        <v>13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0</v>
      </c>
      <c r="P18" s="84"/>
      <c r="Q18" s="84"/>
    </row>
    <row r="19" spans="1:18">
      <c r="A19" s="79" t="s">
        <v>0</v>
      </c>
      <c r="B19" s="103"/>
      <c r="C19" s="105" t="s">
        <v>762</v>
      </c>
      <c r="D19" s="84"/>
      <c r="E19" s="99" t="str">
        <f>IF($C19&lt;&gt;0,VLOOKUP($C19,'[1]Course Table'!$A$1:$G$330,2,TRUE),"")</f>
        <v>MS Outlook Level 1</v>
      </c>
      <c r="F19" s="84"/>
      <c r="G19" s="84">
        <f t="shared" si="1"/>
        <v>25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27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03"/>
      <c r="C20" s="105" t="s">
        <v>760</v>
      </c>
      <c r="D20" s="84"/>
      <c r="E20" s="99" t="str">
        <f>IF($C20&lt;&gt;0,VLOOKUP($C20,'[1]Course Table'!$A$1:$G$330,2,TRUE),"")</f>
        <v>MS Powerpoint Level 1</v>
      </c>
      <c r="F20" s="84"/>
      <c r="G20" s="84">
        <f t="shared" si="1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27</v>
      </c>
      <c r="M20" s="84">
        <f>COUNTIF($J$6:$J20,$J20)</f>
        <v>15</v>
      </c>
      <c r="N20" s="84">
        <f>IF($C20&lt;&gt;"",VLOOKUP($C20,'[1]Course Table'!$A$1:$I$330,8,FALSE),"")</f>
        <v>6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03"/>
      <c r="C21" s="105" t="s">
        <v>780</v>
      </c>
      <c r="D21" s="84"/>
      <c r="E21" s="99" t="str">
        <f>IF($C21&lt;&gt;0,VLOOKUP($C21,'[1]Course Table'!$A$1:$G$330,2,TRUE),"")</f>
        <v>MS Publisher Level 1</v>
      </c>
      <c r="F21" s="84"/>
      <c r="G21" s="84">
        <f t="shared" si="1"/>
        <v>26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428</v>
      </c>
      <c r="I21" s="84">
        <f>IF($C21&lt;&gt;"",VLOOKUP($C21,'[1]Course Table'!$A$1:$G$330,5,FALSE),"")</f>
        <v>26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27</v>
      </c>
      <c r="M21" s="84">
        <f>COUNTIF($J$6:$J21,$J21)</f>
        <v>16</v>
      </c>
      <c r="N21" s="84">
        <f>IF($C21&lt;&gt;"",VLOOKUP($C21,'[1]Course Table'!$A$1:$I$330,8,FALSE),"")</f>
        <v>6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03"/>
      <c r="C22" s="105" t="s">
        <v>767</v>
      </c>
      <c r="D22" s="84"/>
      <c r="E22" s="99" t="str">
        <f>IF($C22&lt;&gt;0,VLOOKUP($C22,'[1]Course Table'!$A$1:$G$330,2,TRUE),"")</f>
        <v>MS Access Level 1</v>
      </c>
      <c r="F22" s="84"/>
      <c r="G22" s="84">
        <f t="shared" si="1"/>
        <v>27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389</v>
      </c>
      <c r="I22" s="84">
        <f>IF($C22&lt;&gt;"",VLOOKUP($C22,'[1]Course Table'!$A$1:$G$330,5,FALSE),"")</f>
        <v>27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27</v>
      </c>
      <c r="M22" s="84">
        <f>COUNTIF($J$6:$J22,$J22)</f>
        <v>17</v>
      </c>
      <c r="N22" s="84">
        <f>IF($C22&lt;&gt;"",VLOOKUP($C22,'[1]Course Table'!$A$1:$I$330,8,FALSE),"")</f>
        <v>5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324</v>
      </c>
      <c r="D23" s="84"/>
      <c r="E23" s="99" t="str">
        <f>IF($C23&lt;&gt;0,VLOOKUP($C23,'[1]Course Table'!$A$1:$G$330,2,TRUE),"")</f>
        <v>Customer Service</v>
      </c>
      <c r="F23" s="84"/>
      <c r="G23" s="84">
        <f t="shared" si="1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27</v>
      </c>
      <c r="M23" s="84">
        <f>COUNTIF($J$6:$J23,$J23)</f>
        <v>18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03"/>
      <c r="C24" s="105" t="s">
        <v>181</v>
      </c>
      <c r="D24" s="84"/>
      <c r="E24" s="99" t="str">
        <f>IF($C24&lt;&gt;0,VLOOKUP($C24,'[1]Course Table'!$A$1:$G$330,2,TRUE),"")</f>
        <v>Grammar Essentials for Business Writing</v>
      </c>
      <c r="F24" s="84"/>
      <c r="G24" s="84">
        <f t="shared" si="1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479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27</v>
      </c>
      <c r="M24" s="84">
        <f>COUNTIF($J$6:$J24,$J24)</f>
        <v>19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1.5</v>
      </c>
      <c r="P24" s="84"/>
      <c r="Q24" s="84"/>
    </row>
    <row r="25" spans="1:18">
      <c r="A25" s="79" t="s">
        <v>0</v>
      </c>
      <c r="B25" s="103"/>
      <c r="C25" s="105" t="s">
        <v>366</v>
      </c>
      <c r="D25" s="84"/>
      <c r="E25" s="99" t="str">
        <f>IF($C25&lt;&gt;0,VLOOKUP($C25,'[1]Course Table'!$A$1:$G$330,2,TRUE),"")</f>
        <v>Business Correspondence Level 1</v>
      </c>
      <c r="F25" s="84"/>
      <c r="G25" s="84">
        <f t="shared" si="1"/>
        <v>32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499</v>
      </c>
      <c r="I25" s="84">
        <f>IF($C25&lt;&gt;"",VLOOKUP($C25,'[1]Course Table'!$A$1:$G$330,5,FALSE),"")</f>
        <v>32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27</v>
      </c>
      <c r="M25" s="84">
        <f>COUNTIF($J$6:$J25,$J25)</f>
        <v>20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03"/>
      <c r="C26" s="105" t="s">
        <v>180</v>
      </c>
      <c r="D26" s="84"/>
      <c r="E26" s="99" t="str">
        <f>IF($C26&lt;&gt;0,VLOOKUP($C26,'[1]Course Table'!$A$1:$G$330,2,TRUE),"")</f>
        <v>Business Math</v>
      </c>
      <c r="F26" s="84"/>
      <c r="G26" s="84">
        <f t="shared" si="1"/>
        <v>22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399</v>
      </c>
      <c r="I26" s="84">
        <f>IF($C26&lt;&gt;"",VLOOKUP($C26,'[1]Course Table'!$A$1:$G$330,5,FALSE),"")</f>
        <v>22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27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03"/>
      <c r="C27" s="105" t="s">
        <v>123</v>
      </c>
      <c r="D27" s="84"/>
      <c r="E27" s="99" t="str">
        <f>IF($C27&lt;&gt;0,VLOOKUP($C27,'[1]Course Table'!$A$1:$G$330,2,TRUE),"")</f>
        <v>Basic Bookkeeping Level 1</v>
      </c>
      <c r="F27" s="84"/>
      <c r="G27" s="84">
        <f t="shared" si="1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27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03"/>
      <c r="C28" s="105" t="s">
        <v>570</v>
      </c>
      <c r="D28" s="84"/>
      <c r="E28" s="99" t="str">
        <f>IF($C28&lt;&gt;0,VLOOKUP($C28,'[1]Course Table'!$A$1:$G$330,2,TRUE),"")</f>
        <v>QuickBooks Premier 2019</v>
      </c>
      <c r="F28" s="84"/>
      <c r="G28" s="84">
        <f t="shared" si="1"/>
        <v>29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495</v>
      </c>
      <c r="I28" s="84">
        <f>IF($C28&lt;&gt;"",VLOOKUP($C28,'[1]Course Table'!$A$1:$G$330,5,FALSE),"")</f>
        <v>29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27</v>
      </c>
      <c r="M28" s="84">
        <f>COUNTIF($J$6:$J28,$J28)</f>
        <v>23</v>
      </c>
      <c r="N28" s="84">
        <f>IF($C28&lt;&gt;"",VLOOKUP($C28,'[1]Course Table'!$A$1:$I$330,8,FALSE),"")</f>
        <v>7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03"/>
      <c r="C29" s="105" t="s">
        <v>328</v>
      </c>
      <c r="D29" s="84"/>
      <c r="E29" s="99" t="str">
        <f>IF($C29&lt;&gt;0,VLOOKUP($C29,'[1]Course Table'!$A$1:$G$330,2,TRUE),"")</f>
        <v>Office Procedures Level 1</v>
      </c>
      <c r="F29" s="84"/>
      <c r="G29" s="84">
        <f t="shared" si="1"/>
        <v>24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399</v>
      </c>
      <c r="I29" s="84">
        <f>IF($C29&lt;&gt;"",VLOOKUP($C29,'[1]Course Table'!$A$1:$G$330,5,FALSE),"")</f>
        <v>24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27</v>
      </c>
      <c r="M29" s="84">
        <f>COUNTIF($J$6:$J29,$J29)</f>
        <v>24</v>
      </c>
      <c r="N29" s="84">
        <f>IF($C29&lt;&gt;"",VLOOKUP($C29,'[1]Course Table'!$A$1:$I$330,8,FALSE),"")</f>
        <v>2</v>
      </c>
      <c r="O29" s="84">
        <f>IF($C29&lt;&gt;"",VLOOKUP($C29,'[1]Course Table'!$A$1:$I$330,9,FALSE),"")</f>
        <v>1</v>
      </c>
      <c r="P29" s="84"/>
      <c r="Q29" s="84"/>
    </row>
    <row r="30" spans="1:18">
      <c r="A30" s="79" t="s">
        <v>1</v>
      </c>
      <c r="B30" s="103"/>
      <c r="C30" s="105" t="s">
        <v>329</v>
      </c>
      <c r="D30" s="84"/>
      <c r="E30" s="99" t="str">
        <f>IF($C30&lt;&gt;0,VLOOKUP($C30,'[1]Course Table'!$A$1:$G$330,2,TRUE),"")</f>
        <v>Office Procedures Level 2</v>
      </c>
      <c r="F30" s="84"/>
      <c r="G30" s="84">
        <f t="shared" si="1"/>
        <v>24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399</v>
      </c>
      <c r="I30" s="84">
        <f>IF($C30&lt;&gt;"",VLOOKUP($C30,'[1]Course Table'!$A$1:$G$330,5,FALSE),"")</f>
        <v>24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27</v>
      </c>
      <c r="M30" s="84">
        <f>COUNTIF($J$6:$J30,$J30)</f>
        <v>25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03"/>
      <c r="C31" s="105" t="s">
        <v>249</v>
      </c>
      <c r="D31" s="84"/>
      <c r="E31" s="99" t="str">
        <f>IF($C31&lt;&gt;0,VLOOKUP($C31,'[1]Course Table'!$A$1:$G$330,2,TRUE),"")</f>
        <v>Job Search/Resume Writing</v>
      </c>
      <c r="F31" s="84"/>
      <c r="G31" s="84">
        <f t="shared" si="1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579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27</v>
      </c>
      <c r="M31" s="84">
        <f>COUNTIF($J$6:$J31,$J31)</f>
        <v>26</v>
      </c>
      <c r="N31" s="84">
        <f>IF($C31&lt;&gt;"",VLOOKUP($C31,'[1]Course Table'!$A$1:$I$330,8,FALSE),"")</f>
        <v>15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03"/>
      <c r="C32" s="105" t="s">
        <v>416</v>
      </c>
      <c r="D32" s="84"/>
      <c r="E32" s="99" t="str">
        <f>IF($C32&lt;&gt;0,VLOOKUP($C32,'[1]Course Table'!$A$1:$G$330,2,TRUE),"")</f>
        <v>Study/Review - Bus Office Skills - BC</v>
      </c>
      <c r="F32" s="84"/>
      <c r="G32" s="84">
        <f t="shared" si="1"/>
        <v>71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71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27</v>
      </c>
      <c r="M32" s="84">
        <f>COUNTIF($J$6:$J32,$J32)</f>
        <v>27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3.5</v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8</v>
      </c>
      <c r="M33" s="84">
        <f>COUNTIF($J$6:$J33,$J33)</f>
        <v>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8</v>
      </c>
      <c r="M34" s="84">
        <f>COUNTIF($J$6:$J34,$J34)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8</v>
      </c>
      <c r="M35" s="84">
        <f>COUNTIF($J$6:$J35,$J35)</f>
        <v>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8</v>
      </c>
      <c r="M36" s="84">
        <f>COUNTIF($J$6:$J36,$J36)</f>
        <v>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8</v>
      </c>
      <c r="M37" s="84">
        <f>COUNTIF($J$6:$J37,$J37)</f>
        <v>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11409</v>
      </c>
      <c r="I41" s="115">
        <f>SUM(I6:I40)</f>
        <v>772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- 701          Exam &amp; Review Hours - 71          Total Course Hours - 772</v>
      </c>
      <c r="E42" s="301"/>
      <c r="F42" s="301"/>
      <c r="G42" s="301"/>
      <c r="H42" s="117">
        <f>ROUNDUP(H41/(I41+C43),2)</f>
        <v>14.78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(",ROUNDUP((I41+C43)/20.5,0)," Weeks); at 25 Hrs/Week:",ROUNDUP((I41+C43)/(25*4.33),1)," Months (",ROUNDUP((I41+C43)/25,0)," Weeks)","; +2 weeks holiday")</f>
        <v>Duration at 20 Hrs/Week:8.9 Months (38 Weeks); at 25 Hrs/Week:7.2 Months (31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71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$11763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37</v>
      </c>
    </row>
    <row r="49" spans="14:33" ht="13.5" customHeight="1">
      <c r="N49" s="78">
        <f>SUMIF($N$6:$N$40,Summary!N4,$O$6:$O$40)</f>
        <v>4</v>
      </c>
      <c r="O49" s="78">
        <f>SUMIF($N$6:$N$40,Summary!O4,$O$6:$O$40)</f>
        <v>6.5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1.5</v>
      </c>
      <c r="U49" s="78">
        <f>SUMIF($N$6:$N$40,Summary!U4,$O$6:$O$40)</f>
        <v>2</v>
      </c>
      <c r="V49" s="78">
        <f>SUMIF($N$6:$N$40,Summary!V4,$O$6:$O$40)</f>
        <v>6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25" right="0.25" top="0.75" bottom="0.75" header="0.3" footer="0.3"/>
  <pageSetup scale="94" orientation="portrait" horizontalDpi="360" verticalDpi="36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0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Info'!B6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93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362</v>
      </c>
      <c r="E4" s="299"/>
      <c r="F4" s="299"/>
      <c r="G4" s="92" t="s">
        <v>505</v>
      </c>
      <c r="I4" s="84" t="s">
        <v>7</v>
      </c>
      <c r="P4" s="84"/>
      <c r="Q4" s="84"/>
    </row>
    <row r="5" spans="1:17">
      <c r="A5" s="90" t="s">
        <v>387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18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18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18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18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18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18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03"/>
      <c r="C12" s="105" t="s">
        <v>758</v>
      </c>
      <c r="D12" s="84"/>
      <c r="E12" s="99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18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03"/>
      <c r="C13" s="105" t="s">
        <v>366</v>
      </c>
      <c r="D13" s="84"/>
      <c r="E13" s="99" t="str">
        <f>IF($C13&lt;&gt;0,VLOOKUP($C13,'[1]Course Table'!$A$1:$G$330,2,TRUE),"")</f>
        <v>Business Correspondence Level 1</v>
      </c>
      <c r="F13" s="84"/>
      <c r="G13" s="84">
        <f t="shared" si="1"/>
        <v>32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499</v>
      </c>
      <c r="I13" s="84">
        <f>IF($C13&lt;&gt;"",VLOOKUP($C13,'[1]Course Table'!$A$1:$G$330,5,FALSE),"")</f>
        <v>32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18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763</v>
      </c>
      <c r="D14" s="84"/>
      <c r="E14" s="99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18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 t="s">
        <v>767</v>
      </c>
      <c r="D15" s="84"/>
      <c r="E15" s="99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18</v>
      </c>
      <c r="M15" s="84">
        <f>COUNTIF($J$6:$J15,$J15)</f>
        <v>10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03"/>
      <c r="C16" s="105" t="s">
        <v>760</v>
      </c>
      <c r="D16" s="84"/>
      <c r="E16" s="99" t="str">
        <f>IF($C16&lt;&gt;0,VLOOKUP($C16,'[1]Course Table'!$A$1:$G$330,2,TRUE),"")</f>
        <v>MS Powerpoint Level 1</v>
      </c>
      <c r="F16" s="84"/>
      <c r="G16" s="84">
        <f t="shared" si="1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18</v>
      </c>
      <c r="M16" s="84">
        <f>COUNTIF($J$6:$J16,$J16)</f>
        <v>11</v>
      </c>
      <c r="N16" s="84">
        <f>IF($C16&lt;&gt;"",VLOOKUP($C16,'[1]Course Table'!$A$1:$I$330,8,FALSE),"")</f>
        <v>6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03"/>
      <c r="C17" s="105" t="s">
        <v>328</v>
      </c>
      <c r="D17" s="84"/>
      <c r="E17" s="99" t="str">
        <f>IF($C17&lt;&gt;0,VLOOKUP($C17,'[1]Course Table'!$A$1:$G$330,2,TRUE),"")</f>
        <v>Office Procedures Level 1</v>
      </c>
      <c r="F17" s="84"/>
      <c r="G17" s="84">
        <f t="shared" si="1"/>
        <v>24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24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18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03"/>
      <c r="C18" s="105" t="s">
        <v>327</v>
      </c>
      <c r="D18" s="84"/>
      <c r="E18" s="99" t="str">
        <f>IF($C18&lt;&gt;0,VLOOKUP($C18,'[1]Course Table'!$A$1:$G$330,2,TRUE),"")</f>
        <v>Customer Service Essentials</v>
      </c>
      <c r="F18" s="84"/>
      <c r="G18" s="84">
        <f t="shared" si="1"/>
        <v>20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341</v>
      </c>
      <c r="I18" s="84">
        <f>IF($C18&lt;&gt;"",VLOOKUP($C18,'[1]Course Table'!$A$1:$G$330,5,FALSE),"")</f>
        <v>20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18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03"/>
      <c r="C19" s="105" t="s">
        <v>462</v>
      </c>
      <c r="D19" s="84"/>
      <c r="E19" s="99" t="str">
        <f>IF($C19&lt;&gt;0,VLOOKUP($C19,'[1]Course Table'!$A$1:$G$330,2,TRUE),"")</f>
        <v>Internet Fundamentals</v>
      </c>
      <c r="F19" s="84"/>
      <c r="G19" s="84">
        <f t="shared" si="1"/>
        <v>22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18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153</v>
      </c>
      <c r="B20" s="103"/>
      <c r="C20" s="105" t="s">
        <v>762</v>
      </c>
      <c r="D20" s="84"/>
      <c r="E20" s="99" t="str">
        <f>IF($C20&lt;&gt;0,VLOOKUP($C20,'[1]Course Table'!$A$1:$G$330,2,TRUE),"")</f>
        <v>MS Outlook Level 1</v>
      </c>
      <c r="F20" s="84"/>
      <c r="G20" s="84">
        <f t="shared" si="1"/>
        <v>25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25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18</v>
      </c>
      <c r="M20" s="84">
        <f>COUNTIF($J$6:$J20,$J20)</f>
        <v>15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03"/>
      <c r="C21" s="105" t="s">
        <v>23</v>
      </c>
      <c r="D21" s="84"/>
      <c r="E21" s="99" t="str">
        <f>IF($C21&lt;&gt;0,VLOOKUP($C21,'[1]Course Table'!$A$1:$G$330,2,TRUE),"")</f>
        <v>Practical Applications - 2 Units</v>
      </c>
      <c r="F21" s="84"/>
      <c r="G21" s="84">
        <f t="shared" si="1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689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18</v>
      </c>
      <c r="M21" s="84">
        <f>COUNTIF($J$6:$J21,$J21)</f>
        <v>16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0</v>
      </c>
      <c r="P21" s="84"/>
      <c r="Q21" s="84"/>
    </row>
    <row r="22" spans="1:18">
      <c r="A22" s="79"/>
      <c r="B22" s="103"/>
      <c r="C22" s="105" t="s">
        <v>249</v>
      </c>
      <c r="D22" s="84"/>
      <c r="E22" s="99" t="str">
        <f>IF($C22&lt;&gt;0,VLOOKUP($C22,'[1]Course Table'!$A$1:$G$330,2,TRUE),"")</f>
        <v>Job Search/Resume Writing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579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18</v>
      </c>
      <c r="M22" s="84">
        <f>COUNTIF($J$6:$J22,$J22)</f>
        <v>17</v>
      </c>
      <c r="N22" s="84">
        <f>IF($C22&lt;&gt;"",VLOOKUP($C22,'[1]Course Table'!$A$1:$I$330,8,FALSE),"")</f>
        <v>15</v>
      </c>
      <c r="O22" s="84">
        <f>IF($C22&lt;&gt;"",VLOOKUP($C22,'[1]Course Table'!$A$1:$I$330,9,FALSE),"")</f>
        <v>1.5</v>
      </c>
    </row>
    <row r="23" spans="1:18">
      <c r="A23" s="79"/>
      <c r="B23" s="103"/>
      <c r="C23" s="105" t="s">
        <v>437</v>
      </c>
      <c r="D23" s="84"/>
      <c r="E23" s="99" t="str">
        <f>IF($C23&lt;&gt;0,VLOOKUP($C23,'[1]Course Table'!$A$1:$G$330,2,TRUE),"")</f>
        <v>Study/Review - Business Receptionsit Cert BC</v>
      </c>
      <c r="F23" s="84"/>
      <c r="G23" s="84">
        <f t="shared" si="1"/>
        <v>45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0</v>
      </c>
      <c r="I23" s="84">
        <f>IF($C23&lt;&gt;"",VLOOKUP($C23,'[1]Course Table'!$A$1:$G$330,5,FALSE),"")</f>
        <v>45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18</v>
      </c>
      <c r="M23" s="84">
        <f>COUNTIF($J$6:$J23,$J23)</f>
        <v>18</v>
      </c>
      <c r="N23" s="84">
        <f>IF($C23&lt;&gt;"",VLOOKUP($C23,'[1]Course Table'!$A$1:$I$330,8,FALSE),"")</f>
        <v>99</v>
      </c>
      <c r="O23" s="84">
        <f>IF($C23&lt;&gt;"",VLOOKUP($C23,'[1]Course Table'!$A$1:$I$330,9,FALSE),"")</f>
        <v>2.5</v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17</v>
      </c>
      <c r="M24" s="84">
        <f>COUNTIF($J$6:$J24,$J24)</f>
        <v>1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17</v>
      </c>
      <c r="M25" s="84">
        <f>COUNTIF($J$6:$J25,$J25)</f>
        <v>2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17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137</v>
      </c>
      <c r="E41" s="89"/>
      <c r="F41" s="89"/>
      <c r="G41" s="89"/>
      <c r="H41" s="114">
        <f>SUM(H6:H40)</f>
        <v>7135</v>
      </c>
      <c r="I41" s="115">
        <f>SUM(I6:I40)</f>
        <v>496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- 451          Exam &amp; Review Hours - 45          Total Course Hours - 496</v>
      </c>
      <c r="E42" s="301"/>
      <c r="F42" s="301"/>
      <c r="G42" s="301"/>
      <c r="H42" s="117">
        <f>ROUNDUP(H41/(I41+C43),2)</f>
        <v>14.39</v>
      </c>
    </row>
    <row r="43" spans="1:23" s="90" customFormat="1" ht="13.5" customHeight="1">
      <c r="C43" s="90">
        <f>ROUNDDOWN(I41*C42,0)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Hrs/Week:5.8 Months (24 Weeks); at 25 Hrs/Week:4.6 Months (20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45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$7489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23.5</v>
      </c>
    </row>
    <row r="49" spans="14:33" ht="13.5" customHeight="1">
      <c r="N49" s="78">
        <f>SUMIF($N$6:$N$40,Summary!N4,$O$6:$O$40)</f>
        <v>4</v>
      </c>
      <c r="O49" s="78">
        <f>SUMIF($N$6:$N$40,Summary!O4,$O$6:$O$40)</f>
        <v>4.5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1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2.5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2:G42"/>
    <mergeCell ref="D43:G43"/>
  </mergeCells>
  <phoneticPr fontId="0" type="noConversion"/>
  <printOptions horizontalCentered="1" verticalCentered="1"/>
  <pageMargins left="0.25" right="0.25" top="0.25" bottom="0.25" header="0.3" footer="0.3"/>
  <pageSetup orientation="portrait" horizontalDpi="36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30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592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474</v>
      </c>
      <c r="E4" s="299"/>
      <c r="F4" s="299"/>
      <c r="G4" s="92" t="s">
        <v>593</v>
      </c>
      <c r="I4" s="84" t="s">
        <v>7</v>
      </c>
      <c r="P4" s="84"/>
      <c r="Q4" s="84"/>
    </row>
    <row r="5" spans="1:17">
      <c r="A5" s="90" t="s">
        <v>663</v>
      </c>
      <c r="B5" s="90"/>
      <c r="C5" s="90"/>
      <c r="D5" s="94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 t="s">
        <v>8</v>
      </c>
      <c r="E6" s="134"/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14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5" t="s">
        <v>388</v>
      </c>
      <c r="D7" s="94"/>
      <c r="E7" s="99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21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03"/>
      <c r="C8" s="105" t="s">
        <v>390</v>
      </c>
      <c r="D8" s="84"/>
      <c r="E8" s="99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21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21</v>
      </c>
      <c r="M9" s="84">
        <f>COUNTIF($J$6:$J9,$J9)</f>
        <v>3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21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03"/>
      <c r="C11" s="105" t="s">
        <v>462</v>
      </c>
      <c r="D11" s="84"/>
      <c r="E11" s="99" t="str">
        <f>IF($C11&lt;&gt;0,VLOOKUP($C11,'[1]Course Table'!$A$1:$G$330,2,TRUE),"")</f>
        <v>Internet Fundamentals</v>
      </c>
      <c r="F11" s="84"/>
      <c r="G11" s="84">
        <f t="shared" si="0"/>
        <v>22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22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21</v>
      </c>
      <c r="M11" s="84">
        <f>COUNTIF($J$6:$J11,$J11)</f>
        <v>5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03"/>
      <c r="C12" s="105" t="s">
        <v>757</v>
      </c>
      <c r="D12" s="94"/>
      <c r="E12" s="99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21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763</v>
      </c>
      <c r="D13" s="84"/>
      <c r="E13" s="99" t="str">
        <f>IF($C13&lt;&gt;0,VLOOKUP($C13,'[1]Course Table'!$A$1:$G$330,2,TRUE),"")</f>
        <v>MS Excel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21</v>
      </c>
      <c r="M13" s="84">
        <f>COUNTIF($J$6:$J13,$J13)</f>
        <v>7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762</v>
      </c>
      <c r="D14" s="94"/>
      <c r="E14" s="99" t="str">
        <f>IF($C14&lt;&gt;0,VLOOKUP($C14,'[1]Course Table'!$A$1:$G$330,2,TRUE),"")</f>
        <v>MS Outlook Level 1</v>
      </c>
      <c r="F14" s="84"/>
      <c r="G14" s="84">
        <f t="shared" si="0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21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 t="s">
        <v>767</v>
      </c>
      <c r="D15" s="84"/>
      <c r="E15" s="99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21</v>
      </c>
      <c r="M15" s="84">
        <f>COUNTIF($J$6:$J15,$J15)</f>
        <v>9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03"/>
      <c r="C16" s="105" t="s">
        <v>324</v>
      </c>
      <c r="D16" s="94"/>
      <c r="E16" s="99" t="str">
        <f>IF($C16&lt;&gt;0,VLOOKUP($C16,'[1]Course Table'!$A$1:$G$330,2,TRUE),"")</f>
        <v>Customer Service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549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21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03"/>
      <c r="C17" s="105" t="s">
        <v>219</v>
      </c>
      <c r="D17" s="94"/>
      <c r="E17" s="99" t="str">
        <f>IF($C17&lt;&gt;0,VLOOKUP($C17,'[1]Course Table'!$A$1:$G$330,2,TRUE),"")</f>
        <v>Business Verbal Communication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21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03"/>
      <c r="C18" s="105" t="s">
        <v>359</v>
      </c>
      <c r="D18" s="94"/>
      <c r="E18" s="99" t="str">
        <f>IF($C18&lt;&gt;0,VLOOKUP($C18,'[1]Course Table'!$A$1:$G$330,2,TRUE),"")</f>
        <v>Business Essentials</v>
      </c>
      <c r="F18" s="84"/>
      <c r="G18" s="84">
        <f t="shared" si="0"/>
        <v>40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729</v>
      </c>
      <c r="I18" s="84">
        <f>IF($C18&lt;&gt;"",VLOOKUP($C18,'[1]Course Table'!$A$1:$G$330,5,FALSE),"")</f>
        <v>40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21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2</v>
      </c>
      <c r="P18" s="84"/>
      <c r="Q18" s="84"/>
    </row>
    <row r="19" spans="1:18">
      <c r="A19" s="79"/>
      <c r="B19" s="103"/>
      <c r="C19" s="105" t="s">
        <v>323</v>
      </c>
      <c r="D19" s="94"/>
      <c r="E19" s="99" t="str">
        <f>IF($C19&lt;&gt;0,VLOOKUP($C19,'[1]Course Table'!$A$1:$G$330,2,TRUE),"")</f>
        <v>Marketing &amp; Sales</v>
      </c>
      <c r="F19" s="84"/>
      <c r="G19" s="84">
        <f t="shared" si="0"/>
        <v>40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696</v>
      </c>
      <c r="I19" s="84">
        <f>IF($C19&lt;&gt;"",VLOOKUP($C19,'[1]Course Table'!$A$1:$G$330,5,FALSE),"")</f>
        <v>40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21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03"/>
      <c r="C20" s="105" t="s">
        <v>363</v>
      </c>
      <c r="D20" s="94"/>
      <c r="E20" s="99" t="str">
        <f>IF($C20&lt;&gt;0,VLOOKUP($C20,'[1]Course Table'!$A$1:$G$330,2,TRUE),"")</f>
        <v>Business in the Digital Age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21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03"/>
      <c r="C21" s="105" t="s">
        <v>117</v>
      </c>
      <c r="D21" s="84"/>
      <c r="E21" s="99" t="str">
        <f>IF($C21&lt;&gt;0,VLOOKUP($C21,'[1]Course Table'!$A$1:$G$330,2,TRUE),"")</f>
        <v>Call Centre Team Dynamics &amp; Personal Development</v>
      </c>
      <c r="F21" s="84"/>
      <c r="G21" s="84">
        <f t="shared" si="0"/>
        <v>18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341</v>
      </c>
      <c r="I21" s="84">
        <f>IF($C21&lt;&gt;"",VLOOKUP($C21,'[1]Course Table'!$A$1:$G$330,5,FALSE),"")</f>
        <v>18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21</v>
      </c>
      <c r="M21" s="84">
        <f>COUNTIF($J$6:$J21,$J21)</f>
        <v>15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03"/>
      <c r="C22" s="105" t="s">
        <v>119</v>
      </c>
      <c r="D22" s="84"/>
      <c r="E22" s="99" t="str">
        <f>IF($C22&lt;&gt;0,VLOOKUP($C22,'[1]Course Table'!$A$1:$G$330,2,TRUE),"")</f>
        <v>Call Centre Industry Overview</v>
      </c>
      <c r="F22" s="84"/>
      <c r="G22" s="84">
        <f t="shared" si="0"/>
        <v>23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341</v>
      </c>
      <c r="I22" s="84">
        <f>IF($C22&lt;&gt;"",VLOOKUP($C22,'[1]Course Table'!$A$1:$G$330,5,FALSE),"")</f>
        <v>23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21</v>
      </c>
      <c r="M22" s="84">
        <f>COUNTIF($J$6:$J22,$J22)</f>
        <v>16</v>
      </c>
      <c r="N22" s="84">
        <f>IF($C22&lt;&gt;"",VLOOKUP($C22,'[1]Course Table'!$A$1:$I$330,8,FALSE),"")</f>
        <v>13</v>
      </c>
      <c r="O22" s="84">
        <f>IF($C22&lt;&gt;"",VLOOKUP($C22,'[1]Course Table'!$A$1:$I$330,9,FALSE),"")</f>
        <v>1</v>
      </c>
    </row>
    <row r="23" spans="1:18">
      <c r="A23" s="79"/>
      <c r="B23" s="103"/>
      <c r="C23" s="105" t="s">
        <v>121</v>
      </c>
      <c r="D23" s="94"/>
      <c r="E23" s="99" t="str">
        <f>IF($C23&lt;&gt;0,VLOOKUP($C23,'[1]Course Table'!$A$1:$G$330,2,TRUE),"")</f>
        <v>Call Centre Telephone Communication Skills</v>
      </c>
      <c r="F23" s="84"/>
      <c r="G23" s="84">
        <f t="shared" si="0"/>
        <v>18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375</v>
      </c>
      <c r="I23" s="84">
        <f>IF($C23&lt;&gt;"",VLOOKUP($C23,'[1]Course Table'!$A$1:$G$330,5,FALSE),"")</f>
        <v>18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21</v>
      </c>
      <c r="M23" s="84">
        <f>COUNTIF($J$6:$J23,$J23)</f>
        <v>17</v>
      </c>
      <c r="N23" s="84">
        <f>IF($C23&lt;&gt;"",VLOOKUP($C23,'[1]Course Table'!$A$1:$I$330,8,FALSE),"")</f>
        <v>13</v>
      </c>
      <c r="O23" s="84">
        <f>IF($C23&lt;&gt;"",VLOOKUP($C23,'[1]Course Table'!$A$1:$I$330,9,FALSE),"")</f>
        <v>1</v>
      </c>
      <c r="P23" s="84"/>
      <c r="Q23" s="84"/>
    </row>
    <row r="24" spans="1:18">
      <c r="A24" s="79"/>
      <c r="B24" s="103"/>
      <c r="C24" s="105" t="s">
        <v>120</v>
      </c>
      <c r="D24" s="84"/>
      <c r="E24" s="99" t="str">
        <f>IF($C24&lt;&gt;0,VLOOKUP($C24,'[1]Course Table'!$A$1:$G$330,2,TRUE),"")</f>
        <v>Call Centre Telephone Sales</v>
      </c>
      <c r="F24" s="84"/>
      <c r="G24" s="84">
        <f t="shared" si="0"/>
        <v>18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341</v>
      </c>
      <c r="I24" s="84">
        <f>IF($C24&lt;&gt;"",VLOOKUP($C24,'[1]Course Table'!$A$1:$G$330,5,FALSE),"")</f>
        <v>18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21</v>
      </c>
      <c r="M24" s="84">
        <f>COUNTIF($J$6:$J24,$J24)</f>
        <v>18</v>
      </c>
      <c r="N24" s="84">
        <f>IF($C24&lt;&gt;"",VLOOKUP($C24,'[1]Course Table'!$A$1:$I$330,8,FALSE),"")</f>
        <v>13</v>
      </c>
      <c r="O24" s="84">
        <f>IF($C24&lt;&gt;"",VLOOKUP($C24,'[1]Course Table'!$A$1:$I$330,9,FALSE),"")</f>
        <v>1</v>
      </c>
      <c r="P24" s="84"/>
      <c r="Q24" s="84"/>
    </row>
    <row r="25" spans="1:18">
      <c r="A25" s="79"/>
      <c r="B25" s="103"/>
      <c r="C25" s="105" t="s">
        <v>116</v>
      </c>
      <c r="D25" s="84"/>
      <c r="E25" s="99" t="str">
        <f>IF($C25&lt;&gt;0,VLOOKUP($C25,'[1]Course Table'!$A$1:$G$330,2,TRUE),"")</f>
        <v>Call Centre Career Options &amp; Opportunities</v>
      </c>
      <c r="F25" s="84"/>
      <c r="G25" s="84">
        <f t="shared" si="0"/>
        <v>18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341</v>
      </c>
      <c r="I25" s="84">
        <f>IF($C25&lt;&gt;"",VLOOKUP($C25,'[1]Course Table'!$A$1:$G$330,5,FALSE),"")</f>
        <v>18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21</v>
      </c>
      <c r="M25" s="84">
        <f>COUNTIF($J$6:$J25,$J25)</f>
        <v>19</v>
      </c>
      <c r="N25" s="84">
        <f>IF($C25&lt;&gt;"",VLOOKUP($C25,'[1]Course Table'!$A$1:$I$330,8,FALSE),"")</f>
        <v>13</v>
      </c>
      <c r="O25" s="84">
        <f>IF($C25&lt;&gt;"",VLOOKUP($C25,'[1]Course Table'!$A$1:$I$330,9,FALSE),"")</f>
        <v>1</v>
      </c>
      <c r="P25" s="84"/>
      <c r="Q25" s="84"/>
    </row>
    <row r="26" spans="1:18">
      <c r="A26" s="79"/>
      <c r="B26" s="103"/>
      <c r="C26" s="105" t="s">
        <v>475</v>
      </c>
      <c r="D26" s="84"/>
      <c r="E26" s="99" t="str">
        <f>IF($C26&lt;&gt;0,VLOOKUP($C26,'[1]Course Table'!$A$1:$G$330,2,TRUE),"")</f>
        <v>Study/Review - Business Service Essentials Co-op - BC</v>
      </c>
      <c r="F26" s="84"/>
      <c r="G26" s="84">
        <f t="shared" si="0"/>
        <v>36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0</v>
      </c>
      <c r="I26" s="84">
        <f>IF($C26&lt;&gt;"",VLOOKUP($C26,'[1]Course Table'!$A$1:$G$330,5,FALSE),"")</f>
        <v>36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21</v>
      </c>
      <c r="M26" s="84">
        <f>COUNTIF($J$6:$J26,$J26)</f>
        <v>20</v>
      </c>
      <c r="N26" s="84">
        <f>IF($C26&lt;&gt;"",VLOOKUP($C26,'[1]Course Table'!$A$1:$I$330,8,FALSE),"")</f>
        <v>99</v>
      </c>
      <c r="O26" s="84">
        <f>IF($C26&lt;&gt;"",VLOOKUP($C26,'[1]Course Table'!$A$1:$I$330,9,FALSE),"")</f>
        <v>2</v>
      </c>
      <c r="P26" s="84"/>
      <c r="Q26" s="84"/>
    </row>
    <row r="27" spans="1:18" ht="16.149999999999999" customHeight="1">
      <c r="A27" s="79"/>
      <c r="B27" s="103"/>
      <c r="C27" s="105" t="s">
        <v>476</v>
      </c>
      <c r="D27" s="84"/>
      <c r="E27" s="99" t="str">
        <f>IF($C27&lt;&gt;0,VLOOKUP($C27,'[1]Course Table'!$A$1:$G$330,2,TRUE),"")</f>
        <v>Business Service Essentials Co-op</v>
      </c>
      <c r="F27" s="84"/>
      <c r="G27" s="84">
        <f t="shared" si="0"/>
        <v>520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2600</v>
      </c>
      <c r="I27" s="84">
        <f>IF($C27&lt;&gt;"",VLOOKUP($C27,'[1]Course Table'!$A$1:$G$330,5,FALSE),"")</f>
        <v>520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21</v>
      </c>
      <c r="M27" s="84">
        <f>COUNTIF($J$6:$J27,$J27)</f>
        <v>21</v>
      </c>
      <c r="N27" s="84">
        <f>IF($C27&lt;&gt;"",VLOOKUP($C27,'[1]Course Table'!$A$1:$I$330,8,FALSE),"")</f>
        <v>98</v>
      </c>
      <c r="O27" s="84">
        <f>IF($C27&lt;&gt;"",VLOOKUP($C27,'[1]Course Table'!$A$1:$I$330,9,FALSE),"")</f>
        <v>0</v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14</v>
      </c>
      <c r="M28" s="84">
        <f>COUNTIF($J$6:$J28,$J28)</f>
        <v>2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14</v>
      </c>
      <c r="M29" s="84">
        <f>COUNTIF($J$6:$J29,$J29)</f>
        <v>3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9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14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14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14</v>
      </c>
      <c r="M32" s="84">
        <f>COUNTIF($J$6:$J32,$J32)</f>
        <v>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14</v>
      </c>
      <c r="M33" s="84">
        <f>COUNTIF($J$6:$J33,$J33)</f>
        <v>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14</v>
      </c>
      <c r="M34" s="84">
        <f>COUNTIF($J$6:$J34,$J34)</f>
        <v>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14</v>
      </c>
      <c r="M35" s="84">
        <f>COUNTIF($J$6:$J35,$J35)</f>
        <v>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14</v>
      </c>
      <c r="M36" s="84">
        <f>COUNTIF($J$6:$J36,$J36)</f>
        <v>10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14</v>
      </c>
      <c r="M37" s="84">
        <f>COUNTIF($J$6:$J37,$J37)</f>
        <v>11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14</v>
      </c>
      <c r="M38" s="84">
        <f>COUNTIF($J$6:$J38,$J38)</f>
        <v>12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14</v>
      </c>
      <c r="M39" s="84">
        <f>COUNTIF($J$6:$J39,$J39)</f>
        <v>13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14</v>
      </c>
      <c r="M40" s="84">
        <f>COUNTIF($J$6:$J40,$J40)</f>
        <v>14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10752</v>
      </c>
      <c r="I41" s="115">
        <f>SUM(I6:I40)</f>
        <v>1040</v>
      </c>
    </row>
    <row r="42" spans="1:23" s="90" customFormat="1" ht="12.75">
      <c r="C42" s="135">
        <v>0</v>
      </c>
      <c r="D42" s="301" t="str">
        <f>CONCATENATE("Course Hours - ",I41-C44-C45,"          Co-op Hours - ",C45,"          Exam &amp; Review Hours - ",C44,"          Total Course Hours - ",I41)</f>
        <v>Course Hours - 484          Co-op Hours - 520          Exam &amp; Review Hours - 36          Total Course Hours - 1040</v>
      </c>
      <c r="E42" s="301"/>
      <c r="F42" s="301"/>
      <c r="G42" s="301"/>
      <c r="H42" s="117">
        <f>ROUNDUP(H41/(I41+C43),2)</f>
        <v>10.34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Hrs/Week:",ROUNDUP((I41+C43-C45)/(20*4.33)+C45/22.6,1)," Months (",ROUND((I41+C43-C45)/20+C45/22.6,0)," Weeks); at 25 Hrs/Week:",ROUNDUP((I41+C43)/(25*4.33)+C45/22.6,1)," Months (",ROUNDUP((I41+C43)/25+C45/22.6,0)," Weeks)","; +2 weeks holiday")</f>
        <v>Duration at 20 Hrs/Week:29.1 Months (49 Weeks); at 25 Hrs/Week:32.7 Months (65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36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$11106</v>
      </c>
      <c r="E44" s="120"/>
      <c r="F44" s="120"/>
      <c r="G44" s="120"/>
      <c r="H44" s="100"/>
    </row>
    <row r="45" spans="1:23" s="84" customFormat="1" ht="13.5">
      <c r="C45" s="90">
        <f>VLOOKUP("BSE"&amp;"*",$C$6:$G$40,5,FALSE)</f>
        <v>520</v>
      </c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27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8.5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5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6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125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107</v>
      </c>
      <c r="E4" s="299"/>
      <c r="F4" s="299"/>
      <c r="G4" s="92" t="s">
        <v>506</v>
      </c>
      <c r="H4" s="100"/>
      <c r="I4" s="84" t="s">
        <v>7</v>
      </c>
      <c r="P4" s="84"/>
      <c r="Q4" s="84"/>
    </row>
    <row r="5" spans="1:17">
      <c r="A5" s="90" t="s">
        <v>664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24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24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24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24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24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24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758</v>
      </c>
      <c r="D12" s="84"/>
      <c r="E12" s="99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24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03"/>
      <c r="C13" s="105" t="s">
        <v>763</v>
      </c>
      <c r="D13" s="84"/>
      <c r="E13" s="99" t="str">
        <f>IF($C13&lt;&gt;0,VLOOKUP($C13,'[1]Course Table'!$A$1:$G$330,2,TRUE),"")</f>
        <v>MS Excel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24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767</v>
      </c>
      <c r="D14" s="84"/>
      <c r="E14" s="99" t="str">
        <f>IF($C14&lt;&gt;0,VLOOKUP($C14,'[1]Course Table'!$A$1:$G$330,2,TRUE),"")</f>
        <v>MS Access Level 1</v>
      </c>
      <c r="F14" s="84"/>
      <c r="G14" s="84">
        <f t="shared" si="1"/>
        <v>27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24</v>
      </c>
      <c r="M14" s="84">
        <f>COUNTIF($J$6:$J14,$J14)</f>
        <v>9</v>
      </c>
      <c r="N14" s="84">
        <f>IF($C14&lt;&gt;"",VLOOKUP($C14,'[1]Course Table'!$A$1:$I$330,8,FALSE),"")</f>
        <v>5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181</v>
      </c>
      <c r="D15" s="84"/>
      <c r="E15" s="99" t="str">
        <f>IF($C15&lt;&gt;0,VLOOKUP($C15,'[1]Course Table'!$A$1:$G$330,2,TRUE),"")</f>
        <v>Grammar Essentials for Business Writing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24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366</v>
      </c>
      <c r="D16" s="84"/>
      <c r="E16" s="99" t="str">
        <f>IF($C16&lt;&gt;0,VLOOKUP($C16,'[1]Course Table'!$A$1:$G$330,2,TRUE),"")</f>
        <v>Business Correspondence Level 1</v>
      </c>
      <c r="F16" s="84"/>
      <c r="G16" s="84">
        <f t="shared" si="1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24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324</v>
      </c>
      <c r="D17" s="84"/>
      <c r="E17" s="99" t="str">
        <f>IF($C17&lt;&gt;0,VLOOKUP($C17,'[1]Course Table'!$A$1:$G$330,2,TRUE),"")</f>
        <v>Customer Service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24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119</v>
      </c>
      <c r="D18" s="84"/>
      <c r="E18" s="99" t="str">
        <f>IF($C18&lt;&gt;0,VLOOKUP($C18,'[1]Course Table'!$A$1:$G$330,2,TRUE),"")</f>
        <v>Call Centre Industry Overview</v>
      </c>
      <c r="F18" s="84"/>
      <c r="G18" s="84">
        <f t="shared" si="1"/>
        <v>23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341</v>
      </c>
      <c r="I18" s="84">
        <f>IF($C18&lt;&gt;"",VLOOKUP($C18,'[1]Course Table'!$A$1:$G$330,5,FALSE),"")</f>
        <v>23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24</v>
      </c>
      <c r="M18" s="84">
        <f>COUNTIF($J$6:$J18,$J18)</f>
        <v>13</v>
      </c>
      <c r="N18" s="84">
        <f>IF($C18&lt;&gt;"",VLOOKUP($C18,'[1]Course Table'!$A$1:$I$330,8,FALSE),"")</f>
        <v>13</v>
      </c>
      <c r="O18" s="84">
        <f>IF($C18&lt;&gt;"",VLOOKUP($C18,'[1]Course Table'!$A$1:$I$330,9,FALSE),"")</f>
        <v>1</v>
      </c>
      <c r="P18" s="84"/>
      <c r="Q18" s="84"/>
    </row>
    <row r="19" spans="1:18">
      <c r="A19" s="79" t="s">
        <v>0</v>
      </c>
      <c r="B19" s="103"/>
      <c r="C19" s="105" t="s">
        <v>117</v>
      </c>
      <c r="D19" s="84"/>
      <c r="E19" s="99" t="str">
        <f>IF($C19&lt;&gt;0,VLOOKUP($C19,'[1]Course Table'!$A$1:$G$330,2,TRUE),"")</f>
        <v>Call Centre Team Dynamics &amp; Personal Development</v>
      </c>
      <c r="F19" s="84"/>
      <c r="G19" s="84">
        <f t="shared" si="1"/>
        <v>18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341</v>
      </c>
      <c r="I19" s="84">
        <f>IF($C19&lt;&gt;"",VLOOKUP($C19,'[1]Course Table'!$A$1:$G$330,5,FALSE),"")</f>
        <v>18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24</v>
      </c>
      <c r="M19" s="84">
        <f>COUNTIF($J$6:$J19,$J19)</f>
        <v>14</v>
      </c>
      <c r="N19" s="84">
        <f>IF($C19&lt;&gt;"",VLOOKUP($C19,'[1]Course Table'!$A$1:$I$330,8,FALSE),"")</f>
        <v>13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03"/>
      <c r="C20" s="105" t="s">
        <v>120</v>
      </c>
      <c r="D20" s="84"/>
      <c r="E20" s="99" t="str">
        <f>IF($C20&lt;&gt;0,VLOOKUP($C20,'[1]Course Table'!$A$1:$G$330,2,TRUE),"")</f>
        <v>Call Centre Telephone Sales</v>
      </c>
      <c r="F20" s="84"/>
      <c r="G20" s="84">
        <f t="shared" si="1"/>
        <v>18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341</v>
      </c>
      <c r="I20" s="84">
        <f>IF($C20&lt;&gt;"",VLOOKUP($C20,'[1]Course Table'!$A$1:$G$330,5,FALSE),"")</f>
        <v>18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24</v>
      </c>
      <c r="M20" s="84">
        <f>COUNTIF($J$6:$J20,$J20)</f>
        <v>15</v>
      </c>
      <c r="N20" s="84">
        <f>IF($C20&lt;&gt;"",VLOOKUP($C20,'[1]Course Table'!$A$1:$I$330,8,FALSE),"")</f>
        <v>13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03"/>
      <c r="C21" s="105" t="s">
        <v>116</v>
      </c>
      <c r="D21" s="84"/>
      <c r="E21" s="99" t="str">
        <f>IF($C21&lt;&gt;0,VLOOKUP($C21,'[1]Course Table'!$A$1:$G$330,2,TRUE),"")</f>
        <v>Call Centre Career Options &amp; Opportunities</v>
      </c>
      <c r="F21" s="84"/>
      <c r="G21" s="84">
        <f t="shared" si="1"/>
        <v>18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341</v>
      </c>
      <c r="I21" s="84">
        <f>IF($C21&lt;&gt;"",VLOOKUP($C21,'[1]Course Table'!$A$1:$G$330,5,FALSE),"")</f>
        <v>18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24</v>
      </c>
      <c r="M21" s="84">
        <f>COUNTIF($J$6:$J21,$J21)</f>
        <v>16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118</v>
      </c>
      <c r="D22" s="84"/>
      <c r="E22" s="99" t="str">
        <f>IF($C22&lt;&gt;0,VLOOKUP($C22,'[1]Course Table'!$A$1:$G$330,2,TRUE),"")</f>
        <v>Call Centre Equipment &amp; Technology</v>
      </c>
      <c r="F22" s="84"/>
      <c r="G22" s="84">
        <f t="shared" si="1"/>
        <v>21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341</v>
      </c>
      <c r="I22" s="84">
        <f>IF($C22&lt;&gt;"",VLOOKUP($C22,'[1]Course Table'!$A$1:$G$330,5,FALSE),"")</f>
        <v>21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24</v>
      </c>
      <c r="M22" s="84">
        <f>COUNTIF($J$6:$J22,$J22)</f>
        <v>17</v>
      </c>
      <c r="N22" s="84">
        <f>IF($C22&lt;&gt;"",VLOOKUP($C22,'[1]Course Table'!$A$1:$I$330,8,FALSE),"")</f>
        <v>13</v>
      </c>
      <c r="O22" s="84">
        <f>IF($C22&lt;&gt;"",VLOOKUP($C22,'[1]Course Table'!$A$1:$I$330,9,FALSE),"")</f>
        <v>1</v>
      </c>
    </row>
    <row r="23" spans="1:18">
      <c r="A23" s="79" t="s">
        <v>0</v>
      </c>
      <c r="B23" s="103"/>
      <c r="C23" s="105" t="s">
        <v>121</v>
      </c>
      <c r="D23" s="84"/>
      <c r="E23" s="99" t="str">
        <f>IF($C23&lt;&gt;0,VLOOKUP($C23,'[1]Course Table'!$A$1:$G$330,2,TRUE),"")</f>
        <v>Call Centre Telephone Communication Skills</v>
      </c>
      <c r="F23" s="84"/>
      <c r="G23" s="84">
        <f t="shared" si="1"/>
        <v>18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375</v>
      </c>
      <c r="I23" s="84">
        <f>IF($C23&lt;&gt;"",VLOOKUP($C23,'[1]Course Table'!$A$1:$G$330,5,FALSE),"")</f>
        <v>18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24</v>
      </c>
      <c r="M23" s="84">
        <f>COUNTIF($J$6:$J23,$J23)</f>
        <v>18</v>
      </c>
      <c r="N23" s="84">
        <f>IF($C23&lt;&gt;"",VLOOKUP($C23,'[1]Course Table'!$A$1:$I$330,8,FALSE),"")</f>
        <v>13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03"/>
      <c r="C24" s="105" t="s">
        <v>462</v>
      </c>
      <c r="D24" s="84"/>
      <c r="E24" s="99" t="str">
        <f>IF($C24&lt;&gt;0,VLOOKUP($C24,'[1]Course Table'!$A$1:$G$330,2,TRUE),"")</f>
        <v>Internet Fundamentals</v>
      </c>
      <c r="F24" s="84"/>
      <c r="G24" s="84">
        <f t="shared" si="1"/>
        <v>22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22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24</v>
      </c>
      <c r="M24" s="84">
        <f>COUNTIF($J$6:$J24,$J24)</f>
        <v>19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762</v>
      </c>
      <c r="D25" s="84"/>
      <c r="E25" s="99" t="str">
        <f>IF($C25&lt;&gt;0,VLOOKUP($C25,'[1]Course Table'!$A$1:$G$330,2,TRUE),"")</f>
        <v>MS Outlook Level 1</v>
      </c>
      <c r="F25" s="84"/>
      <c r="G25" s="84">
        <f t="shared" si="1"/>
        <v>25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25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24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03"/>
      <c r="C26" s="105" t="s">
        <v>226</v>
      </c>
      <c r="D26" s="84"/>
      <c r="E26" s="99" t="str">
        <f>IF($C26&lt;&gt;0,VLOOKUP($C26,'[1]Course Table'!$A$1:$G$330,2,TRUE),"")</f>
        <v>Workplace Success/Intrapreneurship</v>
      </c>
      <c r="F26" s="84"/>
      <c r="G26" s="84">
        <f t="shared" si="1"/>
        <v>32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688</v>
      </c>
      <c r="I26" s="84">
        <f>IF($C26&lt;&gt;"",VLOOKUP($C26,'[1]Course Table'!$A$1:$G$330,5,FALSE),"")</f>
        <v>32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24</v>
      </c>
      <c r="M26" s="84">
        <f>COUNTIF($J$6:$J26,$J26)</f>
        <v>21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1</v>
      </c>
      <c r="B27" s="103"/>
      <c r="C27" s="105" t="s">
        <v>86</v>
      </c>
      <c r="D27" s="84"/>
      <c r="E27" s="99" t="str">
        <f>IF($C27&lt;&gt;0,VLOOKUP($C27,'[1]Course Table'!$A$1:$G$330,2,TRUE),"")</f>
        <v>Practical Applications - 1 Unit</v>
      </c>
      <c r="F27" s="84"/>
      <c r="G27" s="84">
        <f t="shared" si="1"/>
        <v>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314</v>
      </c>
      <c r="I27" s="84">
        <f>IF($C27&lt;&gt;"",VLOOKUP($C27,'[1]Course Table'!$A$1:$G$330,5,FALSE),"")</f>
        <v>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24</v>
      </c>
      <c r="M27" s="84">
        <f>COUNTIF($J$6:$J27,$J27)</f>
        <v>22</v>
      </c>
      <c r="N27" s="84">
        <f>IF($C27&lt;&gt;"",VLOOKUP($C27,'[1]Course Table'!$A$1:$I$330,8,FALSE),"")</f>
        <v>2</v>
      </c>
      <c r="O27" s="84">
        <f>IF($C27&lt;&gt;"",VLOOKUP($C27,'[1]Course Table'!$A$1:$I$330,9,FALSE),"")</f>
        <v>0</v>
      </c>
      <c r="P27" s="84"/>
      <c r="Q27" s="84"/>
    </row>
    <row r="28" spans="1:18">
      <c r="A28" s="79" t="s">
        <v>0</v>
      </c>
      <c r="B28" s="103"/>
      <c r="C28" s="105" t="s">
        <v>249</v>
      </c>
      <c r="D28" s="84"/>
      <c r="E28" s="99" t="str">
        <f>IF($C28&lt;&gt;0,VLOOKUP($C28,'[1]Course Table'!$A$1:$G$330,2,TRUE),"")</f>
        <v>Job Search/Resume Writing</v>
      </c>
      <c r="F28" s="84"/>
      <c r="G28" s="84">
        <f t="shared" si="1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579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24</v>
      </c>
      <c r="M28" s="84">
        <f>COUNTIF($J$6:$J28,$J28)</f>
        <v>23</v>
      </c>
      <c r="N28" s="84">
        <f>IF($C28&lt;&gt;"",VLOOKUP($C28,'[1]Course Table'!$A$1:$I$330,8,FALSE),"")</f>
        <v>15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03"/>
      <c r="C29" s="105" t="s">
        <v>417</v>
      </c>
      <c r="D29" s="84"/>
      <c r="E29" s="99" t="str">
        <f>IF($C29&lt;&gt;0,VLOOKUP($C29,'[1]Course Table'!$A$1:$G$330,2,TRUE),"")</f>
        <v>Study/Review - Call Centre Customer Service Rep - BC</v>
      </c>
      <c r="F29" s="84"/>
      <c r="G29" s="84">
        <f t="shared" si="1"/>
        <v>58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0</v>
      </c>
      <c r="I29" s="84">
        <f>IF($C29&lt;&gt;"",VLOOKUP($C29,'[1]Course Table'!$A$1:$G$330,5,FALSE),"")</f>
        <v>58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24</v>
      </c>
      <c r="M29" s="84">
        <f>COUNTIF($J$6:$J29,$J29)</f>
        <v>24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3</v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11</v>
      </c>
      <c r="M30" s="84">
        <f>COUNTIF($J$6:$J30,$J30)</f>
        <v>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11</v>
      </c>
      <c r="M31" s="84">
        <f>COUNTIF($J$6:$J31,$J31)</f>
        <v>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11</v>
      </c>
      <c r="M32" s="84">
        <f>COUNTIF($J$6:$J32,$J32)</f>
        <v>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11</v>
      </c>
      <c r="M33" s="84">
        <f>COUNTIF($J$6:$J33,$J33)</f>
        <v>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11</v>
      </c>
      <c r="M34" s="84">
        <f>COUNTIF($J$6:$J34,$J34)</f>
        <v>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11</v>
      </c>
      <c r="M35" s="84">
        <f>COUNTIF($J$6:$J35,$J35)</f>
        <v>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11</v>
      </c>
      <c r="M36" s="84">
        <f>COUNTIF($J$6:$J36,$J36)</f>
        <v>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11</v>
      </c>
      <c r="M37" s="84">
        <f>COUNTIF($J$6:$J37,$J37)</f>
        <v>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11</v>
      </c>
      <c r="M38" s="84">
        <f>COUNTIF($J$6:$J38,$J38)</f>
        <v>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11</v>
      </c>
      <c r="M39" s="84">
        <f>COUNTIF($J$6:$J39,$J39)</f>
        <v>10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11</v>
      </c>
      <c r="M40" s="84">
        <f>COUNTIF($J$6:$J40,$J40)</f>
        <v>11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9627</v>
      </c>
      <c r="I41" s="115">
        <f>SUM(I6:I40)</f>
        <v>628</v>
      </c>
    </row>
    <row r="42" spans="1:18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- 570          Exam &amp; Review Hours - 58          Total Course Hours - 628</v>
      </c>
      <c r="E42" s="301"/>
      <c r="F42" s="301"/>
      <c r="G42" s="301"/>
      <c r="H42" s="117">
        <f>ROUNDUP(H41/(I41+C43),2)</f>
        <v>15.33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Hrs/Week:7.3 Months (31 Weeks); at 25 Hrs/Week:5.9 Months (26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58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$9981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  <c r="J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6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6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74803149606299202" right="0.55118110236220497" top="0.6" bottom="0.35433070866141703" header="0.118110236220472" footer="0"/>
  <pageSetup orientation="portrait" horizontalDpi="360" verticalDpi="36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5">
    <tabColor indexed="10"/>
    <pageSetUpPr fitToPage="1"/>
  </sheetPr>
  <dimension ref="A1:AG52"/>
  <sheetViews>
    <sheetView topLeftCell="A13" zoomScaleNormal="100" workbookViewId="0">
      <selection activeCell="H29" sqref="H29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357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336</v>
      </c>
      <c r="E4" s="299"/>
      <c r="F4" s="299"/>
      <c r="G4" s="92" t="s">
        <v>501</v>
      </c>
      <c r="H4" s="100"/>
      <c r="I4" s="84" t="s">
        <v>7</v>
      </c>
      <c r="P4" s="84"/>
      <c r="Q4" s="84"/>
    </row>
    <row r="5" spans="1:17">
      <c r="A5" s="90" t="s">
        <v>407</v>
      </c>
      <c r="B5" s="90"/>
      <c r="C5" s="90"/>
      <c r="D5" s="94" t="s">
        <v>8</v>
      </c>
      <c r="E5" s="90"/>
      <c r="F5" s="137" t="s">
        <v>104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/>
      <c r="E6" s="99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13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4" t="s">
        <v>388</v>
      </c>
      <c r="D7" s="94"/>
      <c r="E7" s="99" t="str">
        <f>IF($C7&lt;&gt;0,VLOOKUP($C7,'[1]Course Table'!$A$1:$G$330,2,TRUE),"")</f>
        <v>Introduction to Keyboarding</v>
      </c>
      <c r="F7" s="84"/>
      <c r="G7" s="84">
        <f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22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03"/>
      <c r="C8" s="105" t="s">
        <v>390</v>
      </c>
      <c r="D8" s="94"/>
      <c r="E8" s="99" t="str">
        <f>IF($C8&lt;&gt;0,VLOOKUP($C8,'[1]Course Table'!$A$1:$G$330,2,TRUE),"")</f>
        <v>Keyboard Skill Building Level 1 (25 WPM)</v>
      </c>
      <c r="F8" s="84"/>
      <c r="G8" s="84">
        <f t="shared" ref="G8:G40" si="1">I8</f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22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94"/>
      <c r="E9" s="99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22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9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22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22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03"/>
      <c r="C12" s="105" t="s">
        <v>763</v>
      </c>
      <c r="D12" s="84"/>
      <c r="E12" s="99" t="str">
        <f>IF($C12&lt;&gt;0,VLOOKUP($C12,'[1]Course Table'!$A$1:$G$330,2,TRUE),"")</f>
        <v>MS Excel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22</v>
      </c>
      <c r="M12" s="84">
        <f>COUNTIF($J$6:$J12,$J12)</f>
        <v>6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767</v>
      </c>
      <c r="D13" s="84"/>
      <c r="E13" s="99" t="str">
        <f>IF($C13&lt;&gt;0,VLOOKUP($C13,'[1]Course Table'!$A$1:$G$330,2,TRUE),"")</f>
        <v>MS Access Level 1</v>
      </c>
      <c r="F13" s="84"/>
      <c r="G13" s="84">
        <f t="shared" si="1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22</v>
      </c>
      <c r="M13" s="84">
        <f>COUNTIF($J$6:$J13,$J13)</f>
        <v>7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762</v>
      </c>
      <c r="D14" s="84"/>
      <c r="E14" s="99" t="str">
        <f>IF($C14&lt;&gt;0,VLOOKUP($C14,'[1]Course Table'!$A$1:$G$330,2,TRUE),"")</f>
        <v>MS Outlook Level 1</v>
      </c>
      <c r="F14" s="84"/>
      <c r="G14" s="84">
        <f t="shared" si="1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22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13</v>
      </c>
      <c r="M15" s="84">
        <f>COUNTIF($J$6:$J15,$J15)</f>
        <v>2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 t="s">
        <v>477</v>
      </c>
      <c r="D16" s="84"/>
      <c r="E16" s="99" t="str">
        <f>IF($C16&lt;&gt;0,VLOOKUP($C16,'[1]Course Table'!$A$1:$G$330,2,TRUE),"")</f>
        <v>Psychology Fundamentals</v>
      </c>
      <c r="F16" s="84"/>
      <c r="G16" s="84">
        <f t="shared" si="1"/>
        <v>75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949</v>
      </c>
      <c r="I16" s="84">
        <f>IF($C16&lt;&gt;"",VLOOKUP($C16,'[1]Course Table'!$A$1:$G$330,5,FALSE),"")</f>
        <v>75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22</v>
      </c>
      <c r="M16" s="84">
        <f>COUNTIF($J$6:$J16,$J16)</f>
        <v>9</v>
      </c>
      <c r="N16" s="84">
        <f>IF($C16&lt;&gt;"",VLOOKUP($C16,'[1]Course Table'!$A$1:$I$330,8,FALSE),"")</f>
        <v>18</v>
      </c>
      <c r="O16" s="84">
        <f>IF($C16&lt;&gt;"",VLOOKUP($C16,'[1]Course Table'!$A$1:$I$330,9,FALSE),"")</f>
        <v>4</v>
      </c>
      <c r="P16" s="84"/>
      <c r="Q16" s="84"/>
    </row>
    <row r="17" spans="1:18">
      <c r="A17" s="79"/>
      <c r="B17" s="103"/>
      <c r="C17" s="105" t="s">
        <v>478</v>
      </c>
      <c r="D17" s="84"/>
      <c r="E17" s="99" t="str">
        <f>IF($C17&lt;&gt;0,VLOOKUP($C17,'[1]Course Table'!$A$1:$G$330,2,TRUE),"")</f>
        <v>Sociology and Family Life in Canada</v>
      </c>
      <c r="F17" s="84"/>
      <c r="G17" s="84">
        <f t="shared" si="1"/>
        <v>75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949</v>
      </c>
      <c r="I17" s="84">
        <f>IF($C17&lt;&gt;"",VLOOKUP($C17,'[1]Course Table'!$A$1:$G$330,5,FALSE),"")</f>
        <v>75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22</v>
      </c>
      <c r="M17" s="84">
        <f>COUNTIF($J$6:$J17,$J17)</f>
        <v>10</v>
      </c>
      <c r="N17" s="84">
        <f>IF($C17&lt;&gt;"",VLOOKUP($C17,'[1]Course Table'!$A$1:$I$330,8,FALSE),"")</f>
        <v>18</v>
      </c>
      <c r="O17" s="84">
        <f>IF($C17&lt;&gt;"",VLOOKUP($C17,'[1]Course Table'!$A$1:$I$330,9,FALSE),"")</f>
        <v>4</v>
      </c>
      <c r="P17" s="84"/>
      <c r="Q17" s="84"/>
    </row>
    <row r="18" spans="1:18">
      <c r="A18" s="79"/>
      <c r="B18" s="103"/>
      <c r="C18" s="105" t="s">
        <v>479</v>
      </c>
      <c r="D18" s="84"/>
      <c r="E18" s="99" t="str">
        <f>IF($C18&lt;&gt;0,VLOOKUP($C18,'[1]Course Table'!$A$1:$G$330,2,TRUE),"")</f>
        <v>Government and Social Services</v>
      </c>
      <c r="F18" s="84"/>
      <c r="G18" s="84">
        <f t="shared" si="1"/>
        <v>75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949</v>
      </c>
      <c r="I18" s="84">
        <f>IF($C18&lt;&gt;"",VLOOKUP($C18,'[1]Course Table'!$A$1:$G$330,5,FALSE),"")</f>
        <v>75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22</v>
      </c>
      <c r="M18" s="84">
        <f>COUNTIF($J$6:$J18,$J18)</f>
        <v>11</v>
      </c>
      <c r="N18" s="84">
        <f>IF($C18&lt;&gt;"",VLOOKUP($C18,'[1]Course Table'!$A$1:$I$330,8,FALSE),"")</f>
        <v>18</v>
      </c>
      <c r="O18" s="84">
        <f>IF($C18&lt;&gt;"",VLOOKUP($C18,'[1]Course Table'!$A$1:$I$330,9,FALSE),"")</f>
        <v>4</v>
      </c>
      <c r="P18" s="84"/>
      <c r="Q18" s="84"/>
    </row>
    <row r="19" spans="1:18">
      <c r="A19" s="79"/>
      <c r="B19" s="103"/>
      <c r="C19" s="105" t="s">
        <v>337</v>
      </c>
      <c r="D19" s="84"/>
      <c r="E19" s="99" t="str">
        <f>IF($C19&lt;&gt;0,VLOOKUP($C19,'[1]Course Table'!$A$1:$G$330,2,TRUE),"")</f>
        <v>Life-Span Development</v>
      </c>
      <c r="F19" s="84"/>
      <c r="G19" s="84">
        <f t="shared" si="1"/>
        <v>50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649</v>
      </c>
      <c r="I19" s="84">
        <f>IF($C19&lt;&gt;"",VLOOKUP($C19,'[1]Course Table'!$A$1:$G$330,5,FALSE),"")</f>
        <v>50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22</v>
      </c>
      <c r="M19" s="84">
        <f>COUNTIF($J$6:$J19,$J19)</f>
        <v>12</v>
      </c>
      <c r="N19" s="84">
        <f>IF($C19&lt;&gt;"",VLOOKUP($C19,'[1]Course Table'!$A$1:$I$330,8,FALSE),"")</f>
        <v>18</v>
      </c>
      <c r="O19" s="84">
        <f>IF($C19&lt;&gt;"",VLOOKUP($C19,'[1]Course Table'!$A$1:$I$330,9,FALSE),"")</f>
        <v>2.5</v>
      </c>
      <c r="P19" s="84"/>
      <c r="Q19" s="84"/>
    </row>
    <row r="20" spans="1:18">
      <c r="A20" s="79"/>
      <c r="B20" s="103"/>
      <c r="C20" s="105" t="s">
        <v>771</v>
      </c>
      <c r="D20" s="84"/>
      <c r="E20" s="99" t="str">
        <f>IF($C20&lt;&gt;0,VLOOKUP($C20,'[1]Course Table'!$A$1:$G$330,2,TRUE),"")</f>
        <v>Criminology and At-Risk Populations</v>
      </c>
      <c r="F20" s="84"/>
      <c r="G20" s="84">
        <f t="shared" si="1"/>
        <v>50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649</v>
      </c>
      <c r="I20" s="84">
        <f>IF($C20&lt;&gt;"",VLOOKUP($C20,'[1]Course Table'!$A$1:$G$330,5,FALSE),"")</f>
        <v>50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22</v>
      </c>
      <c r="M20" s="84">
        <f>COUNTIF($J$6:$J20,$J20)</f>
        <v>13</v>
      </c>
      <c r="N20" s="84">
        <f>IF($C20&lt;&gt;"",VLOOKUP($C20,'[1]Course Table'!$A$1:$I$330,8,FALSE),"")</f>
        <v>18</v>
      </c>
      <c r="O20" s="84">
        <f>IF($C20&lt;&gt;"",VLOOKUP($C20,'[1]Course Table'!$A$1:$I$330,9,FALSE),"")</f>
        <v>2.5</v>
      </c>
      <c r="P20" s="84"/>
      <c r="Q20" s="84"/>
    </row>
    <row r="21" spans="1:18">
      <c r="A21" s="79"/>
      <c r="B21" s="103"/>
      <c r="C21" s="105" t="s">
        <v>454</v>
      </c>
      <c r="D21" s="84"/>
      <c r="E21" s="99" t="str">
        <f>IF($C21&lt;&gt;0,VLOOKUP($C21,'[1]Course Table'!$A$1:$G$330,2,TRUE),"")</f>
        <v>Introduction to Mental Health and Addictions</v>
      </c>
      <c r="F21" s="84"/>
      <c r="G21" s="84">
        <f t="shared" si="1"/>
        <v>50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649</v>
      </c>
      <c r="I21" s="84">
        <f>IF($C21&lt;&gt;"",VLOOKUP($C21,'[1]Course Table'!$A$1:$G$330,5,FALSE),"")</f>
        <v>50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22</v>
      </c>
      <c r="M21" s="84">
        <f>COUNTIF($J$6:$J21,$J21)</f>
        <v>14</v>
      </c>
      <c r="N21" s="84">
        <f>IF($C21&lt;&gt;"",VLOOKUP($C21,'[1]Course Table'!$A$1:$I$330,8,FALSE),"")</f>
        <v>18</v>
      </c>
      <c r="O21" s="84">
        <f>IF($C21&lt;&gt;"",VLOOKUP($C21,'[1]Course Table'!$A$1:$I$330,9,FALSE),"")</f>
        <v>2.5</v>
      </c>
      <c r="P21" s="84"/>
      <c r="Q21" s="84"/>
    </row>
    <row r="22" spans="1:18">
      <c r="A22" s="79"/>
      <c r="B22" s="103"/>
      <c r="C22" s="105" t="s">
        <v>566</v>
      </c>
      <c r="D22" s="84"/>
      <c r="E22" s="99" t="str">
        <f>IF($C22&lt;&gt;0,VLOOKUP($C22,'[1]Course Table'!$A$1:$G$330,2,TRUE),"")</f>
        <v>Case Management, Counseling, and Ethics</v>
      </c>
      <c r="F22" s="84"/>
      <c r="G22" s="84">
        <f t="shared" si="1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22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/>
      <c r="B23" s="103"/>
      <c r="C23" s="105" t="s">
        <v>338</v>
      </c>
      <c r="D23" s="84"/>
      <c r="E23" s="99" t="str">
        <f>IF($C23&lt;&gt;0,VLOOKUP($C23,'[1]Course Table'!$A$1:$G$330,2,TRUE),"")</f>
        <v>Business Communication and Report Writing</v>
      </c>
      <c r="F23" s="84"/>
      <c r="G23" s="84">
        <f t="shared" si="1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22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/>
      <c r="B24" s="103"/>
      <c r="C24" s="105" t="s">
        <v>410</v>
      </c>
      <c r="D24" s="84"/>
      <c r="E24" s="99" t="str">
        <f>IF($C24&lt;&gt;0,VLOOKUP($C24,'[1]Course Table'!$A$1:$G$330,2,TRUE),"")</f>
        <v>Preceptorship for CSW - BC</v>
      </c>
      <c r="F24" s="84"/>
      <c r="G24" s="84">
        <f t="shared" si="1"/>
        <v>75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889</v>
      </c>
      <c r="I24" s="84">
        <f>IF($C24&lt;&gt;"",VLOOKUP($C24,'[1]Course Table'!$A$1:$G$330,5,FALSE),"")</f>
        <v>75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22</v>
      </c>
      <c r="M24" s="84">
        <f>COUNTIF($J$6:$J24,$J24)</f>
        <v>17</v>
      </c>
      <c r="N24" s="84">
        <f>IF($C24&lt;&gt;"",VLOOKUP($C24,'[1]Course Table'!$A$1:$I$330,8,FALSE),"")</f>
        <v>14</v>
      </c>
      <c r="O24" s="84">
        <f>IF($C24&lt;&gt;"",VLOOKUP($C24,'[1]Course Table'!$A$1:$I$330,9,FALSE),"")</f>
        <v>4</v>
      </c>
      <c r="P24" s="84"/>
      <c r="Q24" s="84"/>
    </row>
    <row r="25" spans="1:18">
      <c r="A25" s="79"/>
      <c r="B25" s="103"/>
      <c r="C25" s="105" t="s">
        <v>249</v>
      </c>
      <c r="D25" s="99"/>
      <c r="E25" s="99" t="str">
        <f>IF($C25&lt;&gt;0,VLOOKUP($C25,'[1]Course Table'!$A$1:$G$330,2,TRUE),"")</f>
        <v>Job Search/Resume Writing</v>
      </c>
      <c r="F25" s="84"/>
      <c r="G25" s="84">
        <f t="shared" si="1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579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22</v>
      </c>
      <c r="M25" s="84">
        <f>COUNTIF($J$6:$J25,$J25)</f>
        <v>18</v>
      </c>
      <c r="N25" s="84">
        <f>IF($C25&lt;&gt;"",VLOOKUP($C25,'[1]Course Table'!$A$1:$I$330,8,FALSE),"")</f>
        <v>15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03"/>
      <c r="C26" s="105" t="s">
        <v>401</v>
      </c>
      <c r="D26" s="84"/>
      <c r="E26" s="99" t="str">
        <f>IF($C26&lt;&gt;0,VLOOKUP($C26,'[1]Course Table'!$A$1:$G$330,2,TRUE),"")</f>
        <v>Standard First Aid</v>
      </c>
      <c r="F26" s="84"/>
      <c r="G26" s="84">
        <f t="shared" si="1"/>
        <v>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99</v>
      </c>
      <c r="I26" s="84">
        <f>IF($C26&lt;&gt;"",VLOOKUP($C26,'[1]Course Table'!$A$1:$G$330,5,FALSE),"")</f>
        <v>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22</v>
      </c>
      <c r="M26" s="84">
        <f>COUNTIF($J$6:$J26,$J26)</f>
        <v>19</v>
      </c>
      <c r="N26" s="84">
        <f>IF($C26&lt;&gt;"",VLOOKUP($C26,'[1]Course Table'!$A$1:$I$330,8,FALSE),"")</f>
        <v>98</v>
      </c>
      <c r="O26" s="84">
        <f>IF($C26&lt;&gt;"",VLOOKUP($C26,'[1]Course Table'!$A$1:$I$330,9,FALSE),"")</f>
        <v>0</v>
      </c>
      <c r="P26" s="84"/>
      <c r="Q26" s="84"/>
    </row>
    <row r="27" spans="1:18">
      <c r="A27" s="79"/>
      <c r="B27" s="103"/>
      <c r="C27" s="105" t="s">
        <v>402</v>
      </c>
      <c r="D27" s="84"/>
      <c r="E27" s="99" t="str">
        <f>IF($C27&lt;&gt;0,VLOOKUP($C27,'[1]Course Table'!$A$1:$G$330,2,TRUE),"")</f>
        <v>Basic Rescuer (Level C) CPR Certifications</v>
      </c>
      <c r="F27" s="84"/>
      <c r="G27" s="84">
        <f t="shared" si="1"/>
        <v>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</v>
      </c>
      <c r="I27" s="84">
        <f>IF($C27&lt;&gt;"",VLOOKUP($C27,'[1]Course Table'!$A$1:$G$330,5,FALSE),"")</f>
        <v>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22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0</v>
      </c>
      <c r="P27" s="84"/>
      <c r="Q27" s="84"/>
    </row>
    <row r="28" spans="1:18">
      <c r="A28" s="79"/>
      <c r="B28" s="103"/>
      <c r="C28" s="105" t="s">
        <v>339</v>
      </c>
      <c r="D28" s="84"/>
      <c r="E28" s="99" t="str">
        <f>IF($C28&lt;&gt;0,VLOOKUP($C28,'[1]Course Table'!$A$1:$G$330,2,TRUE),"")</f>
        <v>Books Fee (Community Service Worker)</v>
      </c>
      <c r="F28" s="84"/>
      <c r="G28" s="84">
        <f t="shared" si="1"/>
        <v>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600</v>
      </c>
      <c r="I28" s="84">
        <f>IF($C28&lt;&gt;"",VLOOKUP($C28,'[1]Course Table'!$A$1:$G$330,5,FALSE),"")</f>
        <v>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22</v>
      </c>
      <c r="M28" s="84">
        <f>COUNTIF($J$6:$J28,$J28)</f>
        <v>21</v>
      </c>
      <c r="N28" s="84">
        <f>IF($C28&lt;&gt;"",VLOOKUP($C28,'[1]Course Table'!$A$1:$I$330,8,FALSE),"")</f>
        <v>98</v>
      </c>
      <c r="O28" s="84">
        <f>IF($C28&lt;&gt;"",VLOOKUP($C28,'[1]Course Table'!$A$1:$I$330,9,FALSE),"")</f>
        <v>0</v>
      </c>
      <c r="P28" s="84"/>
      <c r="Q28" s="84"/>
    </row>
    <row r="29" spans="1:18">
      <c r="A29" s="79"/>
      <c r="B29" s="103"/>
      <c r="C29" s="105" t="s">
        <v>468</v>
      </c>
      <c r="D29" s="84"/>
      <c r="E29" s="99" t="str">
        <f>IF($C29&lt;&gt;0,VLOOKUP($C29,'[1]Course Table'!$A$1:$G$330,2,TRUE),"")</f>
        <v>Lab &amp; Uniform Fees</v>
      </c>
      <c r="F29" s="84"/>
      <c r="G29" s="84">
        <f t="shared" si="1"/>
        <v>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140</v>
      </c>
      <c r="I29" s="84">
        <f>IF($C29&lt;&gt;"",VLOOKUP($C29,'[1]Course Table'!$A$1:$G$330,5,FALSE),"")</f>
        <v>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22</v>
      </c>
      <c r="M29" s="84">
        <f>COUNTIF($J$6:$J29,$J29)</f>
        <v>22</v>
      </c>
      <c r="N29" s="84">
        <f>IF($C29&lt;&gt;"",VLOOKUP($C29,'[1]Course Table'!$A$1:$I$330,8,FALSE),"")</f>
        <v>98</v>
      </c>
      <c r="O29" s="84">
        <f>IF($C29&lt;&gt;"",VLOOKUP($C29,'[1]Course Table'!$A$1:$I$330,9,FALSE),"")</f>
        <v>0</v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13</v>
      </c>
      <c r="M30" s="84">
        <f>COUNTIF($J$6:$J30,$J30)</f>
        <v>3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13</v>
      </c>
      <c r="M31" s="84">
        <f>COUNTIF($J$6:$J31,$J31)</f>
        <v>4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13</v>
      </c>
      <c r="M32" s="84">
        <f>COUNTIF($J$6:$J32,$J32)</f>
        <v>5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13</v>
      </c>
      <c r="M33" s="84">
        <f>COUNTIF($J$6:$J33,$J33)</f>
        <v>6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13</v>
      </c>
      <c r="M34" s="84">
        <f>COUNTIF($J$6:$J34,$J34)</f>
        <v>7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13</v>
      </c>
      <c r="M35" s="84">
        <f>COUNTIF($J$6:$J35,$J35)</f>
        <v>8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13</v>
      </c>
      <c r="M36" s="84">
        <f>COUNTIF($J$6:$J36,$J36)</f>
        <v>9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13</v>
      </c>
      <c r="M37" s="84">
        <f>COUNTIF($J$6:$J37,$J37)</f>
        <v>10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13</v>
      </c>
      <c r="M38" s="84">
        <f>COUNTIF($J$6:$J38,$J38)</f>
        <v>11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13</v>
      </c>
      <c r="M39" s="84">
        <f>COUNTIF($J$6:$J39,$J39)</f>
        <v>12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13</v>
      </c>
      <c r="M40" s="84">
        <f>COUNTIF($J$6:$J40,$J40)</f>
        <v>13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12370</v>
      </c>
      <c r="I41" s="115">
        <f>SUM(I6:I40)</f>
        <v>827</v>
      </c>
    </row>
    <row r="42" spans="1:18" s="90" customFormat="1" ht="12.75">
      <c r="C42" s="116">
        <v>0</v>
      </c>
      <c r="D42" s="301" t="str">
        <f>CONCATENATE("Course Hours - ",SUM(I6:I40)-SUMIF(C6:C40,"HCCP1BC_CSW",I6:I40),"   ","Practicum Hours - ",SUMIF(C6:C40,"HCCP1BC_CSW",I6:I40),"   ","Exam &amp; Review Hours - ",C43,"   Total Course Hours - ",I41+C43)</f>
        <v>Course Hours - 752   Practicum Hours - 75   Exam &amp; Review Hours - 0   Total Course Hours - 827</v>
      </c>
      <c r="E42" s="301"/>
      <c r="F42" s="301"/>
      <c r="G42" s="301"/>
      <c r="H42" s="117">
        <f>ROUNDUP(H41/(I41+C43),2)</f>
        <v>14.959999999999999</v>
      </c>
    </row>
    <row r="43" spans="1:18" s="90" customFormat="1" ht="13.5" customHeight="1">
      <c r="C43" s="90">
        <f>ROUNDUP(I41*C42,0)</f>
        <v>0</v>
      </c>
      <c r="D43" s="300" t="str">
        <f>CONCATENATE("NOTE - Only available @25 Hrs/Week: Program @25h/Week ",ROUNDUP((I41+C43-SUMIF(C6:C40,"HCCP1BC_CSW",I6:I40))/(25*4.33)+SUMIF(C6:C40,"HCCP1BC_CSW",I6:I40)/(40*4.33),1)," Months  (",ROUNDDOWN(((I41+C43-SUMIF(C6:C40,"HCCP1BC_CSW",I6:I40))/25)+(SUMIF(C6:C40,"HCCP1BC_CSW",I6:I40)/37.5),0)," Weeks + 2 Weeks Holiday)")</f>
        <v>NOTE - Only available @25 Hrs/Week: Program @25h/Week 7.4 Months  (32 Weeks + 2 Weeks Holiday)</v>
      </c>
      <c r="E43" s="300"/>
      <c r="F43" s="300"/>
      <c r="G43" s="300"/>
      <c r="H43" s="118"/>
    </row>
    <row r="44" spans="1:18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$12724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43.5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4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27.5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rintOptions horizontalCentered="1" verticalCentered="1"/>
  <pageMargins left="0.74803149606299202" right="0.55118110236220497" top="0.6" bottom="0.35433070866141703" header="0.6" footer="0"/>
  <pageSetup orientation="portrait" horizontalDpi="360" verticalDpi="36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409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403</v>
      </c>
      <c r="E4" s="299"/>
      <c r="F4" s="299"/>
      <c r="G4" s="92" t="s">
        <v>406</v>
      </c>
      <c r="H4" s="100"/>
      <c r="I4" s="84" t="s">
        <v>7</v>
      </c>
      <c r="P4" s="84"/>
      <c r="Q4" s="84"/>
    </row>
    <row r="5" spans="1:17">
      <c r="A5" s="90" t="s">
        <v>408</v>
      </c>
      <c r="B5" s="90"/>
      <c r="C5" s="90"/>
      <c r="D5" s="94" t="s">
        <v>8</v>
      </c>
      <c r="E5" s="90"/>
      <c r="F5" s="137" t="s">
        <v>104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/>
      <c r="E6" s="99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4" t="s">
        <v>388</v>
      </c>
      <c r="D7" s="94"/>
      <c r="E7" s="99" t="str">
        <f>IF($C7&lt;&gt;0,VLOOKUP($C7,'[1]Course Table'!$A$1:$G$330,2,TRUE),"")</f>
        <v>Introduction to Keyboarding</v>
      </c>
      <c r="F7" s="84"/>
      <c r="G7" s="84">
        <f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26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03"/>
      <c r="C8" s="105" t="s">
        <v>390</v>
      </c>
      <c r="D8" s="94"/>
      <c r="E8" s="99" t="str">
        <f>IF($C8&lt;&gt;0,VLOOKUP($C8,'[1]Course Table'!$A$1:$G$330,2,TRUE),"")</f>
        <v>Keyboard Skill Building Level 1 (25 WPM)</v>
      </c>
      <c r="F8" s="84"/>
      <c r="G8" s="84">
        <f t="shared" ref="G8:G40" si="1">I8</f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26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94"/>
      <c r="E9" s="99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26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9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26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26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03"/>
      <c r="C12" s="105" t="s">
        <v>763</v>
      </c>
      <c r="D12" s="84"/>
      <c r="E12" s="99" t="str">
        <f>IF($C12&lt;&gt;0,VLOOKUP($C12,'[1]Course Table'!$A$1:$G$330,2,TRUE),"")</f>
        <v>MS Excel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26</v>
      </c>
      <c r="M12" s="84">
        <f>COUNTIF($J$6:$J12,$J12)</f>
        <v>6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767</v>
      </c>
      <c r="D13" s="84"/>
      <c r="E13" s="99" t="str">
        <f>IF($C13&lt;&gt;0,VLOOKUP($C13,'[1]Course Table'!$A$1:$G$330,2,TRUE),"")</f>
        <v>MS Access Level 1</v>
      </c>
      <c r="F13" s="84"/>
      <c r="G13" s="84">
        <f t="shared" si="1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26</v>
      </c>
      <c r="M13" s="84">
        <f>COUNTIF($J$6:$J13,$J13)</f>
        <v>7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03"/>
      <c r="C14" s="105" t="s">
        <v>762</v>
      </c>
      <c r="D14" s="84"/>
      <c r="E14" s="99" t="str">
        <f>IF($C14&lt;&gt;0,VLOOKUP($C14,'[1]Course Table'!$A$1:$G$330,2,TRUE),"")</f>
        <v>MS Outlook Level 1</v>
      </c>
      <c r="F14" s="84"/>
      <c r="G14" s="84">
        <f t="shared" si="1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26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9</v>
      </c>
      <c r="M15" s="84">
        <f>COUNTIF($J$6:$J15,$J15)</f>
        <v>2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 t="s">
        <v>477</v>
      </c>
      <c r="D16" s="84"/>
      <c r="E16" s="99" t="str">
        <f>IF($C16&lt;&gt;0,VLOOKUP($C16,'[1]Course Table'!$A$1:$G$330,2,TRUE),"")</f>
        <v>Psychology Fundamentals</v>
      </c>
      <c r="F16" s="84"/>
      <c r="G16" s="84">
        <f t="shared" si="1"/>
        <v>75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949</v>
      </c>
      <c r="I16" s="84">
        <f>IF($C16&lt;&gt;"",VLOOKUP($C16,'[1]Course Table'!$A$1:$G$330,5,FALSE),"")</f>
        <v>75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26</v>
      </c>
      <c r="M16" s="84">
        <f>COUNTIF($J$6:$J16,$J16)</f>
        <v>9</v>
      </c>
      <c r="N16" s="84">
        <f>IF($C16&lt;&gt;"",VLOOKUP($C16,'[1]Course Table'!$A$1:$I$330,8,FALSE),"")</f>
        <v>18</v>
      </c>
      <c r="O16" s="84">
        <f>IF($C16&lt;&gt;"",VLOOKUP($C16,'[1]Course Table'!$A$1:$I$330,9,FALSE),"")</f>
        <v>4</v>
      </c>
      <c r="P16" s="84"/>
      <c r="Q16" s="84"/>
    </row>
    <row r="17" spans="1:18">
      <c r="A17" s="79"/>
      <c r="B17" s="103"/>
      <c r="C17" s="105" t="s">
        <v>478</v>
      </c>
      <c r="D17" s="84"/>
      <c r="E17" s="99" t="str">
        <f>IF($C17&lt;&gt;0,VLOOKUP($C17,'[1]Course Table'!$A$1:$G$330,2,TRUE),"")</f>
        <v>Sociology and Family Life in Canada</v>
      </c>
      <c r="F17" s="84"/>
      <c r="G17" s="84">
        <f t="shared" si="1"/>
        <v>75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949</v>
      </c>
      <c r="I17" s="84">
        <f>IF($C17&lt;&gt;"",VLOOKUP($C17,'[1]Course Table'!$A$1:$G$330,5,FALSE),"")</f>
        <v>75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26</v>
      </c>
      <c r="M17" s="84">
        <f>COUNTIF($J$6:$J17,$J17)</f>
        <v>10</v>
      </c>
      <c r="N17" s="84">
        <f>IF($C17&lt;&gt;"",VLOOKUP($C17,'[1]Course Table'!$A$1:$I$330,8,FALSE),"")</f>
        <v>18</v>
      </c>
      <c r="O17" s="84">
        <f>IF($C17&lt;&gt;"",VLOOKUP($C17,'[1]Course Table'!$A$1:$I$330,9,FALSE),"")</f>
        <v>4</v>
      </c>
      <c r="P17" s="84"/>
      <c r="Q17" s="84"/>
    </row>
    <row r="18" spans="1:18">
      <c r="A18" s="79"/>
      <c r="B18" s="103"/>
      <c r="C18" s="105" t="s">
        <v>479</v>
      </c>
      <c r="D18" s="84"/>
      <c r="E18" s="99" t="str">
        <f>IF($C18&lt;&gt;0,VLOOKUP($C18,'[1]Course Table'!$A$1:$G$330,2,TRUE),"")</f>
        <v>Government and Social Services</v>
      </c>
      <c r="F18" s="84"/>
      <c r="G18" s="84">
        <f t="shared" si="1"/>
        <v>75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949</v>
      </c>
      <c r="I18" s="84">
        <f>IF($C18&lt;&gt;"",VLOOKUP($C18,'[1]Course Table'!$A$1:$G$330,5,FALSE),"")</f>
        <v>75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26</v>
      </c>
      <c r="M18" s="84">
        <f>COUNTIF($J$6:$J18,$J18)</f>
        <v>11</v>
      </c>
      <c r="N18" s="84">
        <f>IF($C18&lt;&gt;"",VLOOKUP($C18,'[1]Course Table'!$A$1:$I$330,8,FALSE),"")</f>
        <v>18</v>
      </c>
      <c r="O18" s="84">
        <f>IF($C18&lt;&gt;"",VLOOKUP($C18,'[1]Course Table'!$A$1:$I$330,9,FALSE),"")</f>
        <v>4</v>
      </c>
      <c r="P18" s="84"/>
      <c r="Q18" s="84"/>
    </row>
    <row r="19" spans="1:18">
      <c r="A19" s="79"/>
      <c r="B19" s="103"/>
      <c r="C19" s="105" t="s">
        <v>337</v>
      </c>
      <c r="D19" s="84"/>
      <c r="E19" s="99" t="str">
        <f>IF($C19&lt;&gt;0,VLOOKUP($C19,'[1]Course Table'!$A$1:$G$330,2,TRUE),"")</f>
        <v>Life-Span Development</v>
      </c>
      <c r="F19" s="84"/>
      <c r="G19" s="84">
        <f t="shared" si="1"/>
        <v>50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649</v>
      </c>
      <c r="I19" s="84">
        <f>IF($C19&lt;&gt;"",VLOOKUP($C19,'[1]Course Table'!$A$1:$G$330,5,FALSE),"")</f>
        <v>50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26</v>
      </c>
      <c r="M19" s="84">
        <f>COUNTIF($J$6:$J19,$J19)</f>
        <v>12</v>
      </c>
      <c r="N19" s="84">
        <f>IF($C19&lt;&gt;"",VLOOKUP($C19,'[1]Course Table'!$A$1:$I$330,8,FALSE),"")</f>
        <v>18</v>
      </c>
      <c r="O19" s="84">
        <f>IF($C19&lt;&gt;"",VLOOKUP($C19,'[1]Course Table'!$A$1:$I$330,9,FALSE),"")</f>
        <v>2.5</v>
      </c>
      <c r="P19" s="84"/>
      <c r="Q19" s="84"/>
    </row>
    <row r="20" spans="1:18">
      <c r="A20" s="79"/>
      <c r="B20" s="103"/>
      <c r="C20" s="105" t="s">
        <v>771</v>
      </c>
      <c r="D20" s="84"/>
      <c r="E20" s="99" t="str">
        <f>IF($C20&lt;&gt;0,VLOOKUP($C20,'[1]Course Table'!$A$1:$G$330,2,TRUE),"")</f>
        <v>Criminology and At-Risk Populations</v>
      </c>
      <c r="F20" s="84"/>
      <c r="G20" s="84">
        <f t="shared" si="1"/>
        <v>50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649</v>
      </c>
      <c r="I20" s="84">
        <f>IF($C20&lt;&gt;"",VLOOKUP($C20,'[1]Course Table'!$A$1:$G$330,5,FALSE),"")</f>
        <v>50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26</v>
      </c>
      <c r="M20" s="84">
        <f>COUNTIF($J$6:$J20,$J20)</f>
        <v>13</v>
      </c>
      <c r="N20" s="84">
        <f>IF($C20&lt;&gt;"",VLOOKUP($C20,'[1]Course Table'!$A$1:$I$330,8,FALSE),"")</f>
        <v>18</v>
      </c>
      <c r="O20" s="84">
        <f>IF($C20&lt;&gt;"",VLOOKUP($C20,'[1]Course Table'!$A$1:$I$330,9,FALSE),"")</f>
        <v>2.5</v>
      </c>
      <c r="P20" s="84"/>
      <c r="Q20" s="84"/>
    </row>
    <row r="21" spans="1:18">
      <c r="A21" s="79"/>
      <c r="B21" s="103"/>
      <c r="C21" s="105" t="s">
        <v>454</v>
      </c>
      <c r="D21" s="84"/>
      <c r="E21" s="99" t="str">
        <f>IF($C21&lt;&gt;0,VLOOKUP($C21,'[1]Course Table'!$A$1:$G$330,2,TRUE),"")</f>
        <v>Introduction to Mental Health and Addictions</v>
      </c>
      <c r="F21" s="84"/>
      <c r="G21" s="84">
        <f t="shared" si="1"/>
        <v>50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649</v>
      </c>
      <c r="I21" s="84">
        <f>IF($C21&lt;&gt;"",VLOOKUP($C21,'[1]Course Table'!$A$1:$G$330,5,FALSE),"")</f>
        <v>50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26</v>
      </c>
      <c r="M21" s="84">
        <f>COUNTIF($J$6:$J21,$J21)</f>
        <v>14</v>
      </c>
      <c r="N21" s="84">
        <f>IF($C21&lt;&gt;"",VLOOKUP($C21,'[1]Course Table'!$A$1:$I$330,8,FALSE),"")</f>
        <v>18</v>
      </c>
      <c r="O21" s="84">
        <f>IF($C21&lt;&gt;"",VLOOKUP($C21,'[1]Course Table'!$A$1:$I$330,9,FALSE),"")</f>
        <v>2.5</v>
      </c>
      <c r="P21" s="84"/>
      <c r="Q21" s="84"/>
    </row>
    <row r="22" spans="1:18">
      <c r="A22" s="79"/>
      <c r="B22" s="103"/>
      <c r="C22" s="105" t="s">
        <v>566</v>
      </c>
      <c r="D22" s="84"/>
      <c r="E22" s="99" t="str">
        <f>IF($C22&lt;&gt;0,VLOOKUP($C22,'[1]Course Table'!$A$1:$G$330,2,TRUE),"")</f>
        <v>Case Management, Counseling, and Ethics</v>
      </c>
      <c r="F22" s="84"/>
      <c r="G22" s="84">
        <f t="shared" si="1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26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/>
      <c r="B23" s="103"/>
      <c r="C23" s="105" t="s">
        <v>338</v>
      </c>
      <c r="D23" s="84"/>
      <c r="E23" s="99" t="str">
        <f>IF($C23&lt;&gt;0,VLOOKUP($C23,'[1]Course Table'!$A$1:$G$330,2,TRUE),"")</f>
        <v>Business Communication and Report Writing</v>
      </c>
      <c r="F23" s="84"/>
      <c r="G23" s="84">
        <f t="shared" si="1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26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/>
      <c r="B24" s="103"/>
      <c r="C24" s="104" t="s">
        <v>401</v>
      </c>
      <c r="D24" s="84"/>
      <c r="E24" s="99" t="str">
        <f>IF($C24&lt;&gt;0,VLOOKUP($C24,'[1]Course Table'!$A$1:$G$330,2,TRUE),"")</f>
        <v>Standard First Aid</v>
      </c>
      <c r="F24" s="84"/>
      <c r="G24" s="84">
        <f t="shared" si="1"/>
        <v>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99</v>
      </c>
      <c r="I24" s="84">
        <f>IF($C24&lt;&gt;"",VLOOKUP($C24,'[1]Course Table'!$A$1:$G$330,5,FALSE),"")</f>
        <v>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26</v>
      </c>
      <c r="M24" s="84">
        <f>COUNTIF($J$6:$J24,$J24)</f>
        <v>17</v>
      </c>
      <c r="N24" s="84">
        <f>IF($C24&lt;&gt;"",VLOOKUP($C24,'[1]Course Table'!$A$1:$I$330,8,FALSE),"")</f>
        <v>98</v>
      </c>
      <c r="O24" s="84">
        <f>IF($C24&lt;&gt;"",VLOOKUP($C24,'[1]Course Table'!$A$1:$I$330,9,FALSE),"")</f>
        <v>0</v>
      </c>
      <c r="P24" s="84"/>
      <c r="Q24" s="84"/>
    </row>
    <row r="25" spans="1:18">
      <c r="A25" s="79"/>
      <c r="B25" s="103"/>
      <c r="C25" s="104" t="s">
        <v>402</v>
      </c>
      <c r="D25" s="99"/>
      <c r="E25" s="99" t="str">
        <f>IF($C25&lt;&gt;0,VLOOKUP($C25,'[1]Course Table'!$A$1:$G$330,2,TRUE),"")</f>
        <v>Basic Rescuer (Level C) CPR Certifications</v>
      </c>
      <c r="F25" s="84"/>
      <c r="G25" s="84">
        <f t="shared" si="1"/>
        <v>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99</v>
      </c>
      <c r="I25" s="84">
        <f>IF($C25&lt;&gt;"",VLOOKUP($C25,'[1]Course Table'!$A$1:$G$330,5,FALSE),"")</f>
        <v>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26</v>
      </c>
      <c r="M25" s="84">
        <f>COUNTIF($J$6:$J25,$J25)</f>
        <v>18</v>
      </c>
      <c r="N25" s="84">
        <f>IF($C25&lt;&gt;"",VLOOKUP($C25,'[1]Course Table'!$A$1:$I$330,8,FALSE),"")</f>
        <v>18</v>
      </c>
      <c r="O25" s="84">
        <f>IF($C25&lt;&gt;"",VLOOKUP($C25,'[1]Course Table'!$A$1:$I$330,9,FALSE),"")</f>
        <v>0</v>
      </c>
      <c r="P25" s="84"/>
      <c r="Q25" s="84"/>
    </row>
    <row r="26" spans="1:18">
      <c r="A26" s="79"/>
      <c r="B26" s="103"/>
      <c r="C26" s="104" t="s">
        <v>587</v>
      </c>
      <c r="D26" s="84"/>
      <c r="E26" s="99" t="str">
        <f>IF($C26&lt;&gt;0,VLOOKUP($C26,'[1]Course Table'!$A$1:$G$330,2,TRUE),"")</f>
        <v>Addition Workers Specialty Level 1</v>
      </c>
      <c r="F26" s="84"/>
      <c r="G26" s="84">
        <f t="shared" si="1"/>
        <v>100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988</v>
      </c>
      <c r="I26" s="84">
        <f>IF($C26&lt;&gt;"",VLOOKUP($C26,'[1]Course Table'!$A$1:$G$330,5,FALSE),"")</f>
        <v>100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26</v>
      </c>
      <c r="M26" s="84">
        <f>COUNTIF($J$6:$J26,$J26)</f>
        <v>19</v>
      </c>
      <c r="N26" s="84">
        <f>IF($C26&lt;&gt;"",VLOOKUP($C26,'[1]Course Table'!$A$1:$I$330,8,FALSE),"")</f>
        <v>18</v>
      </c>
      <c r="O26" s="84">
        <f>IF($C26&lt;&gt;"",VLOOKUP($C26,'[1]Course Table'!$A$1:$I$330,9,FALSE),"")</f>
        <v>5</v>
      </c>
      <c r="P26" s="84"/>
      <c r="Q26" s="84"/>
    </row>
    <row r="27" spans="1:18">
      <c r="A27" s="79"/>
      <c r="B27" s="103"/>
      <c r="C27" s="104" t="s">
        <v>588</v>
      </c>
      <c r="D27" s="84"/>
      <c r="E27" s="99" t="str">
        <f>IF($C27&lt;&gt;0,VLOOKUP($C27,'[1]Course Table'!$A$1:$G$330,2,TRUE),"")</f>
        <v>Addition Workers Specialty Level 2</v>
      </c>
      <c r="F27" s="84"/>
      <c r="G27" s="84">
        <f t="shared" si="1"/>
        <v>100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988</v>
      </c>
      <c r="I27" s="84">
        <f>IF($C27&lt;&gt;"",VLOOKUP($C27,'[1]Course Table'!$A$1:$G$330,5,FALSE),"")</f>
        <v>100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26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5</v>
      </c>
      <c r="P27" s="84"/>
      <c r="Q27" s="84"/>
    </row>
    <row r="28" spans="1:18">
      <c r="A28" s="79"/>
      <c r="B28" s="103"/>
      <c r="C28" s="104" t="s">
        <v>589</v>
      </c>
      <c r="D28" s="84"/>
      <c r="E28" s="99" t="str">
        <f>IF($C28&lt;&gt;0,VLOOKUP($C28,'[1]Course Table'!$A$1:$G$330,2,TRUE),"")</f>
        <v>Addition Workers Specialty Level 3</v>
      </c>
      <c r="F28" s="84"/>
      <c r="G28" s="84">
        <f t="shared" si="1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988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26</v>
      </c>
      <c r="M28" s="84">
        <f>COUNTIF($J$6:$J28,$J28)</f>
        <v>21</v>
      </c>
      <c r="N28" s="84">
        <f>IF($C28&lt;&gt;"",VLOOKUP($C28,'[1]Course Table'!$A$1:$I$330,8,FALSE),"")</f>
        <v>18</v>
      </c>
      <c r="O28" s="84">
        <f>IF($C28&lt;&gt;"",VLOOKUP($C28,'[1]Course Table'!$A$1:$I$330,9,FALSE),"")</f>
        <v>5</v>
      </c>
      <c r="P28" s="84"/>
      <c r="Q28" s="84"/>
    </row>
    <row r="29" spans="1:18">
      <c r="A29" s="79"/>
      <c r="B29" s="103"/>
      <c r="C29" s="105" t="s">
        <v>404</v>
      </c>
      <c r="D29" s="84"/>
      <c r="E29" s="99" t="str">
        <f>IF($C29&lt;&gt;0,VLOOKUP($C29,'[1]Course Table'!$A$1:$G$330,2,TRUE),"")</f>
        <v>Preceptorship for CSW and AW - BC</v>
      </c>
      <c r="F29" s="84"/>
      <c r="G29" s="84">
        <f t="shared" si="1"/>
        <v>105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889</v>
      </c>
      <c r="I29" s="84">
        <f>IF($C29&lt;&gt;"",VLOOKUP($C29,'[1]Course Table'!$A$1:$G$330,5,FALSE),"")</f>
        <v>105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26</v>
      </c>
      <c r="M29" s="84">
        <f>COUNTIF($J$6:$J29,$J29)</f>
        <v>22</v>
      </c>
      <c r="N29" s="84">
        <f>IF($C29&lt;&gt;"",VLOOKUP($C29,'[1]Course Table'!$A$1:$I$330,8,FALSE),"")</f>
        <v>14</v>
      </c>
      <c r="O29" s="84">
        <f>IF($C29&lt;&gt;"",VLOOKUP($C29,'[1]Course Table'!$A$1:$I$330,9,FALSE),"")</f>
        <v>5.5</v>
      </c>
      <c r="P29" s="84"/>
      <c r="Q29" s="84"/>
    </row>
    <row r="30" spans="1:18">
      <c r="A30" s="79"/>
      <c r="B30" s="103"/>
      <c r="C30" s="105" t="s">
        <v>249</v>
      </c>
      <c r="D30" s="84"/>
      <c r="E30" s="99" t="str">
        <f>IF($C30&lt;&gt;0,VLOOKUP($C30,'[1]Course Table'!$A$1:$G$330,2,TRUE),"")</f>
        <v>Job Search/Resume Writing</v>
      </c>
      <c r="F30" s="84"/>
      <c r="G30" s="84">
        <f t="shared" si="1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579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26</v>
      </c>
      <c r="M30" s="84">
        <f>COUNTIF($J$6:$J30,$J30)</f>
        <v>23</v>
      </c>
      <c r="N30" s="84">
        <f>IF($C30&lt;&gt;"",VLOOKUP($C30,'[1]Course Table'!$A$1:$I$330,8,FALSE),"")</f>
        <v>15</v>
      </c>
      <c r="O30" s="84">
        <f>IF($C30&lt;&gt;"",VLOOKUP($C30,'[1]Course Table'!$A$1:$I$330,9,FALSE),"")</f>
        <v>1.5</v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9</v>
      </c>
      <c r="M31" s="84">
        <f>COUNTIF($J$6:$J31,$J31)</f>
        <v>3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 t="s">
        <v>331</v>
      </c>
      <c r="D32" s="84"/>
      <c r="E32" s="99" t="str">
        <f>IF($C32&lt;&gt;0,VLOOKUP($C32,'[1]Course Table'!$A$1:$G$330,2,TRUE),"")</f>
        <v>Books Fee (Addiction Worker)</v>
      </c>
      <c r="F32" s="84"/>
      <c r="G32" s="84">
        <f t="shared" si="1"/>
        <v>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115</v>
      </c>
      <c r="I32" s="84">
        <f>IF($C32&lt;&gt;"",VLOOKUP($C32,'[1]Course Table'!$A$1:$G$330,5,FALSE),"")</f>
        <v>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26</v>
      </c>
      <c r="M32" s="84">
        <f>COUNTIF($J$6:$J32,$J32)</f>
        <v>24</v>
      </c>
      <c r="N32" s="84">
        <f>IF($C32&lt;&gt;"",VLOOKUP($C32,'[1]Course Table'!$A$1:$I$330,8,FALSE),"")</f>
        <v>98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/>
      <c r="B33" s="103"/>
      <c r="C33" s="105" t="s">
        <v>339</v>
      </c>
      <c r="D33" s="84"/>
      <c r="E33" s="99" t="str">
        <f>IF($C33&lt;&gt;0,VLOOKUP($C33,'[1]Course Table'!$A$1:$G$330,2,TRUE),"")</f>
        <v>Books Fee (Community Service Worker)</v>
      </c>
      <c r="F33" s="84"/>
      <c r="G33" s="84">
        <f t="shared" si="1"/>
        <v>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600</v>
      </c>
      <c r="I33" s="84">
        <f>IF($C33&lt;&gt;"",VLOOKUP($C33,'[1]Course Table'!$A$1:$G$330,5,FALSE),"")</f>
        <v>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26</v>
      </c>
      <c r="M33" s="84">
        <f>COUNTIF($J$6:$J33,$J33)</f>
        <v>25</v>
      </c>
      <c r="N33" s="84">
        <f>IF($C33&lt;&gt;"",VLOOKUP($C33,'[1]Course Table'!$A$1:$I$330,8,FALSE),"")</f>
        <v>98</v>
      </c>
      <c r="O33" s="84">
        <f>IF($C33&lt;&gt;"",VLOOKUP($C33,'[1]Course Table'!$A$1:$I$330,9,FALSE),"")</f>
        <v>0</v>
      </c>
      <c r="P33" s="84"/>
      <c r="Q33" s="84"/>
      <c r="R33" s="90"/>
    </row>
    <row r="34" spans="1:18">
      <c r="A34" s="79"/>
      <c r="B34" s="103"/>
      <c r="C34" s="105" t="s">
        <v>468</v>
      </c>
      <c r="D34" s="84"/>
      <c r="E34" s="99" t="str">
        <f>IF($C34&lt;&gt;0,VLOOKUP($C34,'[1]Course Table'!$A$1:$G$330,2,TRUE),"")</f>
        <v>Lab &amp; Uniform Fees</v>
      </c>
      <c r="F34" s="84"/>
      <c r="G34" s="84">
        <f t="shared" si="1"/>
        <v>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140</v>
      </c>
      <c r="I34" s="84">
        <f>IF($C34&lt;&gt;"",VLOOKUP($C34,'[1]Course Table'!$A$1:$G$330,5,FALSE),"")</f>
        <v>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26</v>
      </c>
      <c r="M34" s="84">
        <f>COUNTIF($J$6:$J34,$J34)</f>
        <v>26</v>
      </c>
      <c r="N34" s="84">
        <f>IF($C34&lt;&gt;"",VLOOKUP($C34,'[1]Course Table'!$A$1:$I$330,8,FALSE),"")</f>
        <v>98</v>
      </c>
      <c r="O34" s="84">
        <f>IF($C34&lt;&gt;"",VLOOKUP($C34,'[1]Course Table'!$A$1:$I$330,9,FALSE),"")</f>
        <v>0</v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9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9</v>
      </c>
      <c r="M36" s="84">
        <f>COUNTIF($J$6:$J36,$J36)</f>
        <v>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15449</v>
      </c>
      <c r="I41" s="115">
        <f>SUM(I6:I40)</f>
        <v>1157</v>
      </c>
    </row>
    <row r="42" spans="1:18" s="90" customFormat="1" ht="12.75">
      <c r="C42" s="116">
        <v>0</v>
      </c>
      <c r="D42" s="301" t="str">
        <f>CONCATENATE("Course Hours - ",SUM(I6:I40)-SUMIF(C6:C40,"HCCP1BC_CSWAW",I6:I40),"   ","Practicum Hours - ",SUMIF(C6:C40,"HCCP1BC_CSWAW",I6:I40),"   ","Exam &amp; Review Hours - ",C43,"   Total Course Hours - ",I41+C43)</f>
        <v>Course Hours - 1052   Practicum Hours - 105   Exam &amp; Review Hours - 0   Total Course Hours - 1157</v>
      </c>
      <c r="E42" s="301"/>
      <c r="F42" s="301"/>
      <c r="G42" s="301"/>
      <c r="H42" s="117">
        <f>ROUNDUP(H41/(I41+C43),2)</f>
        <v>13.36</v>
      </c>
    </row>
    <row r="43" spans="1:18" s="90" customFormat="1" ht="13.5" customHeight="1">
      <c r="C43" s="90">
        <f>ROUNDUP(I41*C42,0)</f>
        <v>0</v>
      </c>
      <c r="D43" s="300" t="str">
        <f>CONCATENATE("NOTE - Only available @25 Hrs/Week: Program @25h/Week ",ROUNDUP((I41+C43-SUMIF(C6:C40,"HCCP1BC_CSWAW",I6:I40))/(25*4.33)+SUMIF(C6:C40,"HCCP1BC_CSWAW",I6:I40)/(37.5*4.33),1)," Months  (",ROUND(((I41+C43-SUMIF(C6:C40,"HCCP1BC_CSWAW",I6:I40))/25)+(SUMIF(C6:C40,"HCCP1BC_CSWAW",I6:I40)/37.5),0)," Weeks + 2 Weeks Holiday)")</f>
        <v>NOTE - Only available @25 Hrs/Week: Program @25h/Week 10.4 Months  (45 Weeks + 2 Weeks Holiday)</v>
      </c>
      <c r="E43" s="300"/>
      <c r="F43" s="300"/>
      <c r="G43" s="300"/>
      <c r="H43" s="118"/>
    </row>
    <row r="44" spans="1:18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$15803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60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5.5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42.5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6" type="noConversion"/>
  <printOptions horizontalCentered="1" verticalCentered="1"/>
  <pageMargins left="0.74803149606299202" right="0.55118110236220497" top="0.6" bottom="0.35433070866141703" header="0.6" footer="0"/>
  <pageSetup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tabColor rgb="FF00B0F0"/>
    <pageSetUpPr fitToPage="1"/>
  </sheetPr>
  <dimension ref="A1:E78"/>
  <sheetViews>
    <sheetView showGridLines="0" workbookViewId="0">
      <selection activeCell="A21" sqref="A21"/>
    </sheetView>
  </sheetViews>
  <sheetFormatPr defaultColWidth="0" defaultRowHeight="16.5" zeroHeight="1"/>
  <cols>
    <col min="1" max="1" width="92.5" style="78" bestFit="1" customWidth="1"/>
    <col min="2" max="2" width="12.83203125" style="78" bestFit="1" customWidth="1"/>
    <col min="3" max="3" width="23.1640625" style="78" bestFit="1" customWidth="1"/>
    <col min="4" max="4" width="28" style="78" bestFit="1" customWidth="1"/>
    <col min="5" max="5" width="20.1640625" style="177" bestFit="1" customWidth="1"/>
    <col min="6" max="16384" width="0" style="78" hidden="1"/>
  </cols>
  <sheetData>
    <row r="1" spans="1:5" ht="20.25" customHeight="1">
      <c r="A1" s="290" t="s">
        <v>313</v>
      </c>
      <c r="B1" s="291"/>
      <c r="C1" s="291"/>
      <c r="D1" s="291"/>
      <c r="E1" s="292"/>
    </row>
    <row r="2" spans="1:5" ht="15.75" customHeight="1" thickBot="1">
      <c r="A2" s="293"/>
      <c r="B2" s="294"/>
      <c r="C2" s="294"/>
      <c r="D2" s="294"/>
      <c r="E2" s="295"/>
    </row>
    <row r="3" spans="1:5" ht="60" customHeight="1" thickBot="1">
      <c r="A3" s="148"/>
      <c r="B3" s="149"/>
      <c r="C3" s="150"/>
      <c r="D3" s="179"/>
      <c r="E3" s="151" t="s">
        <v>793</v>
      </c>
    </row>
    <row r="4" spans="1:5" s="156" customFormat="1" ht="20.25" thickBot="1">
      <c r="A4" s="152" t="s">
        <v>269</v>
      </c>
      <c r="B4" s="153" t="s">
        <v>270</v>
      </c>
      <c r="C4" s="154" t="s">
        <v>314</v>
      </c>
      <c r="D4" s="154" t="s">
        <v>276</v>
      </c>
      <c r="E4" s="155" t="s">
        <v>278</v>
      </c>
    </row>
    <row r="5" spans="1:5">
      <c r="A5" s="157" t="s">
        <v>320</v>
      </c>
      <c r="B5" s="158" t="s">
        <v>73</v>
      </c>
      <c r="C5" s="159" t="s">
        <v>273</v>
      </c>
      <c r="D5" s="159" t="s">
        <v>277</v>
      </c>
      <c r="E5" s="172" t="s">
        <v>303</v>
      </c>
    </row>
    <row r="6" spans="1:5">
      <c r="A6" s="160" t="s">
        <v>496</v>
      </c>
      <c r="B6" s="161" t="s">
        <v>68</v>
      </c>
      <c r="C6" s="162" t="s">
        <v>275</v>
      </c>
      <c r="D6" s="162" t="s">
        <v>277</v>
      </c>
      <c r="E6" s="173" t="s">
        <v>282</v>
      </c>
    </row>
    <row r="7" spans="1:5">
      <c r="A7" s="160" t="s">
        <v>243</v>
      </c>
      <c r="B7" s="161" t="s">
        <v>68</v>
      </c>
      <c r="C7" s="162" t="s">
        <v>275</v>
      </c>
      <c r="D7" s="162" t="s">
        <v>277</v>
      </c>
      <c r="E7" s="173" t="s">
        <v>281</v>
      </c>
    </row>
    <row r="8" spans="1:5">
      <c r="A8" s="160" t="s">
        <v>399</v>
      </c>
      <c r="B8" s="161" t="s">
        <v>68</v>
      </c>
      <c r="C8" s="162" t="s">
        <v>275</v>
      </c>
      <c r="D8" s="162" t="s">
        <v>277</v>
      </c>
      <c r="E8" s="173" t="s">
        <v>291</v>
      </c>
    </row>
    <row r="9" spans="1:5">
      <c r="A9" s="160" t="s">
        <v>395</v>
      </c>
      <c r="B9" s="161" t="s">
        <v>73</v>
      </c>
      <c r="C9" s="162" t="s">
        <v>275</v>
      </c>
      <c r="D9" s="162" t="s">
        <v>277</v>
      </c>
      <c r="E9" s="173" t="s">
        <v>298</v>
      </c>
    </row>
    <row r="10" spans="1:5">
      <c r="A10" s="160" t="s">
        <v>260</v>
      </c>
      <c r="B10" s="161" t="s">
        <v>73</v>
      </c>
      <c r="C10" s="162" t="s">
        <v>275</v>
      </c>
      <c r="D10" s="162" t="s">
        <v>277</v>
      </c>
      <c r="E10" s="173" t="s">
        <v>283</v>
      </c>
    </row>
    <row r="11" spans="1:5">
      <c r="A11" s="234" t="s">
        <v>332</v>
      </c>
      <c r="B11" s="235" t="s">
        <v>73</v>
      </c>
      <c r="C11" s="236" t="s">
        <v>274</v>
      </c>
      <c r="D11" s="236" t="s">
        <v>277</v>
      </c>
      <c r="E11" s="237" t="s">
        <v>321</v>
      </c>
    </row>
    <row r="12" spans="1:5">
      <c r="A12" s="163" t="s">
        <v>6</v>
      </c>
      <c r="B12" s="164" t="s">
        <v>68</v>
      </c>
      <c r="C12" s="165" t="s">
        <v>271</v>
      </c>
      <c r="D12" s="165" t="s">
        <v>277</v>
      </c>
      <c r="E12" s="174" t="s">
        <v>280</v>
      </c>
    </row>
    <row r="13" spans="1:5">
      <c r="A13" s="166" t="s">
        <v>470</v>
      </c>
      <c r="B13" s="167" t="s">
        <v>68</v>
      </c>
      <c r="C13" s="168" t="s">
        <v>272</v>
      </c>
      <c r="D13" s="168" t="s">
        <v>277</v>
      </c>
      <c r="E13" s="175" t="s">
        <v>607</v>
      </c>
    </row>
    <row r="14" spans="1:5">
      <c r="A14" s="166" t="s">
        <v>162</v>
      </c>
      <c r="B14" s="167" t="s">
        <v>68</v>
      </c>
      <c r="C14" s="168" t="s">
        <v>272</v>
      </c>
      <c r="D14" s="168" t="s">
        <v>277</v>
      </c>
      <c r="E14" s="175" t="s">
        <v>279</v>
      </c>
    </row>
    <row r="15" spans="1:5">
      <c r="A15" s="166" t="s">
        <v>173</v>
      </c>
      <c r="B15" s="167" t="s">
        <v>73</v>
      </c>
      <c r="C15" s="168" t="s">
        <v>272</v>
      </c>
      <c r="D15" s="168" t="s">
        <v>277</v>
      </c>
      <c r="E15" s="175" t="s">
        <v>297</v>
      </c>
    </row>
    <row r="16" spans="1:5">
      <c r="A16" s="163" t="s">
        <v>21</v>
      </c>
      <c r="B16" s="164" t="s">
        <v>68</v>
      </c>
      <c r="C16" s="165" t="s">
        <v>271</v>
      </c>
      <c r="D16" s="165" t="s">
        <v>277</v>
      </c>
      <c r="E16" s="174" t="s">
        <v>285</v>
      </c>
    </row>
    <row r="17" spans="1:5">
      <c r="A17" s="163" t="s">
        <v>362</v>
      </c>
      <c r="B17" s="164" t="s">
        <v>73</v>
      </c>
      <c r="C17" s="165" t="s">
        <v>271</v>
      </c>
      <c r="D17" s="165" t="s">
        <v>277</v>
      </c>
      <c r="E17" s="174" t="s">
        <v>312</v>
      </c>
    </row>
    <row r="18" spans="1:5">
      <c r="A18" s="166" t="s">
        <v>474</v>
      </c>
      <c r="B18" s="167" t="s">
        <v>68</v>
      </c>
      <c r="C18" s="168" t="s">
        <v>272</v>
      </c>
      <c r="D18" s="168" t="s">
        <v>277</v>
      </c>
      <c r="E18" s="175" t="s">
        <v>608</v>
      </c>
    </row>
    <row r="19" spans="1:5">
      <c r="A19" s="166" t="s">
        <v>107</v>
      </c>
      <c r="B19" s="167" t="s">
        <v>68</v>
      </c>
      <c r="C19" s="168" t="s">
        <v>272</v>
      </c>
      <c r="D19" s="168" t="s">
        <v>277</v>
      </c>
      <c r="E19" s="175" t="s">
        <v>609</v>
      </c>
    </row>
    <row r="20" spans="1:5">
      <c r="A20" s="234" t="s">
        <v>794</v>
      </c>
      <c r="B20" s="235" t="s">
        <v>68</v>
      </c>
      <c r="C20" s="236" t="s">
        <v>274</v>
      </c>
      <c r="D20" s="236" t="s">
        <v>277</v>
      </c>
      <c r="E20" s="237" t="s">
        <v>311</v>
      </c>
    </row>
    <row r="21" spans="1:5">
      <c r="A21" s="234" t="s">
        <v>336</v>
      </c>
      <c r="B21" s="235" t="s">
        <v>68</v>
      </c>
      <c r="C21" s="236" t="s">
        <v>274</v>
      </c>
      <c r="D21" s="236" t="s">
        <v>277</v>
      </c>
      <c r="E21" s="237" t="s">
        <v>358</v>
      </c>
    </row>
    <row r="22" spans="1:5">
      <c r="A22" s="157" t="s">
        <v>129</v>
      </c>
      <c r="B22" s="158" t="s">
        <v>73</v>
      </c>
      <c r="C22" s="159" t="s">
        <v>273</v>
      </c>
      <c r="D22" s="159" t="s">
        <v>277</v>
      </c>
      <c r="E22" s="172" t="s">
        <v>304</v>
      </c>
    </row>
    <row r="23" spans="1:5">
      <c r="A23" s="157" t="s">
        <v>106</v>
      </c>
      <c r="B23" s="158" t="s">
        <v>68</v>
      </c>
      <c r="C23" s="159" t="s">
        <v>273</v>
      </c>
      <c r="D23" s="159" t="s">
        <v>277</v>
      </c>
      <c r="E23" s="172" t="s">
        <v>289</v>
      </c>
    </row>
    <row r="24" spans="1:5" hidden="1">
      <c r="A24" s="157" t="s">
        <v>189</v>
      </c>
      <c r="B24" s="158" t="s">
        <v>68</v>
      </c>
      <c r="C24" s="159" t="s">
        <v>273</v>
      </c>
      <c r="D24" s="159" t="s">
        <v>613</v>
      </c>
      <c r="E24" s="172"/>
    </row>
    <row r="25" spans="1:5">
      <c r="A25" s="163" t="s">
        <v>166</v>
      </c>
      <c r="B25" s="164" t="s">
        <v>73</v>
      </c>
      <c r="C25" s="165" t="s">
        <v>271</v>
      </c>
      <c r="D25" s="165" t="s">
        <v>277</v>
      </c>
      <c r="E25" s="174" t="s">
        <v>306</v>
      </c>
    </row>
    <row r="26" spans="1:5">
      <c r="A26" s="166" t="s">
        <v>242</v>
      </c>
      <c r="B26" s="167" t="s">
        <v>68</v>
      </c>
      <c r="C26" s="168" t="s">
        <v>272</v>
      </c>
      <c r="D26" s="168" t="s">
        <v>277</v>
      </c>
      <c r="E26" s="175" t="s">
        <v>610</v>
      </c>
    </row>
    <row r="27" spans="1:5">
      <c r="A27" s="166" t="s">
        <v>241</v>
      </c>
      <c r="B27" s="167" t="s">
        <v>73</v>
      </c>
      <c r="C27" s="168" t="s">
        <v>272</v>
      </c>
      <c r="D27" s="168" t="s">
        <v>277</v>
      </c>
      <c r="E27" s="175" t="s">
        <v>307</v>
      </c>
    </row>
    <row r="28" spans="1:5">
      <c r="A28" s="169" t="s">
        <v>489</v>
      </c>
      <c r="B28" s="170" t="s">
        <v>490</v>
      </c>
      <c r="C28" s="171" t="s">
        <v>161</v>
      </c>
      <c r="D28" s="171" t="s">
        <v>277</v>
      </c>
      <c r="E28" s="176" t="s">
        <v>647</v>
      </c>
    </row>
    <row r="29" spans="1:5">
      <c r="A29" s="163" t="s">
        <v>24</v>
      </c>
      <c r="B29" s="164" t="s">
        <v>68</v>
      </c>
      <c r="C29" s="165" t="s">
        <v>271</v>
      </c>
      <c r="D29" s="165" t="s">
        <v>277</v>
      </c>
      <c r="E29" s="174" t="s">
        <v>286</v>
      </c>
    </row>
    <row r="30" spans="1:5">
      <c r="A30" s="163" t="s">
        <v>187</v>
      </c>
      <c r="B30" s="164" t="s">
        <v>68</v>
      </c>
      <c r="C30" s="165" t="s">
        <v>271</v>
      </c>
      <c r="D30" s="165" t="s">
        <v>277</v>
      </c>
      <c r="E30" s="174" t="s">
        <v>290</v>
      </c>
    </row>
    <row r="31" spans="1:5">
      <c r="A31" s="169" t="s">
        <v>600</v>
      </c>
      <c r="B31" s="170" t="s">
        <v>552</v>
      </c>
      <c r="C31" s="171" t="s">
        <v>553</v>
      </c>
      <c r="D31" s="171" t="s">
        <v>554</v>
      </c>
      <c r="E31" s="176" t="s">
        <v>555</v>
      </c>
    </row>
    <row r="32" spans="1:5">
      <c r="A32" s="166" t="s">
        <v>258</v>
      </c>
      <c r="B32" s="167" t="s">
        <v>73</v>
      </c>
      <c r="C32" s="168" t="s">
        <v>272</v>
      </c>
      <c r="D32" s="168" t="s">
        <v>277</v>
      </c>
      <c r="E32" s="175" t="s">
        <v>301</v>
      </c>
    </row>
    <row r="33" spans="1:5">
      <c r="A33" s="166" t="s">
        <v>160</v>
      </c>
      <c r="B33" s="167" t="s">
        <v>73</v>
      </c>
      <c r="C33" s="168" t="s">
        <v>272</v>
      </c>
      <c r="D33" s="168" t="s">
        <v>277</v>
      </c>
      <c r="E33" s="175" t="s">
        <v>294</v>
      </c>
    </row>
    <row r="34" spans="1:5">
      <c r="A34" s="166" t="s">
        <v>171</v>
      </c>
      <c r="B34" s="167" t="s">
        <v>68</v>
      </c>
      <c r="C34" s="168" t="s">
        <v>272</v>
      </c>
      <c r="D34" s="168" t="s">
        <v>277</v>
      </c>
      <c r="E34" s="175" t="s">
        <v>292</v>
      </c>
    </row>
    <row r="35" spans="1:5">
      <c r="A35" s="234" t="s">
        <v>139</v>
      </c>
      <c r="B35" s="235" t="s">
        <v>73</v>
      </c>
      <c r="C35" s="236" t="s">
        <v>274</v>
      </c>
      <c r="D35" s="236" t="s">
        <v>277</v>
      </c>
      <c r="E35" s="237" t="s">
        <v>284</v>
      </c>
    </row>
    <row r="36" spans="1:5">
      <c r="A36" s="234" t="s">
        <v>144</v>
      </c>
      <c r="B36" s="235" t="s">
        <v>68</v>
      </c>
      <c r="C36" s="236" t="s">
        <v>274</v>
      </c>
      <c r="D36" s="236" t="s">
        <v>277</v>
      </c>
      <c r="E36" s="237" t="s">
        <v>287</v>
      </c>
    </row>
    <row r="37" spans="1:5">
      <c r="A37" s="234" t="s">
        <v>397</v>
      </c>
      <c r="B37" s="235" t="s">
        <v>68</v>
      </c>
      <c r="C37" s="236" t="s">
        <v>274</v>
      </c>
      <c r="D37" s="236" t="s">
        <v>277</v>
      </c>
      <c r="E37" s="237" t="s">
        <v>288</v>
      </c>
    </row>
    <row r="38" spans="1:5" hidden="1">
      <c r="A38" s="234" t="s">
        <v>601</v>
      </c>
      <c r="B38" s="235" t="s">
        <v>602</v>
      </c>
      <c r="C38" s="236" t="s">
        <v>274</v>
      </c>
      <c r="D38" s="236" t="s">
        <v>788</v>
      </c>
      <c r="E38" s="237" t="s">
        <v>603</v>
      </c>
    </row>
    <row r="39" spans="1:5">
      <c r="A39" s="157" t="s">
        <v>604</v>
      </c>
      <c r="B39" s="158" t="s">
        <v>73</v>
      </c>
      <c r="C39" s="159" t="s">
        <v>273</v>
      </c>
      <c r="D39" s="159" t="s">
        <v>277</v>
      </c>
      <c r="E39" s="172" t="s">
        <v>333</v>
      </c>
    </row>
    <row r="40" spans="1:5" hidden="1">
      <c r="A40" s="157" t="s">
        <v>605</v>
      </c>
      <c r="B40" s="158" t="s">
        <v>73</v>
      </c>
      <c r="C40" s="159" t="s">
        <v>273</v>
      </c>
      <c r="D40" s="159" t="s">
        <v>599</v>
      </c>
      <c r="E40" s="172"/>
    </row>
    <row r="41" spans="1:5">
      <c r="A41" s="157" t="s">
        <v>606</v>
      </c>
      <c r="B41" s="158" t="s">
        <v>68</v>
      </c>
      <c r="C41" s="159" t="s">
        <v>273</v>
      </c>
      <c r="D41" s="159" t="s">
        <v>277</v>
      </c>
      <c r="E41" s="172" t="s">
        <v>302</v>
      </c>
    </row>
    <row r="42" spans="1:5">
      <c r="A42" s="163" t="s">
        <v>122</v>
      </c>
      <c r="B42" s="164" t="s">
        <v>73</v>
      </c>
      <c r="C42" s="165" t="s">
        <v>271</v>
      </c>
      <c r="D42" s="165" t="s">
        <v>277</v>
      </c>
      <c r="E42" s="174" t="s">
        <v>305</v>
      </c>
    </row>
    <row r="43" spans="1:5">
      <c r="A43" s="163" t="s">
        <v>25</v>
      </c>
      <c r="B43" s="164" t="s">
        <v>68</v>
      </c>
      <c r="C43" s="165" t="s">
        <v>271</v>
      </c>
      <c r="D43" s="165" t="s">
        <v>277</v>
      </c>
      <c r="E43" s="174" t="s">
        <v>299</v>
      </c>
    </row>
    <row r="44" spans="1:5">
      <c r="A44" s="163" t="s">
        <v>396</v>
      </c>
      <c r="B44" s="164" t="s">
        <v>73</v>
      </c>
      <c r="C44" s="165" t="s">
        <v>271</v>
      </c>
      <c r="D44" s="165" t="s">
        <v>277</v>
      </c>
      <c r="E44" s="174" t="s">
        <v>612</v>
      </c>
    </row>
    <row r="45" spans="1:5">
      <c r="A45" s="160" t="s">
        <v>157</v>
      </c>
      <c r="B45" s="161" t="s">
        <v>73</v>
      </c>
      <c r="C45" s="162" t="s">
        <v>275</v>
      </c>
      <c r="D45" s="162" t="s">
        <v>277</v>
      </c>
      <c r="E45" s="173" t="s">
        <v>308</v>
      </c>
    </row>
    <row r="46" spans="1:5">
      <c r="A46" s="160" t="s">
        <v>398</v>
      </c>
      <c r="B46" s="161" t="s">
        <v>73</v>
      </c>
      <c r="C46" s="162" t="s">
        <v>275</v>
      </c>
      <c r="D46" s="162" t="s">
        <v>277</v>
      </c>
      <c r="E46" s="173" t="s">
        <v>309</v>
      </c>
    </row>
    <row r="47" spans="1:5">
      <c r="A47" s="157" t="s">
        <v>105</v>
      </c>
      <c r="B47" s="158" t="s">
        <v>68</v>
      </c>
      <c r="C47" s="159" t="s">
        <v>273</v>
      </c>
      <c r="D47" s="159" t="s">
        <v>277</v>
      </c>
      <c r="E47" s="172" t="s">
        <v>300</v>
      </c>
    </row>
    <row r="48" spans="1:5">
      <c r="A48" s="166" t="s">
        <v>236</v>
      </c>
      <c r="B48" s="167" t="s">
        <v>68</v>
      </c>
      <c r="C48" s="168" t="s">
        <v>272</v>
      </c>
      <c r="D48" s="168" t="s">
        <v>277</v>
      </c>
      <c r="E48" s="175" t="s">
        <v>293</v>
      </c>
    </row>
    <row r="49" spans="1:5">
      <c r="A49" s="163" t="s">
        <v>182</v>
      </c>
      <c r="B49" s="164" t="s">
        <v>73</v>
      </c>
      <c r="C49" s="165" t="s">
        <v>271</v>
      </c>
      <c r="D49" s="165" t="s">
        <v>277</v>
      </c>
      <c r="E49" s="174" t="s">
        <v>310</v>
      </c>
    </row>
    <row r="50" spans="1:5">
      <c r="A50" s="166" t="s">
        <v>263</v>
      </c>
      <c r="B50" s="167" t="s">
        <v>73</v>
      </c>
      <c r="C50" s="168" t="s">
        <v>272</v>
      </c>
      <c r="D50" s="168" t="s">
        <v>277</v>
      </c>
      <c r="E50" s="175" t="s">
        <v>611</v>
      </c>
    </row>
    <row r="51" spans="1:5">
      <c r="A51" s="166" t="s">
        <v>237</v>
      </c>
      <c r="B51" s="167" t="s">
        <v>68</v>
      </c>
      <c r="C51" s="168" t="s">
        <v>272</v>
      </c>
      <c r="D51" s="168" t="s">
        <v>277</v>
      </c>
      <c r="E51" s="175" t="s">
        <v>296</v>
      </c>
    </row>
    <row r="52" spans="1:5">
      <c r="A52" s="157" t="s">
        <v>640</v>
      </c>
      <c r="B52" s="158" t="s">
        <v>643</v>
      </c>
      <c r="C52" s="159" t="s">
        <v>644</v>
      </c>
      <c r="D52" s="159" t="s">
        <v>277</v>
      </c>
      <c r="E52" s="172" t="s">
        <v>645</v>
      </c>
    </row>
    <row r="53" spans="1:5">
      <c r="A53" s="169" t="s">
        <v>154</v>
      </c>
      <c r="B53" s="170" t="s">
        <v>68</v>
      </c>
      <c r="C53" s="171" t="s">
        <v>161</v>
      </c>
      <c r="D53" s="171" t="s">
        <v>277</v>
      </c>
      <c r="E53" s="176" t="s">
        <v>295</v>
      </c>
    </row>
    <row r="54" spans="1:5" ht="17.25" thickBot="1">
      <c r="A54" s="157" t="s">
        <v>642</v>
      </c>
      <c r="B54" s="238" t="s">
        <v>643</v>
      </c>
      <c r="C54" s="239" t="s">
        <v>644</v>
      </c>
      <c r="D54" s="239" t="s">
        <v>277</v>
      </c>
      <c r="E54" s="240" t="s">
        <v>646</v>
      </c>
    </row>
    <row r="55" spans="1:5"/>
    <row r="56" spans="1:5"/>
    <row r="57" spans="1:5"/>
    <row r="58" spans="1:5"/>
    <row r="59" spans="1:5"/>
    <row r="60" spans="1:5"/>
    <row r="61" spans="1:5"/>
    <row r="62" spans="1:5"/>
    <row r="63" spans="1:5"/>
    <row r="64" spans="1:5"/>
    <row r="65"/>
    <row r="66"/>
    <row r="67"/>
    <row r="68"/>
    <row r="69"/>
    <row r="70"/>
    <row r="71"/>
    <row r="72"/>
    <row r="73"/>
    <row r="74"/>
    <row r="75"/>
    <row r="76"/>
    <row r="77"/>
    <row r="78"/>
  </sheetData>
  <sheetProtection sort="0" autoFilter="0"/>
  <autoFilter ref="A4:E54" xr:uid="{00000000-0009-0000-0000-000001000000}">
    <filterColumn colId="3">
      <filters>
        <filter val="Active"/>
      </filters>
    </filterColumn>
    <sortState ref="A5:E54">
      <sortCondition ref="A4:A54"/>
    </sortState>
  </autoFilter>
  <mergeCells count="1">
    <mergeCell ref="A1:E2"/>
  </mergeCells>
  <phoneticPr fontId="36" type="noConversion"/>
  <hyperlinks>
    <hyperlink ref="A10" location="AccClrkCrt!A1" display="AccClrkCrt!A1" xr:uid="{00000000-0004-0000-0100-000000000000}"/>
    <hyperlink ref="A12" location="AdminAsstDip!A1" display="AdminAsstDip!A1" xr:uid="{00000000-0004-0000-0100-000001000000}"/>
    <hyperlink ref="A14" location="BusAdminDip!A1" display="BusAdminDip!A1" xr:uid="{00000000-0004-0000-0100-000002000000}"/>
    <hyperlink ref="A15" location="BusManCrt!A1" display="BusManCrt!A1" xr:uid="{00000000-0004-0000-0100-000003000000}"/>
    <hyperlink ref="A16" location="BusOffSkillsDip!A1" display="BusOffSkillsDip!A1" xr:uid="{00000000-0004-0000-0100-000004000000}"/>
    <hyperlink ref="A19" location="CalCtrCstRepDip!A1" display="CalCtrCstRepDip!A1" xr:uid="{00000000-0004-0000-0100-000005000000}"/>
    <hyperlink ref="A22" location="CmpSrvTechCrt!A1" display="CmpSrvTechCrt!A1" xr:uid="{00000000-0004-0000-0100-000006000000}"/>
    <hyperlink ref="A23" location="CmpSrvTechDip!A1" display="CmpSrvTechDip!A1" xr:uid="{00000000-0004-0000-0100-000007000000}"/>
    <hyperlink ref="A24" location="CmpSftSupDip!A1" display="CmpSftSupDip!A1" xr:uid="{00000000-0004-0000-0100-000008000000}"/>
    <hyperlink ref="A9" location="AccBkCrt!A1" display="ACCOUNTING BOOKKEEPER CERTIFICATE" xr:uid="{00000000-0004-0000-0100-000009000000}"/>
    <hyperlink ref="A25" location="CmpOffProCrt!A1" display="CmpOffProCrt!A1" xr:uid="{00000000-0004-0000-0100-00000A000000}"/>
    <hyperlink ref="A26" location="ConEvtPlnDip!A1" display="ConEvtPlnDip!A1" xr:uid="{00000000-0004-0000-0100-00000B000000}"/>
    <hyperlink ref="A27" location="CusSrvRepCrt!A1" display="CUSTOMER SERVICE REPRESENTATIVE CERTIFICATE" xr:uid="{00000000-0004-0000-0100-00000C000000}"/>
    <hyperlink ref="A29" location="EntBusAppDip!A1" display="EntBusAppDip!A1" xr:uid="{00000000-0004-0000-0100-00000D000000}"/>
    <hyperlink ref="A30" location="ExecAssDip!A1" display="ExecAssDip!A1" xr:uid="{00000000-0004-0000-0100-00000E000000}"/>
    <hyperlink ref="A44" location="OffClkCrt!A1" display="OFFICE CLERK CERTIFICATE" xr:uid="{00000000-0004-0000-0100-00000F000000}"/>
    <hyperlink ref="A32" location="HRAdmCrt!A1" display="HRAdmCrt!A1" xr:uid="{00000000-0004-0000-0100-000010000000}"/>
    <hyperlink ref="A33" location="MrkAdmAssCrt!A1" display="MrkAdmAssCrt!A1" xr:uid="{00000000-0004-0000-0100-000011000000}"/>
    <hyperlink ref="A34" location="MrkCordDip!A1" display="MrkCordDip!A1" xr:uid="{00000000-0004-0000-0100-000012000000}"/>
    <hyperlink ref="A35" location="MedAdmAssCrt!A1" display="MedAdmAssCrt!A1" xr:uid="{00000000-0004-0000-0100-000013000000}"/>
    <hyperlink ref="A36" location="MOADip!A1" display="MOADip!A1" xr:uid="{00000000-0004-0000-0100-000014000000}"/>
    <hyperlink ref="A38" location="MOFDACrt!A1" display="MEDICAL OFFICE FRONT DESK ASSISTANT CERTIFICATE" xr:uid="{00000000-0004-0000-0100-000015000000}"/>
    <hyperlink ref="A39" location="MCSASrvCrt!A1" display="MICROSOFT CERTIFIED SOLUTIONS ASSOCIATE: SERVER CERT." xr:uid="{00000000-0004-0000-0100-000016000000}"/>
    <hyperlink ref="A40" location="MCSAWinCrt!A1" display="MICROSOFT CERTIFIED SOLUTIONS ASSOCIATE: WINDOWS" xr:uid="{00000000-0004-0000-0100-000017000000}"/>
    <hyperlink ref="A41" location="NetAdminDip!A1" display="NETWORK ADMINISTRATOR DIPLOMA (SERVER 2016)" xr:uid="{00000000-0004-0000-0100-000018000000}"/>
    <hyperlink ref="A42" location="OffAdmAssCrt!A1" display="OffAdmAssCrt!A1" xr:uid="{00000000-0004-0000-0100-000019000000}"/>
    <hyperlink ref="A43" location="OffAdminDip!A1" display="OffAdminDip!A1" xr:uid="{00000000-0004-0000-0100-00001A000000}"/>
    <hyperlink ref="A45" location="PayAdmCrt!A1" display="PayAdmCrt!A1" xr:uid="{00000000-0004-0000-0100-00001B000000}"/>
    <hyperlink ref="A46" location="PayClkCrt!A1" display="PAYROLL CLERK CERTIFICATE" xr:uid="{00000000-0004-0000-0100-00001C000000}"/>
    <hyperlink ref="A8" location="AccPayAdmDip!A1" display="ACCOUNTING AND PAYROLL ADMINISTRATOR DIPLOMA" xr:uid="{00000000-0004-0000-0100-00001D000000}"/>
    <hyperlink ref="A47" location="PCSupSpecDip!A1" display="PCSupSpecDip!A1" xr:uid="{00000000-0004-0000-0100-00001E000000}"/>
    <hyperlink ref="A48" location="PrjAdminDip!A1" display="PrjAdminDip!A1" xr:uid="{00000000-0004-0000-0100-00001F000000}"/>
    <hyperlink ref="A49" location="PSACrt!A1" display="PSACrt!A1" xr:uid="{00000000-0004-0000-0100-000020000000}"/>
    <hyperlink ref="A50" location="SalesAscCrt!A1" display="SalesAscCrt!A1" xr:uid="{00000000-0004-0000-0100-000021000000}"/>
    <hyperlink ref="A51" location="SalesProfDip!A1" display="SalesProfDip!A1" xr:uid="{00000000-0004-0000-0100-000022000000}"/>
    <hyperlink ref="A17" location="BusRecCrt!A1" display="BUSINESS RECEPTIONIST CERTIFICATE" xr:uid="{00000000-0004-0000-0100-000023000000}"/>
    <hyperlink ref="A53" location="WebDesDip!A1" display="WebDesDip!A1" xr:uid="{00000000-0004-0000-0100-000024000000}"/>
    <hyperlink ref="A11" location="AddWrkCrt!A1" display="AddWrkCrt!A1" xr:uid="{00000000-0004-0000-0100-000025000000}"/>
    <hyperlink ref="A21" location="ComSrvWrkDip!A1" display="ComSrvWrkDip!A1" xr:uid="{00000000-0004-0000-0100-000026000000}"/>
    <hyperlink ref="A7" location="AccBusTechDip!A1" display="AccBusTechDip!A1" xr:uid="{00000000-0004-0000-0100-000027000000}"/>
    <hyperlink ref="A6" location="AccAdminDip!A1" display="AccAdminDip!A1" xr:uid="{00000000-0004-0000-0100-000028000000}"/>
    <hyperlink ref="A5" location="'A+N+MCPCrt'!A1" display="'A+N+MCPCrt'!A1" xr:uid="{00000000-0004-0000-0100-000029000000}"/>
    <hyperlink ref="A20" location="CsAwWrkDip!A1" display="COMMUNITY SERVICE WORKER AND ADDCTION WORKER DIPLOMA" xr:uid="{00000000-0004-0000-0100-00002A000000}"/>
    <hyperlink ref="A13" location="BusAdminCoop!A1" display="BUSINESS ADMINISTRATION CO-OP DIPLOMA" xr:uid="{00000000-0004-0000-0100-00002B000000}"/>
    <hyperlink ref="A18" location="BusSrvEssCoop!A1" display="BUSINESS SERVICE ESSENTIALS CO-OP DIPLOMA" xr:uid="{00000000-0004-0000-0100-00002C000000}"/>
    <hyperlink ref="A28" location="ESLCourses!A1" display="ENGLISH AS SECOND LANGUAGE" xr:uid="{00000000-0004-0000-0100-00002D000000}"/>
    <hyperlink ref="A31" location="GrphDesDip!A1" display="GRAPHIC DESIGNER DIPLOMA" xr:uid="{00000000-0004-0000-0100-00002E000000}"/>
    <hyperlink ref="A37" location="MOADipHUC!A1" display="MOADipHUC!A1" xr:uid="{00000000-0004-0000-0100-00002F000000}"/>
    <hyperlink ref="A52" location="SoftWebDevDip!A1" display="SOFTWARE AND WEB DEVELOPER DIPLOMA" xr:uid="{3E28696B-8816-492D-B99A-103AB7C6A80D}"/>
    <hyperlink ref="A54" location="WebDevDip!A1" display="WEB DEVELOPER DIPLOMA" xr:uid="{7AFE9709-2D81-49D8-B736-33E1175398E8}"/>
  </hyperlinks>
  <pageMargins left="0.7" right="0.7" top="0.75" bottom="0.75" header="0.3" footer="0.3"/>
  <pageSetup scale="57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2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127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129</v>
      </c>
      <c r="E4" s="299"/>
      <c r="F4" s="299"/>
      <c r="G4" s="92" t="s">
        <v>507</v>
      </c>
      <c r="H4" s="100"/>
      <c r="I4" s="84" t="s">
        <v>7</v>
      </c>
      <c r="P4" s="84"/>
      <c r="Q4" s="84"/>
    </row>
    <row r="5" spans="1:17">
      <c r="A5" s="90" t="s">
        <v>665</v>
      </c>
      <c r="B5" s="90"/>
      <c r="C5" s="90"/>
      <c r="D5" s="94" t="s">
        <v>8</v>
      </c>
      <c r="E5" s="90"/>
      <c r="F5" s="137" t="s">
        <v>104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 t="s">
        <v>103</v>
      </c>
      <c r="E6" s="99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30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03"/>
      <c r="C7" s="104"/>
      <c r="D7" s="94" t="s">
        <v>382</v>
      </c>
      <c r="E7" s="99"/>
      <c r="F7" s="84"/>
      <c r="G7" s="84" t="str">
        <f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30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03"/>
      <c r="C8" s="104" t="s">
        <v>782</v>
      </c>
      <c r="D8" s="94"/>
      <c r="E8" s="99" t="str">
        <f>IF($C8&lt;&gt;0,VLOOKUP($C8,'[1]Course Table'!$A$1:$G$330,2,TRUE),"")</f>
        <v xml:space="preserve">CompTIA A+ Certification: 220-1101                                  </v>
      </c>
      <c r="F8" s="84"/>
      <c r="G8" s="84">
        <f t="shared" ref="G8:G40" si="1">I8</f>
        <v>100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1301</v>
      </c>
      <c r="I8" s="84">
        <f>IF($C8&lt;&gt;"",VLOOKUP($C8,'[1]Course Table'!$A$1:$G$330,5,FALSE),"")</f>
        <v>100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5</v>
      </c>
      <c r="M8" s="84">
        <f>COUNTIF($J$6:$J8,$J8)</f>
        <v>1</v>
      </c>
      <c r="N8" s="84">
        <f>IF($C8&lt;&gt;"",VLOOKUP($C8,'[1]Course Table'!$A$1:$I$330,8,FALSE),"")</f>
        <v>11</v>
      </c>
      <c r="O8" s="84">
        <f>IF($C8&lt;&gt;"",VLOOKUP($C8,'[1]Course Table'!$A$1:$I$330,9,FALSE),"")</f>
        <v>5</v>
      </c>
      <c r="P8" s="84"/>
      <c r="Q8" s="84"/>
    </row>
    <row r="9" spans="1:17">
      <c r="A9" s="79" t="s">
        <v>0</v>
      </c>
      <c r="B9" s="103"/>
      <c r="C9" s="105" t="s">
        <v>783</v>
      </c>
      <c r="D9" s="94"/>
      <c r="E9" s="99" t="str">
        <f>IF($C9&lt;&gt;0,VLOOKUP($C9,'[1]Course Table'!$A$1:$G$330,2,TRUE),"")</f>
        <v>CompTIA A+ Certification: 220-1102</v>
      </c>
      <c r="F9" s="84"/>
      <c r="G9" s="84">
        <f t="shared" si="1"/>
        <v>100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1301</v>
      </c>
      <c r="I9" s="84">
        <f>IF($C9&lt;&gt;"",VLOOKUP($C9,'[1]Course Table'!$A$1:$G$330,5,FALSE),"")</f>
        <v>100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5</v>
      </c>
      <c r="M9" s="84">
        <f>COUNTIF($J$6:$J9,$J9)</f>
        <v>2</v>
      </c>
      <c r="N9" s="84">
        <f>IF($C9&lt;&gt;"",VLOOKUP($C9,'[1]Course Table'!$A$1:$I$330,8,FALSE),"")</f>
        <v>11</v>
      </c>
      <c r="O9" s="84">
        <f>IF($C9&lt;&gt;"",VLOOKUP($C9,'[1]Course Table'!$A$1:$I$330,9,FALSE),"")</f>
        <v>5</v>
      </c>
      <c r="P9" s="84"/>
      <c r="Q9" s="84"/>
    </row>
    <row r="10" spans="1:17">
      <c r="A10" s="79" t="s">
        <v>0</v>
      </c>
      <c r="B10" s="103"/>
      <c r="C10" s="105"/>
      <c r="D10" s="94" t="s">
        <v>146</v>
      </c>
      <c r="E10" s="99" t="str">
        <f>IF($C10&lt;&gt;0,VLOOKUP($C10,'[1]Course Table'!$A$1:$G$330,2,TRUE),"")</f>
        <v/>
      </c>
      <c r="F10" s="84"/>
      <c r="G10" s="84" t="str">
        <f t="shared" si="1"/>
        <v/>
      </c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 t="str">
        <f>IF($C10&lt;&gt;"",VLOOKUP($C10,'[1]Course Table'!$A$1:$G$330,5,FALSE),"")</f>
        <v/>
      </c>
      <c r="J10" s="101" t="str">
        <f>IF(AND($C10&lt;&gt;"",A10&lt;&gt;"E"),VLOOKUP($C10,'[1]Course Table'!$A$1:$G$330,6,FALSE),"")</f>
        <v/>
      </c>
      <c r="K10" s="101" t="str">
        <f>IF($C10&lt;&gt;"",VLOOKUP($C10,'[1]Course Table'!$A$1:$G$330,7,FALSE),"")</f>
        <v/>
      </c>
      <c r="L10" s="84">
        <f t="shared" si="0"/>
        <v>30</v>
      </c>
      <c r="M10" s="84">
        <f>COUNTIF($J$6:$J10,$J10)</f>
        <v>3</v>
      </c>
      <c r="N10" s="84" t="str">
        <f>IF($C10&lt;&gt;"",VLOOKUP($C10,'[1]Course Table'!$A$1:$I$330,8,FALSE),"")</f>
        <v/>
      </c>
      <c r="O10" s="84" t="str">
        <f>IF($C10&lt;&gt;"",VLOOKUP($C10,'[1]Course Table'!$A$1:$I$330,9,FALSE),"")</f>
        <v/>
      </c>
      <c r="P10" s="84"/>
      <c r="Q10" s="84"/>
    </row>
    <row r="11" spans="1:17">
      <c r="A11" s="79" t="s">
        <v>0</v>
      </c>
      <c r="B11" s="103"/>
      <c r="C11" s="105" t="s">
        <v>781</v>
      </c>
      <c r="D11" s="84"/>
      <c r="E11" s="99" t="str">
        <f>IF($C11&lt;&gt;0,VLOOKUP($C11,'[1]Course Table'!$A$1:$G$330,2,TRUE),"")</f>
        <v>CompTIA Network+</v>
      </c>
      <c r="F11" s="84"/>
      <c r="G11" s="84">
        <f t="shared" si="1"/>
        <v>60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995</v>
      </c>
      <c r="I11" s="84">
        <f>IF($C11&lt;&gt;"",VLOOKUP($C11,'[1]Course Table'!$A$1:$G$330,5,FALSE),"")</f>
        <v>60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5</v>
      </c>
      <c r="M11" s="84">
        <f>COUNTIF($J$6:$J11,$J11)</f>
        <v>3</v>
      </c>
      <c r="N11" s="84">
        <f>IF($C11&lt;&gt;"",VLOOKUP($C11,'[1]Course Table'!$A$1:$I$330,8,FALSE),"")</f>
        <v>11</v>
      </c>
      <c r="O11" s="84">
        <f>IF($C11&lt;&gt;"",VLOOKUP($C11,'[1]Course Table'!$A$1:$I$330,9,FALSE),"")</f>
        <v>3</v>
      </c>
      <c r="P11" s="84"/>
      <c r="Q11" s="84"/>
    </row>
    <row r="12" spans="1:17">
      <c r="A12" s="79"/>
      <c r="B12" s="103"/>
      <c r="C12" s="105" t="s">
        <v>772</v>
      </c>
      <c r="D12" s="84"/>
      <c r="E12" s="99" t="str">
        <f>IF($C12&lt;&gt;0,VLOOKUP($C12,'[1]Course Table'!$A$1:$G$330,2,TRUE),"")</f>
        <v>CompTIA Security+</v>
      </c>
      <c r="F12" s="84"/>
      <c r="G12" s="84">
        <f t="shared" si="1"/>
        <v>100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1600</v>
      </c>
      <c r="I12" s="84">
        <f>IF($C12&lt;&gt;"",VLOOKUP($C12,'[1]Course Table'!$A$1:$G$330,5,FALSE),"")</f>
        <v>100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5</v>
      </c>
      <c r="M12" s="84">
        <f>COUNTIF($J$6:$J12,$J12)</f>
        <v>4</v>
      </c>
      <c r="N12" s="84">
        <f>IF($C12&lt;&gt;"",VLOOKUP($C12,'[1]Course Table'!$A$1:$I$330,8,FALSE),"")</f>
        <v>11</v>
      </c>
      <c r="O12" s="84">
        <f>IF($C12&lt;&gt;"",VLOOKUP($C12,'[1]Course Table'!$A$1:$I$330,9,FALSE),"")</f>
        <v>5</v>
      </c>
      <c r="P12" s="84"/>
      <c r="Q12" s="84"/>
    </row>
    <row r="13" spans="1:17">
      <c r="A13" s="79"/>
      <c r="B13" s="103"/>
      <c r="C13" s="105"/>
      <c r="D13" s="84"/>
      <c r="E13" s="99" t="str">
        <f>IF($C13&lt;&gt;0,VLOOKUP($C13,'[1]Course Table'!$A$1:$G$330,2,TRUE),"")</f>
        <v/>
      </c>
      <c r="F13" s="84"/>
      <c r="G13" s="84" t="str">
        <f t="shared" si="1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0"/>
        <v>30</v>
      </c>
      <c r="M13" s="84">
        <f>COUNTIF($J$6:$J13,$J13)</f>
        <v>4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79"/>
      <c r="B14" s="103"/>
      <c r="C14" s="105" t="s">
        <v>438</v>
      </c>
      <c r="D14" s="84"/>
      <c r="E14" s="99" t="str">
        <f>IF($C14&lt;&gt;0,VLOOKUP($C14,'[1]Course Table'!$A$1:$G$330,2,TRUE),"")</f>
        <v>Study/Review - Comp Service Tech Cert-BC</v>
      </c>
      <c r="F14" s="84"/>
      <c r="G14" s="84">
        <f t="shared" si="1"/>
        <v>113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625</v>
      </c>
      <c r="I14" s="84">
        <f>IF($C14&lt;&gt;"",VLOOKUP($C14,'[1]Course Table'!$A$1:$G$330,5,FALSE),"")</f>
        <v>113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5</v>
      </c>
      <c r="M14" s="84">
        <f>COUNTIF($J$6:$J14,$J14)</f>
        <v>5</v>
      </c>
      <c r="N14" s="84">
        <f>IF($C14&lt;&gt;"",VLOOKUP($C14,'[1]Course Table'!$A$1:$I$330,8,FALSE),"")</f>
        <v>99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30</v>
      </c>
      <c r="M15" s="84">
        <f>COUNTIF($J$6:$J15,$J15)</f>
        <v>5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/>
      <c r="D16" s="84"/>
      <c r="E16" s="99" t="str">
        <f>IF($C16&lt;&gt;0,VLOOKUP($C16,'[1]Course Table'!$A$1:$G$330,2,TRUE),"")</f>
        <v/>
      </c>
      <c r="F16" s="84"/>
      <c r="G16" s="84" t="str">
        <f t="shared" si="1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0"/>
        <v>30</v>
      </c>
      <c r="M16" s="84">
        <f>COUNTIF($J$6:$J16,$J16)</f>
        <v>6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1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0"/>
        <v>30</v>
      </c>
      <c r="M17" s="84">
        <f>COUNTIF($J$6:$J17,$J17)</f>
        <v>7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03"/>
      <c r="C18" s="105"/>
      <c r="D18" s="84"/>
      <c r="E18" s="99" t="str">
        <f>IF($C18&lt;&gt;0,VLOOKUP($C18,'[1]Course Table'!$A$1:$G$330,2,TRUE),"")</f>
        <v/>
      </c>
      <c r="F18" s="84"/>
      <c r="G18" s="84" t="str">
        <f t="shared" si="1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0"/>
        <v>30</v>
      </c>
      <c r="M18" s="84">
        <f>COUNTIF($J$6:$J18,$J18)</f>
        <v>8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1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0"/>
        <v>30</v>
      </c>
      <c r="M19" s="84">
        <f>COUNTIF($J$6:$J19,$J19)</f>
        <v>9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1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0"/>
        <v>30</v>
      </c>
      <c r="M20" s="84">
        <f>COUNTIF($J$6:$J20,$J20)</f>
        <v>10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30</v>
      </c>
      <c r="M21" s="84">
        <f>COUNTIF($J$6:$J21,$J21)</f>
        <v>11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30</v>
      </c>
      <c r="M22" s="84">
        <f>COUNTIF($J$6:$J22,$J22)</f>
        <v>12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30</v>
      </c>
      <c r="M23" s="84">
        <f>COUNTIF($J$6:$J23,$J23)</f>
        <v>13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30</v>
      </c>
      <c r="M24" s="84">
        <f>COUNTIF($J$6:$J24,$J24)</f>
        <v>14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99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30</v>
      </c>
      <c r="M25" s="84">
        <f>COUNTIF($J$6:$J25,$J25)</f>
        <v>15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30</v>
      </c>
      <c r="M26" s="84">
        <f>COUNTIF($J$6:$J26,$J26)</f>
        <v>16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30</v>
      </c>
      <c r="M27" s="84">
        <f>COUNTIF($J$6:$J27,$J27)</f>
        <v>17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30</v>
      </c>
      <c r="M28" s="84">
        <f>COUNTIF($J$6:$J28,$J28)</f>
        <v>18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30</v>
      </c>
      <c r="M29" s="84">
        <f>COUNTIF($J$6:$J29,$J29)</f>
        <v>19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30</v>
      </c>
      <c r="M30" s="84">
        <f>COUNTIF($J$6:$J30,$J30)</f>
        <v>20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30</v>
      </c>
      <c r="M31" s="84">
        <f>COUNTIF($J$6:$J31,$J31)</f>
        <v>21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30</v>
      </c>
      <c r="M32" s="84">
        <f>COUNTIF($J$6:$J32,$J32)</f>
        <v>22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30</v>
      </c>
      <c r="M33" s="84">
        <f>COUNTIF($J$6:$J33,$J33)</f>
        <v>23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30</v>
      </c>
      <c r="M34" s="84">
        <f>COUNTIF($J$6:$J34,$J34)</f>
        <v>24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30</v>
      </c>
      <c r="M35" s="84">
        <f>COUNTIF($J$6:$J35,$J35)</f>
        <v>25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30</v>
      </c>
      <c r="M36" s="84">
        <f>COUNTIF($J$6:$J36,$J36)</f>
        <v>26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30</v>
      </c>
      <c r="M37" s="84">
        <f>COUNTIF($J$6:$J37,$J37)</f>
        <v>27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30</v>
      </c>
      <c r="M38" s="84">
        <f>COUNTIF($J$6:$J38,$J38)</f>
        <v>28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30</v>
      </c>
      <c r="M39" s="84">
        <f>COUNTIF($J$6:$J39,$J39)</f>
        <v>29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30</v>
      </c>
      <c r="M40" s="84">
        <f>COUNTIF($J$6:$J40,$J40)</f>
        <v>30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5822</v>
      </c>
      <c r="I41" s="115">
        <f>SUM(I6:I40)</f>
        <v>473</v>
      </c>
    </row>
    <row r="42" spans="1:18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- 360          Exam &amp; Review Hours - 113          Total Course Hours - 473</v>
      </c>
      <c r="E42" s="301"/>
      <c r="F42" s="301"/>
      <c r="G42" s="301"/>
      <c r="H42" s="117">
        <f>ROUNDUP(H41/(I41+C43),2)</f>
        <v>12.31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Hrs/Week:5.5 Months (23 Weeks); at 25 Hrs/Week:4.4 Months (19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113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$6176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20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74803149606299202" right="0.55118110236220497" top="0.6" bottom="0.35433070866141703" header="0.6" footer="0"/>
  <pageSetup orientation="portrait" horizontalDpi="360" verticalDpi="36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126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106</v>
      </c>
      <c r="E4" s="299"/>
      <c r="F4" s="299"/>
      <c r="G4" s="92" t="s">
        <v>507</v>
      </c>
      <c r="H4" s="100"/>
      <c r="I4" s="84" t="s">
        <v>7</v>
      </c>
      <c r="P4" s="84"/>
      <c r="Q4" s="84"/>
    </row>
    <row r="5" spans="1:17">
      <c r="A5" s="90" t="s">
        <v>666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16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 t="s">
        <v>102</v>
      </c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16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 t="s">
        <v>388</v>
      </c>
      <c r="D8" s="84"/>
      <c r="E8" s="140" t="str">
        <f>IF($C8&lt;&gt;0,VLOOKUP($C8,'[1]Course Table'!$A$1:$G$330,2,TRUE),"")</f>
        <v>Introduction to Keyboarding</v>
      </c>
      <c r="F8" s="84"/>
      <c r="G8" s="84">
        <f t="shared" si="1"/>
        <v>19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349</v>
      </c>
      <c r="I8" s="84">
        <f>IF($C8&lt;&gt;"",VLOOKUP($C8,'[1]Course Table'!$A$1:$G$330,5,FALSE),"")</f>
        <v>19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19</v>
      </c>
      <c r="M8" s="84">
        <f>COUNTIF($J$6:$J8,$J8)</f>
        <v>1</v>
      </c>
      <c r="N8" s="84">
        <f>IF($C8&lt;&gt;"",VLOOKUP($C8,'[1]Course Table'!$A$1:$I$330,8,FALSE),"")</f>
        <v>1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390</v>
      </c>
      <c r="D9" s="84"/>
      <c r="E9" s="140" t="str">
        <f>IF($C9&lt;&gt;0,VLOOKUP($C9,'[1]Course Table'!$A$1:$G$330,2,TRUE),"")</f>
        <v>Keyboard Skill Building Level 1 (25 WPM)</v>
      </c>
      <c r="F9" s="84"/>
      <c r="G9" s="84">
        <f t="shared" si="1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19</v>
      </c>
      <c r="M9" s="84">
        <f>COUNTIF($J$6:$J9,$J9)</f>
        <v>2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19</v>
      </c>
      <c r="M10" s="84">
        <f>COUNTIF($J$6:$J10,$J10)</f>
        <v>3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1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19</v>
      </c>
      <c r="M11" s="84">
        <f>COUNTIF($J$6:$J11,$J11)</f>
        <v>4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467</v>
      </c>
      <c r="D12" s="84"/>
      <c r="E12" s="140" t="str">
        <f>IF($C12&lt;&gt;0,VLOOKUP($C12,'[1]Course Table'!$A$1:$G$330,2,TRUE),"")</f>
        <v>Windows 10 Level 2</v>
      </c>
      <c r="F12" s="84"/>
      <c r="G12" s="84">
        <f t="shared" si="1"/>
        <v>20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19</v>
      </c>
      <c r="M12" s="84">
        <f>COUNTIF($J$6:$J12,$J12)</f>
        <v>5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757</v>
      </c>
      <c r="D13" s="84"/>
      <c r="E13" s="140" t="str">
        <f>IF($C13&lt;&gt;0,VLOOKUP($C13,'[1]Course Table'!$A$1:$G$330,2,TRUE),"")</f>
        <v>MS Word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19</v>
      </c>
      <c r="M13" s="84">
        <f>COUNTIF($J$6:$J13,$J13)</f>
        <v>6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19</v>
      </c>
      <c r="M14" s="84">
        <f>COUNTIF($J$6:$J14,$J14)</f>
        <v>7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19</v>
      </c>
      <c r="M15" s="84">
        <f>COUNTIF($J$6:$J15,$J15)</f>
        <v>8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462</v>
      </c>
      <c r="D16" s="84"/>
      <c r="E16" s="140" t="str">
        <f>IF($C16&lt;&gt;0,VLOOKUP($C16,'[1]Course Table'!$A$1:$G$330,2,TRUE),"")</f>
        <v>Internet Fundamentals</v>
      </c>
      <c r="F16" s="84"/>
      <c r="G16" s="84">
        <f t="shared" si="1"/>
        <v>22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19</v>
      </c>
      <c r="M16" s="84">
        <f>COUNTIF($J$6:$J16,$J16)</f>
        <v>9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1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19</v>
      </c>
      <c r="M17" s="84">
        <f>COUNTIF($J$6:$J17,$J17)</f>
        <v>10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19</v>
      </c>
      <c r="M18" s="84">
        <f>COUNTIF($J$6:$J18,$J18)</f>
        <v>11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226</v>
      </c>
      <c r="D19" s="84"/>
      <c r="E19" s="140" t="str">
        <f>IF($C19&lt;&gt;0,VLOOKUP($C19,'[1]Course Table'!$A$1:$G$330,2,TRUE),"")</f>
        <v>Workplace Success/Intrapreneurship</v>
      </c>
      <c r="F19" s="84"/>
      <c r="G19" s="84">
        <f t="shared" si="1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688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19</v>
      </c>
      <c r="M19" s="84">
        <f>COUNTIF($J$6:$J19,$J19)</f>
        <v>12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181</v>
      </c>
      <c r="D20" s="84"/>
      <c r="E20" s="140" t="str">
        <f>IF($C20&lt;&gt;0,VLOOKUP($C20,'[1]Course Table'!$A$1:$G$330,2,TRUE),"")</f>
        <v>Grammar Essentials for Business Writing</v>
      </c>
      <c r="F20" s="84"/>
      <c r="G20" s="84">
        <f t="shared" si="1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19</v>
      </c>
      <c r="M20" s="84">
        <f>COUNTIF($J$6:$J20,$J20)</f>
        <v>13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1</v>
      </c>
      <c r="B21" s="141"/>
      <c r="C21" s="104" t="s">
        <v>249</v>
      </c>
      <c r="D21" s="99"/>
      <c r="E21" s="140" t="str">
        <f>IF($C21&lt;&gt;0,VLOOKUP($C21,'[1]Course Table'!$A$1:$G$330,2,TRUE),"")</f>
        <v>Job Search/Resume Writing</v>
      </c>
      <c r="F21" s="84"/>
      <c r="G21" s="84">
        <f t="shared" si="1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19</v>
      </c>
      <c r="M21" s="84">
        <f>COUNTIF($J$6:$J21,$J21)</f>
        <v>14</v>
      </c>
      <c r="N21" s="84">
        <f>IF($C21&lt;&gt;"",VLOOKUP($C21,'[1]Course Table'!$A$1:$I$330,8,FALSE),"")</f>
        <v>15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/>
      <c r="D22" s="99" t="s">
        <v>103</v>
      </c>
      <c r="E22" s="140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16</v>
      </c>
      <c r="M22" s="84">
        <f>COUNTIF($J$6:$J22,$J22)</f>
        <v>3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 t="s">
        <v>782</v>
      </c>
      <c r="D23" s="99"/>
      <c r="E23" s="140" t="str">
        <f>IF($C23&lt;&gt;0,VLOOKUP($C23,'[1]Course Table'!$A$1:$G$330,2,TRUE),"")</f>
        <v xml:space="preserve">CompTIA A+ Certification: 220-1101                                  </v>
      </c>
      <c r="F23" s="84"/>
      <c r="G23" s="84">
        <f t="shared" si="1"/>
        <v>100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1301</v>
      </c>
      <c r="I23" s="84">
        <f>IF($C23&lt;&gt;"",VLOOKUP($C23,'[1]Course Table'!$A$1:$G$330,5,FALSE),"")</f>
        <v>100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19</v>
      </c>
      <c r="M23" s="84">
        <f>COUNTIF($J$6:$J23,$J23)</f>
        <v>15</v>
      </c>
      <c r="N23" s="84">
        <f>IF($C23&lt;&gt;"",VLOOKUP($C23,'[1]Course Table'!$A$1:$I$330,8,FALSE),"")</f>
        <v>11</v>
      </c>
      <c r="O23" s="84">
        <f>IF($C23&lt;&gt;"",VLOOKUP($C23,'[1]Course Table'!$A$1:$I$330,9,FALSE),"")</f>
        <v>5</v>
      </c>
      <c r="P23" s="84"/>
      <c r="Q23" s="84"/>
    </row>
    <row r="24" spans="1:18">
      <c r="A24" s="79"/>
      <c r="B24" s="141"/>
      <c r="C24" s="105" t="s">
        <v>783</v>
      </c>
      <c r="E24" s="140" t="str">
        <f>IF($C24&lt;&gt;0,VLOOKUP($C24,'[1]Course Table'!$A$1:$G$330,2,TRUE),"")</f>
        <v>CompTIA A+ Certification: 220-1102</v>
      </c>
      <c r="F24" s="84"/>
      <c r="G24" s="84">
        <f t="shared" si="1"/>
        <v>100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1301</v>
      </c>
      <c r="I24" s="84">
        <f>IF($C24&lt;&gt;"",VLOOKUP($C24,'[1]Course Table'!$A$1:$G$330,5,FALSE),"")</f>
        <v>100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19</v>
      </c>
      <c r="M24" s="84">
        <f>COUNTIF($J$6:$J24,$J24)</f>
        <v>16</v>
      </c>
      <c r="N24" s="84">
        <f>IF($C24&lt;&gt;"",VLOOKUP($C24,'[1]Course Table'!$A$1:$I$330,8,FALSE),"")</f>
        <v>11</v>
      </c>
      <c r="O24" s="84">
        <f>IF($C24&lt;&gt;"",VLOOKUP($C24,'[1]Course Table'!$A$1:$I$330,9,FALSE),"")</f>
        <v>5</v>
      </c>
      <c r="P24" s="84"/>
      <c r="Q24" s="84"/>
    </row>
    <row r="25" spans="1:18">
      <c r="A25" s="79" t="s">
        <v>0</v>
      </c>
      <c r="B25" s="141"/>
      <c r="C25" s="105" t="s">
        <v>781</v>
      </c>
      <c r="D25" s="84"/>
      <c r="E25" s="140" t="str">
        <f>IF($C25&lt;&gt;0,VLOOKUP($C25,'[1]Course Table'!$A$1:$G$330,2,TRUE),"")</f>
        <v>CompTIA Network+</v>
      </c>
      <c r="F25" s="84"/>
      <c r="G25" s="84">
        <f t="shared" si="1"/>
        <v>60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995</v>
      </c>
      <c r="I25" s="84">
        <f>IF($C25&lt;&gt;"",VLOOKUP($C25,'[1]Course Table'!$A$1:$G$330,5,FALSE),"")</f>
        <v>60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19</v>
      </c>
      <c r="M25" s="84">
        <f>COUNTIF($J$6:$J25,$J25)</f>
        <v>17</v>
      </c>
      <c r="N25" s="84">
        <f>IF($C25&lt;&gt;"",VLOOKUP($C25,'[1]Course Table'!$A$1:$I$330,8,FALSE),"")</f>
        <v>11</v>
      </c>
      <c r="O25" s="84">
        <f>IF($C25&lt;&gt;"",VLOOKUP($C25,'[1]Course Table'!$A$1:$I$330,9,FALSE),"")</f>
        <v>3</v>
      </c>
      <c r="P25" s="84"/>
      <c r="Q25" s="84"/>
    </row>
    <row r="26" spans="1:18">
      <c r="A26" s="79" t="s">
        <v>0</v>
      </c>
      <c r="B26" s="141"/>
      <c r="C26" s="105" t="s">
        <v>772</v>
      </c>
      <c r="D26" s="84"/>
      <c r="E26" s="140" t="str">
        <f>IF($C26&lt;&gt;0,VLOOKUP($C26,'[1]Course Table'!$A$1:$G$330,2,TRUE),"")</f>
        <v>CompTIA Security+</v>
      </c>
      <c r="F26" s="84"/>
      <c r="G26" s="84">
        <f t="shared" si="1"/>
        <v>100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1600</v>
      </c>
      <c r="I26" s="84">
        <f>IF($C26&lt;&gt;"",VLOOKUP($C26,'[1]Course Table'!$A$1:$G$330,5,FALSE),"")</f>
        <v>100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19</v>
      </c>
      <c r="M26" s="84">
        <f>COUNTIF($J$6:$J26,$J26)</f>
        <v>18</v>
      </c>
      <c r="N26" s="84">
        <f>IF($C26&lt;&gt;"",VLOOKUP($C26,'[1]Course Table'!$A$1:$I$330,8,FALSE),"")</f>
        <v>11</v>
      </c>
      <c r="O26" s="84">
        <f>IF($C26&lt;&gt;"",VLOOKUP($C26,'[1]Course Table'!$A$1:$I$330,9,FALSE),"")</f>
        <v>5</v>
      </c>
      <c r="P26" s="84"/>
      <c r="Q26" s="84"/>
    </row>
    <row r="27" spans="1:18">
      <c r="A27" s="79" t="s">
        <v>0</v>
      </c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16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 t="s">
        <v>414</v>
      </c>
      <c r="D28" s="84"/>
      <c r="E28" s="140" t="str">
        <f>IF($C28&lt;&gt;0,VLOOKUP($C28,'[1]Course Table'!$A$1:$G$330,2,TRUE),"")</f>
        <v>Study/Review - Computer Service Tech - BC</v>
      </c>
      <c r="F28" s="84"/>
      <c r="G28" s="84">
        <f t="shared" si="1"/>
        <v>149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625</v>
      </c>
      <c r="I28" s="84">
        <f>IF($C28&lt;&gt;"",VLOOKUP($C28,'[1]Course Table'!$A$1:$G$330,5,FALSE),"")</f>
        <v>149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19</v>
      </c>
      <c r="M28" s="84">
        <f>COUNTIF($J$6:$J28,$J28)</f>
        <v>19</v>
      </c>
      <c r="N28" s="84">
        <f>IF($C28&lt;&gt;"",VLOOKUP($C28,'[1]Course Table'!$A$1:$I$330,8,FALSE),"")</f>
        <v>99</v>
      </c>
      <c r="O28" s="84">
        <f>IF($C28&lt;&gt;"",VLOOKUP($C28,'[1]Course Table'!$A$1:$I$330,9,FALSE),"")</f>
        <v>7.5</v>
      </c>
      <c r="P28" s="84"/>
      <c r="Q28" s="84"/>
    </row>
    <row r="29" spans="1:18">
      <c r="A29" s="79" t="s">
        <v>0</v>
      </c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16</v>
      </c>
      <c r="M29" s="84">
        <f>COUNTIF($J$6:$J29,$J29)</f>
        <v>5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16</v>
      </c>
      <c r="M30" s="84">
        <f>COUNTIF($J$6:$J30,$J30)</f>
        <v>6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16</v>
      </c>
      <c r="M31" s="84">
        <f>COUNTIF($J$6:$J31,$J31)</f>
        <v>7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16</v>
      </c>
      <c r="M32" s="84">
        <f>COUNTIF($J$6:$J32,$J32)</f>
        <v>8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16</v>
      </c>
      <c r="M33" s="84">
        <f>COUNTIF($J$6:$J33,$J33)</f>
        <v>9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16</v>
      </c>
      <c r="M34" s="84">
        <f>COUNTIF($J$6:$J34,$J34)</f>
        <v>10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16</v>
      </c>
      <c r="M35" s="84">
        <f>COUNTIF($J$6:$J35,$J35)</f>
        <v>11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16</v>
      </c>
      <c r="M36" s="84">
        <f>COUNTIF($J$6:$J36,$J36)</f>
        <v>12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16</v>
      </c>
      <c r="M37" s="84">
        <f>COUNTIF($J$6:$J37,$J37)</f>
        <v>13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16</v>
      </c>
      <c r="M38" s="84">
        <f>COUNTIF($J$6:$J38,$J38)</f>
        <v>14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16</v>
      </c>
      <c r="M39" s="84">
        <f>COUNTIF($J$6:$J39,$J39)</f>
        <v>15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16</v>
      </c>
      <c r="M40" s="84">
        <f>COUNTIF($J$6:$J40,$J40)</f>
        <v>16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12167</v>
      </c>
      <c r="I41" s="115">
        <f>SUM(I6:I40)</f>
        <v>870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- 721          Exam &amp; Review Hours - 149          Total Course Hours - 870</v>
      </c>
      <c r="E42" s="301"/>
      <c r="F42" s="301"/>
      <c r="G42" s="301"/>
      <c r="H42" s="117">
        <f>ROUNDUP(H41/(I41+C43),2)</f>
        <v>13.99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Hrs/Week:10 Months (43 Weeks); at 25 Hrs/Week:8 Months (35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149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$12521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44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4.5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rintOptions horizontalCentered="1" verticalCentered="1"/>
  <pageMargins left="0.74803149606299202" right="0.55118110236220497" top="0.6" bottom="0.35433070866141703" header="0.118110236220472" footer="0"/>
  <pageSetup orientation="portrait" horizontalDpi="360" verticalDpi="36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2">
    <tabColor rgb="FFFFFF0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190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189</v>
      </c>
      <c r="E4" s="299"/>
      <c r="F4" s="299"/>
      <c r="G4" s="92" t="s">
        <v>508</v>
      </c>
      <c r="H4" s="100"/>
      <c r="I4" s="84" t="s">
        <v>7</v>
      </c>
      <c r="P4" s="84"/>
      <c r="Q4" s="84"/>
    </row>
    <row r="5" spans="1:17">
      <c r="A5" s="90" t="s">
        <v>209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16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16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16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16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467</v>
      </c>
      <c r="D10" s="84"/>
      <c r="E10" s="140" t="str">
        <f>IF($C10&lt;&gt;0,VLOOKUP($C10,'[1]Course Table'!$A$1:$G$330,2,TRUE),"")</f>
        <v>Windows 10 Level 2</v>
      </c>
      <c r="F10" s="84"/>
      <c r="G10" s="84">
        <f t="shared" si="0"/>
        <v>20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16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379</v>
      </c>
      <c r="D11" s="84"/>
      <c r="E11" s="140" t="str">
        <f>IF($C11&lt;&gt;0,VLOOKUP($C11,'[1]Course Table'!$A$1:$G$330,2,TRUE),"")</f>
        <v>Windows 10 Level 2</v>
      </c>
      <c r="F11" s="84"/>
      <c r="G11" s="84" t="e">
        <f t="shared" si="0"/>
        <v>#N/A</v>
      </c>
      <c r="H11" s="100" t="e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#N/A</v>
      </c>
      <c r="I11" s="84" t="e">
        <f>IF($C11&lt;&gt;"",VLOOKUP($C11,'[1]Course Table'!$A$1:$G$330,5,FALSE),"")</f>
        <v>#N/A</v>
      </c>
      <c r="J11" s="101" t="e">
        <f>IF(AND($C11&lt;&gt;"",A11&lt;&gt;"E"),VLOOKUP($C11,'[1]Course Table'!$A$1:$G$330,6,FALSE),"")</f>
        <v>#N/A</v>
      </c>
      <c r="K11" s="101" t="e">
        <f>IF($C11&lt;&gt;"",VLOOKUP($C11,'[1]Course Table'!$A$1:$G$330,7,FALSE),"")</f>
        <v>#N/A</v>
      </c>
      <c r="L11" s="84">
        <f t="shared" si="1"/>
        <v>14</v>
      </c>
      <c r="M11" s="84">
        <f>COUNTIF($J$6:$J11,$J11)</f>
        <v>1</v>
      </c>
      <c r="N11" s="84" t="e">
        <f>IF($C11&lt;&gt;"",VLOOKUP($C11,'[1]Course Table'!$A$1:$I$330,8,FALSE),"")</f>
        <v>#N/A</v>
      </c>
      <c r="O11" s="84" t="e">
        <f>IF($C11&lt;&gt;"",VLOOKUP($C11,'[1]Course Table'!$A$1:$I$330,9,FALSE),"")</f>
        <v>#N/A</v>
      </c>
      <c r="P11" s="84"/>
      <c r="Q11" s="84"/>
    </row>
    <row r="12" spans="1:17">
      <c r="A12" s="79" t="s">
        <v>0</v>
      </c>
      <c r="B12" s="141"/>
      <c r="C12" s="105" t="s">
        <v>380</v>
      </c>
      <c r="D12" s="84"/>
      <c r="E12" s="140" t="str">
        <f>IF($C12&lt;&gt;0,VLOOKUP($C12,'[1]Course Table'!$A$1:$G$330,2,TRUE),"")</f>
        <v>Windows 10 Level 2</v>
      </c>
      <c r="F12" s="84"/>
      <c r="G12" s="84" t="e">
        <f t="shared" si="0"/>
        <v>#N/A</v>
      </c>
      <c r="H12" s="100" t="e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#N/A</v>
      </c>
      <c r="I12" s="84" t="e">
        <f>IF($C12&lt;&gt;"",VLOOKUP($C12,'[1]Course Table'!$A$1:$G$330,5,FALSE),"")</f>
        <v>#N/A</v>
      </c>
      <c r="J12" s="101" t="e">
        <f>IF(AND($C12&lt;&gt;"",A12&lt;&gt;"E"),VLOOKUP($C12,'[1]Course Table'!$A$1:$G$330,6,FALSE),"")</f>
        <v>#N/A</v>
      </c>
      <c r="K12" s="101" t="e">
        <f>IF($C12&lt;&gt;"",VLOOKUP($C12,'[1]Course Table'!$A$1:$G$330,7,FALSE),"")</f>
        <v>#N/A</v>
      </c>
      <c r="L12" s="84">
        <f t="shared" si="1"/>
        <v>14</v>
      </c>
      <c r="M12" s="84">
        <f>COUNTIF($J$6:$J12,$J12)</f>
        <v>2</v>
      </c>
      <c r="N12" s="84" t="e">
        <f>IF($C12&lt;&gt;"",VLOOKUP($C12,'[1]Course Table'!$A$1:$I$330,8,FALSE),"")</f>
        <v>#N/A</v>
      </c>
      <c r="O12" s="84" t="e">
        <f>IF($C12&lt;&gt;"",VLOOKUP($C12,'[1]Course Table'!$A$1:$I$330,9,FALSE),"")</f>
        <v>#N/A</v>
      </c>
      <c r="P12" s="84"/>
      <c r="Q12" s="84"/>
    </row>
    <row r="13" spans="1:17">
      <c r="A13" s="79" t="s">
        <v>0</v>
      </c>
      <c r="B13" s="141"/>
      <c r="C13" s="105" t="s">
        <v>381</v>
      </c>
      <c r="D13" s="84"/>
      <c r="E13" s="140" t="str">
        <f>IF($C13&lt;&gt;0,VLOOKUP($C13,'[1]Course Table'!$A$1:$G$330,2,TRUE),"")</f>
        <v>Windows 10 Level 2</v>
      </c>
      <c r="F13" s="84"/>
      <c r="G13" s="84" t="e">
        <f t="shared" si="0"/>
        <v>#N/A</v>
      </c>
      <c r="H13" s="100" t="e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#N/A</v>
      </c>
      <c r="I13" s="84" t="e">
        <f>IF($C13&lt;&gt;"",VLOOKUP($C13,'[1]Course Table'!$A$1:$G$330,5,FALSE),"")</f>
        <v>#N/A</v>
      </c>
      <c r="J13" s="101" t="e">
        <f>IF(AND($C13&lt;&gt;"",A13&lt;&gt;"E"),VLOOKUP($C13,'[1]Course Table'!$A$1:$G$330,6,FALSE),"")</f>
        <v>#N/A</v>
      </c>
      <c r="K13" s="101" t="e">
        <f>IF($C13&lt;&gt;"",VLOOKUP($C13,'[1]Course Table'!$A$1:$G$330,7,FALSE),"")</f>
        <v>#N/A</v>
      </c>
      <c r="L13" s="84">
        <f t="shared" si="1"/>
        <v>14</v>
      </c>
      <c r="M13" s="84">
        <f>COUNTIF($J$6:$J13,$J13)</f>
        <v>3</v>
      </c>
      <c r="N13" s="84" t="e">
        <f>IF($C13&lt;&gt;"",VLOOKUP($C13,'[1]Course Table'!$A$1:$I$330,8,FALSE),"")</f>
        <v>#N/A</v>
      </c>
      <c r="O13" s="84" t="e">
        <f>IF($C13&lt;&gt;"",VLOOKUP($C13,'[1]Course Table'!$A$1:$I$330,9,FALSE),"")</f>
        <v>#N/A</v>
      </c>
      <c r="P13" s="84"/>
      <c r="Q13" s="84"/>
    </row>
    <row r="14" spans="1:17">
      <c r="A14" s="79" t="s">
        <v>0</v>
      </c>
      <c r="B14" s="141"/>
      <c r="C14" s="105" t="s">
        <v>370</v>
      </c>
      <c r="D14" s="84"/>
      <c r="E14" s="140" t="str">
        <f>IF($C14&lt;&gt;0,VLOOKUP($C14,'[1]Course Table'!$A$1:$G$330,2,TRUE),"")</f>
        <v>Employment Success Strategies</v>
      </c>
      <c r="F14" s="84"/>
      <c r="G14" s="84" t="e">
        <f t="shared" si="0"/>
        <v>#N/A</v>
      </c>
      <c r="H14" s="100" t="e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#N/A</v>
      </c>
      <c r="I14" s="84" t="e">
        <f>IF($C14&lt;&gt;"",VLOOKUP($C14,'[1]Course Table'!$A$1:$G$330,5,FALSE),"")</f>
        <v>#N/A</v>
      </c>
      <c r="J14" s="101" t="e">
        <f>IF(AND($C14&lt;&gt;"",A14&lt;&gt;"E"),VLOOKUP($C14,'[1]Course Table'!$A$1:$G$330,6,FALSE),"")</f>
        <v>#N/A</v>
      </c>
      <c r="K14" s="101" t="e">
        <f>IF($C14&lt;&gt;"",VLOOKUP($C14,'[1]Course Table'!$A$1:$G$330,7,FALSE),"")</f>
        <v>#N/A</v>
      </c>
      <c r="L14" s="84">
        <f t="shared" si="1"/>
        <v>14</v>
      </c>
      <c r="M14" s="84">
        <f>COUNTIF($J$6:$J14,$J14)</f>
        <v>4</v>
      </c>
      <c r="N14" s="84" t="e">
        <f>IF($C14&lt;&gt;"",VLOOKUP($C14,'[1]Course Table'!$A$1:$I$330,8,FALSE),"")</f>
        <v>#N/A</v>
      </c>
      <c r="O14" s="84" t="e">
        <f>IF($C14&lt;&gt;"",VLOOKUP($C14,'[1]Course Table'!$A$1:$I$330,9,FALSE),"")</f>
        <v>#N/A</v>
      </c>
      <c r="P14" s="84"/>
      <c r="Q14" s="84"/>
    </row>
    <row r="15" spans="1:17">
      <c r="A15" s="79" t="s">
        <v>0</v>
      </c>
      <c r="B15" s="141"/>
      <c r="C15" s="105" t="s">
        <v>371</v>
      </c>
      <c r="D15" s="84"/>
      <c r="E15" s="140" t="str">
        <f>IF($C15&lt;&gt;0,VLOOKUP($C15,'[1]Course Table'!$A$1:$G$330,2,TRUE),"")</f>
        <v>Employment Success Strategies</v>
      </c>
      <c r="F15" s="84"/>
      <c r="G15" s="84" t="e">
        <f t="shared" si="0"/>
        <v>#N/A</v>
      </c>
      <c r="H15" s="100" t="e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#N/A</v>
      </c>
      <c r="I15" s="84" t="e">
        <f>IF($C15&lt;&gt;"",VLOOKUP($C15,'[1]Course Table'!$A$1:$G$330,5,FALSE),"")</f>
        <v>#N/A</v>
      </c>
      <c r="J15" s="101" t="e">
        <f>IF(AND($C15&lt;&gt;"",A15&lt;&gt;"E"),VLOOKUP($C15,'[1]Course Table'!$A$1:$G$330,6,FALSE),"")</f>
        <v>#N/A</v>
      </c>
      <c r="K15" s="101" t="e">
        <f>IF($C15&lt;&gt;"",VLOOKUP($C15,'[1]Course Table'!$A$1:$G$330,7,FALSE),"")</f>
        <v>#N/A</v>
      </c>
      <c r="L15" s="84">
        <f t="shared" si="1"/>
        <v>14</v>
      </c>
      <c r="M15" s="84">
        <f>COUNTIF($J$6:$J15,$J15)</f>
        <v>5</v>
      </c>
      <c r="N15" s="84" t="e">
        <f>IF($C15&lt;&gt;"",VLOOKUP($C15,'[1]Course Table'!$A$1:$I$330,8,FALSE),"")</f>
        <v>#N/A</v>
      </c>
      <c r="O15" s="84" t="e">
        <f>IF($C15&lt;&gt;"",VLOOKUP($C15,'[1]Course Table'!$A$1:$I$330,9,FALSE),"")</f>
        <v>#N/A</v>
      </c>
      <c r="P15" s="84"/>
      <c r="Q15" s="84"/>
    </row>
    <row r="16" spans="1:17">
      <c r="A16" s="79" t="s">
        <v>0</v>
      </c>
      <c r="B16" s="141"/>
      <c r="C16" s="105" t="s">
        <v>372</v>
      </c>
      <c r="D16" s="84"/>
      <c r="E16" s="140" t="str">
        <f>IF($C16&lt;&gt;0,VLOOKUP($C16,'[1]Course Table'!$A$1:$G$330,2,TRUE),"")</f>
        <v>Employment Success Strategies</v>
      </c>
      <c r="F16" s="84"/>
      <c r="G16" s="84" t="e">
        <f t="shared" si="0"/>
        <v>#N/A</v>
      </c>
      <c r="H16" s="100" t="e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#N/A</v>
      </c>
      <c r="I16" s="84" t="e">
        <f>IF($C16&lt;&gt;"",VLOOKUP($C16,'[1]Course Table'!$A$1:$G$330,5,FALSE),"")</f>
        <v>#N/A</v>
      </c>
      <c r="J16" s="101" t="e">
        <f>IF(AND($C16&lt;&gt;"",A16&lt;&gt;"E"),VLOOKUP($C16,'[1]Course Table'!$A$1:$G$330,6,FALSE),"")</f>
        <v>#N/A</v>
      </c>
      <c r="K16" s="101" t="e">
        <f>IF($C16&lt;&gt;"",VLOOKUP($C16,'[1]Course Table'!$A$1:$G$330,7,FALSE),"")</f>
        <v>#N/A</v>
      </c>
      <c r="L16" s="84">
        <f t="shared" si="1"/>
        <v>14</v>
      </c>
      <c r="M16" s="84">
        <f>COUNTIF($J$6:$J16,$J16)</f>
        <v>6</v>
      </c>
      <c r="N16" s="84" t="e">
        <f>IF($C16&lt;&gt;"",VLOOKUP($C16,'[1]Course Table'!$A$1:$I$330,8,FALSE),"")</f>
        <v>#N/A</v>
      </c>
      <c r="O16" s="84" t="e">
        <f>IF($C16&lt;&gt;"",VLOOKUP($C16,'[1]Course Table'!$A$1:$I$330,9,FALSE),"")</f>
        <v>#N/A</v>
      </c>
      <c r="P16" s="84"/>
      <c r="Q16" s="84"/>
    </row>
    <row r="17" spans="1:18">
      <c r="A17" s="79" t="s">
        <v>0</v>
      </c>
      <c r="B17" s="141"/>
      <c r="C17" s="105" t="s">
        <v>368</v>
      </c>
      <c r="D17" s="84"/>
      <c r="E17" s="140" t="str">
        <f>IF($C17&lt;&gt;0,VLOOKUP($C17,'[1]Course Table'!$A$1:$G$330,2,TRUE),"")</f>
        <v>A+ Certification Exam (only 2 x single attempts)</v>
      </c>
      <c r="F17" s="84"/>
      <c r="G17" s="84" t="e">
        <f t="shared" si="0"/>
        <v>#N/A</v>
      </c>
      <c r="H17" s="100" t="e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#N/A</v>
      </c>
      <c r="I17" s="84" t="e">
        <f>IF($C17&lt;&gt;"",VLOOKUP($C17,'[1]Course Table'!$A$1:$G$330,5,FALSE),"")</f>
        <v>#N/A</v>
      </c>
      <c r="J17" s="101" t="e">
        <f>IF(AND($C17&lt;&gt;"",A17&lt;&gt;"E"),VLOOKUP($C17,'[1]Course Table'!$A$1:$G$330,6,FALSE),"")</f>
        <v>#N/A</v>
      </c>
      <c r="K17" s="101" t="e">
        <f>IF($C17&lt;&gt;"",VLOOKUP($C17,'[1]Course Table'!$A$1:$G$330,7,FALSE),"")</f>
        <v>#N/A</v>
      </c>
      <c r="L17" s="84">
        <f t="shared" si="1"/>
        <v>14</v>
      </c>
      <c r="M17" s="84">
        <f>COUNTIF($J$6:$J17,$J17)</f>
        <v>7</v>
      </c>
      <c r="N17" s="84" t="e">
        <f>IF($C17&lt;&gt;"",VLOOKUP($C17,'[1]Course Table'!$A$1:$I$330,8,FALSE),"")</f>
        <v>#N/A</v>
      </c>
      <c r="O17" s="84" t="e">
        <f>IF($C17&lt;&gt;"",VLOOKUP($C17,'[1]Course Table'!$A$1:$I$330,9,FALSE),"")</f>
        <v>#N/A</v>
      </c>
      <c r="P17" s="84"/>
      <c r="Q17" s="84"/>
    </row>
    <row r="18" spans="1:18">
      <c r="A18" s="79" t="s">
        <v>0</v>
      </c>
      <c r="B18" s="141"/>
      <c r="C18" s="105" t="s">
        <v>369</v>
      </c>
      <c r="D18" s="84"/>
      <c r="E18" s="140" t="str">
        <f>IF($C18&lt;&gt;0,VLOOKUP($C18,'[1]Course Table'!$A$1:$G$330,2,TRUE),"")</f>
        <v>A+ Certification Exam (only 2 x single attempts)</v>
      </c>
      <c r="F18" s="84"/>
      <c r="G18" s="84" t="e">
        <f t="shared" si="0"/>
        <v>#N/A</v>
      </c>
      <c r="H18" s="100" t="e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#N/A</v>
      </c>
      <c r="I18" s="84" t="e">
        <f>IF($C18&lt;&gt;"",VLOOKUP($C18,'[1]Course Table'!$A$1:$G$330,5,FALSE),"")</f>
        <v>#N/A</v>
      </c>
      <c r="J18" s="101" t="e">
        <f>IF(AND($C18&lt;&gt;"",A18&lt;&gt;"E"),VLOOKUP($C18,'[1]Course Table'!$A$1:$G$330,6,FALSE),"")</f>
        <v>#N/A</v>
      </c>
      <c r="K18" s="101" t="e">
        <f>IF($C18&lt;&gt;"",VLOOKUP($C18,'[1]Course Table'!$A$1:$G$330,7,FALSE),"")</f>
        <v>#N/A</v>
      </c>
      <c r="L18" s="84">
        <f t="shared" si="1"/>
        <v>14</v>
      </c>
      <c r="M18" s="84">
        <f>COUNTIF($J$6:$J18,$J18)</f>
        <v>8</v>
      </c>
      <c r="N18" s="84" t="e">
        <f>IF($C18&lt;&gt;"",VLOOKUP($C18,'[1]Course Table'!$A$1:$I$330,8,FALSE),"")</f>
        <v>#N/A</v>
      </c>
      <c r="O18" s="84" t="e">
        <f>IF($C18&lt;&gt;"",VLOOKUP($C18,'[1]Course Table'!$A$1:$I$330,9,FALSE),"")</f>
        <v>#N/A</v>
      </c>
      <c r="P18" s="84"/>
      <c r="Q18" s="84"/>
    </row>
    <row r="19" spans="1:18">
      <c r="A19" s="79" t="s">
        <v>0</v>
      </c>
      <c r="B19" s="141"/>
      <c r="C19" s="105" t="s">
        <v>373</v>
      </c>
      <c r="D19" s="84"/>
      <c r="E19" s="140" t="str">
        <f>IF($C19&lt;&gt;0,VLOOKUP($C19,'[1]Course Table'!$A$1:$G$330,2,TRUE),"")</f>
        <v>Project Management Fundamentals - Level 2</v>
      </c>
      <c r="F19" s="84"/>
      <c r="G19" s="84" t="e">
        <f t="shared" si="0"/>
        <v>#N/A</v>
      </c>
      <c r="H19" s="100" t="e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#N/A</v>
      </c>
      <c r="I19" s="84" t="e">
        <f>IF($C19&lt;&gt;"",VLOOKUP($C19,'[1]Course Table'!$A$1:$G$330,5,FALSE),"")</f>
        <v>#N/A</v>
      </c>
      <c r="J19" s="101" t="e">
        <f>IF(AND($C19&lt;&gt;"",A19&lt;&gt;"E"),VLOOKUP($C19,'[1]Course Table'!$A$1:$G$330,6,FALSE),"")</f>
        <v>#N/A</v>
      </c>
      <c r="K19" s="101" t="e">
        <f>IF($C19&lt;&gt;"",VLOOKUP($C19,'[1]Course Table'!$A$1:$G$330,7,FALSE),"")</f>
        <v>#N/A</v>
      </c>
      <c r="L19" s="84">
        <f t="shared" si="1"/>
        <v>14</v>
      </c>
      <c r="M19" s="84">
        <f>COUNTIF($J$6:$J19,$J19)</f>
        <v>9</v>
      </c>
      <c r="N19" s="84" t="e">
        <f>IF($C19&lt;&gt;"",VLOOKUP($C19,'[1]Course Table'!$A$1:$I$330,8,FALSE),"")</f>
        <v>#N/A</v>
      </c>
      <c r="O19" s="84" t="e">
        <f>IF($C19&lt;&gt;"",VLOOKUP($C19,'[1]Course Table'!$A$1:$I$330,9,FALSE),"")</f>
        <v>#N/A</v>
      </c>
      <c r="P19" s="84"/>
      <c r="Q19" s="84"/>
    </row>
    <row r="20" spans="1:18">
      <c r="A20" s="79" t="s">
        <v>0</v>
      </c>
      <c r="B20" s="141"/>
      <c r="C20" s="105" t="s">
        <v>374</v>
      </c>
      <c r="D20" s="84"/>
      <c r="E20" s="140" t="str">
        <f>IF($C20&lt;&gt;0,VLOOKUP($C20,'[1]Course Table'!$A$1:$G$330,2,TRUE),"")</f>
        <v>Project Management Fundamentals - Level 2</v>
      </c>
      <c r="F20" s="84"/>
      <c r="G20" s="84" t="e">
        <f t="shared" si="0"/>
        <v>#N/A</v>
      </c>
      <c r="H20" s="100" t="e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#N/A</v>
      </c>
      <c r="I20" s="84" t="e">
        <f>IF($C20&lt;&gt;"",VLOOKUP($C20,'[1]Course Table'!$A$1:$G$330,5,FALSE),"")</f>
        <v>#N/A</v>
      </c>
      <c r="J20" s="101" t="e">
        <f>IF(AND($C20&lt;&gt;"",A20&lt;&gt;"E"),VLOOKUP($C20,'[1]Course Table'!$A$1:$G$330,6,FALSE),"")</f>
        <v>#N/A</v>
      </c>
      <c r="K20" s="101" t="e">
        <f>IF($C20&lt;&gt;"",VLOOKUP($C20,'[1]Course Table'!$A$1:$G$330,7,FALSE),"")</f>
        <v>#N/A</v>
      </c>
      <c r="L20" s="84">
        <f t="shared" si="1"/>
        <v>14</v>
      </c>
      <c r="M20" s="84">
        <f>COUNTIF($J$6:$J20,$J20)</f>
        <v>10</v>
      </c>
      <c r="N20" s="84" t="e">
        <f>IF($C20&lt;&gt;"",VLOOKUP($C20,'[1]Course Table'!$A$1:$I$330,8,FALSE),"")</f>
        <v>#N/A</v>
      </c>
      <c r="O20" s="84" t="e">
        <f>IF($C20&lt;&gt;"",VLOOKUP($C20,'[1]Course Table'!$A$1:$I$330,9,FALSE),"")</f>
        <v>#N/A</v>
      </c>
      <c r="P20" s="84"/>
      <c r="Q20" s="84"/>
    </row>
    <row r="21" spans="1:18">
      <c r="A21" s="79" t="s">
        <v>0</v>
      </c>
      <c r="B21" s="141"/>
      <c r="C21" s="104" t="s">
        <v>324</v>
      </c>
      <c r="D21" s="99"/>
      <c r="E21" s="140" t="str">
        <f>IF($C21&lt;&gt;0,VLOOKUP($C21,'[1]Course Table'!$A$1:$G$330,2,TRUE),"")</f>
        <v>Customer Service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549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16</v>
      </c>
      <c r="M21" s="84">
        <f>COUNTIF($J$6:$J21,$J21)</f>
        <v>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180</v>
      </c>
      <c r="D22" s="99"/>
      <c r="E22" s="140" t="str">
        <f>IF($C22&lt;&gt;0,VLOOKUP($C22,'[1]Course Table'!$A$1:$G$330,2,TRUE),"")</f>
        <v>Business Math</v>
      </c>
      <c r="F22" s="84"/>
      <c r="G22" s="84">
        <f t="shared" si="0"/>
        <v>22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16</v>
      </c>
      <c r="M22" s="84">
        <f>COUNTIF($J$6:$J22,$J22)</f>
        <v>7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</row>
    <row r="23" spans="1:18">
      <c r="A23" s="79" t="s">
        <v>0</v>
      </c>
      <c r="B23" s="141"/>
      <c r="C23" s="105" t="s">
        <v>123</v>
      </c>
      <c r="D23" s="99"/>
      <c r="E23" s="140" t="str">
        <f>IF($C23&lt;&gt;0,VLOOKUP($C23,'[1]Course Table'!$A$1:$G$330,2,TRUE),"")</f>
        <v>Basic Bookkeeping Level 1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16</v>
      </c>
      <c r="M23" s="84">
        <f>COUNTIF($J$6:$J23,$J23)</f>
        <v>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322</v>
      </c>
      <c r="E24" s="140" t="str">
        <f>IF($C24&lt;&gt;0,VLOOKUP($C24,'[1]Course Table'!$A$1:$G$330,2,TRUE),"")</f>
        <v>Sage 50 Premium Accounting 2013</v>
      </c>
      <c r="F24" s="84"/>
      <c r="G24" s="84">
        <f t="shared" si="0"/>
        <v>46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799</v>
      </c>
      <c r="I24" s="84">
        <f>IF($C24&lt;&gt;"",VLOOKUP($C24,'[1]Course Table'!$A$1:$G$330,5,FALSE),"")</f>
        <v>46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16</v>
      </c>
      <c r="M24" s="84">
        <f>COUNTIF($J$6:$J24,$J24)</f>
        <v>9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2.5</v>
      </c>
      <c r="P24" s="84"/>
      <c r="Q24" s="84"/>
    </row>
    <row r="25" spans="1:18">
      <c r="A25" s="79" t="s">
        <v>0</v>
      </c>
      <c r="B25" s="141"/>
      <c r="C25" s="105" t="s">
        <v>570</v>
      </c>
      <c r="D25" s="84"/>
      <c r="E25" s="140" t="str">
        <f>IF($C25&lt;&gt;0,VLOOKUP($C25,'[1]Course Table'!$A$1:$G$330,2,TRUE),"")</f>
        <v>QuickBooks Premier 2019</v>
      </c>
      <c r="F25" s="84"/>
      <c r="G25" s="84">
        <f t="shared" si="0"/>
        <v>29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495</v>
      </c>
      <c r="I25" s="84">
        <f>IF($C25&lt;&gt;"",VLOOKUP($C25,'[1]Course Table'!$A$1:$G$330,5,FALSE),"")</f>
        <v>29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16</v>
      </c>
      <c r="M25" s="84">
        <f>COUNTIF($J$6:$J25,$J25)</f>
        <v>10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41"/>
      <c r="C26" s="105" t="s">
        <v>462</v>
      </c>
      <c r="D26" s="84"/>
      <c r="E26" s="140" t="str">
        <f>IF($C26&lt;&gt;0,VLOOKUP($C26,'[1]Course Table'!$A$1:$G$330,2,TRUE),"")</f>
        <v>Internet Fundamentals</v>
      </c>
      <c r="F26" s="84"/>
      <c r="G26" s="84">
        <f t="shared" si="0"/>
        <v>22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16</v>
      </c>
      <c r="M26" s="84">
        <f>COUNTIF($J$6:$J26,$J26)</f>
        <v>11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579</v>
      </c>
      <c r="B27" s="141"/>
      <c r="C27" s="105" t="s">
        <v>568</v>
      </c>
      <c r="D27" s="84"/>
      <c r="E27" s="140" t="str">
        <f>IF($C27&lt;&gt;0,VLOOKUP($C27,'[1]Course Table'!$A$1:$G$330,2,TRUE),"")</f>
        <v>Project Management Fundamentals - Level 1</v>
      </c>
      <c r="F27" s="84"/>
      <c r="G27" s="84">
        <f t="shared" si="0"/>
        <v>36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995</v>
      </c>
      <c r="I27" s="84">
        <f>IF($C27&lt;&gt;"",VLOOKUP($C27,'[1]Course Table'!$A$1:$G$330,5,FALSE),"")</f>
        <v>36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16</v>
      </c>
      <c r="M27" s="84">
        <f>COUNTIF($J$6:$J27,$J27)</f>
        <v>12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41"/>
      <c r="C28" s="105" t="s">
        <v>375</v>
      </c>
      <c r="D28" s="84"/>
      <c r="E28" s="140" t="str">
        <f>IF($C28&lt;&gt;0,VLOOKUP($C28,'[1]Course Table'!$A$1:$G$330,2,TRUE),"")</f>
        <v>Practical Applications - 4 Units</v>
      </c>
      <c r="F28" s="84"/>
      <c r="G28" s="84" t="e">
        <f t="shared" si="0"/>
        <v>#N/A</v>
      </c>
      <c r="H28" s="100" t="e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#N/A</v>
      </c>
      <c r="I28" s="84" t="e">
        <f>IF($C28&lt;&gt;"",VLOOKUP($C28,'[1]Course Table'!$A$1:$G$330,5,FALSE),"")</f>
        <v>#N/A</v>
      </c>
      <c r="J28" s="101" t="e">
        <f>IF(AND($C28&lt;&gt;"",A28&lt;&gt;"E"),VLOOKUP($C28,'[1]Course Table'!$A$1:$G$330,6,FALSE),"")</f>
        <v>#N/A</v>
      </c>
      <c r="K28" s="101" t="e">
        <f>IF($C28&lt;&gt;"",VLOOKUP($C28,'[1]Course Table'!$A$1:$G$330,7,FALSE),"")</f>
        <v>#N/A</v>
      </c>
      <c r="L28" s="84">
        <f t="shared" si="1"/>
        <v>14</v>
      </c>
      <c r="M28" s="84">
        <f>COUNTIF($J$6:$J28,$J28)</f>
        <v>11</v>
      </c>
      <c r="N28" s="84" t="e">
        <f>IF($C28&lt;&gt;"",VLOOKUP($C28,'[1]Course Table'!$A$1:$I$330,8,FALSE),"")</f>
        <v>#N/A</v>
      </c>
      <c r="O28" s="84" t="e">
        <f>IF($C28&lt;&gt;"",VLOOKUP($C28,'[1]Course Table'!$A$1:$I$330,9,FALSE),"")</f>
        <v>#N/A</v>
      </c>
      <c r="P28" s="84"/>
      <c r="Q28" s="84"/>
    </row>
    <row r="29" spans="1:18">
      <c r="A29" s="79" t="s">
        <v>0</v>
      </c>
      <c r="B29" s="141"/>
      <c r="C29" s="105" t="s">
        <v>175</v>
      </c>
      <c r="D29" s="84"/>
      <c r="E29" s="140" t="str">
        <f>IF($C29&lt;&gt;0,VLOOKUP($C29,'[1]Course Table'!$A$1:$G$330,2,TRUE),"")</f>
        <v>Help Desk Analyst</v>
      </c>
      <c r="F29" s="84"/>
      <c r="G29" s="84">
        <f t="shared" si="0"/>
        <v>24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657</v>
      </c>
      <c r="I29" s="84">
        <f>IF($C29&lt;&gt;"",VLOOKUP($C29,'[1]Course Table'!$A$1:$G$330,5,FALSE),"")</f>
        <v>24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16</v>
      </c>
      <c r="M29" s="84">
        <f>COUNTIF($J$6:$J29,$J29)</f>
        <v>13</v>
      </c>
      <c r="N29" s="84">
        <f>IF($C29&lt;&gt;"",VLOOKUP($C29,'[1]Course Table'!$A$1:$I$330,8,FALSE),"")</f>
        <v>13</v>
      </c>
      <c r="O29" s="84">
        <f>IF($C29&lt;&gt;"",VLOOKUP($C29,'[1]Course Table'!$A$1:$I$330,9,FALSE),"")</f>
        <v>1</v>
      </c>
      <c r="P29" s="84"/>
      <c r="Q29" s="84"/>
    </row>
    <row r="30" spans="1:18">
      <c r="A30" s="79" t="s">
        <v>0</v>
      </c>
      <c r="B30" s="141"/>
      <c r="C30" s="105" t="s">
        <v>377</v>
      </c>
      <c r="D30" s="84"/>
      <c r="E30" s="140" t="str">
        <f>IF($C30&lt;&gt;0,VLOOKUP($C30,'[1]Course Table'!$A$1:$G$330,2,TRUE),"")</f>
        <v>Office Procedures Level 2</v>
      </c>
      <c r="F30" s="84"/>
      <c r="G30" s="84" t="e">
        <f t="shared" si="0"/>
        <v>#N/A</v>
      </c>
      <c r="H30" s="100" t="e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#N/A</v>
      </c>
      <c r="I30" s="84" t="e">
        <f>IF($C30&lt;&gt;"",VLOOKUP($C30,'[1]Course Table'!$A$1:$G$330,5,FALSE),"")</f>
        <v>#N/A</v>
      </c>
      <c r="J30" s="101" t="e">
        <f>IF(AND($C30&lt;&gt;"",A30&lt;&gt;"E"),VLOOKUP($C30,'[1]Course Table'!$A$1:$G$330,6,FALSE),"")</f>
        <v>#N/A</v>
      </c>
      <c r="K30" s="101" t="e">
        <f>IF($C30&lt;&gt;"",VLOOKUP($C30,'[1]Course Table'!$A$1:$G$330,7,FALSE),"")</f>
        <v>#N/A</v>
      </c>
      <c r="L30" s="84">
        <f t="shared" si="1"/>
        <v>14</v>
      </c>
      <c r="M30" s="84">
        <f>COUNTIF($J$6:$J30,$J30)</f>
        <v>12</v>
      </c>
      <c r="N30" s="84" t="e">
        <f>IF($C30&lt;&gt;"",VLOOKUP($C30,'[1]Course Table'!$A$1:$I$330,8,FALSE),"")</f>
        <v>#N/A</v>
      </c>
      <c r="O30" s="84" t="e">
        <f>IF($C30&lt;&gt;"",VLOOKUP($C30,'[1]Course Table'!$A$1:$I$330,9,FALSE),"")</f>
        <v>#N/A</v>
      </c>
      <c r="P30" s="84"/>
      <c r="Q30" s="84"/>
    </row>
    <row r="31" spans="1:18">
      <c r="A31" s="79" t="s">
        <v>0</v>
      </c>
      <c r="B31" s="141"/>
      <c r="C31" s="105" t="s">
        <v>378</v>
      </c>
      <c r="D31" s="84"/>
      <c r="E31" s="140" t="str">
        <f>IF($C31&lt;&gt;0,VLOOKUP($C31,'[1]Course Table'!$A$1:$G$330,2,TRUE),"")</f>
        <v>Office Procedures Level 2</v>
      </c>
      <c r="F31" s="84"/>
      <c r="G31" s="84" t="e">
        <f t="shared" si="0"/>
        <v>#N/A</v>
      </c>
      <c r="H31" s="100" t="e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#N/A</v>
      </c>
      <c r="I31" s="84" t="e">
        <f>IF($C31&lt;&gt;"",VLOOKUP($C31,'[1]Course Table'!$A$1:$G$330,5,FALSE),"")</f>
        <v>#N/A</v>
      </c>
      <c r="J31" s="101" t="e">
        <f>IF(AND($C31&lt;&gt;"",A31&lt;&gt;"E"),VLOOKUP($C31,'[1]Course Table'!$A$1:$G$330,6,FALSE),"")</f>
        <v>#N/A</v>
      </c>
      <c r="K31" s="101" t="e">
        <f>IF($C31&lt;&gt;"",VLOOKUP($C31,'[1]Course Table'!$A$1:$G$330,7,FALSE),"")</f>
        <v>#N/A</v>
      </c>
      <c r="L31" s="84">
        <f t="shared" si="1"/>
        <v>14</v>
      </c>
      <c r="M31" s="84">
        <f>COUNTIF($J$6:$J31,$J31)</f>
        <v>13</v>
      </c>
      <c r="N31" s="84" t="e">
        <f>IF($C31&lt;&gt;"",VLOOKUP($C31,'[1]Course Table'!$A$1:$I$330,8,FALSE),"")</f>
        <v>#N/A</v>
      </c>
      <c r="O31" s="84" t="e">
        <f>IF($C31&lt;&gt;"",VLOOKUP($C31,'[1]Course Table'!$A$1:$I$330,9,FALSE),"")</f>
        <v>#N/A</v>
      </c>
      <c r="P31" s="84"/>
      <c r="Q31" s="84"/>
    </row>
    <row r="32" spans="1:18">
      <c r="A32" s="79" t="s">
        <v>0</v>
      </c>
      <c r="B32" s="141"/>
      <c r="C32" s="105" t="s">
        <v>16</v>
      </c>
      <c r="D32" s="84"/>
      <c r="E32" s="140" t="str">
        <f>IF($C32&lt;&gt;0,VLOOKUP($C32,'[1]Course Table'!$A$1:$G$330,2,TRUE),"")</f>
        <v>Practical Applications - 3 Units</v>
      </c>
      <c r="F32" s="84"/>
      <c r="G32" s="84">
        <f t="shared" si="0"/>
        <v>60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965</v>
      </c>
      <c r="I32" s="84">
        <f>IF($C32&lt;&gt;"",VLOOKUP($C32,'[1]Course Table'!$A$1:$G$330,5,FALSE),"")</f>
        <v>60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16</v>
      </c>
      <c r="M32" s="84">
        <f>COUNTIF($J$6:$J32,$J32)</f>
        <v>14</v>
      </c>
      <c r="N32" s="84">
        <f>IF($C32&lt;&gt;"",VLOOKUP($C32,'[1]Course Table'!$A$1:$I$330,8,FALSE),"")</f>
        <v>2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 t="s">
        <v>1</v>
      </c>
      <c r="B33" s="141"/>
      <c r="C33" s="105" t="s">
        <v>457</v>
      </c>
      <c r="D33" s="84"/>
      <c r="E33" s="140" t="str">
        <f>IF($C33&lt;&gt;0,VLOOKUP($C33,'[1]Course Table'!$A$1:$G$330,2,TRUE),"")</f>
        <v>Visual Studio</v>
      </c>
      <c r="F33" s="84"/>
      <c r="G33" s="84" t="e">
        <f t="shared" si="0"/>
        <v>#N/A</v>
      </c>
      <c r="H33" s="100" t="e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#N/A</v>
      </c>
      <c r="I33" s="84" t="e">
        <f>IF($C33&lt;&gt;"",VLOOKUP($C33,'[1]Course Table'!$A$1:$G$330,5,FALSE),"")</f>
        <v>#N/A</v>
      </c>
      <c r="J33" s="101" t="e">
        <f>IF(AND($C33&lt;&gt;"",A33&lt;&gt;"E"),VLOOKUP($C33,'[1]Course Table'!$A$1:$G$330,6,FALSE),"")</f>
        <v>#N/A</v>
      </c>
      <c r="K33" s="101" t="e">
        <f>IF($C33&lt;&gt;"",VLOOKUP($C33,'[1]Course Table'!$A$1:$G$330,7,FALSE),"")</f>
        <v>#N/A</v>
      </c>
      <c r="L33" s="84">
        <f t="shared" si="1"/>
        <v>14</v>
      </c>
      <c r="M33" s="84">
        <f>COUNTIF($J$6:$J33,$J33)</f>
        <v>14</v>
      </c>
      <c r="N33" s="84" t="e">
        <f>IF($C33&lt;&gt;"",VLOOKUP($C33,'[1]Course Table'!$A$1:$I$330,8,FALSE),"")</f>
        <v>#N/A</v>
      </c>
      <c r="O33" s="84" t="e">
        <f>IF($C33&lt;&gt;"",VLOOKUP($C33,'[1]Course Table'!$A$1:$I$330,9,FALSE),"")</f>
        <v>#N/A</v>
      </c>
      <c r="P33" s="84"/>
      <c r="Q33" s="84"/>
      <c r="R33" s="90"/>
    </row>
    <row r="34" spans="1:18">
      <c r="A34" s="79" t="s">
        <v>0</v>
      </c>
      <c r="B34" s="141"/>
      <c r="C34" s="105" t="s">
        <v>249</v>
      </c>
      <c r="D34" s="84"/>
      <c r="E34" s="140" t="str">
        <f>IF($C34&lt;&gt;0,VLOOKUP($C34,'[1]Course Table'!$A$1:$G$330,2,TRUE),"")</f>
        <v>Job Search/Resume Writing</v>
      </c>
      <c r="F34" s="84"/>
      <c r="G34" s="84">
        <f t="shared" si="0"/>
        <v>30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579</v>
      </c>
      <c r="I34" s="84">
        <f>IF($C34&lt;&gt;"",VLOOKUP($C34,'[1]Course Table'!$A$1:$G$330,5,FALSE),"")</f>
        <v>30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16</v>
      </c>
      <c r="M34" s="84">
        <f>COUNTIF($J$6:$J34,$J34)</f>
        <v>15</v>
      </c>
      <c r="N34" s="84">
        <f>IF($C34&lt;&gt;"",VLOOKUP($C34,'[1]Course Table'!$A$1:$I$330,8,FALSE),"")</f>
        <v>15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/>
      <c r="B35" s="141"/>
      <c r="C35" s="105" t="s">
        <v>418</v>
      </c>
      <c r="D35" s="84"/>
      <c r="E35" s="140" t="str">
        <f>IF($C35&lt;&gt;0,VLOOKUP($C35,'[1]Course Table'!$A$1:$G$330,2,TRUE),"")</f>
        <v>Study/Review - Comp Software Support - BC</v>
      </c>
      <c r="F35" s="84"/>
      <c r="G35" s="84">
        <f t="shared" si="0"/>
        <v>84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0</v>
      </c>
      <c r="I35" s="84">
        <f>IF($C35&lt;&gt;"",VLOOKUP($C35,'[1]Course Table'!$A$1:$G$330,5,FALSE),"")</f>
        <v>84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16</v>
      </c>
      <c r="M35" s="84">
        <f>COUNTIF($J$6:$J35,$J35)</f>
        <v>16</v>
      </c>
      <c r="N35" s="84">
        <f>IF($C35&lt;&gt;"",VLOOKUP($C35,'[1]Course Table'!$A$1:$I$330,8,FALSE),"")</f>
        <v>99</v>
      </c>
      <c r="O35" s="84">
        <f>IF($C35&lt;&gt;"",VLOOKUP($C35,'[1]Course Table'!$A$1:$I$330,9,FALSE),"")</f>
        <v>4</v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5</v>
      </c>
      <c r="M36" s="84">
        <f>COUNTIF($J$6:$J36,$J36)</f>
        <v>1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5</v>
      </c>
      <c r="M37" s="84">
        <f>COUNTIF($J$6:$J37,$J37)</f>
        <v>2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5</v>
      </c>
      <c r="M38" s="84">
        <f>COUNTIF($J$6:$J38,$J38)</f>
        <v>3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5</v>
      </c>
      <c r="M39" s="84">
        <f>COUNTIF($J$6:$J39,$J39)</f>
        <v>4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5</v>
      </c>
      <c r="M40" s="84">
        <f>COUNTIF($J$6:$J40,$J40)</f>
        <v>5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 t="e">
        <f>SUM(H6:H40)</f>
        <v>#N/A</v>
      </c>
      <c r="I41" s="115" t="e">
        <f>SUM(I6:I40)</f>
        <v>#N/A</v>
      </c>
    </row>
    <row r="42" spans="1:18" s="90" customFormat="1" ht="12.75">
      <c r="C42" s="135">
        <v>0</v>
      </c>
      <c r="D42" s="301" t="e">
        <f>CONCATENATE("Course Hours - ",I41-C44,"          Exam &amp; Review Hours - ",C44,"          Total Course Hours - ",I41)</f>
        <v>#N/A</v>
      </c>
      <c r="E42" s="301"/>
      <c r="F42" s="301"/>
      <c r="G42" s="301"/>
      <c r="H42" s="117" t="e">
        <f>ROUNDUP(H41/(I41+C43),2)</f>
        <v>#N/A</v>
      </c>
    </row>
    <row r="43" spans="1:18" s="90" customFormat="1" ht="13.5" customHeight="1">
      <c r="C43" s="90" t="e">
        <f>ROUNDDOWN(I41*C42,0)</f>
        <v>#N/A</v>
      </c>
      <c r="D43" s="300" t="e">
        <f>CONCATENATE("Duration at 20 Hrs/Week:",ROUNDUP((I41+C43)/(20*4.33),1)," Months (",ROUNDDOWN((I41+C43)/20,0)," Weeks); at 25 Hrs/Week:",ROUNDUP((I41+C43)/(25*4.33),1)," Months (",ROUNDUP((I41+C43)/25,0)," Weeks)","; +1 week holiday")</f>
        <v>#N/A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84</v>
      </c>
      <c r="D44" s="119" t="e">
        <f>CONCATENATE("Total Costs (including text manuals, registration &amp; assessment fees) -  $",ROUND(H41,0)+'[1]Outline Info'!$B$14+'[1]Outline Info'!$B$15+'[1]Outline Info'!$C$15)</f>
        <v>#N/A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 t="e">
        <f>SUM(O6:O40)</f>
        <v>#N/A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3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2</v>
      </c>
      <c r="V49" s="78">
        <f>SUMIF($N$6:$N$40,Summary!V4,$O$6:$O$40)</f>
        <v>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1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166</v>
      </c>
      <c r="E4" s="299"/>
      <c r="F4" s="299"/>
      <c r="G4" s="92" t="s">
        <v>505</v>
      </c>
      <c r="H4" s="100"/>
      <c r="I4" s="84" t="s">
        <v>7</v>
      </c>
      <c r="P4" s="84"/>
      <c r="Q4" s="84"/>
    </row>
    <row r="5" spans="1:17">
      <c r="A5" s="90" t="s">
        <v>204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18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18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18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18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18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1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18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/>
      <c r="B12" s="141"/>
      <c r="C12" s="105" t="s">
        <v>759</v>
      </c>
      <c r="D12" s="84"/>
      <c r="E12" s="140" t="str">
        <f>IF($C12&lt;&gt;0,VLOOKUP($C12,'[1]Course Table'!$A$1:$G$330,2,TRUE),"")</f>
        <v>MS Word Level 3</v>
      </c>
      <c r="F12" s="84"/>
      <c r="G12" s="84">
        <f t="shared" si="1"/>
        <v>34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399</v>
      </c>
      <c r="I12" s="84">
        <f>IF($C12&lt;&gt;"",VLOOKUP($C12,'[1]Course Table'!$A$1:$G$330,5,FALSE),"")</f>
        <v>34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18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18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765</v>
      </c>
      <c r="D14" s="84"/>
      <c r="E14" s="140" t="str">
        <f>IF($C14&lt;&gt;0,VLOOKUP($C14,'[1]Course Table'!$A$1:$G$330,2,TRUE),"")</f>
        <v>MS Excel Level 2</v>
      </c>
      <c r="F14" s="84"/>
      <c r="G14" s="84">
        <f t="shared" si="1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18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780</v>
      </c>
      <c r="D15" s="84"/>
      <c r="E15" s="140" t="str">
        <f>IF($C15&lt;&gt;0,VLOOKUP($C15,'[1]Course Table'!$A$1:$G$330,2,TRUE),"")</f>
        <v>MS Publisher Level 1</v>
      </c>
      <c r="F15" s="84"/>
      <c r="G15" s="84">
        <f t="shared" si="1"/>
        <v>26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428</v>
      </c>
      <c r="I15" s="84">
        <f>IF($C15&lt;&gt;"",VLOOKUP($C15,'[1]Course Table'!$A$1:$G$330,5,FALSE),"")</f>
        <v>26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18</v>
      </c>
      <c r="M15" s="84">
        <f>COUNTIF($J$6:$J15,$J15)</f>
        <v>10</v>
      </c>
      <c r="N15" s="84">
        <f>IF($C15&lt;&gt;"",VLOOKUP($C15,'[1]Course Table'!$A$1:$I$330,8,FALSE),"")</f>
        <v>6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1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18</v>
      </c>
      <c r="M16" s="84">
        <f>COUNTIF($J$6:$J16,$J16)</f>
        <v>11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462</v>
      </c>
      <c r="D17" s="84"/>
      <c r="E17" s="140" t="str">
        <f>IF($C17&lt;&gt;0,VLOOKUP($C17,'[1]Course Table'!$A$1:$G$330,2,TRUE),"")</f>
        <v>Internet Fundamentals</v>
      </c>
      <c r="F17" s="84"/>
      <c r="G17" s="84">
        <f t="shared" si="1"/>
        <v>22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18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41"/>
      <c r="C18" s="105" t="s">
        <v>762</v>
      </c>
      <c r="D18" s="84"/>
      <c r="E18" s="140" t="str">
        <f>IF($C18&lt;&gt;0,VLOOKUP($C18,'[1]Course Table'!$A$1:$G$330,2,TRUE),"")</f>
        <v>MS Outlook Level 1</v>
      </c>
      <c r="F18" s="84"/>
      <c r="G18" s="84">
        <f t="shared" si="1"/>
        <v>25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18</v>
      </c>
      <c r="M18" s="84">
        <f>COUNTIF($J$6:$J18,$J18)</f>
        <v>13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328</v>
      </c>
      <c r="D19" s="84"/>
      <c r="E19" s="140" t="str">
        <f>IF($C19&lt;&gt;0,VLOOKUP($C19,'[1]Course Table'!$A$1:$G$330,2,TRUE),"")</f>
        <v>Office Procedures Level 1</v>
      </c>
      <c r="F19" s="84"/>
      <c r="G19" s="84">
        <f t="shared" si="1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18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329</v>
      </c>
      <c r="D20" s="84"/>
      <c r="E20" s="140" t="str">
        <f>IF($C20&lt;&gt;0,VLOOKUP($C20,'[1]Course Table'!$A$1:$G$330,2,TRUE),"")</f>
        <v>Office Procedures Level 2</v>
      </c>
      <c r="F20" s="84"/>
      <c r="G20" s="84">
        <f t="shared" si="1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18</v>
      </c>
      <c r="M20" s="84">
        <f>COUNTIF($J$6:$J20,$J20)</f>
        <v>15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4" t="s">
        <v>23</v>
      </c>
      <c r="D21" s="99"/>
      <c r="E21" s="140" t="str">
        <f>IF($C21&lt;&gt;0,VLOOKUP($C21,'[1]Course Table'!$A$1:$G$330,2,TRUE),"")</f>
        <v>Practical Applications - 2 Units</v>
      </c>
      <c r="F21" s="84"/>
      <c r="G21" s="84">
        <f t="shared" si="1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689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18</v>
      </c>
      <c r="M21" s="84">
        <f>COUNTIF($J$6:$J21,$J21)</f>
        <v>16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0</v>
      </c>
      <c r="P21" s="84"/>
      <c r="Q21" s="84"/>
    </row>
    <row r="22" spans="1:18">
      <c r="A22" s="79"/>
      <c r="B22" s="141"/>
      <c r="C22" s="105" t="s">
        <v>249</v>
      </c>
      <c r="D22" s="99"/>
      <c r="E22" s="140" t="str">
        <f>IF($C22&lt;&gt;0,VLOOKUP($C22,'[1]Course Table'!$A$1:$G$330,2,TRUE),"")</f>
        <v>Job Search/Resume Writing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579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18</v>
      </c>
      <c r="M22" s="84">
        <f>COUNTIF($J$6:$J22,$J22)</f>
        <v>17</v>
      </c>
      <c r="N22" s="84">
        <f>IF($C22&lt;&gt;"",VLOOKUP($C22,'[1]Course Table'!$A$1:$I$330,8,FALSE),"")</f>
        <v>15</v>
      </c>
      <c r="O22" s="84">
        <f>IF($C22&lt;&gt;"",VLOOKUP($C22,'[1]Course Table'!$A$1:$I$330,9,FALSE),"")</f>
        <v>1.5</v>
      </c>
    </row>
    <row r="23" spans="1:18">
      <c r="A23" s="79"/>
      <c r="B23" s="141"/>
      <c r="C23" s="105" t="s">
        <v>439</v>
      </c>
      <c r="D23" s="99"/>
      <c r="E23" s="140" t="str">
        <f>IF($C23&lt;&gt;0,VLOOKUP($C23,'[1]Course Table'!$A$1:$G$330,2,TRUE),"")</f>
        <v>Study/Review - Comp Office Procedures Cert-BC</v>
      </c>
      <c r="F23" s="84"/>
      <c r="G23" s="84">
        <f t="shared" si="1"/>
        <v>47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0</v>
      </c>
      <c r="I23" s="84">
        <f>IF($C23&lt;&gt;"",VLOOKUP($C23,'[1]Course Table'!$A$1:$G$330,5,FALSE),"")</f>
        <v>47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18</v>
      </c>
      <c r="M23" s="84">
        <f>COUNTIF($J$6:$J23,$J23)</f>
        <v>18</v>
      </c>
      <c r="N23" s="84">
        <f>IF($C23&lt;&gt;"",VLOOKUP($C23,'[1]Course Table'!$A$1:$I$330,8,FALSE),"")</f>
        <v>99</v>
      </c>
      <c r="O23" s="84">
        <f>IF($C23&lt;&gt;"",VLOOKUP($C23,'[1]Course Table'!$A$1:$I$330,9,FALSE),"")</f>
        <v>2.5</v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17</v>
      </c>
      <c r="M24" s="84">
        <f>COUNTIF($J$6:$J24,$J24)</f>
        <v>1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17</v>
      </c>
      <c r="M25" s="84">
        <f>COUNTIF($J$6:$J25,$J25)</f>
        <v>2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17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7132</v>
      </c>
      <c r="I41" s="115">
        <f>SUM(I6:I40)</f>
        <v>516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- 469          Exam &amp; Review Hours - 47          Total Course Hours - 516</v>
      </c>
      <c r="E42" s="301"/>
      <c r="F42" s="301"/>
      <c r="G42" s="301"/>
      <c r="H42" s="117">
        <f>ROUNDUP(H41/(I41+C43),2)</f>
        <v>13.83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Hrs/Week:6 Months (25 Weeks); at 25 Hrs/Week:4.8 Months (21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47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$7486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24.5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5.5</v>
      </c>
      <c r="P49" s="78">
        <f>SUMIF($N$6:$N$40,Summary!P4,$O$6:$O$40)</f>
        <v>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1.5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33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227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242</v>
      </c>
      <c r="E4" s="299"/>
      <c r="F4" s="299"/>
      <c r="G4" s="92" t="s">
        <v>509</v>
      </c>
      <c r="H4" s="100"/>
      <c r="I4" s="84" t="s">
        <v>7</v>
      </c>
      <c r="P4" s="84"/>
      <c r="Q4" s="84"/>
    </row>
    <row r="5" spans="1:17">
      <c r="A5" s="90" t="s">
        <v>667</v>
      </c>
      <c r="B5" s="90"/>
      <c r="C5" s="90"/>
      <c r="D5" s="94" t="s">
        <v>168</v>
      </c>
      <c r="F5" s="97" t="s">
        <v>581</v>
      </c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8</v>
      </c>
      <c r="E6" s="140"/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785</v>
      </c>
      <c r="D7" s="99"/>
      <c r="E7" s="140" t="str">
        <f>IF($C7&lt;&gt;0,VLOOKUP($C7,'[1]Course Table'!$A$1:$G$330,2,TRUE),"")</f>
        <v>Thought Patterns for a Successful Career</v>
      </c>
      <c r="F7" s="84"/>
      <c r="G7" s="84">
        <f t="shared" si="0"/>
        <v>24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589</v>
      </c>
      <c r="I7" s="84">
        <f>IF($C7&lt;&gt;"",VLOOKUP($C7,'[1]Course Table'!$A$1:$G$330,5,FALSE),"")</f>
        <v>24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28</v>
      </c>
      <c r="M7" s="84">
        <f>COUNTIF($J$6:$J7,$J7)</f>
        <v>1</v>
      </c>
      <c r="N7" s="84">
        <f>IF($C7&lt;&gt;"",VLOOKUP($C7,'[1]Course Table'!$A$1:$I$330,8,FALSE),"")</f>
        <v>15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757</v>
      </c>
      <c r="D8" s="84"/>
      <c r="E8" s="140" t="str">
        <f>IF($C8&lt;&gt;0,VLOOKUP($C8,'[1]Course Table'!$A$1:$G$330,2,TRUE),"")</f>
        <v>MS Word Level 1</v>
      </c>
      <c r="F8" s="84"/>
      <c r="G8" s="84">
        <f t="shared" si="0"/>
        <v>28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28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28</v>
      </c>
      <c r="M8" s="84">
        <f>COUNTIF($J$6:$J8,$J8)</f>
        <v>2</v>
      </c>
      <c r="N8" s="84">
        <f>IF($C8&lt;&gt;"",VLOOKUP($C8,'[1]Course Table'!$A$1:$I$330,8,FALSE),"")</f>
        <v>3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758</v>
      </c>
      <c r="D9" s="84"/>
      <c r="E9" s="140" t="str">
        <f>IF($C9&lt;&gt;0,VLOOKUP($C9,'[1]Course Table'!$A$1:$G$330,2,TRUE),"")</f>
        <v>MS Word Level 2</v>
      </c>
      <c r="F9" s="84"/>
      <c r="G9" s="84">
        <f t="shared" si="0"/>
        <v>37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37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28</v>
      </c>
      <c r="M9" s="84">
        <f>COUNTIF($J$6:$J9,$J9)</f>
        <v>3</v>
      </c>
      <c r="N9" s="84">
        <f>IF($C9&lt;&gt;"",VLOOKUP($C9,'[1]Course Table'!$A$1:$I$330,8,FALSE),"")</f>
        <v>3</v>
      </c>
      <c r="O9" s="84">
        <f>IF($C9&lt;&gt;"",VLOOKUP($C9,'[1]Course Table'!$A$1:$I$330,9,FALSE),"")</f>
        <v>2</v>
      </c>
      <c r="P9" s="84"/>
      <c r="Q9" s="84"/>
    </row>
    <row r="10" spans="1:17">
      <c r="A10" s="79" t="s">
        <v>0</v>
      </c>
      <c r="B10" s="141"/>
      <c r="C10" s="105" t="s">
        <v>763</v>
      </c>
      <c r="D10" s="84"/>
      <c r="E10" s="140" t="str">
        <f>IF($C10&lt;&gt;0,VLOOKUP($C10,'[1]Course Table'!$A$1:$G$330,2,TRUE),"")</f>
        <v>MS Excel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28</v>
      </c>
      <c r="M10" s="84">
        <f>COUNTIF($J$6:$J10,$J10)</f>
        <v>4</v>
      </c>
      <c r="N10" s="84">
        <f>IF($C10&lt;&gt;"",VLOOKUP($C10,'[1]Course Table'!$A$1:$I$330,8,FALSE),"")</f>
        <v>4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762</v>
      </c>
      <c r="D11" s="84"/>
      <c r="E11" s="140" t="str">
        <f>IF($C11&lt;&gt;0,VLOOKUP($C11,'[1]Course Table'!$A$1:$G$330,2,TRUE),"")</f>
        <v>MS Outlook Level 1</v>
      </c>
      <c r="F11" s="84"/>
      <c r="G11" s="84">
        <f t="shared" si="0"/>
        <v>25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25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28</v>
      </c>
      <c r="M11" s="84">
        <f>COUNTIF($J$6:$J11,$J11)</f>
        <v>5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760</v>
      </c>
      <c r="D12" s="84"/>
      <c r="E12" s="140" t="str">
        <f>IF($C12&lt;&gt;0,VLOOKUP($C12,'[1]Course Table'!$A$1:$G$330,2,TRUE),"")</f>
        <v>MS Powerpoint Level 1</v>
      </c>
      <c r="F12" s="84"/>
      <c r="G12" s="84">
        <f t="shared" si="0"/>
        <v>24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24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28</v>
      </c>
      <c r="M12" s="84">
        <f>COUNTIF($J$6:$J12,$J12)</f>
        <v>6</v>
      </c>
      <c r="N12" s="84">
        <f>IF($C12&lt;&gt;"",VLOOKUP($C12,'[1]Course Table'!$A$1:$I$330,8,FALSE),"")</f>
        <v>6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767</v>
      </c>
      <c r="D13" s="84"/>
      <c r="E13" s="140" t="str">
        <f>IF($C13&lt;&gt;0,VLOOKUP($C13,'[1]Course Table'!$A$1:$G$330,2,TRUE),"")</f>
        <v>MS Access Level 1</v>
      </c>
      <c r="F13" s="84"/>
      <c r="G13" s="84">
        <f t="shared" si="0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28</v>
      </c>
      <c r="M13" s="84">
        <f>COUNTIF($J$6:$J13,$J13)</f>
        <v>7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780</v>
      </c>
      <c r="D14" s="84"/>
      <c r="E14" s="140" t="str">
        <f>IF($C14&lt;&gt;0,VLOOKUP($C14,'[1]Course Table'!$A$1:$G$330,2,TRUE),"")</f>
        <v>MS Publisher Level 1</v>
      </c>
      <c r="F14" s="84"/>
      <c r="G14" s="84">
        <f t="shared" si="0"/>
        <v>26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428</v>
      </c>
      <c r="I14" s="84">
        <f>IF($C14&lt;&gt;"",VLOOKUP($C14,'[1]Course Table'!$A$1:$G$330,5,FALSE),"")</f>
        <v>26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28</v>
      </c>
      <c r="M14" s="84">
        <f>COUNTIF($J$6:$J14,$J14)</f>
        <v>8</v>
      </c>
      <c r="N14" s="84">
        <f>IF($C14&lt;&gt;"",VLOOKUP($C14,'[1]Course Table'!$A$1:$I$330,8,FALSE),"")</f>
        <v>6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324</v>
      </c>
      <c r="D15" s="84"/>
      <c r="E15" s="140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28</v>
      </c>
      <c r="M15" s="84">
        <f>COUNTIF($J$6:$J15,$J15)</f>
        <v>9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181</v>
      </c>
      <c r="D16" s="84"/>
      <c r="E16" s="140" t="str">
        <f>IF($C16&lt;&gt;0,VLOOKUP($C16,'[1]Course Table'!$A$1:$G$330,2,TRUE),"")</f>
        <v>Grammar Essentials for Business Writing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479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28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366</v>
      </c>
      <c r="D17" s="84"/>
      <c r="E17" s="140" t="str">
        <f>IF($C17&lt;&gt;0,VLOOKUP($C17,'[1]Course Table'!$A$1:$G$330,2,TRUE),"")</f>
        <v>Business Correspondence Level 1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28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367</v>
      </c>
      <c r="D18" s="84"/>
      <c r="E18" s="140" t="str">
        <f>IF($C18&lt;&gt;0,VLOOKUP($C18,'[1]Course Table'!$A$1:$G$330,2,TRUE),"")</f>
        <v>Business Correspondence Level 2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28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180</v>
      </c>
      <c r="D19" s="84"/>
      <c r="E19" s="140" t="str">
        <f>IF($C19&lt;&gt;0,VLOOKUP($C19,'[1]Course Table'!$A$1:$G$330,2,TRUE),"")</f>
        <v>Business Math</v>
      </c>
      <c r="F19" s="84"/>
      <c r="G19" s="84">
        <f t="shared" si="0"/>
        <v>22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28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41"/>
      <c r="C20" s="105" t="s">
        <v>568</v>
      </c>
      <c r="D20" s="84"/>
      <c r="E20" s="140" t="str">
        <f>IF($C20&lt;&gt;0,VLOOKUP($C20,'[1]Course Table'!$A$1:$G$330,2,TRUE),"")</f>
        <v>Project Management Fundamentals - Level 1</v>
      </c>
      <c r="F20" s="84"/>
      <c r="G20" s="84">
        <f t="shared" si="0"/>
        <v>36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995</v>
      </c>
      <c r="I20" s="84">
        <f>IF($C20&lt;&gt;"",VLOOKUP($C20,'[1]Course Table'!$A$1:$G$330,5,FALSE),"")</f>
        <v>36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28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2</v>
      </c>
      <c r="P20" s="84"/>
      <c r="Q20" s="84"/>
    </row>
    <row r="21" spans="1:18">
      <c r="A21" s="79" t="s">
        <v>0</v>
      </c>
      <c r="B21" s="141"/>
      <c r="C21" s="105" t="s">
        <v>791</v>
      </c>
      <c r="D21" s="99"/>
      <c r="E21" s="140" t="str">
        <f>IF($C21&lt;&gt;0,VLOOKUP($C21,'[1]Course Table'!$A$1:$G$330,2,TRUE),"")</f>
        <v>MS Project Level 1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28</v>
      </c>
      <c r="M21" s="84">
        <f>COUNTIF($J$6:$J21,$J21)</f>
        <v>15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 t="s">
        <v>361</v>
      </c>
      <c r="D22" s="99"/>
      <c r="E22" s="140" t="str">
        <f>IF($C22&lt;&gt;0,VLOOKUP($C22,'[1]Course Table'!$A$1:$G$330,2,TRUE),"")</f>
        <v>Employment Success Strategies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699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28</v>
      </c>
      <c r="M22" s="84">
        <f>COUNTIF($J$6:$J22,$J22)</f>
        <v>16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219</v>
      </c>
      <c r="D23" s="99"/>
      <c r="E23" s="140" t="str">
        <f>IF($C23&lt;&gt;0,VLOOKUP($C23,'[1]Course Table'!$A$1:$G$330,2,TRUE),"")</f>
        <v>Business Verbal Communication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28</v>
      </c>
      <c r="M23" s="84">
        <f>COUNTIF($J$6:$J23,$J23)</f>
        <v>17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249</v>
      </c>
      <c r="E24" s="140" t="str">
        <f>IF($C24&lt;&gt;0,VLOOKUP($C24,'[1]Course Table'!$A$1:$G$330,2,TRUE),"")</f>
        <v>Job Search/Resume Writing</v>
      </c>
      <c r="F24" s="84"/>
      <c r="G24" s="84">
        <f t="shared" si="0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579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28</v>
      </c>
      <c r="M24" s="84">
        <f>COUNTIF($J$6:$J24,$J24)</f>
        <v>18</v>
      </c>
      <c r="N24" s="84">
        <f>IF($C24&lt;&gt;"",VLOOKUP($C24,'[1]Course Table'!$A$1:$I$330,8,FALSE),"")</f>
        <v>15</v>
      </c>
      <c r="O24" s="84">
        <f>IF($C24&lt;&gt;"",VLOOKUP($C24,'[1]Course Table'!$A$1:$I$330,9,FALSE),"")</f>
        <v>1.5</v>
      </c>
      <c r="P24" s="84"/>
      <c r="Q24" s="84"/>
    </row>
    <row r="25" spans="1:18">
      <c r="A25" s="79" t="s">
        <v>0</v>
      </c>
      <c r="B25" s="141"/>
      <c r="C25" s="105" t="s">
        <v>23</v>
      </c>
      <c r="D25" s="84"/>
      <c r="E25" s="140" t="str">
        <f>IF($C25&lt;&gt;0,VLOOKUP($C25,'[1]Course Table'!$A$1:$G$330,2,TRUE),"")</f>
        <v>Practical Applications - 2 Units</v>
      </c>
      <c r="F25" s="84"/>
      <c r="G25" s="84">
        <f t="shared" si="0"/>
        <v>40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689</v>
      </c>
      <c r="I25" s="84">
        <f>IF($C25&lt;&gt;"",VLOOKUP($C25,'[1]Course Table'!$A$1:$G$330,5,FALSE),"")</f>
        <v>40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28</v>
      </c>
      <c r="M25" s="84">
        <f>COUNTIF($J$6:$J25,$J25)</f>
        <v>19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0</v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7</v>
      </c>
      <c r="M26" s="84">
        <f>COUNTIF($J$6:$J26,$J26)</f>
        <v>2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7</v>
      </c>
      <c r="M27" s="84">
        <f>COUNTIF($J$6:$J27,$J27)</f>
        <v>3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 t="s">
        <v>359</v>
      </c>
      <c r="D28" s="84"/>
      <c r="E28" s="140" t="str">
        <f>IF($C28&lt;&gt;0,VLOOKUP($C28,'[1]Course Table'!$A$1:$G$330,2,TRUE),"")</f>
        <v>Business Essentials</v>
      </c>
      <c r="F28" s="84"/>
      <c r="G28" s="84">
        <f t="shared" si="0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729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28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2</v>
      </c>
      <c r="P28" s="84"/>
      <c r="Q28" s="84"/>
    </row>
    <row r="29" spans="1:18">
      <c r="A29" s="79" t="s">
        <v>0</v>
      </c>
      <c r="B29" s="141"/>
      <c r="C29" s="105" t="s">
        <v>323</v>
      </c>
      <c r="D29" s="84"/>
      <c r="E29" s="140" t="str">
        <f>IF($C29&lt;&gt;0,VLOOKUP($C29,'[1]Course Table'!$A$1:$G$330,2,TRUE),"")</f>
        <v>Marketing &amp; Sales</v>
      </c>
      <c r="F29" s="84"/>
      <c r="G29" s="84">
        <f t="shared" si="0"/>
        <v>40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696</v>
      </c>
      <c r="I29" s="84">
        <f>IF($C29&lt;&gt;"",VLOOKUP($C29,'[1]Course Table'!$A$1:$G$330,5,FALSE),"")</f>
        <v>40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28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2</v>
      </c>
      <c r="P29" s="84"/>
      <c r="Q29" s="84"/>
    </row>
    <row r="30" spans="1:18">
      <c r="A30" s="79" t="s">
        <v>0</v>
      </c>
      <c r="B30" s="141"/>
      <c r="C30" s="105" t="s">
        <v>225</v>
      </c>
      <c r="D30" s="84"/>
      <c r="E30" s="140" t="str">
        <f>IF($C30&lt;&gt;0,VLOOKUP($C30,'[1]Course Table'!$A$1:$G$330,2,TRUE),"")</f>
        <v>Conference and Event Management</v>
      </c>
      <c r="F30" s="84"/>
      <c r="G30" s="84">
        <f t="shared" si="0"/>
        <v>40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709</v>
      </c>
      <c r="I30" s="84">
        <f>IF($C30&lt;&gt;"",VLOOKUP($C30,'[1]Course Table'!$A$1:$G$330,5,FALSE),"")</f>
        <v>40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28</v>
      </c>
      <c r="M30" s="84">
        <f>COUNTIF($J$6:$J30,$J30)</f>
        <v>22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2</v>
      </c>
      <c r="P30" s="84"/>
      <c r="Q30" s="84"/>
    </row>
    <row r="31" spans="1:18">
      <c r="A31" s="79" t="s">
        <v>0</v>
      </c>
      <c r="B31" s="141"/>
      <c r="C31" s="105" t="s">
        <v>220</v>
      </c>
      <c r="D31" s="84"/>
      <c r="E31" s="140" t="str">
        <f>IF($C31&lt;&gt;0,VLOOKUP($C31,'[1]Course Table'!$A$1:$G$330,2,TRUE),"")</f>
        <v>Event Marketing</v>
      </c>
      <c r="F31" s="84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499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28</v>
      </c>
      <c r="M31" s="84">
        <f>COUNTIF($J$6:$J31,$J31)</f>
        <v>23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1.5</v>
      </c>
      <c r="P31" s="84"/>
      <c r="Q31" s="84"/>
    </row>
    <row r="32" spans="1:18">
      <c r="A32" s="79" t="s">
        <v>0</v>
      </c>
      <c r="B32" s="141"/>
      <c r="C32" s="105" t="s">
        <v>221</v>
      </c>
      <c r="D32" s="84"/>
      <c r="E32" s="140" t="str">
        <f>IF($C32&lt;&gt;0,VLOOKUP($C32,'[1]Course Table'!$A$1:$G$330,2,TRUE),"")</f>
        <v>Business Negotiations and Contracts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28</v>
      </c>
      <c r="M32" s="84">
        <f>COUNTIF($J$6:$J32,$J32)</f>
        <v>24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0</v>
      </c>
      <c r="B33" s="141"/>
      <c r="C33" s="105" t="s">
        <v>183</v>
      </c>
      <c r="D33" s="84"/>
      <c r="E33" s="140" t="str">
        <f>IF($C33&lt;&gt;0,VLOOKUP($C33,'[1]Course Table'!$A$1:$G$330,2,TRUE),"")</f>
        <v>Management Fundamentals</v>
      </c>
      <c r="F33" s="84"/>
      <c r="G33" s="84">
        <f t="shared" si="0"/>
        <v>36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688</v>
      </c>
      <c r="I33" s="84">
        <f>IF($C33&lt;&gt;"",VLOOKUP($C33,'[1]Course Table'!$A$1:$G$330,5,FALSE),"")</f>
        <v>36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28</v>
      </c>
      <c r="M33" s="84">
        <f>COUNTIF($J$6:$J33,$J33)</f>
        <v>25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2</v>
      </c>
      <c r="P33" s="84"/>
      <c r="Q33" s="84"/>
      <c r="R33" s="90"/>
    </row>
    <row r="34" spans="1:18">
      <c r="A34" s="79" t="s">
        <v>0</v>
      </c>
      <c r="B34" s="141"/>
      <c r="C34" s="105" t="s">
        <v>174</v>
      </c>
      <c r="D34" s="84"/>
      <c r="E34" s="140" t="str">
        <f>IF($C34&lt;&gt;0,VLOOKUP($C34,'[1]Course Table'!$A$1:$G$330,2,TRUE),"")</f>
        <v>Business Supervisory Skills</v>
      </c>
      <c r="F34" s="84"/>
      <c r="G34" s="84">
        <f t="shared" si="0"/>
        <v>30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479</v>
      </c>
      <c r="I34" s="84">
        <f>IF($C34&lt;&gt;"",VLOOKUP($C34,'[1]Course Table'!$A$1:$G$330,5,FALSE),"")</f>
        <v>30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28</v>
      </c>
      <c r="M34" s="84">
        <f>COUNTIF($J$6:$J34,$J34)</f>
        <v>26</v>
      </c>
      <c r="N34" s="84">
        <f>IF($C34&lt;&gt;"",VLOOKUP($C34,'[1]Course Table'!$A$1:$I$330,8,FALSE),"")</f>
        <v>9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 t="s">
        <v>0</v>
      </c>
      <c r="B35" s="141"/>
      <c r="C35" s="105" t="s">
        <v>172</v>
      </c>
      <c r="D35" s="84"/>
      <c r="E35" s="140" t="str">
        <f>IF($C35&lt;&gt;0,VLOOKUP($C35,'[1]Course Table'!$A$1:$G$330,2,TRUE),"")</f>
        <v>Business Presentations</v>
      </c>
      <c r="F35" s="84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479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28</v>
      </c>
      <c r="M35" s="84">
        <f>COUNTIF($J$6:$J35,$J35)</f>
        <v>27</v>
      </c>
      <c r="N35" s="84">
        <f>IF($C35&lt;&gt;"",VLOOKUP($C35,'[1]Course Table'!$A$1:$I$330,8,FALSE),"")</f>
        <v>9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/>
      <c r="B36" s="141"/>
      <c r="C36" s="105" t="s">
        <v>419</v>
      </c>
      <c r="D36" s="84"/>
      <c r="E36" s="140" t="str">
        <f>IF($C36&lt;&gt;0,VLOOKUP($C36,'[1]Course Table'!$A$1:$G$330,2,TRUE),"")</f>
        <v>Study/Review - Conference and Event Planner - BC</v>
      </c>
      <c r="F36" s="84"/>
      <c r="G36" s="84">
        <f t="shared" si="0"/>
        <v>85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85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28</v>
      </c>
      <c r="M36" s="84">
        <f>COUNTIF($J$6:$J36,$J36)</f>
        <v>28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4.5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7</v>
      </c>
      <c r="M37" s="84">
        <f>COUNTIF($J$6:$J37,$J37)</f>
        <v>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7</v>
      </c>
      <c r="M38" s="84">
        <f>COUNTIF($J$6:$J38,$J38)</f>
        <v>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7</v>
      </c>
      <c r="M39" s="84">
        <f>COUNTIF($J$6:$J39,$J39)</f>
        <v>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7</v>
      </c>
      <c r="M40" s="84">
        <f>COUNTIF($J$6:$J40,$J40)</f>
        <v>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14474</v>
      </c>
      <c r="I41" s="115">
        <f>SUM(I6:I40)</f>
        <v>932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- 847          Exam &amp; Review Hours - 85          Total Course Hours - 932</v>
      </c>
      <c r="E42" s="301"/>
      <c r="F42" s="301"/>
      <c r="G42" s="301"/>
      <c r="H42" s="117">
        <f>ROUNDUP(H41/(I41+C43),2)</f>
        <v>15.54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Hrs/Week:10.8 Months (46 Weeks); at 25 Hrs/Week:8.6 Months (37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$14828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45.5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27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39370078740157483" header="0.11811023622047245" footer="0"/>
  <pageSetup scale="99" orientation="portrait" horizontalDpi="360" verticalDpi="36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8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133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241</v>
      </c>
      <c r="E4" s="299"/>
      <c r="F4" s="299"/>
      <c r="G4" s="92" t="s">
        <v>510</v>
      </c>
      <c r="H4" s="100"/>
      <c r="I4" s="84" t="s">
        <v>7</v>
      </c>
      <c r="P4" s="84"/>
      <c r="Q4" s="84"/>
    </row>
    <row r="5" spans="1:17">
      <c r="A5" s="90" t="s">
        <v>668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17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 t="s">
        <v>388</v>
      </c>
      <c r="D8" s="84"/>
      <c r="E8" s="140" t="str">
        <f>IF($C8&lt;&gt;0,VLOOKUP($C8,'[1]Course Table'!$A$1:$G$330,2,TRUE),"")</f>
        <v>Introduction to Keyboarding</v>
      </c>
      <c r="F8" s="84"/>
      <c r="G8" s="84">
        <f t="shared" si="1"/>
        <v>19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349</v>
      </c>
      <c r="I8" s="84">
        <f>IF($C8&lt;&gt;"",VLOOKUP($C8,'[1]Course Table'!$A$1:$G$330,5,FALSE),"")</f>
        <v>19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18</v>
      </c>
      <c r="M8" s="84">
        <f>COUNTIF($J$6:$J8,$J8)</f>
        <v>1</v>
      </c>
      <c r="N8" s="84">
        <f>IF($C8&lt;&gt;"",VLOOKUP($C8,'[1]Course Table'!$A$1:$I$330,8,FALSE),"")</f>
        <v>1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390</v>
      </c>
      <c r="D9" s="84"/>
      <c r="E9" s="140" t="str">
        <f>IF($C9&lt;&gt;0,VLOOKUP($C9,'[1]Course Table'!$A$1:$G$330,2,TRUE),"")</f>
        <v>Keyboard Skill Building Level 1 (25 WPM)</v>
      </c>
      <c r="F9" s="84"/>
      <c r="G9" s="84">
        <f t="shared" si="1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18</v>
      </c>
      <c r="M9" s="84">
        <f>COUNTIF($J$6:$J9,$J9)</f>
        <v>2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391</v>
      </c>
      <c r="D10" s="84"/>
      <c r="E10" s="140" t="str">
        <f>IF($C10&lt;&gt;0,VLOOKUP($C10,'[1]Course Table'!$A$1:$G$330,2,TRUE),"")</f>
        <v>Keyboard Skill Building Level 2 (40 WPM)</v>
      </c>
      <c r="F10" s="84"/>
      <c r="G10" s="84">
        <f t="shared" si="1"/>
        <v>25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25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18</v>
      </c>
      <c r="M10" s="84">
        <f>COUNTIF($J$6:$J10,$J10)</f>
        <v>3</v>
      </c>
      <c r="N10" s="84">
        <f>IF($C10&lt;&gt;"",VLOOKUP($C10,'[1]Course Table'!$A$1:$I$330,8,FALSE),"")</f>
        <v>1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580</v>
      </c>
      <c r="D11" s="84"/>
      <c r="E11" s="140" t="str">
        <f>IF($C11&lt;&gt;0,VLOOKUP($C11,'[1]Course Table'!$A$1:$G$330,2,TRUE),"")</f>
        <v>Personal Computer Fundamentals</v>
      </c>
      <c r="F11" s="84"/>
      <c r="G11" s="84">
        <f t="shared" si="1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18</v>
      </c>
      <c r="M11" s="84">
        <f>COUNTIF($J$6:$J11,$J11)</f>
        <v>4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463</v>
      </c>
      <c r="D12" s="84"/>
      <c r="E12" s="140" t="str">
        <f>IF($C12&lt;&gt;0,VLOOKUP($C12,'[1]Course Table'!$A$1:$G$330,2,TRUE),"")</f>
        <v>Windows 10 Level 1</v>
      </c>
      <c r="F12" s="84"/>
      <c r="G12" s="84">
        <f t="shared" si="1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18</v>
      </c>
      <c r="M12" s="84">
        <f>COUNTIF($J$6:$J12,$J12)</f>
        <v>5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757</v>
      </c>
      <c r="D13" s="84"/>
      <c r="E13" s="140" t="str">
        <f>IF($C13&lt;&gt;0,VLOOKUP($C13,'[1]Course Table'!$A$1:$G$330,2,TRUE),"")</f>
        <v>MS Word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18</v>
      </c>
      <c r="M13" s="84">
        <f>COUNTIF($J$6:$J13,$J13)</f>
        <v>6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18</v>
      </c>
      <c r="M14" s="84">
        <f>COUNTIF($J$6:$J14,$J14)</f>
        <v>7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18</v>
      </c>
      <c r="M15" s="84">
        <f>COUNTIF($J$6:$J15,$J15)</f>
        <v>8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327</v>
      </c>
      <c r="D16" s="84"/>
      <c r="E16" s="140" t="str">
        <f>IF($C16&lt;&gt;0,VLOOKUP($C16,'[1]Course Table'!$A$1:$G$330,2,TRUE),"")</f>
        <v>Customer Service Essentials</v>
      </c>
      <c r="F16" s="84"/>
      <c r="G16" s="84">
        <f t="shared" si="1"/>
        <v>20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341</v>
      </c>
      <c r="I16" s="84">
        <f>IF($C16&lt;&gt;"",VLOOKUP($C16,'[1]Course Table'!$A$1:$G$330,5,FALSE),"")</f>
        <v>20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18</v>
      </c>
      <c r="M16" s="84">
        <f>COUNTIF($J$6:$J16,$J16)</f>
        <v>9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41"/>
      <c r="C17" s="105" t="s">
        <v>119</v>
      </c>
      <c r="D17" s="84"/>
      <c r="E17" s="140" t="str">
        <f>IF($C17&lt;&gt;0,VLOOKUP($C17,'[1]Course Table'!$A$1:$G$330,2,TRUE),"")</f>
        <v>Call Centre Industry Overview</v>
      </c>
      <c r="F17" s="84"/>
      <c r="G17" s="84">
        <f t="shared" si="1"/>
        <v>23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341</v>
      </c>
      <c r="I17" s="84">
        <f>IF($C17&lt;&gt;"",VLOOKUP($C17,'[1]Course Table'!$A$1:$G$330,5,FALSE),"")</f>
        <v>23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18</v>
      </c>
      <c r="M17" s="84">
        <f>COUNTIF($J$6:$J17,$J17)</f>
        <v>10</v>
      </c>
      <c r="N17" s="84">
        <f>IF($C17&lt;&gt;"",VLOOKUP($C17,'[1]Course Table'!$A$1:$I$330,8,FALSE),"")</f>
        <v>13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41"/>
      <c r="C18" s="105" t="s">
        <v>117</v>
      </c>
      <c r="D18" s="84"/>
      <c r="E18" s="140" t="str">
        <f>IF($C18&lt;&gt;0,VLOOKUP($C18,'[1]Course Table'!$A$1:$G$330,2,TRUE),"")</f>
        <v>Call Centre Team Dynamics &amp; Personal Development</v>
      </c>
      <c r="F18" s="84"/>
      <c r="G18" s="84">
        <f t="shared" si="1"/>
        <v>18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341</v>
      </c>
      <c r="I18" s="84">
        <f>IF($C18&lt;&gt;"",VLOOKUP($C18,'[1]Course Table'!$A$1:$G$330,5,FALSE),"")</f>
        <v>18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18</v>
      </c>
      <c r="M18" s="84">
        <f>COUNTIF($J$6:$J18,$J18)</f>
        <v>11</v>
      </c>
      <c r="N18" s="84">
        <f>IF($C18&lt;&gt;"",VLOOKUP($C18,'[1]Course Table'!$A$1:$I$330,8,FALSE),"")</f>
        <v>13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41"/>
      <c r="C19" s="105" t="s">
        <v>120</v>
      </c>
      <c r="D19" s="84"/>
      <c r="E19" s="140" t="str">
        <f>IF($C19&lt;&gt;0,VLOOKUP($C19,'[1]Course Table'!$A$1:$G$330,2,TRUE),"")</f>
        <v>Call Centre Telephone Sales</v>
      </c>
      <c r="F19" s="84"/>
      <c r="G19" s="84">
        <f t="shared" si="1"/>
        <v>18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341</v>
      </c>
      <c r="I19" s="84">
        <f>IF($C19&lt;&gt;"",VLOOKUP($C19,'[1]Course Table'!$A$1:$G$330,5,FALSE),"")</f>
        <v>18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18</v>
      </c>
      <c r="M19" s="84">
        <f>COUNTIF($J$6:$J19,$J19)</f>
        <v>12</v>
      </c>
      <c r="N19" s="84">
        <f>IF($C19&lt;&gt;"",VLOOKUP($C19,'[1]Course Table'!$A$1:$I$330,8,FALSE),"")</f>
        <v>13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116</v>
      </c>
      <c r="D20" s="84"/>
      <c r="E20" s="140" t="str">
        <f>IF($C20&lt;&gt;0,VLOOKUP($C20,'[1]Course Table'!$A$1:$G$330,2,TRUE),"")</f>
        <v>Call Centre Career Options &amp; Opportunities</v>
      </c>
      <c r="F20" s="84"/>
      <c r="G20" s="84">
        <f t="shared" si="1"/>
        <v>18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341</v>
      </c>
      <c r="I20" s="84">
        <f>IF($C20&lt;&gt;"",VLOOKUP($C20,'[1]Course Table'!$A$1:$G$330,5,FALSE),"")</f>
        <v>18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18</v>
      </c>
      <c r="M20" s="84">
        <f>COUNTIF($J$6:$J20,$J20)</f>
        <v>13</v>
      </c>
      <c r="N20" s="84">
        <f>IF($C20&lt;&gt;"",VLOOKUP($C20,'[1]Course Table'!$A$1:$I$330,8,FALSE),"")</f>
        <v>13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4" t="s">
        <v>118</v>
      </c>
      <c r="D21" s="99"/>
      <c r="E21" s="140" t="str">
        <f>IF($C21&lt;&gt;0,VLOOKUP($C21,'[1]Course Table'!$A$1:$G$330,2,TRUE),"")</f>
        <v>Call Centre Equipment &amp; Technology</v>
      </c>
      <c r="F21" s="84"/>
      <c r="G21" s="84">
        <f t="shared" si="1"/>
        <v>21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341</v>
      </c>
      <c r="I21" s="84">
        <f>IF($C21&lt;&gt;"",VLOOKUP($C21,'[1]Course Table'!$A$1:$G$330,5,FALSE),"")</f>
        <v>21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18</v>
      </c>
      <c r="M21" s="84">
        <f>COUNTIF($J$6:$J21,$J21)</f>
        <v>14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41"/>
      <c r="C22" s="105" t="s">
        <v>121</v>
      </c>
      <c r="D22" s="99"/>
      <c r="E22" s="140" t="str">
        <f>IF($C22&lt;&gt;0,VLOOKUP($C22,'[1]Course Table'!$A$1:$G$330,2,TRUE),"")</f>
        <v>Call Centre Telephone Communication Skills</v>
      </c>
      <c r="F22" s="84"/>
      <c r="G22" s="84">
        <f t="shared" si="1"/>
        <v>18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375</v>
      </c>
      <c r="I22" s="84">
        <f>IF($C22&lt;&gt;"",VLOOKUP($C22,'[1]Course Table'!$A$1:$G$330,5,FALSE),"")</f>
        <v>18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18</v>
      </c>
      <c r="M22" s="84">
        <f>COUNTIF($J$6:$J22,$J22)</f>
        <v>15</v>
      </c>
      <c r="N22" s="84">
        <f>IF($C22&lt;&gt;"",VLOOKUP($C22,'[1]Course Table'!$A$1:$I$330,8,FALSE),"")</f>
        <v>13</v>
      </c>
      <c r="O22" s="84">
        <f>IF($C22&lt;&gt;"",VLOOKUP($C22,'[1]Course Table'!$A$1:$I$330,9,FALSE),"")</f>
        <v>1</v>
      </c>
    </row>
    <row r="23" spans="1:18">
      <c r="A23" s="79"/>
      <c r="B23" s="141"/>
      <c r="C23" s="105" t="s">
        <v>462</v>
      </c>
      <c r="D23" s="99"/>
      <c r="E23" s="140" t="str">
        <f>IF($C23&lt;&gt;0,VLOOKUP($C23,'[1]Course Table'!$A$1:$G$330,2,TRUE),"")</f>
        <v>Internet Fundamentals</v>
      </c>
      <c r="F23" s="84"/>
      <c r="G23" s="84">
        <f t="shared" si="1"/>
        <v>22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22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18</v>
      </c>
      <c r="M23" s="84">
        <f>COUNTIF($J$6:$J23,$J23)</f>
        <v>16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153</v>
      </c>
      <c r="B24" s="141"/>
      <c r="C24" s="105" t="s">
        <v>762</v>
      </c>
      <c r="E24" s="140" t="str">
        <f>IF($C24&lt;&gt;0,VLOOKUP($C24,'[1]Course Table'!$A$1:$G$330,2,TRUE),"")</f>
        <v>MS Outlook Level 1</v>
      </c>
      <c r="F24" s="84"/>
      <c r="G24" s="84">
        <f t="shared" si="1"/>
        <v>25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18</v>
      </c>
      <c r="M24" s="84">
        <f>COUNTIF($J$6:$J24,$J24)</f>
        <v>17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440</v>
      </c>
      <c r="D25" s="84"/>
      <c r="E25" s="140" t="str">
        <f>IF($C25&lt;&gt;0,VLOOKUP($C25,'[1]Course Table'!$A$1:$G$330,2,TRUE),"")</f>
        <v>Study/Review - Customer Service Rep Cert - BC</v>
      </c>
      <c r="F25" s="84"/>
      <c r="G25" s="84">
        <f t="shared" si="1"/>
        <v>38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0</v>
      </c>
      <c r="I25" s="84">
        <f>IF($C25&lt;&gt;"",VLOOKUP($C25,'[1]Course Table'!$A$1:$G$330,5,FALSE),"")</f>
        <v>38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18</v>
      </c>
      <c r="M25" s="84">
        <f>COUNTIF($J$6:$J25,$J25)</f>
        <v>18</v>
      </c>
      <c r="N25" s="84">
        <f>IF($C25&lt;&gt;"",VLOOKUP($C25,'[1]Course Table'!$A$1:$I$330,8,FALSE),"")</f>
        <v>99</v>
      </c>
      <c r="O25" s="84">
        <f>IF($C25&lt;&gt;"",VLOOKUP($C25,'[1]Course Table'!$A$1:$I$330,9,FALSE),"")</f>
        <v>2</v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17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137</v>
      </c>
      <c r="E41" s="89"/>
      <c r="F41" s="89"/>
      <c r="G41" s="89"/>
      <c r="H41" s="114">
        <f>SUM(H6:H40)</f>
        <v>6271</v>
      </c>
      <c r="I41" s="115">
        <f>SUM(I6:I40)</f>
        <v>418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- 380          Exam &amp; Review Hours - 38          Total Course Hours - 418</v>
      </c>
      <c r="E42" s="301"/>
      <c r="F42" s="301"/>
      <c r="G42" s="301"/>
      <c r="H42" s="117">
        <f>ROUNDUP(H41/(I41+C43),2)</f>
        <v>15.01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Weeks)")</f>
        <v>Duration at 20 Hrs/Week:4.9 Months (20 Weeks); at 25 Hrs/Week:3.9 Months (17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$6625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22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6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55118110236220474" top="0.6" bottom="0.35433070866141736" header="0.11811023622047245" footer="0"/>
  <pageSetup orientation="portrait" horizontalDpi="360" verticalDpi="36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9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597</v>
      </c>
      <c r="E4" s="299"/>
      <c r="F4" s="299"/>
      <c r="G4" s="92" t="s">
        <v>511</v>
      </c>
      <c r="H4" s="100"/>
      <c r="I4" s="84" t="s">
        <v>7</v>
      </c>
      <c r="P4" s="84"/>
      <c r="Q4" s="84"/>
    </row>
    <row r="5" spans="1:17">
      <c r="A5" s="90" t="s">
        <v>205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41"/>
      <c r="C7" s="105" t="s">
        <v>785</v>
      </c>
      <c r="D7" s="99"/>
      <c r="E7" s="140" t="str">
        <f>IF($C7&lt;&gt;0,VLOOKUP($C7,'[1]Course Table'!$A$1:$G$330,2,TRUE),"")</f>
        <v>Thought Patterns for a Successful Career</v>
      </c>
      <c r="F7" s="84"/>
      <c r="G7" s="84">
        <f t="shared" ref="G7:G40" si="0">I7</f>
        <v>24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589</v>
      </c>
      <c r="I7" s="84">
        <f>IF($C7&lt;&gt;"",VLOOKUP($C7,'[1]Course Table'!$A$1:$G$330,5,FALSE),"")</f>
        <v>24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27</v>
      </c>
      <c r="M7" s="84">
        <f>COUNTIF($J$6:$J7,$J7)</f>
        <v>2</v>
      </c>
      <c r="N7" s="84">
        <f>IF($C7&lt;&gt;"",VLOOKUP($C7,'[1]Course Table'!$A$1:$I$330,8,FALSE),"")</f>
        <v>15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27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467</v>
      </c>
      <c r="D10" s="84"/>
      <c r="E10" s="140" t="str">
        <f>IF($C10&lt;&gt;0,VLOOKUP($C10,'[1]Course Table'!$A$1:$G$330,2,TRUE),"")</f>
        <v>Windows 10 Level 2</v>
      </c>
      <c r="F10" s="84"/>
      <c r="G10" s="84">
        <f t="shared" si="0"/>
        <v>20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27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27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0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27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41"/>
      <c r="C13" s="105" t="s">
        <v>366</v>
      </c>
      <c r="D13" s="84"/>
      <c r="E13" s="140" t="str">
        <f>IF($C13&lt;&gt;0,VLOOKUP($C13,'[1]Course Table'!$A$1:$G$330,2,TRUE),"")</f>
        <v>Business Correspondence Level 1</v>
      </c>
      <c r="F13" s="84"/>
      <c r="G13" s="84">
        <f t="shared" si="0"/>
        <v>32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499</v>
      </c>
      <c r="I13" s="84">
        <f>IF($C13&lt;&gt;"",VLOOKUP($C13,'[1]Course Table'!$A$1:$G$330,5,FALSE),"")</f>
        <v>32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27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367</v>
      </c>
      <c r="D14" s="84"/>
      <c r="E14" s="140" t="str">
        <f>IF($C14&lt;&gt;0,VLOOKUP($C14,'[1]Course Table'!$A$1:$G$330,2,TRUE),"")</f>
        <v>Business Correspondence Level 2</v>
      </c>
      <c r="F14" s="84"/>
      <c r="G14" s="84">
        <f t="shared" si="0"/>
        <v>32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27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181</v>
      </c>
      <c r="D15" s="84"/>
      <c r="E15" s="140" t="str">
        <f>IF($C15&lt;&gt;0,VLOOKUP($C15,'[1]Course Table'!$A$1:$G$330,2,TRUE),"")</f>
        <v>Grammar Essentials for Business Writing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27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763</v>
      </c>
      <c r="D16" s="84"/>
      <c r="E16" s="140" t="str">
        <f>IF($C16&lt;&gt;0,VLOOKUP($C16,'[1]Course Table'!$A$1:$G$330,2,TRUE),"")</f>
        <v>MS Excel Level 1</v>
      </c>
      <c r="F16" s="84"/>
      <c r="G16" s="84">
        <f t="shared" si="0"/>
        <v>28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28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27</v>
      </c>
      <c r="M16" s="84">
        <f>COUNTIF($J$6:$J16,$J16)</f>
        <v>11</v>
      </c>
      <c r="N16" s="84">
        <f>IF($C16&lt;&gt;"",VLOOKUP($C16,'[1]Course Table'!$A$1:$I$330,8,FALSE),"")</f>
        <v>4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765</v>
      </c>
      <c r="D17" s="84"/>
      <c r="E17" s="140" t="str">
        <f>IF($C17&lt;&gt;0,VLOOKUP($C17,'[1]Course Table'!$A$1:$G$330,2,TRUE),"")</f>
        <v>MS Excel Level 2</v>
      </c>
      <c r="F17" s="84"/>
      <c r="G17" s="84">
        <f t="shared" si="0"/>
        <v>35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35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27</v>
      </c>
      <c r="M17" s="84">
        <f>COUNTIF($J$6:$J17,$J17)</f>
        <v>12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41"/>
      <c r="C18" s="105" t="s">
        <v>767</v>
      </c>
      <c r="D18" s="84"/>
      <c r="E18" s="140" t="str">
        <f>IF($C18&lt;&gt;0,VLOOKUP($C18,'[1]Course Table'!$A$1:$G$330,2,TRUE),"")</f>
        <v>MS Access Level 1</v>
      </c>
      <c r="F18" s="84"/>
      <c r="G18" s="84">
        <f t="shared" si="0"/>
        <v>27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27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27</v>
      </c>
      <c r="M18" s="84">
        <f>COUNTIF($J$6:$J18,$J18)</f>
        <v>13</v>
      </c>
      <c r="N18" s="84">
        <f>IF($C18&lt;&gt;"",VLOOKUP($C18,'[1]Course Table'!$A$1:$I$330,8,FALSE),"")</f>
        <v>5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760</v>
      </c>
      <c r="D19" s="84"/>
      <c r="E19" s="140" t="str">
        <f>IF($C19&lt;&gt;0,VLOOKUP($C19,'[1]Course Table'!$A$1:$G$330,2,TRUE),"")</f>
        <v>MS Powerpoint Level 1</v>
      </c>
      <c r="F19" s="84"/>
      <c r="G19" s="84">
        <f t="shared" si="0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27</v>
      </c>
      <c r="M19" s="84">
        <f>COUNTIF($J$6:$J19,$J19)</f>
        <v>14</v>
      </c>
      <c r="N19" s="84">
        <f>IF($C19&lt;&gt;"",VLOOKUP($C19,'[1]Course Table'!$A$1:$I$330,8,FALSE),"")</f>
        <v>6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41"/>
      <c r="C20" s="105" t="s">
        <v>780</v>
      </c>
      <c r="D20" s="84"/>
      <c r="E20" s="140" t="str">
        <f>IF($C20&lt;&gt;0,VLOOKUP($C20,'[1]Course Table'!$A$1:$G$330,2,TRUE),"")</f>
        <v>MS Publisher Level 1</v>
      </c>
      <c r="F20" s="84"/>
      <c r="G20" s="84">
        <f t="shared" si="0"/>
        <v>26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428</v>
      </c>
      <c r="I20" s="84">
        <f>IF($C20&lt;&gt;"",VLOOKUP($C20,'[1]Course Table'!$A$1:$G$330,5,FALSE),"")</f>
        <v>26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27</v>
      </c>
      <c r="M20" s="84">
        <f>COUNTIF($J$6:$J20,$J20)</f>
        <v>15</v>
      </c>
      <c r="N20" s="84">
        <f>IF($C20&lt;&gt;"",VLOOKUP($C20,'[1]Course Table'!$A$1:$I$330,8,FALSE),"")</f>
        <v>6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365</v>
      </c>
      <c r="D21" s="99"/>
      <c r="E21" s="140" t="str">
        <f>IF($C21&lt;&gt;0,VLOOKUP($C21,'[1]Course Table'!$A$1:$G$330,2,TRUE),"")</f>
        <v>Business Planning</v>
      </c>
      <c r="F21" s="84"/>
      <c r="G21" s="84">
        <f t="shared" si="0"/>
        <v>16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375</v>
      </c>
      <c r="I21" s="84">
        <f>IF($C21&lt;&gt;"",VLOOKUP($C21,'[1]Course Table'!$A$1:$G$330,5,FALSE),"")</f>
        <v>16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27</v>
      </c>
      <c r="M21" s="84">
        <f>COUNTIF($J$6:$J21,$J21)</f>
        <v>16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41"/>
      <c r="C22" s="104" t="s">
        <v>183</v>
      </c>
      <c r="D22" s="99"/>
      <c r="E22" s="140" t="str">
        <f>IF($C22&lt;&gt;0,VLOOKUP($C22,'[1]Course Table'!$A$1:$G$330,2,TRUE),"")</f>
        <v>Management Fundamentals</v>
      </c>
      <c r="F22" s="84"/>
      <c r="G22" s="84">
        <f t="shared" si="0"/>
        <v>36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688</v>
      </c>
      <c r="I22" s="84">
        <f>IF($C22&lt;&gt;"",VLOOKUP($C22,'[1]Course Table'!$A$1:$G$330,5,FALSE),"")</f>
        <v>36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27</v>
      </c>
      <c r="M22" s="84">
        <f>COUNTIF($J$6:$J22,$J22)</f>
        <v>17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324</v>
      </c>
      <c r="D23" s="99"/>
      <c r="E23" s="140" t="str">
        <f>IF($C23&lt;&gt;0,VLOOKUP($C23,'[1]Course Table'!$A$1:$G$330,2,TRUE),"")</f>
        <v>Customer Service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27</v>
      </c>
      <c r="M23" s="84">
        <f>COUNTIF($J$6:$J23,$J23)</f>
        <v>18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323</v>
      </c>
      <c r="E24" s="140" t="str">
        <f>IF($C24&lt;&gt;0,VLOOKUP($C24,'[1]Course Table'!$A$1:$G$330,2,TRUE),"")</f>
        <v>Marketing &amp; Sales</v>
      </c>
      <c r="F24" s="84"/>
      <c r="G24" s="84">
        <f t="shared" si="0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696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27</v>
      </c>
      <c r="M24" s="84">
        <f>COUNTIF($J$6:$J24,$J24)</f>
        <v>19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180</v>
      </c>
      <c r="D25" s="84"/>
      <c r="E25" s="140" t="str">
        <f>IF($C25&lt;&gt;0,VLOOKUP($C25,'[1]Course Table'!$A$1:$G$330,2,TRUE),"")</f>
        <v>Business Math</v>
      </c>
      <c r="F25" s="84"/>
      <c r="G25" s="84">
        <f t="shared" si="0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399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27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41"/>
      <c r="C26" s="105" t="s">
        <v>123</v>
      </c>
      <c r="D26" s="84"/>
      <c r="E26" s="140" t="str">
        <f>IF($C26&lt;&gt;0,VLOOKUP($C26,'[1]Course Table'!$A$1:$G$330,2,TRUE),"")</f>
        <v>Basic Bookkeeping Level 1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499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27</v>
      </c>
      <c r="M26" s="84">
        <f>COUNTIF($J$6:$J26,$J26)</f>
        <v>21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41"/>
      <c r="C27" s="105" t="s">
        <v>124</v>
      </c>
      <c r="D27" s="84"/>
      <c r="E27" s="140" t="str">
        <f>IF($C27&lt;&gt;0,VLOOKUP($C27,'[1]Course Table'!$A$1:$G$330,2,TRUE),"")</f>
        <v>Basic Bookkeeping Level 2</v>
      </c>
      <c r="F27" s="84"/>
      <c r="G27" s="84">
        <f t="shared" si="0"/>
        <v>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449</v>
      </c>
      <c r="I27" s="84">
        <f>IF($C27&lt;&gt;"",VLOOKUP($C27,'[1]Course Table'!$A$1:$G$330,5,FALSE),"")</f>
        <v>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27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</v>
      </c>
      <c r="P27" s="84"/>
      <c r="Q27" s="84"/>
    </row>
    <row r="28" spans="1:18">
      <c r="A28" s="79" t="s">
        <v>0</v>
      </c>
      <c r="B28" s="141"/>
      <c r="C28" s="105" t="s">
        <v>322</v>
      </c>
      <c r="D28" s="84"/>
      <c r="E28" s="140" t="str">
        <f>IF($C28&lt;&gt;0,VLOOKUP($C28,'[1]Course Table'!$A$1:$G$330,2,TRUE),"")</f>
        <v>Sage 50 Premium Accounting 2013</v>
      </c>
      <c r="F28" s="84"/>
      <c r="G28" s="84">
        <f t="shared" si="0"/>
        <v>46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799</v>
      </c>
      <c r="I28" s="84">
        <f>IF($C28&lt;&gt;"",VLOOKUP($C28,'[1]Course Table'!$A$1:$G$330,5,FALSE),"")</f>
        <v>46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27</v>
      </c>
      <c r="M28" s="84">
        <f>COUNTIF($J$6:$J28,$J28)</f>
        <v>23</v>
      </c>
      <c r="N28" s="84">
        <f>IF($C28&lt;&gt;"",VLOOKUP($C28,'[1]Course Table'!$A$1:$I$330,8,FALSE),"")</f>
        <v>7</v>
      </c>
      <c r="O28" s="84">
        <f>IF($C28&lt;&gt;"",VLOOKUP($C28,'[1]Course Table'!$A$1:$I$330,9,FALSE),"")</f>
        <v>2.5</v>
      </c>
      <c r="P28" s="84"/>
      <c r="Q28" s="84"/>
    </row>
    <row r="29" spans="1:18">
      <c r="A29" s="79" t="s">
        <v>0</v>
      </c>
      <c r="B29" s="141"/>
      <c r="C29" s="105" t="s">
        <v>16</v>
      </c>
      <c r="D29" s="84"/>
      <c r="E29" s="140" t="str">
        <f>IF($C29&lt;&gt;0,VLOOKUP($C29,'[1]Course Table'!$A$1:$G$330,2,TRUE),"")</f>
        <v>Practical Applications - 3 Units</v>
      </c>
      <c r="F29" s="84"/>
      <c r="G29" s="84">
        <f t="shared" si="0"/>
        <v>60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965</v>
      </c>
      <c r="I29" s="84">
        <f>IF($C29&lt;&gt;"",VLOOKUP($C29,'[1]Course Table'!$A$1:$G$330,5,FALSE),"")</f>
        <v>60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27</v>
      </c>
      <c r="M29" s="84">
        <f>COUNTIF($J$6:$J29,$J29)</f>
        <v>24</v>
      </c>
      <c r="N29" s="84">
        <f>IF($C29&lt;&gt;"",VLOOKUP($C29,'[1]Course Table'!$A$1:$I$330,8,FALSE),"")</f>
        <v>2</v>
      </c>
      <c r="O29" s="84">
        <f>IF($C29&lt;&gt;"",VLOOKUP($C29,'[1]Course Table'!$A$1:$I$330,9,FALSE),"")</f>
        <v>0</v>
      </c>
      <c r="P29" s="84"/>
      <c r="Q29" s="84"/>
    </row>
    <row r="30" spans="1:18">
      <c r="A30" s="79" t="s">
        <v>0</v>
      </c>
      <c r="B30" s="141"/>
      <c r="C30" s="105" t="s">
        <v>462</v>
      </c>
      <c r="D30" s="84"/>
      <c r="E30" s="140" t="str">
        <f>IF($C30&lt;&gt;0,VLOOKUP($C30,'[1]Course Table'!$A$1:$G$330,2,TRUE),"")</f>
        <v>Internet Fundamentals</v>
      </c>
      <c r="F30" s="84"/>
      <c r="G30" s="84">
        <f t="shared" si="0"/>
        <v>22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389</v>
      </c>
      <c r="I30" s="84">
        <f>IF($C30&lt;&gt;"",VLOOKUP($C30,'[1]Course Table'!$A$1:$G$330,5,FALSE),"")</f>
        <v>22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27</v>
      </c>
      <c r="M30" s="84">
        <f>COUNTIF($J$6:$J30,$J30)</f>
        <v>25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1</v>
      </c>
      <c r="B31" s="141"/>
      <c r="C31" s="105" t="s">
        <v>762</v>
      </c>
      <c r="D31" s="84"/>
      <c r="E31" s="140" t="str">
        <f>IF($C31&lt;&gt;0,VLOOKUP($C31,'[1]Course Table'!$A$1:$G$330,2,TRUE),"")</f>
        <v>MS Outlook Level 1</v>
      </c>
      <c r="F31" s="84"/>
      <c r="G31" s="84">
        <f t="shared" si="0"/>
        <v>25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389</v>
      </c>
      <c r="I31" s="84">
        <f>IF($C31&lt;&gt;"",VLOOKUP($C31,'[1]Course Table'!$A$1:$G$330,5,FALSE),"")</f>
        <v>25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27</v>
      </c>
      <c r="M31" s="84">
        <f>COUNTIF($J$6:$J31,$J31)</f>
        <v>26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41"/>
      <c r="C32" s="105" t="s">
        <v>421</v>
      </c>
      <c r="D32" s="84"/>
      <c r="E32" s="140" t="str">
        <f>IF($C32&lt;&gt;0,VLOOKUP($C32,'[1]Course Table'!$A$1:$G$330,2,TRUE),"")</f>
        <v>Study/Review - Entrepreneurial Bus Applications - BC</v>
      </c>
      <c r="F32" s="84"/>
      <c r="G32" s="84">
        <f t="shared" si="0"/>
        <v>76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76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27</v>
      </c>
      <c r="M32" s="84">
        <f>COUNTIF($J$6:$J32,$J32)</f>
        <v>27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4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8</v>
      </c>
      <c r="M33" s="84">
        <f>COUNTIF($J$6:$J33,$J33)</f>
        <v>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8</v>
      </c>
      <c r="M34" s="84">
        <f>COUNTIF($J$6:$J34,$J34)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8</v>
      </c>
      <c r="M35" s="84">
        <f>COUNTIF($J$6:$J35,$J35)</f>
        <v>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8</v>
      </c>
      <c r="M36" s="84">
        <f>COUNTIF($J$6:$J36,$J36)</f>
        <v>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8</v>
      </c>
      <c r="M37" s="84">
        <f>COUNTIF($J$6:$J37,$J37)</f>
        <v>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12541</v>
      </c>
      <c r="I41" s="115">
        <f>SUM(I6:I40)</f>
        <v>830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- 754          Exam &amp; Review Hours - 76          Total Course Hours - 830</v>
      </c>
      <c r="E42" s="301"/>
      <c r="F42" s="301"/>
      <c r="G42" s="301"/>
      <c r="H42" s="117">
        <f>ROUNDUP(H41/(I41+C43),2)</f>
        <v>15.11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Hrs/Week:9.6 Months (41 Weeks); at 25 Hrs/Week:7.7 Months (33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76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$12895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39.5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1</v>
      </c>
      <c r="O49" s="78">
        <f>SUMIF($N$6:$N$40,Summary!O4,$O$6:$O$40)</f>
        <v>4.5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2.5</v>
      </c>
      <c r="U49" s="78">
        <f>SUMIF($N$6:$N$40,Summary!U4,$O$6:$O$40)</f>
        <v>2</v>
      </c>
      <c r="V49" s="78">
        <f>SUMIF($N$6:$N$40,Summary!V4,$O$6:$O$40)</f>
        <v>13.5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0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 t="s">
        <v>383</v>
      </c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187</v>
      </c>
      <c r="E4" s="299"/>
      <c r="F4" s="299"/>
      <c r="G4" s="92" t="s">
        <v>512</v>
      </c>
      <c r="H4" s="100"/>
      <c r="I4" s="84" t="s">
        <v>7</v>
      </c>
      <c r="P4" s="84"/>
      <c r="Q4" s="84"/>
    </row>
    <row r="5" spans="1:17">
      <c r="A5" s="90" t="s">
        <v>206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31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31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41"/>
      <c r="C8" s="105" t="s">
        <v>391</v>
      </c>
      <c r="D8" s="84"/>
      <c r="E8" s="140" t="str">
        <f>IF($C8&lt;&gt;0,VLOOKUP($C8,'[1]Course Table'!$A$1:$G$330,2,TRUE),"")</f>
        <v>Keyboard Skill Building Level 2 (40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31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392</v>
      </c>
      <c r="D9" s="84"/>
      <c r="E9" s="140" t="str">
        <f>IF($C9&lt;&gt;0,VLOOKUP($C9,'[1]Course Table'!$A$1:$G$330,2,TRUE),"")</f>
        <v>Keyboard Skill Building Level 3 (55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399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31</v>
      </c>
      <c r="M9" s="84">
        <f>COUNTIF($J$6:$J9,$J9)</f>
        <v>4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31</v>
      </c>
      <c r="M10" s="84">
        <f>COUNTIF($J$6:$J10,$J10)</f>
        <v>5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580</v>
      </c>
      <c r="D11" s="84"/>
      <c r="E11" s="140" t="str">
        <f>IF($C11&lt;&gt;0,VLOOKUP($C11,'[1]Course Table'!$A$1:$G$330,2,TRUE),"")</f>
        <v>Personal Computer Fundamentals</v>
      </c>
      <c r="F11" s="84"/>
      <c r="G11" s="84">
        <f t="shared" si="0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31</v>
      </c>
      <c r="M11" s="84">
        <f>COUNTIF($J$6:$J11,$J11)</f>
        <v>6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463</v>
      </c>
      <c r="D12" s="84"/>
      <c r="E12" s="140" t="str">
        <f>IF($C12&lt;&gt;0,VLOOKUP($C12,'[1]Course Table'!$A$1:$G$330,2,TRUE),"")</f>
        <v>Windows 10 Level 1</v>
      </c>
      <c r="F12" s="84"/>
      <c r="G12" s="84">
        <f t="shared" si="0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31</v>
      </c>
      <c r="M12" s="84">
        <f>COUNTIF($J$6:$J12,$J12)</f>
        <v>7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467</v>
      </c>
      <c r="D13" s="84"/>
      <c r="E13" s="140" t="str">
        <f>IF($C13&lt;&gt;0,VLOOKUP($C13,'[1]Course Table'!$A$1:$G$330,2,TRUE),"")</f>
        <v>Windows 10 Level 2</v>
      </c>
      <c r="F13" s="84"/>
      <c r="G13" s="84">
        <f t="shared" si="0"/>
        <v>20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31</v>
      </c>
      <c r="M13" s="84">
        <f>COUNTIF($J$6:$J13,$J13)</f>
        <v>8</v>
      </c>
      <c r="N13" s="84">
        <f>IF($C13&lt;&gt;"",VLOOKUP($C13,'[1]Course Table'!$A$1:$I$330,8,FALSE),"")</f>
        <v>8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41"/>
      <c r="C14" s="105" t="s">
        <v>757</v>
      </c>
      <c r="D14" s="84"/>
      <c r="E14" s="140" t="str">
        <f>IF($C14&lt;&gt;0,VLOOKUP($C14,'[1]Course Table'!$A$1:$G$330,2,TRUE),"")</f>
        <v>MS Word Level 1</v>
      </c>
      <c r="F14" s="84"/>
      <c r="G14" s="84">
        <f t="shared" si="0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31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758</v>
      </c>
      <c r="D15" s="84"/>
      <c r="E15" s="140" t="str">
        <f>IF($C15&lt;&gt;0,VLOOKUP($C15,'[1]Course Table'!$A$1:$G$330,2,TRUE),"")</f>
        <v>MS Word Level 2</v>
      </c>
      <c r="F15" s="84"/>
      <c r="G15" s="84">
        <f t="shared" si="0"/>
        <v>37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37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31</v>
      </c>
      <c r="M15" s="84">
        <f>COUNTIF($J$6:$J15,$J15)</f>
        <v>10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41"/>
      <c r="C16" s="105" t="s">
        <v>759</v>
      </c>
      <c r="D16" s="84"/>
      <c r="E16" s="140" t="str">
        <f>IF($C16&lt;&gt;0,VLOOKUP($C16,'[1]Course Table'!$A$1:$G$330,2,TRUE),"")</f>
        <v>MS Word Level 3</v>
      </c>
      <c r="F16" s="84"/>
      <c r="G16" s="84">
        <f t="shared" si="0"/>
        <v>34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34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31</v>
      </c>
      <c r="M16" s="84">
        <f>COUNTIF($J$6:$J16,$J16)</f>
        <v>11</v>
      </c>
      <c r="N16" s="84">
        <f>IF($C16&lt;&gt;"",VLOOKUP($C16,'[1]Course Table'!$A$1:$I$330,8,FALSE),"")</f>
        <v>3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181</v>
      </c>
      <c r="D17" s="84"/>
      <c r="E17" s="140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31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31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366</v>
      </c>
      <c r="D19" s="84"/>
      <c r="E19" s="140" t="str">
        <f>IF($C19&lt;&gt;0,VLOOKUP($C19,'[1]Course Table'!$A$1:$G$330,2,TRUE),"")</f>
        <v>Business Correspondence Level 1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499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31</v>
      </c>
      <c r="M19" s="84">
        <f>COUNTIF($J$6:$J19,$J19)</f>
        <v>14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367</v>
      </c>
      <c r="D20" s="84"/>
      <c r="E20" s="140" t="str">
        <f>IF($C20&lt;&gt;0,VLOOKUP($C20,'[1]Course Table'!$A$1:$G$330,2,TRUE),"")</f>
        <v>Business Correspondence Level 2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31</v>
      </c>
      <c r="M20" s="84">
        <f>COUNTIF($J$6:$J20,$J20)</f>
        <v>15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763</v>
      </c>
      <c r="D21" s="99"/>
      <c r="E21" s="140" t="str">
        <f>IF($C21&lt;&gt;0,VLOOKUP($C21,'[1]Course Table'!$A$1:$G$330,2,TRUE),"")</f>
        <v>MS Excel Level 1</v>
      </c>
      <c r="F21" s="84"/>
      <c r="G21" s="84">
        <f t="shared" si="0"/>
        <v>28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389</v>
      </c>
      <c r="I21" s="84">
        <f>IF($C21&lt;&gt;"",VLOOKUP($C21,'[1]Course Table'!$A$1:$G$330,5,FALSE),"")</f>
        <v>28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31</v>
      </c>
      <c r="M21" s="84">
        <f>COUNTIF($J$6:$J21,$J21)</f>
        <v>16</v>
      </c>
      <c r="N21" s="84">
        <f>IF($C21&lt;&gt;"",VLOOKUP($C21,'[1]Course Table'!$A$1:$I$330,8,FALSE),"")</f>
        <v>4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 t="s">
        <v>765</v>
      </c>
      <c r="D22" s="99"/>
      <c r="E22" s="140" t="str">
        <f>IF($C22&lt;&gt;0,VLOOKUP($C22,'[1]Course Table'!$A$1:$G$330,2,TRUE),"")</f>
        <v>MS Excel Level 2</v>
      </c>
      <c r="F22" s="84"/>
      <c r="G22" s="84">
        <f t="shared" si="0"/>
        <v>35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389</v>
      </c>
      <c r="I22" s="84">
        <f>IF($C22&lt;&gt;"",VLOOKUP($C22,'[1]Course Table'!$A$1:$G$330,5,FALSE),"")</f>
        <v>35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31</v>
      </c>
      <c r="M22" s="84">
        <f>COUNTIF($J$6:$J22,$J22)</f>
        <v>17</v>
      </c>
      <c r="N22" s="84">
        <f>IF($C22&lt;&gt;"",VLOOKUP($C22,'[1]Course Table'!$A$1:$I$330,8,FALSE),"")</f>
        <v>4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767</v>
      </c>
      <c r="D23" s="99"/>
      <c r="E23" s="140" t="str">
        <f>IF($C23&lt;&gt;0,VLOOKUP($C23,'[1]Course Table'!$A$1:$G$330,2,TRUE),"")</f>
        <v>MS Access Level 1</v>
      </c>
      <c r="F23" s="84"/>
      <c r="G23" s="84">
        <f t="shared" si="0"/>
        <v>27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27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31</v>
      </c>
      <c r="M23" s="84">
        <f>COUNTIF($J$6:$J23,$J23)</f>
        <v>18</v>
      </c>
      <c r="N23" s="84">
        <f>IF($C23&lt;&gt;"",VLOOKUP($C23,'[1]Course Table'!$A$1:$I$330,8,FALSE),"")</f>
        <v>5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328</v>
      </c>
      <c r="E24" s="140" t="str">
        <f>IF($C24&lt;&gt;0,VLOOKUP($C24,'[1]Course Table'!$A$1:$G$330,2,TRUE),"")</f>
        <v>Office Procedures Level 1</v>
      </c>
      <c r="F24" s="84"/>
      <c r="G24" s="84">
        <f t="shared" si="0"/>
        <v>24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399</v>
      </c>
      <c r="I24" s="84">
        <f>IF($C24&lt;&gt;"",VLOOKUP($C24,'[1]Course Table'!$A$1:$G$330,5,FALSE),"")</f>
        <v>24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31</v>
      </c>
      <c r="M24" s="84">
        <f>COUNTIF($J$6:$J24,$J24)</f>
        <v>19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41"/>
      <c r="C25" s="105" t="s">
        <v>329</v>
      </c>
      <c r="D25" s="84"/>
      <c r="E25" s="140" t="str">
        <f>IF($C25&lt;&gt;0,VLOOKUP($C25,'[1]Course Table'!$A$1:$G$330,2,TRUE),"")</f>
        <v>Office Procedures Level 2</v>
      </c>
      <c r="F25" s="84"/>
      <c r="G25" s="84">
        <f t="shared" si="0"/>
        <v>24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399</v>
      </c>
      <c r="I25" s="84">
        <f>IF($C25&lt;&gt;"",VLOOKUP($C25,'[1]Course Table'!$A$1:$G$330,5,FALSE),"")</f>
        <v>24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31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41"/>
      <c r="C26" s="105" t="s">
        <v>760</v>
      </c>
      <c r="D26" s="84"/>
      <c r="E26" s="140" t="str">
        <f>IF($C26&lt;&gt;0,VLOOKUP($C26,'[1]Course Table'!$A$1:$G$330,2,TRUE),"")</f>
        <v>MS Powerpoint Level 1</v>
      </c>
      <c r="F26" s="84"/>
      <c r="G26" s="84">
        <f t="shared" si="0"/>
        <v>24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24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31</v>
      </c>
      <c r="M26" s="84">
        <f>COUNTIF($J$6:$J26,$J26)</f>
        <v>21</v>
      </c>
      <c r="N26" s="84">
        <f>IF($C26&lt;&gt;"",VLOOKUP($C26,'[1]Course Table'!$A$1:$I$330,8,FALSE),"")</f>
        <v>6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41"/>
      <c r="C27" s="105" t="s">
        <v>761</v>
      </c>
      <c r="D27" s="84"/>
      <c r="E27" s="140" t="str">
        <f>IF($C27&lt;&gt;0,VLOOKUP($C27,'[1]Course Table'!$A$1:$G$330,2,TRUE),"")</f>
        <v>MS Powerpoint Level 2</v>
      </c>
      <c r="F27" s="84"/>
      <c r="G27" s="84">
        <f t="shared" si="0"/>
        <v>26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399</v>
      </c>
      <c r="I27" s="84">
        <f>IF($C27&lt;&gt;"",VLOOKUP($C27,'[1]Course Table'!$A$1:$G$330,5,FALSE),"")</f>
        <v>26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31</v>
      </c>
      <c r="M27" s="84">
        <f>COUNTIF($J$6:$J27,$J27)</f>
        <v>22</v>
      </c>
      <c r="N27" s="84">
        <f>IF($C27&lt;&gt;"",VLOOKUP($C27,'[1]Course Table'!$A$1:$I$330,8,FALSE),"")</f>
        <v>6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780</v>
      </c>
      <c r="D28" s="84"/>
      <c r="E28" s="140" t="str">
        <f>IF($C28&lt;&gt;0,VLOOKUP($C28,'[1]Course Table'!$A$1:$G$330,2,TRUE),"")</f>
        <v>MS Publisher Level 1</v>
      </c>
      <c r="F28" s="84"/>
      <c r="G28" s="84">
        <f t="shared" si="0"/>
        <v>26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428</v>
      </c>
      <c r="I28" s="84">
        <f>IF($C28&lt;&gt;"",VLOOKUP($C28,'[1]Course Table'!$A$1:$G$330,5,FALSE),"")</f>
        <v>26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31</v>
      </c>
      <c r="M28" s="84">
        <f>COUNTIF($J$6:$J28,$J28)</f>
        <v>23</v>
      </c>
      <c r="N28" s="84">
        <f>IF($C28&lt;&gt;"",VLOOKUP($C28,'[1]Course Table'!$A$1:$I$330,8,FALSE),"")</f>
        <v>6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41"/>
      <c r="C29" s="105" t="s">
        <v>347</v>
      </c>
      <c r="D29" s="84"/>
      <c r="E29" s="140" t="str">
        <f>IF($C29&lt;&gt;0,VLOOKUP($C29,'[1]Course Table'!$A$1:$G$330,2,TRUE),"")</f>
        <v>Bootstrap using Dreamweaver 1</v>
      </c>
      <c r="F29" s="84"/>
      <c r="G29" s="84">
        <f t="shared" si="0"/>
        <v>50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829</v>
      </c>
      <c r="I29" s="84">
        <f>IF($C29&lt;&gt;"",VLOOKUP($C29,'[1]Course Table'!$A$1:$G$330,5,FALSE),"")</f>
        <v>50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31</v>
      </c>
      <c r="M29" s="84">
        <f>COUNTIF($J$6:$J29,$J29)</f>
        <v>24</v>
      </c>
      <c r="N29" s="84">
        <f>IF($C29&lt;&gt;"",VLOOKUP($C29,'[1]Course Table'!$A$1:$I$330,8,FALSE),"")</f>
        <v>19</v>
      </c>
      <c r="O29" s="84">
        <f>IF($C29&lt;&gt;"",VLOOKUP($C29,'[1]Course Table'!$A$1:$I$330,9,FALSE),"")</f>
        <v>2.5</v>
      </c>
      <c r="P29" s="84"/>
      <c r="Q29" s="84"/>
    </row>
    <row r="30" spans="1:18">
      <c r="A30" s="79" t="s">
        <v>0</v>
      </c>
      <c r="B30" s="141"/>
      <c r="C30" s="105" t="s">
        <v>342</v>
      </c>
      <c r="D30" s="84"/>
      <c r="E30" s="140" t="str">
        <f>IF($C30&lt;&gt;0,VLOOKUP($C30,'[1]Course Table'!$A$1:$G$330,2,TRUE),"")</f>
        <v>Photoshop Basics</v>
      </c>
      <c r="F30" s="84"/>
      <c r="G30" s="84">
        <f t="shared" si="0"/>
        <v>40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829</v>
      </c>
      <c r="I30" s="84">
        <f>IF($C30&lt;&gt;"",VLOOKUP($C30,'[1]Course Table'!$A$1:$G$330,5,FALSE),"")</f>
        <v>40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31</v>
      </c>
      <c r="M30" s="84">
        <f>COUNTIF($J$6:$J30,$J30)</f>
        <v>25</v>
      </c>
      <c r="N30" s="84">
        <f>IF($C30&lt;&gt;"",VLOOKUP($C30,'[1]Course Table'!$A$1:$I$330,8,FALSE),"")</f>
        <v>19</v>
      </c>
      <c r="O30" s="84">
        <f>IF($C30&lt;&gt;"",VLOOKUP($C30,'[1]Course Table'!$A$1:$I$330,9,FALSE),"")</f>
        <v>2</v>
      </c>
      <c r="P30" s="84"/>
      <c r="Q30" s="84"/>
    </row>
    <row r="31" spans="1:18">
      <c r="A31" s="79" t="s">
        <v>0</v>
      </c>
      <c r="B31" s="141"/>
      <c r="C31" s="105" t="s">
        <v>183</v>
      </c>
      <c r="D31" s="84"/>
      <c r="E31" s="140" t="str">
        <f>IF($C31&lt;&gt;0,VLOOKUP($C31,'[1]Course Table'!$A$1:$G$330,2,TRUE),"")</f>
        <v>Management Fundamentals</v>
      </c>
      <c r="F31" s="84"/>
      <c r="G31" s="84">
        <f t="shared" si="0"/>
        <v>36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688</v>
      </c>
      <c r="I31" s="84">
        <f>IF($C31&lt;&gt;"",VLOOKUP($C31,'[1]Course Table'!$A$1:$G$330,5,FALSE),"")</f>
        <v>36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31</v>
      </c>
      <c r="M31" s="84">
        <f>COUNTIF($J$6:$J31,$J31)</f>
        <v>26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2</v>
      </c>
      <c r="P31" s="84"/>
      <c r="Q31" s="84"/>
    </row>
    <row r="32" spans="1:18">
      <c r="A32" s="79" t="s">
        <v>0</v>
      </c>
      <c r="B32" s="141"/>
      <c r="C32" s="105" t="s">
        <v>16</v>
      </c>
      <c r="D32" s="84"/>
      <c r="E32" s="140" t="str">
        <f>IF($C32&lt;&gt;0,VLOOKUP($C32,'[1]Course Table'!$A$1:$G$330,2,TRUE),"")</f>
        <v>Practical Applications - 3 Units</v>
      </c>
      <c r="F32" s="84"/>
      <c r="G32" s="84">
        <f t="shared" si="0"/>
        <v>60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965</v>
      </c>
      <c r="I32" s="84">
        <f>IF($C32&lt;&gt;"",VLOOKUP($C32,'[1]Course Table'!$A$1:$G$330,5,FALSE),"")</f>
        <v>60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31</v>
      </c>
      <c r="M32" s="84">
        <f>COUNTIF($J$6:$J32,$J32)</f>
        <v>27</v>
      </c>
      <c r="N32" s="84">
        <f>IF($C32&lt;&gt;"",VLOOKUP($C32,'[1]Course Table'!$A$1:$I$330,8,FALSE),"")</f>
        <v>2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 t="s">
        <v>0</v>
      </c>
      <c r="B33" s="141"/>
      <c r="C33" s="105" t="s">
        <v>462</v>
      </c>
      <c r="D33" s="84"/>
      <c r="E33" s="140" t="str">
        <f>IF($C33&lt;&gt;0,VLOOKUP($C33,'[1]Course Table'!$A$1:$G$330,2,TRUE),"")</f>
        <v>Internet Fundamentals</v>
      </c>
      <c r="F33" s="84"/>
      <c r="G33" s="84">
        <f t="shared" si="0"/>
        <v>22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389</v>
      </c>
      <c r="I33" s="84">
        <f>IF($C33&lt;&gt;"",VLOOKUP($C33,'[1]Course Table'!$A$1:$G$330,5,FALSE),"")</f>
        <v>22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31</v>
      </c>
      <c r="M33" s="84">
        <f>COUNTIF($J$6:$J33,$J33)</f>
        <v>28</v>
      </c>
      <c r="N33" s="84">
        <f>IF($C33&lt;&gt;"",VLOOKUP($C33,'[1]Course Table'!$A$1:$I$330,8,FALSE),"")</f>
        <v>2</v>
      </c>
      <c r="O33" s="84">
        <f>IF($C33&lt;&gt;"",VLOOKUP($C33,'[1]Course Table'!$A$1:$I$330,9,FALSE),"")</f>
        <v>1</v>
      </c>
      <c r="P33" s="84"/>
      <c r="Q33" s="84"/>
      <c r="R33" s="90"/>
    </row>
    <row r="34" spans="1:18">
      <c r="A34" s="79" t="s">
        <v>1</v>
      </c>
      <c r="B34" s="141"/>
      <c r="C34" s="105" t="s">
        <v>762</v>
      </c>
      <c r="D34" s="84"/>
      <c r="E34" s="140" t="str">
        <f>IF($C34&lt;&gt;0,VLOOKUP($C34,'[1]Course Table'!$A$1:$G$330,2,TRUE),"")</f>
        <v>MS Outlook Level 1</v>
      </c>
      <c r="F34" s="84"/>
      <c r="G34" s="84">
        <f t="shared" si="0"/>
        <v>25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389</v>
      </c>
      <c r="I34" s="84">
        <f>IF($C34&lt;&gt;"",VLOOKUP($C34,'[1]Course Table'!$A$1:$G$330,5,FALSE),"")</f>
        <v>25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31</v>
      </c>
      <c r="M34" s="84">
        <f>COUNTIF($J$6:$J34,$J34)</f>
        <v>29</v>
      </c>
      <c r="N34" s="84">
        <f>IF($C34&lt;&gt;"",VLOOKUP($C34,'[1]Course Table'!$A$1:$I$330,8,FALSE),"")</f>
        <v>2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 t="s">
        <v>0</v>
      </c>
      <c r="B35" s="141"/>
      <c r="C35" s="105" t="s">
        <v>249</v>
      </c>
      <c r="D35" s="84"/>
      <c r="E35" s="140" t="str">
        <f>IF($C35&lt;&gt;0,VLOOKUP($C35,'[1]Course Table'!$A$1:$G$330,2,TRUE),"")</f>
        <v>Job Search/Resume Writing</v>
      </c>
      <c r="F35" s="84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579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31</v>
      </c>
      <c r="M35" s="84">
        <f>COUNTIF($J$6:$J35,$J35)</f>
        <v>30</v>
      </c>
      <c r="N35" s="84">
        <f>IF($C35&lt;&gt;"",VLOOKUP($C35,'[1]Course Table'!$A$1:$I$330,8,FALSE),"")</f>
        <v>15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/>
      <c r="B36" s="141"/>
      <c r="C36" s="105" t="s">
        <v>420</v>
      </c>
      <c r="D36" s="84"/>
      <c r="E36" s="140" t="str">
        <f>IF($C36&lt;&gt;0,VLOOKUP($C36,'[1]Course Table'!$A$1:$G$330,2,TRUE),"")</f>
        <v>Study/Review - Executive Assistant - BC</v>
      </c>
      <c r="F36" s="84"/>
      <c r="G36" s="84">
        <f t="shared" si="0"/>
        <v>88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88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31</v>
      </c>
      <c r="M36" s="84">
        <f>COUNTIF($J$6:$J36,$J36)</f>
        <v>31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4.5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4</v>
      </c>
      <c r="M37" s="84">
        <f>COUNTIF($J$6:$J37,$J37)</f>
        <v>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4</v>
      </c>
      <c r="M38" s="84">
        <f>COUNTIF($J$6:$J38,$J38)</f>
        <v>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4</v>
      </c>
      <c r="M39" s="84">
        <f>COUNTIF($J$6:$J39,$J39)</f>
        <v>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4</v>
      </c>
      <c r="M40" s="84">
        <f>COUNTIF($J$6:$J40,$J40)</f>
        <v>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20</v>
      </c>
      <c r="E41" s="89"/>
      <c r="F41" s="89"/>
      <c r="G41" s="89"/>
      <c r="H41" s="114">
        <f>SUM(H6:H40)</f>
        <v>14334</v>
      </c>
      <c r="I41" s="115">
        <f>SUM(I6:I40)</f>
        <v>971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- 883          Exam &amp; Review Hours - 88          Total Course Hours - 971</v>
      </c>
      <c r="E42" s="301"/>
      <c r="F42" s="301"/>
      <c r="G42" s="301"/>
      <c r="H42" s="117">
        <f>ROUNDUP(H41/(I41+C43),2)</f>
        <v>14.77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Hrs/Week:11.2 Months (48 Weeks); at 25 Hrs/Week:9 Months (39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$14688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46.5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5.5</v>
      </c>
      <c r="O49" s="78">
        <f>SUMIF($N$6:$N$40,Summary!O4,$O$6:$O$40)</f>
        <v>5.5</v>
      </c>
      <c r="P49" s="78">
        <f>SUMIF($N$6:$N$40,Summary!P4,$O$6:$O$40)</f>
        <v>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4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8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4.5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1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193" customWidth="1"/>
    <col min="2" max="2" width="1.83203125" style="193" customWidth="1"/>
    <col min="3" max="3" width="11.33203125" style="183" customWidth="1"/>
    <col min="4" max="4" width="10.83203125" style="183" customWidth="1"/>
    <col min="5" max="5" width="62.83203125" style="183" customWidth="1"/>
    <col min="6" max="6" width="7.5" style="183" customWidth="1"/>
    <col min="7" max="7" width="15.83203125" style="183" customWidth="1"/>
    <col min="8" max="8" width="7.33203125" style="227" customWidth="1"/>
    <col min="9" max="9" width="9.33203125" style="183"/>
    <col min="10" max="10" width="11.33203125" style="183" customWidth="1"/>
    <col min="11" max="11" width="11.1640625" style="183" customWidth="1"/>
    <col min="12" max="12" width="10.83203125" style="183" customWidth="1"/>
    <col min="13" max="14" width="13.1640625" style="183" customWidth="1"/>
    <col min="15" max="15" width="11.83203125" style="183" customWidth="1"/>
    <col min="16" max="16" width="10.83203125" style="183" customWidth="1"/>
    <col min="17" max="16384" width="9.33203125" style="183"/>
  </cols>
  <sheetData>
    <row r="1" spans="1:17" ht="42" customHeight="1">
      <c r="A1" s="180" t="s">
        <v>2</v>
      </c>
      <c r="B1" s="181"/>
      <c r="C1" s="182"/>
      <c r="E1" s="184"/>
      <c r="F1" s="308" t="str">
        <f>'[1]Franchise Info'!$B$8</f>
        <v>Abbotsford</v>
      </c>
      <c r="G1" s="308"/>
      <c r="H1" s="185"/>
      <c r="I1" s="186"/>
    </row>
    <row r="2" spans="1:17" ht="15.75" customHeight="1">
      <c r="A2" s="187" t="s">
        <v>3</v>
      </c>
      <c r="B2" s="188"/>
      <c r="C2" s="188"/>
      <c r="D2" s="189"/>
      <c r="E2" s="190"/>
      <c r="F2" s="309" t="str">
        <f>'[1]Franchise Info'!$B$6</f>
        <v>(o/b 0833917 B.C. Ltd.)</v>
      </c>
      <c r="G2" s="309"/>
      <c r="H2" s="191"/>
      <c r="I2" s="192"/>
    </row>
    <row r="3" spans="1:17" ht="14.25" customHeight="1">
      <c r="A3" s="187" t="s">
        <v>4</v>
      </c>
      <c r="B3" s="188"/>
      <c r="C3" s="188"/>
      <c r="D3" s="193" t="s">
        <v>590</v>
      </c>
      <c r="E3" s="194" t="str">
        <f>'[1]Franchise Info'!$B$4</f>
        <v>#204 - 2692 Clearbrook Road, Abbotsford, BC, V2T 2Y8</v>
      </c>
      <c r="F3" s="193"/>
      <c r="G3" s="195" t="str">
        <f>'[1]Franchise Info'!$B$5</f>
        <v>Eff. October 1, 2016</v>
      </c>
      <c r="H3" s="196"/>
      <c r="I3" s="197"/>
      <c r="J3" s="198"/>
      <c r="K3" s="198"/>
      <c r="L3" s="198"/>
      <c r="M3" s="198"/>
      <c r="N3" s="198"/>
      <c r="O3" s="198"/>
      <c r="P3" s="198"/>
      <c r="Q3" s="198"/>
    </row>
    <row r="4" spans="1:17" ht="18.75">
      <c r="A4" s="187" t="s">
        <v>5</v>
      </c>
      <c r="B4" s="199"/>
      <c r="C4" s="199"/>
      <c r="D4" s="310" t="s">
        <v>529</v>
      </c>
      <c r="E4" s="310"/>
      <c r="F4" s="310"/>
      <c r="G4" s="200" t="s">
        <v>530</v>
      </c>
      <c r="H4" s="201"/>
      <c r="I4" s="193" t="s">
        <v>7</v>
      </c>
      <c r="P4" s="193"/>
      <c r="Q4" s="193"/>
    </row>
    <row r="5" spans="1:17">
      <c r="A5" s="198" t="s">
        <v>550</v>
      </c>
      <c r="B5" s="198"/>
      <c r="C5" s="198"/>
      <c r="D5" s="202" t="s">
        <v>8</v>
      </c>
      <c r="F5" s="203"/>
      <c r="G5" s="204" t="s">
        <v>9</v>
      </c>
      <c r="H5" s="205" t="s">
        <v>10</v>
      </c>
      <c r="I5" s="203" t="s">
        <v>9</v>
      </c>
      <c r="J5" s="198" t="s">
        <v>11</v>
      </c>
      <c r="K5" s="198" t="s">
        <v>12</v>
      </c>
      <c r="L5" s="198" t="s">
        <v>11</v>
      </c>
      <c r="M5" s="198" t="s">
        <v>13</v>
      </c>
      <c r="N5" s="198" t="s">
        <v>14</v>
      </c>
      <c r="O5" s="198" t="s">
        <v>15</v>
      </c>
      <c r="P5" s="193"/>
      <c r="Q5" s="193"/>
    </row>
    <row r="6" spans="1:17">
      <c r="A6" s="206"/>
      <c r="B6" s="207"/>
      <c r="C6" s="182"/>
      <c r="D6" s="208"/>
      <c r="E6" s="209" t="str">
        <f>IF($C6&lt;&gt;0,VLOOKUP($C6,'[1]Course Table'!$A$1:$G$295,2,TRUE),"")</f>
        <v/>
      </c>
      <c r="F6" s="193"/>
      <c r="G6" s="193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193" t="str">
        <f>IF($C6&lt;&gt;"",VLOOKUP($C6,'[1]Course Table'!$A$1:$G$295,5,FALSE),"")</f>
        <v/>
      </c>
      <c r="J6" s="210" t="str">
        <f>IF(AND($C6&lt;&gt;"",A6&lt;&gt;"E"),VLOOKUP($C6,'[1]Course Table'!$A$1:$G$295,6,FALSE),"")</f>
        <v/>
      </c>
      <c r="K6" s="210" t="str">
        <f>IF($C6&lt;&gt;"",VLOOKUP($C6,'[1]Course Table'!$A$1:$G$295,7,FALSE),"")</f>
        <v/>
      </c>
      <c r="L6" s="193">
        <f t="shared" ref="L6:L40" si="0">COUNTIF($J$6:$J$40,$J6)</f>
        <v>6</v>
      </c>
      <c r="M6" s="193">
        <f>COUNTIF($J$6:$J6,$J6)</f>
        <v>1</v>
      </c>
      <c r="N6" s="193" t="str">
        <f>IF($C6&lt;&gt;"",VLOOKUP($C6,'[1]Course Table'!$A$1:$I$295,8,FALSE),"")</f>
        <v/>
      </c>
      <c r="O6" s="193" t="str">
        <f>IF($C6&lt;&gt;"",VLOOKUP($C6,'[1]Course Table'!$A$1:$I$295,9,FALSE),"")</f>
        <v/>
      </c>
      <c r="P6" s="193"/>
      <c r="Q6" s="193"/>
    </row>
    <row r="7" spans="1:17">
      <c r="A7" s="187"/>
      <c r="B7" s="211"/>
      <c r="C7" s="212"/>
      <c r="D7" s="208"/>
      <c r="E7" s="209" t="str">
        <f>IF($C7&lt;&gt;0,VLOOKUP($C7,'[1]Course Table'!$A$1:$G$295,2,TRUE),"")</f>
        <v/>
      </c>
      <c r="F7" s="193"/>
      <c r="G7" s="193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193" t="str">
        <f>IF($C7&lt;&gt;"",VLOOKUP($C7,'[1]Course Table'!$A$1:$G$295,5,FALSE),"")</f>
        <v/>
      </c>
      <c r="J7" s="210" t="str">
        <f>IF(AND($C7&lt;&gt;"",A7&lt;&gt;"E"),VLOOKUP($C7,'[1]Course Table'!$A$1:$G$295,6,FALSE),"")</f>
        <v/>
      </c>
      <c r="K7" s="210" t="str">
        <f>IF($C7&lt;&gt;"",VLOOKUP($C7,'[1]Course Table'!$A$1:$G$295,7,FALSE),"")</f>
        <v/>
      </c>
      <c r="L7" s="193">
        <f t="shared" si="0"/>
        <v>6</v>
      </c>
      <c r="M7" s="193">
        <f>COUNTIF($J$6:$J7,$J7)</f>
        <v>2</v>
      </c>
      <c r="N7" s="193" t="str">
        <f>IF($C7&lt;&gt;"",VLOOKUP($C7,'[1]Course Table'!$A$1:$I$295,8,FALSE),"")</f>
        <v/>
      </c>
      <c r="O7" s="193" t="str">
        <f>IF($C7&lt;&gt;"",VLOOKUP($C7,'[1]Course Table'!$A$1:$I$295,9,FALSE),"")</f>
        <v/>
      </c>
      <c r="P7" s="193"/>
      <c r="Q7" s="193"/>
    </row>
    <row r="8" spans="1:17">
      <c r="A8" s="187"/>
      <c r="B8" s="211"/>
      <c r="C8" s="212" t="s">
        <v>388</v>
      </c>
      <c r="D8" s="193"/>
      <c r="E8" s="209" t="str">
        <f>IF($C8&lt;&gt;0,VLOOKUP($C8,'[1]Course Table'!$A$1:$G$295,2,TRUE),"")</f>
        <v>Introduction to Keyboarding</v>
      </c>
      <c r="F8" s="193"/>
      <c r="G8" s="193">
        <f t="shared" si="1"/>
        <v>19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349</v>
      </c>
      <c r="I8" s="193">
        <f>IF($C8&lt;&gt;"",VLOOKUP($C8,'[1]Course Table'!$A$1:$G$295,5,FALSE),"")</f>
        <v>19</v>
      </c>
      <c r="J8" s="210">
        <f>IF(AND($C8&lt;&gt;"",A8&lt;&gt;"E"),VLOOKUP($C8,'[1]Course Table'!$A$1:$G$295,6,FALSE),"")</f>
        <v>0</v>
      </c>
      <c r="K8" s="210">
        <f>IF($C8&lt;&gt;"",VLOOKUP($C8,'[1]Course Table'!$A$1:$G$295,7,FALSE),"")</f>
        <v>0</v>
      </c>
      <c r="L8" s="193">
        <f t="shared" si="0"/>
        <v>29</v>
      </c>
      <c r="M8" s="193">
        <f>COUNTIF($J$6:$J8,$J8)</f>
        <v>1</v>
      </c>
      <c r="N8" s="193">
        <f>IF($C8&lt;&gt;"",VLOOKUP($C8,'[1]Course Table'!$A$1:$I$295,8,FALSE),"")</f>
        <v>1</v>
      </c>
      <c r="O8" s="193">
        <f>IF($C8&lt;&gt;"",VLOOKUP($C8,'[1]Course Table'!$A$1:$I$295,9,FALSE),"")</f>
        <v>1</v>
      </c>
      <c r="P8" s="193"/>
      <c r="Q8" s="193"/>
    </row>
    <row r="9" spans="1:17">
      <c r="A9" s="187"/>
      <c r="B9" s="211"/>
      <c r="C9" s="212" t="s">
        <v>390</v>
      </c>
      <c r="D9" s="193"/>
      <c r="E9" s="209" t="str">
        <f>IF($C9&lt;&gt;0,VLOOKUP($C9,'[1]Course Table'!$A$1:$G$295,2,TRUE),"")</f>
        <v>Keyboard Skill Building Level 1 (25 WPM)</v>
      </c>
      <c r="F9" s="193"/>
      <c r="G9" s="193">
        <f t="shared" si="1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193">
        <f>IF($C9&lt;&gt;"",VLOOKUP($C9,'[1]Course Table'!$A$1:$G$295,5,FALSE),"")</f>
        <v>25</v>
      </c>
      <c r="J9" s="210">
        <f>IF(AND($C9&lt;&gt;"",A9&lt;&gt;"E"),VLOOKUP($C9,'[1]Course Table'!$A$1:$G$295,6,FALSE),"")</f>
        <v>0</v>
      </c>
      <c r="K9" s="210">
        <f>IF($C9&lt;&gt;"",VLOOKUP($C9,'[1]Course Table'!$A$1:$G$295,7,FALSE),"")</f>
        <v>0</v>
      </c>
      <c r="L9" s="193">
        <f t="shared" si="0"/>
        <v>29</v>
      </c>
      <c r="M9" s="193">
        <f>COUNTIF($J$6:$J9,$J9)</f>
        <v>2</v>
      </c>
      <c r="N9" s="193">
        <f>IF($C9&lt;&gt;"",VLOOKUP($C9,'[1]Course Table'!$A$1:$I$295,8,FALSE),"")</f>
        <v>1</v>
      </c>
      <c r="O9" s="193">
        <f>IF($C9&lt;&gt;"",VLOOKUP($C9,'[1]Course Table'!$A$1:$I$295,9,FALSE),"")</f>
        <v>1.5</v>
      </c>
      <c r="P9" s="193"/>
      <c r="Q9" s="193"/>
    </row>
    <row r="10" spans="1:17">
      <c r="A10" s="187"/>
      <c r="B10" s="211"/>
      <c r="C10" s="212" t="s">
        <v>785</v>
      </c>
      <c r="D10" s="193"/>
      <c r="E10" s="209" t="str">
        <f>IF($C10&lt;&gt;0,VLOOKUP($C10,'[1]Course Table'!$A$1:$G$295,2,TRUE),"")</f>
        <v>Thought Patterns for a Successful Career</v>
      </c>
      <c r="F10" s="193"/>
      <c r="G10" s="193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193">
        <f>IF($C10&lt;&gt;"",VLOOKUP($C10,'[1]Course Table'!$A$1:$G$295,5,FALSE),"")</f>
        <v>24</v>
      </c>
      <c r="J10" s="210">
        <f>IF(AND($C10&lt;&gt;"",A10&lt;&gt;"E"),VLOOKUP($C10,'[1]Course Table'!$A$1:$G$295,6,FALSE),"")</f>
        <v>0</v>
      </c>
      <c r="K10" s="210">
        <f>IF($C10&lt;&gt;"",VLOOKUP($C10,'[1]Course Table'!$A$1:$G$295,7,FALSE),"")</f>
        <v>0</v>
      </c>
      <c r="L10" s="193">
        <f t="shared" si="0"/>
        <v>29</v>
      </c>
      <c r="M10" s="193">
        <f>COUNTIF($J$6:$J10,$J10)</f>
        <v>3</v>
      </c>
      <c r="N10" s="193">
        <f>IF($C10&lt;&gt;"",VLOOKUP($C10,'[1]Course Table'!$A$1:$I$295,8,FALSE),"")</f>
        <v>15</v>
      </c>
      <c r="O10" s="193">
        <f>IF($C10&lt;&gt;"",VLOOKUP($C10,'[1]Course Table'!$A$1:$I$295,9,FALSE),"")</f>
        <v>1</v>
      </c>
      <c r="P10" s="193"/>
      <c r="Q10" s="193"/>
    </row>
    <row r="11" spans="1:17">
      <c r="A11" s="187"/>
      <c r="B11" s="211"/>
      <c r="C11" s="212" t="s">
        <v>580</v>
      </c>
      <c r="D11" s="193"/>
      <c r="E11" s="209" t="str">
        <f>IF($C11&lt;&gt;0,VLOOKUP($C11,'[1]Course Table'!$A$1:$G$295,2,TRUE),"")</f>
        <v>Personal Computer Fundamentals</v>
      </c>
      <c r="F11" s="193"/>
      <c r="G11" s="193">
        <f t="shared" si="1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193">
        <f>IF($C11&lt;&gt;"",VLOOKUP($C11,'[1]Course Table'!$A$1:$G$295,5,FALSE),"")</f>
        <v>24</v>
      </c>
      <c r="J11" s="210">
        <f>IF(AND($C11&lt;&gt;"",A11&lt;&gt;"E"),VLOOKUP($C11,'[1]Course Table'!$A$1:$G$295,6,FALSE),"")</f>
        <v>0</v>
      </c>
      <c r="K11" s="210">
        <f>IF($C11&lt;&gt;"",VLOOKUP($C11,'[1]Course Table'!$A$1:$G$295,7,FALSE),"")</f>
        <v>0</v>
      </c>
      <c r="L11" s="193">
        <f t="shared" si="0"/>
        <v>29</v>
      </c>
      <c r="M11" s="193">
        <f>COUNTIF($J$6:$J11,$J11)</f>
        <v>4</v>
      </c>
      <c r="N11" s="193">
        <f>IF($C11&lt;&gt;"",VLOOKUP($C11,'[1]Course Table'!$A$1:$I$295,8,FALSE),"")</f>
        <v>2</v>
      </c>
      <c r="O11" s="193">
        <f>IF($C11&lt;&gt;"",VLOOKUP($C11,'[1]Course Table'!$A$1:$I$295,9,FALSE),"")</f>
        <v>1</v>
      </c>
      <c r="P11" s="193"/>
      <c r="Q11" s="193"/>
    </row>
    <row r="12" spans="1:17">
      <c r="A12" s="187"/>
      <c r="B12" s="211"/>
      <c r="C12" s="212" t="s">
        <v>463</v>
      </c>
      <c r="D12" s="193"/>
      <c r="E12" s="209" t="str">
        <f>IF($C12&lt;&gt;0,VLOOKUP($C12,'[1]Course Table'!$A$1:$G$295,2,TRUE),"")</f>
        <v>Windows 10 Level 1</v>
      </c>
      <c r="F12" s="193"/>
      <c r="G12" s="193">
        <f t="shared" si="1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193">
        <f>IF($C12&lt;&gt;"",VLOOKUP($C12,'[1]Course Table'!$A$1:$G$295,5,FALSE),"")</f>
        <v>21</v>
      </c>
      <c r="J12" s="210">
        <f>IF(AND($C12&lt;&gt;"",A12&lt;&gt;"E"),VLOOKUP($C12,'[1]Course Table'!$A$1:$G$295,6,FALSE),"")</f>
        <v>0</v>
      </c>
      <c r="K12" s="210">
        <f>IF($C12&lt;&gt;"",VLOOKUP($C12,'[1]Course Table'!$A$1:$G$295,7,FALSE),"")</f>
        <v>0</v>
      </c>
      <c r="L12" s="193">
        <f t="shared" si="0"/>
        <v>29</v>
      </c>
      <c r="M12" s="193">
        <f>COUNTIF($J$6:$J12,$J12)</f>
        <v>5</v>
      </c>
      <c r="N12" s="193">
        <f>IF($C12&lt;&gt;"",VLOOKUP($C12,'[1]Course Table'!$A$1:$I$295,8,FALSE),"")</f>
        <v>8</v>
      </c>
      <c r="O12" s="193">
        <f>IF($C12&lt;&gt;"",VLOOKUP($C12,'[1]Course Table'!$A$1:$I$295,9,FALSE),"")</f>
        <v>1</v>
      </c>
      <c r="P12" s="193"/>
      <c r="Q12" s="193"/>
    </row>
    <row r="13" spans="1:17">
      <c r="A13" s="187"/>
      <c r="B13" s="211"/>
      <c r="C13" s="212" t="s">
        <v>462</v>
      </c>
      <c r="D13" s="193"/>
      <c r="E13" s="209" t="str">
        <f>IF($C13&lt;&gt;0,VLOOKUP($C13,'[1]Course Table'!$A$1:$G$295,2,TRUE),"")</f>
        <v>Internet Fundamentals</v>
      </c>
      <c r="F13" s="193"/>
      <c r="G13" s="193">
        <f t="shared" si="1"/>
        <v>22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193">
        <f>IF($C13&lt;&gt;"",VLOOKUP($C13,'[1]Course Table'!$A$1:$G$295,5,FALSE),"")</f>
        <v>22</v>
      </c>
      <c r="J13" s="210">
        <f>IF(AND($C13&lt;&gt;"",A13&lt;&gt;"E"),VLOOKUP($C13,'[1]Course Table'!$A$1:$G$295,6,FALSE),"")</f>
        <v>0</v>
      </c>
      <c r="K13" s="210">
        <f>IF($C13&lt;&gt;"",VLOOKUP($C13,'[1]Course Table'!$A$1:$G$295,7,FALSE),"")</f>
        <v>0</v>
      </c>
      <c r="L13" s="193">
        <f t="shared" si="0"/>
        <v>29</v>
      </c>
      <c r="M13" s="193">
        <f>COUNTIF($J$6:$J13,$J13)</f>
        <v>6</v>
      </c>
      <c r="N13" s="193">
        <f>IF($C13&lt;&gt;"",VLOOKUP($C13,'[1]Course Table'!$A$1:$I$295,8,FALSE),"")</f>
        <v>2</v>
      </c>
      <c r="O13" s="193">
        <f>IF($C13&lt;&gt;"",VLOOKUP($C13,'[1]Course Table'!$A$1:$I$295,9,FALSE),"")</f>
        <v>1</v>
      </c>
      <c r="P13" s="193"/>
      <c r="Q13" s="193"/>
    </row>
    <row r="14" spans="1:17">
      <c r="A14" s="187"/>
      <c r="B14" s="211"/>
      <c r="C14" s="212" t="s">
        <v>757</v>
      </c>
      <c r="D14" s="193"/>
      <c r="E14" s="209" t="str">
        <f>IF($C14&lt;&gt;0,VLOOKUP($C14,'[1]Course Table'!$A$1:$G$295,2,TRUE),"")</f>
        <v>MS Word Level 1</v>
      </c>
      <c r="F14" s="193"/>
      <c r="G14" s="193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193">
        <f>IF($C14&lt;&gt;"",VLOOKUP($C14,'[1]Course Table'!$A$1:$G$295,5,FALSE),"")</f>
        <v>28</v>
      </c>
      <c r="J14" s="210">
        <f>IF(AND($C14&lt;&gt;"",A14&lt;&gt;"E"),VLOOKUP($C14,'[1]Course Table'!$A$1:$G$295,6,FALSE),"")</f>
        <v>0</v>
      </c>
      <c r="K14" s="210">
        <f>IF($C14&lt;&gt;"",VLOOKUP($C14,'[1]Course Table'!$A$1:$G$295,7,FALSE),"")</f>
        <v>0</v>
      </c>
      <c r="L14" s="193">
        <f t="shared" si="0"/>
        <v>29</v>
      </c>
      <c r="M14" s="193">
        <f>COUNTIF($J$6:$J14,$J14)</f>
        <v>7</v>
      </c>
      <c r="N14" s="193">
        <f>IF($C14&lt;&gt;"",VLOOKUP($C14,'[1]Course Table'!$A$1:$I$295,8,FALSE),"")</f>
        <v>3</v>
      </c>
      <c r="O14" s="193">
        <f>IF($C14&lt;&gt;"",VLOOKUP($C14,'[1]Course Table'!$A$1:$I$295,9,FALSE),"")</f>
        <v>1.5</v>
      </c>
      <c r="P14" s="193"/>
      <c r="Q14" s="193"/>
    </row>
    <row r="15" spans="1:17">
      <c r="A15" s="187"/>
      <c r="B15" s="211"/>
      <c r="C15" s="212" t="s">
        <v>762</v>
      </c>
      <c r="D15" s="193"/>
      <c r="E15" s="209" t="str">
        <f>IF($C15&lt;&gt;0,VLOOKUP($C15,'[1]Course Table'!$A$1:$G$295,2,TRUE),"")</f>
        <v>MS Outlook Level 1</v>
      </c>
      <c r="F15" s="193"/>
      <c r="G15" s="193">
        <f t="shared" si="1"/>
        <v>25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193">
        <f>IF($C15&lt;&gt;"",VLOOKUP($C15,'[1]Course Table'!$A$1:$G$295,5,FALSE),"")</f>
        <v>25</v>
      </c>
      <c r="J15" s="210">
        <f>IF(AND($C15&lt;&gt;"",A15&lt;&gt;"E"),VLOOKUP($C15,'[1]Course Table'!$A$1:$G$295,6,FALSE),"")</f>
        <v>0</v>
      </c>
      <c r="K15" s="210">
        <f>IF($C15&lt;&gt;"",VLOOKUP($C15,'[1]Course Table'!$A$1:$G$295,7,FALSE),"")</f>
        <v>0</v>
      </c>
      <c r="L15" s="193">
        <f t="shared" si="0"/>
        <v>29</v>
      </c>
      <c r="M15" s="193">
        <f>COUNTIF($J$6:$J15,$J15)</f>
        <v>8</v>
      </c>
      <c r="N15" s="193">
        <f>IF($C15&lt;&gt;"",VLOOKUP($C15,'[1]Course Table'!$A$1:$I$295,8,FALSE),"")</f>
        <v>2</v>
      </c>
      <c r="O15" s="193">
        <f>IF($C15&lt;&gt;"",VLOOKUP($C15,'[1]Course Table'!$A$1:$I$295,9,FALSE),"")</f>
        <v>1.5</v>
      </c>
      <c r="P15" s="193"/>
      <c r="Q15" s="193"/>
    </row>
    <row r="16" spans="1:17">
      <c r="A16" s="187"/>
      <c r="B16" s="211"/>
      <c r="C16" s="212" t="s">
        <v>760</v>
      </c>
      <c r="D16" s="193"/>
      <c r="E16" s="209" t="str">
        <f>IF($C16&lt;&gt;0,VLOOKUP($C16,'[1]Course Table'!$A$1:$G$295,2,TRUE),"")</f>
        <v>MS Powerpoint Level 1</v>
      </c>
      <c r="F16" s="193"/>
      <c r="G16" s="193">
        <f t="shared" si="1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193">
        <f>IF($C16&lt;&gt;"",VLOOKUP($C16,'[1]Course Table'!$A$1:$G$295,5,FALSE),"")</f>
        <v>24</v>
      </c>
      <c r="J16" s="210">
        <f>IF(AND($C16&lt;&gt;"",A16&lt;&gt;"E"),VLOOKUP($C16,'[1]Course Table'!$A$1:$G$295,6,FALSE),"")</f>
        <v>0</v>
      </c>
      <c r="K16" s="210">
        <f>IF($C16&lt;&gt;"",VLOOKUP($C16,'[1]Course Table'!$A$1:$G$295,7,FALSE),"")</f>
        <v>0</v>
      </c>
      <c r="L16" s="193">
        <f t="shared" si="0"/>
        <v>29</v>
      </c>
      <c r="M16" s="193">
        <f>COUNTIF($J$6:$J16,$J16)</f>
        <v>9</v>
      </c>
      <c r="N16" s="193">
        <f>IF($C16&lt;&gt;"",VLOOKUP($C16,'[1]Course Table'!$A$1:$I$295,8,FALSE),"")</f>
        <v>6</v>
      </c>
      <c r="O16" s="193">
        <f>IF($C16&lt;&gt;"",VLOOKUP($C16,'[1]Course Table'!$A$1:$I$295,9,FALSE),"")</f>
        <v>1</v>
      </c>
      <c r="P16" s="193"/>
      <c r="Q16" s="193"/>
    </row>
    <row r="17" spans="1:18">
      <c r="A17" s="187"/>
      <c r="B17" s="211"/>
      <c r="C17" s="212" t="s">
        <v>761</v>
      </c>
      <c r="D17" s="193"/>
      <c r="E17" s="209" t="str">
        <f>IF($C17&lt;&gt;0,VLOOKUP($C17,'[1]Course Table'!$A$1:$G$295,2,TRUE),"")</f>
        <v>MS Powerpoint Level 2</v>
      </c>
      <c r="F17" s="193"/>
      <c r="G17" s="193">
        <f t="shared" si="1"/>
        <v>26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193">
        <f>IF($C17&lt;&gt;"",VLOOKUP($C17,'[1]Course Table'!$A$1:$G$295,5,FALSE),"")</f>
        <v>26</v>
      </c>
      <c r="J17" s="210">
        <f>IF(AND($C17&lt;&gt;"",A17&lt;&gt;"E"),VLOOKUP($C17,'[1]Course Table'!$A$1:$G$295,6,FALSE),"")</f>
        <v>0</v>
      </c>
      <c r="K17" s="210">
        <f>IF($C17&lt;&gt;"",VLOOKUP($C17,'[1]Course Table'!$A$1:$G$295,7,FALSE),"")</f>
        <v>0</v>
      </c>
      <c r="L17" s="193">
        <f t="shared" si="0"/>
        <v>29</v>
      </c>
      <c r="M17" s="193">
        <f>COUNTIF($J$6:$J17,$J17)</f>
        <v>10</v>
      </c>
      <c r="N17" s="193">
        <f>IF($C17&lt;&gt;"",VLOOKUP($C17,'[1]Course Table'!$A$1:$I$295,8,FALSE),"")</f>
        <v>6</v>
      </c>
      <c r="O17" s="193">
        <f>IF($C17&lt;&gt;"",VLOOKUP($C17,'[1]Course Table'!$A$1:$I$295,9,FALSE),"")</f>
        <v>1.5</v>
      </c>
      <c r="P17" s="193"/>
      <c r="Q17" s="193"/>
    </row>
    <row r="18" spans="1:18">
      <c r="A18" s="187"/>
      <c r="B18" s="211"/>
      <c r="C18" s="212" t="s">
        <v>531</v>
      </c>
      <c r="D18" s="193"/>
      <c r="E18" s="209" t="str">
        <f>IF($C18&lt;&gt;0,VLOOKUP($C18,'[1]Course Table'!$A$1:$G$295,2,TRUE),"")</f>
        <v>Business Presentations</v>
      </c>
      <c r="F18" s="193"/>
      <c r="G18" s="193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479</v>
      </c>
      <c r="I18" s="193">
        <f>IF($C18&lt;&gt;"",VLOOKUP($C18,'[1]Course Table'!$A$1:$G$295,5,FALSE),"")</f>
        <v>30</v>
      </c>
      <c r="J18" s="210">
        <f>IF(AND($C18&lt;&gt;"",A18&lt;&gt;"E"),VLOOKUP($C18,'[1]Course Table'!$A$1:$G$295,6,FALSE),"")</f>
        <v>0</v>
      </c>
      <c r="K18" s="210">
        <f>IF($C18&lt;&gt;"",VLOOKUP($C18,'[1]Course Table'!$A$1:$G$295,7,FALSE),"")</f>
        <v>0</v>
      </c>
      <c r="L18" s="193">
        <f t="shared" si="0"/>
        <v>29</v>
      </c>
      <c r="M18" s="193">
        <f>COUNTIF($J$6:$J18,$J18)</f>
        <v>11</v>
      </c>
      <c r="N18" s="193">
        <f>IF($C18&lt;&gt;"",VLOOKUP($C18,'[1]Course Table'!$A$1:$I$295,8,FALSE),"")</f>
        <v>9</v>
      </c>
      <c r="O18" s="193">
        <f>IF($C18&lt;&gt;"",VLOOKUP($C18,'[1]Course Table'!$A$1:$I$295,9,FALSE),"")</f>
        <v>1.5</v>
      </c>
      <c r="P18" s="193"/>
      <c r="Q18" s="193"/>
    </row>
    <row r="19" spans="1:18">
      <c r="A19" s="187"/>
      <c r="B19" s="211"/>
      <c r="C19" s="212" t="s">
        <v>763</v>
      </c>
      <c r="D19" s="193"/>
      <c r="E19" s="209" t="str">
        <f>IF($C19&lt;&gt;0,VLOOKUP($C19,'[1]Course Table'!$A$1:$G$295,2,TRUE),"")</f>
        <v>MS Excel Level 1</v>
      </c>
      <c r="F19" s="193"/>
      <c r="G19" s="193">
        <f t="shared" si="1"/>
        <v>28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193">
        <f>IF($C19&lt;&gt;"",VLOOKUP($C19,'[1]Course Table'!$A$1:$G$295,5,FALSE),"")</f>
        <v>28</v>
      </c>
      <c r="J19" s="210">
        <f>IF(AND($C19&lt;&gt;"",A19&lt;&gt;"E"),VLOOKUP($C19,'[1]Course Table'!$A$1:$G$295,6,FALSE),"")</f>
        <v>0</v>
      </c>
      <c r="K19" s="210">
        <f>IF($C19&lt;&gt;"",VLOOKUP($C19,'[1]Course Table'!$A$1:$G$295,7,FALSE),"")</f>
        <v>0</v>
      </c>
      <c r="L19" s="193">
        <f t="shared" si="0"/>
        <v>29</v>
      </c>
      <c r="M19" s="193">
        <f>COUNTIF($J$6:$J19,$J19)</f>
        <v>12</v>
      </c>
      <c r="N19" s="193">
        <f>IF($C19&lt;&gt;"",VLOOKUP($C19,'[1]Course Table'!$A$1:$I$295,8,FALSE),"")</f>
        <v>4</v>
      </c>
      <c r="O19" s="193">
        <f>IF($C19&lt;&gt;"",VLOOKUP($C19,'[1]Course Table'!$A$1:$I$295,9,FALSE),"")</f>
        <v>1.5</v>
      </c>
      <c r="P19" s="193"/>
      <c r="Q19" s="193"/>
    </row>
    <row r="20" spans="1:18">
      <c r="A20" s="187"/>
      <c r="B20" s="211"/>
      <c r="C20" s="212" t="s">
        <v>532</v>
      </c>
      <c r="D20" s="193"/>
      <c r="E20" s="209" t="str">
        <f>IF($C20&lt;&gt;0,VLOOKUP($C20,'[1]Course Table'!$A$1:$G$295,2,TRUE),"")</f>
        <v>Photoshop Basics</v>
      </c>
      <c r="F20" s="193"/>
      <c r="G20" s="193">
        <f t="shared" si="1"/>
        <v>60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990</v>
      </c>
      <c r="I20" s="193">
        <f>IF($C20&lt;&gt;"",VLOOKUP($C20,'[1]Course Table'!$A$1:$G$295,5,FALSE),"")</f>
        <v>60</v>
      </c>
      <c r="J20" s="210">
        <f>IF(AND($C20&lt;&gt;"",A20&lt;&gt;"E"),VLOOKUP($C20,'[1]Course Table'!$A$1:$G$295,6,FALSE),"")</f>
        <v>0</v>
      </c>
      <c r="K20" s="210">
        <f>IF($C20&lt;&gt;"",VLOOKUP($C20,'[1]Course Table'!$A$1:$G$295,7,FALSE),"")</f>
        <v>0</v>
      </c>
      <c r="L20" s="193">
        <f t="shared" si="0"/>
        <v>29</v>
      </c>
      <c r="M20" s="193">
        <f>COUNTIF($J$6:$J20,$J20)</f>
        <v>13</v>
      </c>
      <c r="N20" s="193">
        <f>IF($C20&lt;&gt;"",VLOOKUP($C20,'[1]Course Table'!$A$1:$I$295,8,FALSE),"")</f>
        <v>19</v>
      </c>
      <c r="O20" s="193">
        <f>IF($C20&lt;&gt;"",VLOOKUP($C20,'[1]Course Table'!$A$1:$I$295,9,FALSE),"")</f>
        <v>3</v>
      </c>
      <c r="P20" s="193"/>
      <c r="Q20" s="193"/>
    </row>
    <row r="21" spans="1:18">
      <c r="A21" s="187"/>
      <c r="B21" s="211"/>
      <c r="C21" s="212" t="s">
        <v>533</v>
      </c>
      <c r="D21" s="208"/>
      <c r="E21" s="209" t="str">
        <f>IF($C21&lt;&gt;0,VLOOKUP($C21,'[1]Course Table'!$A$1:$G$295,2,TRUE),"")</f>
        <v>Colour Theory</v>
      </c>
      <c r="F21" s="193"/>
      <c r="G21" s="193">
        <f t="shared" si="1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495</v>
      </c>
      <c r="I21" s="193">
        <f>IF($C21&lt;&gt;"",VLOOKUP($C21,'[1]Course Table'!$A$1:$G$295,5,FALSE),"")</f>
        <v>30</v>
      </c>
      <c r="J21" s="210">
        <f>IF(AND($C21&lt;&gt;"",A21&lt;&gt;"E"),VLOOKUP($C21,'[1]Course Table'!$A$1:$G$295,6,FALSE),"")</f>
        <v>0</v>
      </c>
      <c r="K21" s="210">
        <f>IF($C21&lt;&gt;"",VLOOKUP($C21,'[1]Course Table'!$A$1:$G$295,7,FALSE),"")</f>
        <v>0</v>
      </c>
      <c r="L21" s="193">
        <f t="shared" si="0"/>
        <v>29</v>
      </c>
      <c r="M21" s="193">
        <f>COUNTIF($J$6:$J21,$J21)</f>
        <v>14</v>
      </c>
      <c r="N21" s="193">
        <f>IF($C21&lt;&gt;"",VLOOKUP($C21,'[1]Course Table'!$A$1:$I$295,8,FALSE),"")</f>
        <v>19</v>
      </c>
      <c r="O21" s="193">
        <f>IF($C21&lt;&gt;"",VLOOKUP($C21,'[1]Course Table'!$A$1:$I$295,9,FALSE),"")</f>
        <v>1.5</v>
      </c>
      <c r="P21" s="193"/>
      <c r="Q21" s="193"/>
    </row>
    <row r="22" spans="1:18">
      <c r="A22" s="187"/>
      <c r="B22" s="211"/>
      <c r="C22" s="213" t="s">
        <v>534</v>
      </c>
      <c r="D22" s="208"/>
      <c r="E22" s="209" t="str">
        <f>IF($C22&lt;&gt;0,VLOOKUP($C22,'[1]Course Table'!$A$1:$G$295,2,TRUE),"")</f>
        <v>Illustrator Basics</v>
      </c>
      <c r="F22" s="193"/>
      <c r="G22" s="193">
        <f t="shared" si="1"/>
        <v>60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990</v>
      </c>
      <c r="I22" s="193">
        <f>IF($C22&lt;&gt;"",VLOOKUP($C22,'[1]Course Table'!$A$1:$G$295,5,FALSE),"")</f>
        <v>60</v>
      </c>
      <c r="J22" s="210">
        <f>IF(AND($C22&lt;&gt;"",A22&lt;&gt;"E"),VLOOKUP($C22,'[1]Course Table'!$A$1:$G$295,6,FALSE),"")</f>
        <v>0</v>
      </c>
      <c r="K22" s="210">
        <f>IF($C22&lt;&gt;"",VLOOKUP($C22,'[1]Course Table'!$A$1:$G$295,7,FALSE),"")</f>
        <v>0</v>
      </c>
      <c r="L22" s="193">
        <f t="shared" si="0"/>
        <v>29</v>
      </c>
      <c r="M22" s="193">
        <f>COUNTIF($J$6:$J22,$J22)</f>
        <v>15</v>
      </c>
      <c r="N22" s="193">
        <f>IF($C22&lt;&gt;"",VLOOKUP($C22,'[1]Course Table'!$A$1:$I$295,8,FALSE),"")</f>
        <v>19</v>
      </c>
      <c r="O22" s="193">
        <f>IF($C22&lt;&gt;"",VLOOKUP($C22,'[1]Course Table'!$A$1:$I$295,9,FALSE),"")</f>
        <v>3</v>
      </c>
    </row>
    <row r="23" spans="1:18">
      <c r="A23" s="187"/>
      <c r="B23" s="211"/>
      <c r="C23" s="212" t="s">
        <v>535</v>
      </c>
      <c r="D23" s="208"/>
      <c r="E23" s="209" t="str">
        <f>IF($C23&lt;&gt;0,VLOOKUP($C23,'[1]Course Table'!$A$1:$G$295,2,TRUE),"")</f>
        <v>Fundamentals of Typography</v>
      </c>
      <c r="F23" s="193"/>
      <c r="G23" s="193">
        <f t="shared" si="1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495</v>
      </c>
      <c r="I23" s="193">
        <f>IF($C23&lt;&gt;"",VLOOKUP($C23,'[1]Course Table'!$A$1:$G$295,5,FALSE),"")</f>
        <v>30</v>
      </c>
      <c r="J23" s="210">
        <f>IF(AND($C23&lt;&gt;"",A23&lt;&gt;"E"),VLOOKUP($C23,'[1]Course Table'!$A$1:$G$295,6,FALSE),"")</f>
        <v>0</v>
      </c>
      <c r="K23" s="210">
        <f>IF($C23&lt;&gt;"",VLOOKUP($C23,'[1]Course Table'!$A$1:$G$295,7,FALSE),"")</f>
        <v>0</v>
      </c>
      <c r="L23" s="193">
        <f t="shared" si="0"/>
        <v>29</v>
      </c>
      <c r="M23" s="193">
        <f>COUNTIF($J$6:$J23,$J23)</f>
        <v>16</v>
      </c>
      <c r="N23" s="193">
        <f>IF($C23&lt;&gt;"",VLOOKUP($C23,'[1]Course Table'!$A$1:$I$295,8,FALSE),"")</f>
        <v>19</v>
      </c>
      <c r="O23" s="193">
        <f>IF($C23&lt;&gt;"",VLOOKUP($C23,'[1]Course Table'!$A$1:$I$295,9,FALSE),"")</f>
        <v>1.5</v>
      </c>
      <c r="P23" s="193"/>
      <c r="Q23" s="193"/>
    </row>
    <row r="24" spans="1:18">
      <c r="A24" s="187" t="s">
        <v>153</v>
      </c>
      <c r="B24" s="211"/>
      <c r="C24" s="212" t="s">
        <v>536</v>
      </c>
      <c r="E24" s="209" t="str">
        <f>IF($C24&lt;&gt;0,VLOOKUP($C24,'[1]Course Table'!$A$1:$G$295,2,TRUE),"")</f>
        <v>Design and Composition</v>
      </c>
      <c r="F24" s="193"/>
      <c r="G24" s="193">
        <f t="shared" si="1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495</v>
      </c>
      <c r="I24" s="193">
        <f>IF($C24&lt;&gt;"",VLOOKUP($C24,'[1]Course Table'!$A$1:$G$295,5,FALSE),"")</f>
        <v>30</v>
      </c>
      <c r="J24" s="210">
        <f>IF(AND($C24&lt;&gt;"",A24&lt;&gt;"E"),VLOOKUP($C24,'[1]Course Table'!$A$1:$G$295,6,FALSE),"")</f>
        <v>0</v>
      </c>
      <c r="K24" s="210">
        <f>IF($C24&lt;&gt;"",VLOOKUP($C24,'[1]Course Table'!$A$1:$G$295,7,FALSE),"")</f>
        <v>0</v>
      </c>
      <c r="L24" s="193">
        <f t="shared" si="0"/>
        <v>29</v>
      </c>
      <c r="M24" s="193">
        <f>COUNTIF($J$6:$J24,$J24)</f>
        <v>17</v>
      </c>
      <c r="N24" s="193">
        <f>IF($C24&lt;&gt;"",VLOOKUP($C24,'[1]Course Table'!$A$1:$I$295,8,FALSE),"")</f>
        <v>19</v>
      </c>
      <c r="O24" s="193">
        <f>IF($C24&lt;&gt;"",VLOOKUP($C24,'[1]Course Table'!$A$1:$I$295,9,FALSE),"")</f>
        <v>1.5</v>
      </c>
      <c r="P24" s="193"/>
      <c r="Q24" s="193"/>
    </row>
    <row r="25" spans="1:18">
      <c r="A25" s="187"/>
      <c r="B25" s="211"/>
      <c r="C25" s="212" t="s">
        <v>537</v>
      </c>
      <c r="D25" s="193"/>
      <c r="E25" s="209" t="str">
        <f>IF($C25&lt;&gt;0,VLOOKUP($C25,'[1]Course Table'!$A$1:$G$295,2,TRUE),"")</f>
        <v>InDesign Basics</v>
      </c>
      <c r="F25" s="193"/>
      <c r="G25" s="193">
        <f t="shared" si="1"/>
        <v>60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990</v>
      </c>
      <c r="I25" s="193">
        <f>IF($C25&lt;&gt;"",VLOOKUP($C25,'[1]Course Table'!$A$1:$G$295,5,FALSE),"")</f>
        <v>60</v>
      </c>
      <c r="J25" s="210">
        <f>IF(AND($C25&lt;&gt;"",A25&lt;&gt;"E"),VLOOKUP($C25,'[1]Course Table'!$A$1:$G$295,6,FALSE),"")</f>
        <v>0</v>
      </c>
      <c r="K25" s="210">
        <f>IF($C25&lt;&gt;"",VLOOKUP($C25,'[1]Course Table'!$A$1:$G$295,7,FALSE),"")</f>
        <v>0</v>
      </c>
      <c r="L25" s="193">
        <f t="shared" si="0"/>
        <v>29</v>
      </c>
      <c r="M25" s="193">
        <f>COUNTIF($J$6:$J25,$J25)</f>
        <v>18</v>
      </c>
      <c r="N25" s="193">
        <f>IF($C25&lt;&gt;"",VLOOKUP($C25,'[1]Course Table'!$A$1:$I$295,8,FALSE),"")</f>
        <v>19</v>
      </c>
      <c r="O25" s="193">
        <f>IF($C25&lt;&gt;"",VLOOKUP($C25,'[1]Course Table'!$A$1:$I$295,9,FALSE),"")</f>
        <v>3</v>
      </c>
      <c r="P25" s="193"/>
      <c r="Q25" s="193"/>
    </row>
    <row r="26" spans="1:18">
      <c r="A26" s="187"/>
      <c r="B26" s="211"/>
      <c r="C26" s="212" t="s">
        <v>538</v>
      </c>
      <c r="D26" s="193"/>
      <c r="E26" s="209" t="str">
        <f>IF($C26&lt;&gt;0,VLOOKUP($C26,'[1]Course Table'!$A$1:$G$295,2,TRUE),"")</f>
        <v>Fundamentals of Logo Design</v>
      </c>
      <c r="F26" s="193"/>
      <c r="G26" s="193">
        <f t="shared" si="1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495</v>
      </c>
      <c r="I26" s="193">
        <f>IF($C26&lt;&gt;"",VLOOKUP($C26,'[1]Course Table'!$A$1:$G$295,5,FALSE),"")</f>
        <v>30</v>
      </c>
      <c r="J26" s="210">
        <f>IF(AND($C26&lt;&gt;"",A26&lt;&gt;"E"),VLOOKUP($C26,'[1]Course Table'!$A$1:$G$295,6,FALSE),"")</f>
        <v>0</v>
      </c>
      <c r="K26" s="210">
        <f>IF($C26&lt;&gt;"",VLOOKUP($C26,'[1]Course Table'!$A$1:$G$295,7,FALSE),"")</f>
        <v>0</v>
      </c>
      <c r="L26" s="193">
        <f t="shared" si="0"/>
        <v>29</v>
      </c>
      <c r="M26" s="193">
        <f>COUNTIF($J$6:$J26,$J26)</f>
        <v>19</v>
      </c>
      <c r="N26" s="193">
        <f>IF($C26&lt;&gt;"",VLOOKUP($C26,'[1]Course Table'!$A$1:$I$295,8,FALSE),"")</f>
        <v>19</v>
      </c>
      <c r="O26" s="193">
        <f>IF($C26&lt;&gt;"",VLOOKUP($C26,'[1]Course Table'!$A$1:$I$295,9,FALSE),"")</f>
        <v>1.5</v>
      </c>
      <c r="P26" s="193"/>
      <c r="Q26" s="193"/>
    </row>
    <row r="27" spans="1:18">
      <c r="A27" s="187"/>
      <c r="B27" s="211"/>
      <c r="C27" s="212" t="s">
        <v>539</v>
      </c>
      <c r="D27" s="193"/>
      <c r="E27" s="209" t="str">
        <f>IF($C27&lt;&gt;0,VLOOKUP($C27,'[1]Course Table'!$A$1:$G$295,2,TRUE),"")</f>
        <v>The Study of Graphic Design</v>
      </c>
      <c r="F27" s="193"/>
      <c r="G27" s="193">
        <f t="shared" si="1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495</v>
      </c>
      <c r="I27" s="193">
        <f>IF($C27&lt;&gt;"",VLOOKUP($C27,'[1]Course Table'!$A$1:$G$295,5,FALSE),"")</f>
        <v>30</v>
      </c>
      <c r="J27" s="210">
        <f>IF(AND($C27&lt;&gt;"",A27&lt;&gt;"E"),VLOOKUP($C27,'[1]Course Table'!$A$1:$G$295,6,FALSE),"")</f>
        <v>0</v>
      </c>
      <c r="K27" s="210">
        <f>IF($C27&lt;&gt;"",VLOOKUP($C27,'[1]Course Table'!$A$1:$G$295,7,FALSE),"")</f>
        <v>0</v>
      </c>
      <c r="L27" s="193">
        <f t="shared" si="0"/>
        <v>29</v>
      </c>
      <c r="M27" s="193">
        <f>COUNTIF($J$6:$J27,$J27)</f>
        <v>20</v>
      </c>
      <c r="N27" s="193">
        <f>IF($C27&lt;&gt;"",VLOOKUP($C27,'[1]Course Table'!$A$1:$I$295,8,FALSE),"")</f>
        <v>19</v>
      </c>
      <c r="O27" s="193">
        <f>IF($C27&lt;&gt;"",VLOOKUP($C27,'[1]Course Table'!$A$1:$I$295,9,FALSE),"")</f>
        <v>1.5</v>
      </c>
      <c r="P27" s="193"/>
      <c r="Q27" s="193"/>
    </row>
    <row r="28" spans="1:18">
      <c r="A28" s="187"/>
      <c r="B28" s="211"/>
      <c r="C28" s="212" t="s">
        <v>540</v>
      </c>
      <c r="D28" s="193"/>
      <c r="E28" s="209" t="str">
        <f>IF($C28&lt;&gt;0,VLOOKUP($C28,'[1]Course Table'!$A$1:$G$295,2,TRUE),"")</f>
        <v>Graphic Design 1</v>
      </c>
      <c r="F28" s="193"/>
      <c r="G28" s="193">
        <f t="shared" si="1"/>
        <v>60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990</v>
      </c>
      <c r="I28" s="193">
        <f>IF($C28&lt;&gt;"",VLOOKUP($C28,'[1]Course Table'!$A$1:$G$295,5,FALSE),"")</f>
        <v>60</v>
      </c>
      <c r="J28" s="210">
        <f>IF(AND($C28&lt;&gt;"",A28&lt;&gt;"E"),VLOOKUP($C28,'[1]Course Table'!$A$1:$G$295,6,FALSE),"")</f>
        <v>0</v>
      </c>
      <c r="K28" s="210">
        <f>IF($C28&lt;&gt;"",VLOOKUP($C28,'[1]Course Table'!$A$1:$G$295,7,FALSE),"")</f>
        <v>0</v>
      </c>
      <c r="L28" s="193">
        <f t="shared" si="0"/>
        <v>29</v>
      </c>
      <c r="M28" s="193">
        <f>COUNTIF($J$6:$J28,$J28)</f>
        <v>21</v>
      </c>
      <c r="N28" s="193">
        <f>IF($C28&lt;&gt;"",VLOOKUP($C28,'[1]Course Table'!$A$1:$I$295,8,FALSE),"")</f>
        <v>19</v>
      </c>
      <c r="O28" s="193">
        <f>IF($C28&lt;&gt;"",VLOOKUP($C28,'[1]Course Table'!$A$1:$I$295,9,FALSE),"")</f>
        <v>3</v>
      </c>
      <c r="P28" s="193"/>
      <c r="Q28" s="193"/>
    </row>
    <row r="29" spans="1:18">
      <c r="A29" s="187"/>
      <c r="B29" s="211"/>
      <c r="C29" s="212" t="s">
        <v>541</v>
      </c>
      <c r="D29" s="193"/>
      <c r="E29" s="209" t="str">
        <f>IF($C29&lt;&gt;0,VLOOKUP($C29,'[1]Course Table'!$A$1:$G$295,2,TRUE),"")</f>
        <v>Print Production</v>
      </c>
      <c r="F29" s="193"/>
      <c r="G29" s="193">
        <f t="shared" si="1"/>
        <v>60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990</v>
      </c>
      <c r="I29" s="193">
        <f>IF($C29&lt;&gt;"",VLOOKUP($C29,'[1]Course Table'!$A$1:$G$295,5,FALSE),"")</f>
        <v>60</v>
      </c>
      <c r="J29" s="210">
        <f>IF(AND($C29&lt;&gt;"",A29&lt;&gt;"E"),VLOOKUP($C29,'[1]Course Table'!$A$1:$G$295,6,FALSE),"")</f>
        <v>0</v>
      </c>
      <c r="K29" s="210">
        <f>IF($C29&lt;&gt;"",VLOOKUP($C29,'[1]Course Table'!$A$1:$G$295,7,FALSE),"")</f>
        <v>0</v>
      </c>
      <c r="L29" s="193">
        <f t="shared" si="0"/>
        <v>29</v>
      </c>
      <c r="M29" s="193">
        <f>COUNTIF($J$6:$J29,$J29)</f>
        <v>22</v>
      </c>
      <c r="N29" s="193">
        <f>IF($C29&lt;&gt;"",VLOOKUP($C29,'[1]Course Table'!$A$1:$I$295,8,FALSE),"")</f>
        <v>19</v>
      </c>
      <c r="O29" s="193">
        <f>IF($C29&lt;&gt;"",VLOOKUP($C29,'[1]Course Table'!$A$1:$I$295,9,FALSE),"")</f>
        <v>3</v>
      </c>
      <c r="P29" s="193"/>
      <c r="Q29" s="193"/>
    </row>
    <row r="30" spans="1:18">
      <c r="A30" s="187"/>
      <c r="B30" s="211"/>
      <c r="C30" s="212" t="s">
        <v>542</v>
      </c>
      <c r="D30" s="193"/>
      <c r="E30" s="209" t="str">
        <f>IF($C30&lt;&gt;0,VLOOKUP($C30,'[1]Course Table'!$A$1:$G$295,2,TRUE),"")</f>
        <v>Design Business</v>
      </c>
      <c r="F30" s="193"/>
      <c r="G30" s="193">
        <f t="shared" si="1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495</v>
      </c>
      <c r="I30" s="193">
        <f>IF($C30&lt;&gt;"",VLOOKUP($C30,'[1]Course Table'!$A$1:$G$295,5,FALSE),"")</f>
        <v>30</v>
      </c>
      <c r="J30" s="210">
        <f>IF(AND($C30&lt;&gt;"",A30&lt;&gt;"E"),VLOOKUP($C30,'[1]Course Table'!$A$1:$G$295,6,FALSE),"")</f>
        <v>0</v>
      </c>
      <c r="K30" s="210">
        <f>IF($C30&lt;&gt;"",VLOOKUP($C30,'[1]Course Table'!$A$1:$G$295,7,FALSE),"")</f>
        <v>0</v>
      </c>
      <c r="L30" s="193">
        <f t="shared" si="0"/>
        <v>29</v>
      </c>
      <c r="M30" s="193">
        <f>COUNTIF($J$6:$J30,$J30)</f>
        <v>23</v>
      </c>
      <c r="N30" s="193">
        <f>IF($C30&lt;&gt;"",VLOOKUP($C30,'[1]Course Table'!$A$1:$I$295,8,FALSE),"")</f>
        <v>19</v>
      </c>
      <c r="O30" s="193">
        <f>IF($C30&lt;&gt;"",VLOOKUP($C30,'[1]Course Table'!$A$1:$I$295,9,FALSE),"")</f>
        <v>1.5</v>
      </c>
      <c r="P30" s="193"/>
      <c r="Q30" s="193"/>
    </row>
    <row r="31" spans="1:18">
      <c r="A31" s="187"/>
      <c r="B31" s="211"/>
      <c r="C31" s="212" t="s">
        <v>543</v>
      </c>
      <c r="D31" s="193"/>
      <c r="E31" s="209" t="str">
        <f>IF($C31&lt;&gt;0,VLOOKUP($C31,'[1]Course Table'!$A$1:$G$295,2,TRUE),"")</f>
        <v>Business Essentials</v>
      </c>
      <c r="F31" s="193"/>
      <c r="G31" s="193">
        <f t="shared" si="1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729</v>
      </c>
      <c r="I31" s="193">
        <f>IF($C31&lt;&gt;"",VLOOKUP($C31,'[1]Course Table'!$A$1:$G$295,5,FALSE),"")</f>
        <v>40</v>
      </c>
      <c r="J31" s="210">
        <f>IF(AND($C31&lt;&gt;"",A31&lt;&gt;"E"),VLOOKUP($C31,'[1]Course Table'!$A$1:$G$295,6,FALSE),"")</f>
        <v>0</v>
      </c>
      <c r="K31" s="210">
        <f>IF($C31&lt;&gt;"",VLOOKUP($C31,'[1]Course Table'!$A$1:$G$295,7,FALSE),"")</f>
        <v>0</v>
      </c>
      <c r="L31" s="193">
        <f t="shared" si="0"/>
        <v>29</v>
      </c>
      <c r="M31" s="193">
        <f>COUNTIF($J$6:$J31,$J31)</f>
        <v>24</v>
      </c>
      <c r="N31" s="193">
        <f>IF($C31&lt;&gt;"",VLOOKUP($C31,'[1]Course Table'!$A$1:$I$295,8,FALSE),"")</f>
        <v>9</v>
      </c>
      <c r="O31" s="193">
        <f>IF($C31&lt;&gt;"",VLOOKUP($C31,'[1]Course Table'!$A$1:$I$295,9,FALSE),"")</f>
        <v>2</v>
      </c>
      <c r="P31" s="193"/>
      <c r="Q31" s="193"/>
    </row>
    <row r="32" spans="1:18">
      <c r="A32" s="187"/>
      <c r="B32" s="211"/>
      <c r="C32" s="212" t="s">
        <v>544</v>
      </c>
      <c r="D32" s="193"/>
      <c r="E32" s="209" t="str">
        <f>IF($C32&lt;&gt;0,VLOOKUP($C32,'[1]Course Table'!$A$1:$G$295,2,TRUE),"")</f>
        <v>Customer Service</v>
      </c>
      <c r="F32" s="193"/>
      <c r="G32" s="193">
        <f t="shared" si="1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549</v>
      </c>
      <c r="I32" s="193">
        <f>IF($C32&lt;&gt;"",VLOOKUP($C32,'[1]Course Table'!$A$1:$G$295,5,FALSE),"")</f>
        <v>30</v>
      </c>
      <c r="J32" s="210">
        <f>IF(AND($C32&lt;&gt;"",A32&lt;&gt;"E"),VLOOKUP($C32,'[1]Course Table'!$A$1:$G$295,6,FALSE),"")</f>
        <v>0</v>
      </c>
      <c r="K32" s="210">
        <f>IF($C32&lt;&gt;"",VLOOKUP($C32,'[1]Course Table'!$A$1:$G$295,7,FALSE),"")</f>
        <v>0</v>
      </c>
      <c r="L32" s="193">
        <f t="shared" si="0"/>
        <v>29</v>
      </c>
      <c r="M32" s="193">
        <f>COUNTIF($J$6:$J32,$J32)</f>
        <v>25</v>
      </c>
      <c r="N32" s="193">
        <f>IF($C32&lt;&gt;"",VLOOKUP($C32,'[1]Course Table'!$A$1:$I$295,8,FALSE),"")</f>
        <v>9</v>
      </c>
      <c r="O32" s="193">
        <f>IF($C32&lt;&gt;"",VLOOKUP($C32,'[1]Course Table'!$A$1:$I$295,9,FALSE),"")</f>
        <v>1.5</v>
      </c>
      <c r="P32" s="193"/>
      <c r="Q32" s="193"/>
      <c r="R32" s="198"/>
    </row>
    <row r="33" spans="1:18">
      <c r="A33" s="187"/>
      <c r="B33" s="211"/>
      <c r="C33" s="212" t="s">
        <v>545</v>
      </c>
      <c r="D33" s="193"/>
      <c r="E33" s="209" t="str">
        <f>IF($C33&lt;&gt;0,VLOOKUP($C33,'[1]Course Table'!$A$1:$G$295,2,TRUE),"")</f>
        <v>Marketing &amp; Sales</v>
      </c>
      <c r="F33" s="193"/>
      <c r="G33" s="193">
        <f t="shared" si="1"/>
        <v>40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696</v>
      </c>
      <c r="I33" s="193">
        <f>IF($C33&lt;&gt;"",VLOOKUP($C33,'[1]Course Table'!$A$1:$G$295,5,FALSE),"")</f>
        <v>40</v>
      </c>
      <c r="J33" s="210">
        <f>IF(AND($C33&lt;&gt;"",A33&lt;&gt;"E"),VLOOKUP($C33,'[1]Course Table'!$A$1:$G$295,6,FALSE),"")</f>
        <v>0</v>
      </c>
      <c r="K33" s="210">
        <f>IF($C33&lt;&gt;"",VLOOKUP($C33,'[1]Course Table'!$A$1:$G$295,7,FALSE),"")</f>
        <v>0</v>
      </c>
      <c r="L33" s="193">
        <f t="shared" si="0"/>
        <v>29</v>
      </c>
      <c r="M33" s="193">
        <f>COUNTIF($J$6:$J33,$J33)</f>
        <v>26</v>
      </c>
      <c r="N33" s="193">
        <f>IF($C33&lt;&gt;"",VLOOKUP($C33,'[1]Course Table'!$A$1:$I$295,8,FALSE),"")</f>
        <v>9</v>
      </c>
      <c r="O33" s="193">
        <f>IF($C33&lt;&gt;"",VLOOKUP($C33,'[1]Course Table'!$A$1:$I$295,9,FALSE),"")</f>
        <v>2</v>
      </c>
      <c r="P33" s="193"/>
      <c r="Q33" s="193"/>
      <c r="R33" s="198"/>
    </row>
    <row r="34" spans="1:18">
      <c r="A34" s="187"/>
      <c r="B34" s="211"/>
      <c r="C34" s="212" t="s">
        <v>568</v>
      </c>
      <c r="D34" s="193"/>
      <c r="E34" s="209" t="str">
        <f>IF($C34&lt;&gt;0,VLOOKUP($C34,'[1]Course Table'!$A$1:$G$295,2,TRUE),"")</f>
        <v>Project Management Fundamentals - Level 1</v>
      </c>
      <c r="F34" s="193"/>
      <c r="G34" s="193">
        <f t="shared" si="1"/>
        <v>36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995</v>
      </c>
      <c r="I34" s="193">
        <f>IF($C34&lt;&gt;"",VLOOKUP($C34,'[1]Course Table'!$A$1:$G$295,5,FALSE),"")</f>
        <v>36</v>
      </c>
      <c r="J34" s="210">
        <f>IF(AND($C34&lt;&gt;"",A34&lt;&gt;"E"),VLOOKUP($C34,'[1]Course Table'!$A$1:$G$295,6,FALSE),"")</f>
        <v>0</v>
      </c>
      <c r="K34" s="210">
        <f>IF($C34&lt;&gt;"",VLOOKUP($C34,'[1]Course Table'!$A$1:$G$295,7,FALSE),"")</f>
        <v>0</v>
      </c>
      <c r="L34" s="193">
        <f t="shared" si="0"/>
        <v>29</v>
      </c>
      <c r="M34" s="193">
        <f>COUNTIF($J$6:$J34,$J34)</f>
        <v>27</v>
      </c>
      <c r="N34" s="193">
        <f>IF($C34&lt;&gt;"",VLOOKUP($C34,'[1]Course Table'!$A$1:$I$295,8,FALSE),"")</f>
        <v>9</v>
      </c>
      <c r="O34" s="193">
        <f>IF($C34&lt;&gt;"",VLOOKUP($C34,'[1]Course Table'!$A$1:$I$295,9,FALSE),"")</f>
        <v>2</v>
      </c>
      <c r="P34" s="193"/>
      <c r="Q34" s="193"/>
      <c r="R34" s="198"/>
    </row>
    <row r="35" spans="1:18">
      <c r="A35" s="187"/>
      <c r="B35" s="211"/>
      <c r="C35" s="212" t="s">
        <v>546</v>
      </c>
      <c r="D35" s="193"/>
      <c r="E35" s="209" t="str">
        <f>IF($C35&lt;&gt;0,VLOOKUP($C35,'[1]Course Table'!$A$1:$G$295,2,TRUE),"")</f>
        <v>Job Search/Resume Writing</v>
      </c>
      <c r="F35" s="193"/>
      <c r="G35" s="193">
        <f t="shared" si="1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579</v>
      </c>
      <c r="I35" s="193">
        <f>IF($C35&lt;&gt;"",VLOOKUP($C35,'[1]Course Table'!$A$1:$G$295,5,FALSE),"")</f>
        <v>30</v>
      </c>
      <c r="J35" s="210">
        <f>IF(AND($C35&lt;&gt;"",A35&lt;&gt;"E"),VLOOKUP($C35,'[1]Course Table'!$A$1:$G$295,6,FALSE),"")</f>
        <v>0</v>
      </c>
      <c r="K35" s="210">
        <f>IF($C35&lt;&gt;"",VLOOKUP($C35,'[1]Course Table'!$A$1:$G$295,7,FALSE),"")</f>
        <v>0</v>
      </c>
      <c r="L35" s="193">
        <f t="shared" si="0"/>
        <v>29</v>
      </c>
      <c r="M35" s="193">
        <f>COUNTIF($J$6:$J35,$J35)</f>
        <v>28</v>
      </c>
      <c r="N35" s="193">
        <f>IF($C35&lt;&gt;"",VLOOKUP($C35,'[1]Course Table'!$A$1:$I$295,8,FALSE),"")</f>
        <v>15</v>
      </c>
      <c r="O35" s="193">
        <f>IF($C35&lt;&gt;"",VLOOKUP($C35,'[1]Course Table'!$A$1:$I$295,9,FALSE),"")</f>
        <v>1.5</v>
      </c>
      <c r="P35" s="193"/>
      <c r="Q35" s="193"/>
      <c r="R35" s="198"/>
    </row>
    <row r="36" spans="1:18">
      <c r="A36" s="187"/>
      <c r="B36" s="211"/>
      <c r="C36" s="212" t="s">
        <v>547</v>
      </c>
      <c r="D36" s="193"/>
      <c r="E36" s="209" t="str">
        <f>IF($C36&lt;&gt;0,VLOOKUP($C36,'[1]Course Table'!$A$1:$G$295,2,TRUE),"")</f>
        <v>Study/Review - Graphic Designer - BC</v>
      </c>
      <c r="F36" s="193"/>
      <c r="G36" s="193">
        <f t="shared" si="1"/>
        <v>68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193">
        <f>IF($C36&lt;&gt;"",VLOOKUP($C36,'[1]Course Table'!$A$1:$G$295,5,FALSE),"")</f>
        <v>68</v>
      </c>
      <c r="J36" s="210">
        <f>IF(AND($C36&lt;&gt;"",A36&lt;&gt;"E"),VLOOKUP($C36,'[1]Course Table'!$A$1:$G$295,6,FALSE),"")</f>
        <v>0</v>
      </c>
      <c r="K36" s="210">
        <f>IF($C36&lt;&gt;"",VLOOKUP($C36,'[1]Course Table'!$A$1:$G$295,7,FALSE),"")</f>
        <v>0</v>
      </c>
      <c r="L36" s="193">
        <f t="shared" si="0"/>
        <v>29</v>
      </c>
      <c r="M36" s="193">
        <f>COUNTIF($J$6:$J36,$J36)</f>
        <v>29</v>
      </c>
      <c r="N36" s="193">
        <f>IF($C36&lt;&gt;"",VLOOKUP($C36,'[1]Course Table'!$A$1:$I$295,8,FALSE),"")</f>
        <v>99</v>
      </c>
      <c r="O36" s="193">
        <f>IF($C36&lt;&gt;"",VLOOKUP($C36,'[1]Course Table'!$A$1:$I$295,9,FALSE),"")</f>
        <v>3.5</v>
      </c>
      <c r="P36" s="193"/>
      <c r="Q36" s="193"/>
      <c r="R36" s="198"/>
    </row>
    <row r="37" spans="1:18">
      <c r="A37" s="187"/>
      <c r="B37" s="211"/>
      <c r="C37" s="212"/>
      <c r="D37" s="193"/>
      <c r="E37" s="209" t="str">
        <f>IF($C37&lt;&gt;0,VLOOKUP($C37,'[1]Course Table'!$A$1:$G$295,2,TRUE),"")</f>
        <v/>
      </c>
      <c r="F37" s="193"/>
      <c r="G37" s="193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193" t="str">
        <f>IF($C37&lt;&gt;"",VLOOKUP($C37,'[1]Course Table'!$A$1:$G$295,5,FALSE),"")</f>
        <v/>
      </c>
      <c r="J37" s="210" t="str">
        <f>IF(AND($C37&lt;&gt;"",A37&lt;&gt;"E"),VLOOKUP($C37,'[1]Course Table'!$A$1:$G$295,6,FALSE),"")</f>
        <v/>
      </c>
      <c r="K37" s="210" t="str">
        <f>IF($C37&lt;&gt;"",VLOOKUP($C37,'[1]Course Table'!$A$1:$G$295,7,FALSE),"")</f>
        <v/>
      </c>
      <c r="L37" s="193">
        <f t="shared" si="0"/>
        <v>6</v>
      </c>
      <c r="M37" s="193">
        <f>COUNTIF($J$6:$J37,$J37)</f>
        <v>3</v>
      </c>
      <c r="N37" s="193" t="str">
        <f>IF($C37&lt;&gt;"",VLOOKUP($C37,'[1]Course Table'!$A$1:$I$295,8,FALSE),"")</f>
        <v/>
      </c>
      <c r="O37" s="193" t="str">
        <f>IF($C37&lt;&gt;"",VLOOKUP($C37,'[1]Course Table'!$A$1:$I$295,9,FALSE),"")</f>
        <v/>
      </c>
      <c r="P37" s="193"/>
      <c r="Q37" s="193"/>
      <c r="R37" s="198"/>
    </row>
    <row r="38" spans="1:18">
      <c r="A38" s="187"/>
      <c r="B38" s="211"/>
      <c r="C38" s="212"/>
      <c r="D38" s="193"/>
      <c r="E38" s="209" t="str">
        <f>IF($C38&lt;&gt;0,VLOOKUP($C38,'[1]Course Table'!$A$1:$G$295,2,TRUE),"")</f>
        <v/>
      </c>
      <c r="F38" s="193"/>
      <c r="G38" s="193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193" t="str">
        <f>IF($C38&lt;&gt;"",VLOOKUP($C38,'[1]Course Table'!$A$1:$G$295,5,FALSE),"")</f>
        <v/>
      </c>
      <c r="J38" s="210" t="str">
        <f>IF(AND($C38&lt;&gt;"",A38&lt;&gt;"E"),VLOOKUP($C38,'[1]Course Table'!$A$1:$G$295,6,FALSE),"")</f>
        <v/>
      </c>
      <c r="K38" s="210" t="str">
        <f>IF($C38&lt;&gt;"",VLOOKUP($C38,'[1]Course Table'!$A$1:$G$295,7,FALSE),"")</f>
        <v/>
      </c>
      <c r="L38" s="193">
        <f t="shared" si="0"/>
        <v>6</v>
      </c>
      <c r="M38" s="193">
        <f>COUNTIF($J$6:$J38,$J38)</f>
        <v>4</v>
      </c>
      <c r="N38" s="193" t="str">
        <f>IF($C38&lt;&gt;"",VLOOKUP($C38,'[1]Course Table'!$A$1:$I$295,8,FALSE),"")</f>
        <v/>
      </c>
      <c r="O38" s="193" t="str">
        <f>IF($C38&lt;&gt;"",VLOOKUP($C38,'[1]Course Table'!$A$1:$I$295,9,FALSE),"")</f>
        <v/>
      </c>
      <c r="P38" s="193"/>
      <c r="Q38" s="193"/>
    </row>
    <row r="39" spans="1:18">
      <c r="A39" s="187"/>
      <c r="B39" s="211"/>
      <c r="C39" s="212"/>
      <c r="D39" s="193"/>
      <c r="E39" s="209" t="str">
        <f>IF($C39&lt;&gt;0,VLOOKUP($C39,'[1]Course Table'!$A$1:$G$295,2,TRUE),"")</f>
        <v/>
      </c>
      <c r="F39" s="193"/>
      <c r="G39" s="193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193" t="str">
        <f>IF($C39&lt;&gt;"",VLOOKUP($C39,'[1]Course Table'!$A$1:$G$295,5,FALSE),"")</f>
        <v/>
      </c>
      <c r="J39" s="210" t="str">
        <f>IF(AND($C39&lt;&gt;"",A39&lt;&gt;"E"),VLOOKUP($C39,'[1]Course Table'!$A$1:$G$295,6,FALSE),"")</f>
        <v/>
      </c>
      <c r="K39" s="210" t="str">
        <f>IF($C39&lt;&gt;"",VLOOKUP($C39,'[1]Course Table'!$A$1:$G$295,7,FALSE),"")</f>
        <v/>
      </c>
      <c r="L39" s="193">
        <f t="shared" si="0"/>
        <v>6</v>
      </c>
      <c r="M39" s="193">
        <f>COUNTIF($J$6:$J39,$J39)</f>
        <v>5</v>
      </c>
      <c r="N39" s="193" t="str">
        <f>IF($C39&lt;&gt;"",VLOOKUP($C39,'[1]Course Table'!$A$1:$I$295,8,FALSE),"")</f>
        <v/>
      </c>
      <c r="O39" s="193" t="str">
        <f>IF($C39&lt;&gt;"",VLOOKUP($C39,'[1]Course Table'!$A$1:$I$295,9,FALSE),"")</f>
        <v/>
      </c>
      <c r="P39" s="193"/>
      <c r="Q39" s="193"/>
    </row>
    <row r="40" spans="1:18" ht="17.25" thickBot="1">
      <c r="A40" s="214"/>
      <c r="B40" s="215"/>
      <c r="C40" s="216"/>
      <c r="D40" s="217"/>
      <c r="E40" s="218" t="str">
        <f>IF($C40&lt;&gt;0,VLOOKUP($C40,'[1]Course Table'!$A$1:$G$295,2,TRUE),"")</f>
        <v/>
      </c>
      <c r="F40" s="217"/>
      <c r="G40" s="217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193" t="str">
        <f>IF($C40&lt;&gt;"",VLOOKUP($C40,'[1]Course Table'!$A$1:$G$295,5,FALSE),"")</f>
        <v/>
      </c>
      <c r="J40" s="210" t="str">
        <f>IF(AND($C40&lt;&gt;"",A40&lt;&gt;"E"),VLOOKUP($C40,'[1]Course Table'!$A$1:$G$295,6,FALSE),"")</f>
        <v/>
      </c>
      <c r="K40" s="210" t="str">
        <f>IF($C40&lt;&gt;"",VLOOKUP($C40,'[1]Course Table'!$A$1:$G$295,7,FALSE),"")</f>
        <v/>
      </c>
      <c r="L40" s="193">
        <f t="shared" si="0"/>
        <v>6</v>
      </c>
      <c r="M40" s="193">
        <f>COUNTIF($J$6:$J40,$J40)</f>
        <v>6</v>
      </c>
      <c r="N40" s="193" t="str">
        <f>IF($C40&lt;&gt;"",VLOOKUP($C40,'[1]Course Table'!$A$1:$I$295,8,FALSE),"")</f>
        <v/>
      </c>
      <c r="O40" s="193" t="str">
        <f>IF($C40&lt;&gt;"",VLOOKUP($C40,'[1]Course Table'!$A$1:$I$295,9,FALSE),"")</f>
        <v/>
      </c>
      <c r="P40" s="193"/>
      <c r="Q40" s="193"/>
    </row>
    <row r="41" spans="1:18" s="198" customFormat="1" ht="13.5" customHeight="1" thickBot="1">
      <c r="C41" s="198" t="s">
        <v>17</v>
      </c>
      <c r="D41" s="219" t="s">
        <v>137</v>
      </c>
      <c r="E41" s="197"/>
      <c r="F41" s="197"/>
      <c r="G41" s="197"/>
      <c r="H41" s="220">
        <f>SUM(H6:H40)</f>
        <v>16396</v>
      </c>
      <c r="I41" s="221">
        <f>SUM(I6:I40)</f>
        <v>1020</v>
      </c>
    </row>
    <row r="42" spans="1:18" s="198" customFormat="1" ht="12.75">
      <c r="A42" s="198" t="s">
        <v>548</v>
      </c>
      <c r="C42" s="222">
        <v>0</v>
      </c>
      <c r="D42" s="311" t="str">
        <f>CONCATENATE("Course Hours - ",I41-C44,"          Exam &amp; Review Hours - ",C44,"          Total Course Hours - ",I41)</f>
        <v>Course Hours - 952          Exam &amp; Review Hours - 68          Total Course Hours - 1020</v>
      </c>
      <c r="E42" s="311"/>
      <c r="F42" s="311"/>
      <c r="G42" s="311"/>
      <c r="H42" s="223">
        <f>ROUNDUP(H41/(I41+C43),2)</f>
        <v>16.080000000000002</v>
      </c>
    </row>
    <row r="43" spans="1:18" s="198" customFormat="1" ht="13.5" customHeight="1">
      <c r="A43" s="198" t="s">
        <v>548</v>
      </c>
      <c r="C43" s="198">
        <f>ROUNDUP(I41*C42,0)</f>
        <v>0</v>
      </c>
      <c r="D43" s="312" t="str">
        <f>CONCATENATE("Duration at 20 Hrs/Week:",ROUND((I41+C43)/(20*4.33),1)," Months (",ROUND((I41+C43)/20,0)," Weeks); at 25 Hrs/Week:",ROUND((I41+C43)/(25*4.33),1)," Months (",ROUND((I41+C43)/25,0)," Weeks)","; +1 week holiday")</f>
        <v>Duration at 20 Hrs/Week:11.8 Months (51 Weeks); at 25 Hrs/Week:9.4 Months (41 Weeks); +1 week holiday</v>
      </c>
      <c r="E43" s="312"/>
      <c r="F43" s="312"/>
      <c r="G43" s="312"/>
      <c r="H43" s="224"/>
    </row>
    <row r="44" spans="1:18" s="193" customFormat="1" ht="13.5">
      <c r="A44" s="198" t="s">
        <v>549</v>
      </c>
      <c r="C44" s="198">
        <f>VLOOKUP("SR"&amp;"*",$C$6:$G$40,5,FALSE)</f>
        <v>68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$16750</v>
      </c>
      <c r="E44" s="225"/>
      <c r="F44" s="225"/>
      <c r="G44" s="225"/>
      <c r="H44" s="201"/>
    </row>
    <row r="45" spans="1:18" s="193" customFormat="1" ht="13.5">
      <c r="D45" s="307" t="s">
        <v>150</v>
      </c>
      <c r="E45" s="307"/>
      <c r="F45" s="307"/>
      <c r="G45" s="307"/>
      <c r="H45" s="201"/>
    </row>
    <row r="46" spans="1:18" s="198" customFormat="1" ht="12.75">
      <c r="D46" s="226" t="str">
        <f>'[1]Franchise Info'!$B$7</f>
        <v>Phone : (604) 855-3315                                            E-Mail : admin.abbotsford@aolccbc.com                                             Fax : (604) 855-3365</v>
      </c>
      <c r="E46" s="226"/>
      <c r="F46" s="226"/>
      <c r="G46" s="226"/>
      <c r="H46" s="224"/>
    </row>
    <row r="47" spans="1:18" s="198" customFormat="1">
      <c r="A47" s="193"/>
      <c r="B47" s="193"/>
      <c r="C47" s="183"/>
      <c r="D47" s="219"/>
      <c r="E47" s="192"/>
      <c r="F47" s="192"/>
      <c r="G47" s="192"/>
      <c r="H47" s="227"/>
      <c r="I47" s="183"/>
    </row>
    <row r="48" spans="1:18" ht="13.5" customHeight="1">
      <c r="D48" s="219"/>
      <c r="E48" s="192"/>
      <c r="F48" s="192"/>
      <c r="G48" s="192"/>
      <c r="N48" s="193" t="s">
        <v>19</v>
      </c>
      <c r="O48" s="183">
        <f>SUM(O6:O40)</f>
        <v>51.5</v>
      </c>
    </row>
    <row r="49" spans="4:33" ht="13.5" customHeight="1">
      <c r="D49" s="219"/>
      <c r="E49" s="192"/>
      <c r="F49" s="192"/>
      <c r="G49" s="192"/>
      <c r="N49" s="183">
        <f>SUMIF($N$6:$N$40,Summary!N4,$O$6:$O$40)</f>
        <v>2.5</v>
      </c>
      <c r="O49" s="183">
        <f>SUMIF($N$6:$N$40,Summary!O4,$O$6:$O$40)</f>
        <v>3.5</v>
      </c>
      <c r="P49" s="183">
        <f>SUMIF($N$6:$N$40,Summary!P4,$O$6:$O$40)</f>
        <v>1.5</v>
      </c>
      <c r="Q49" s="183">
        <f>SUMIF($N$6:$N$40,Summary!Q4,$O$6:$O$40)</f>
        <v>1.5</v>
      </c>
      <c r="R49" s="183">
        <f>SUMIF($N$6:$N$40,Summary!R4,$O$6:$O$40)</f>
        <v>0</v>
      </c>
      <c r="S49" s="183">
        <f>SUMIF($N$6:$N$40,Summary!S4,$O$6:$O$40)</f>
        <v>2.5</v>
      </c>
      <c r="T49" s="183">
        <f>SUMIF($N$6:$N$40,Summary!T4,$O$6:$O$40)</f>
        <v>0</v>
      </c>
      <c r="U49" s="183">
        <f>SUMIF($N$6:$N$40,Summary!U4,$O$6:$O$40)</f>
        <v>1</v>
      </c>
      <c r="V49" s="183">
        <f>SUMIF($N$6:$N$40,Summary!V4,$O$6:$O$40)</f>
        <v>9</v>
      </c>
      <c r="W49" s="183">
        <f>SUMIF($N$6:$N$40,Summary!W4,$O$6:$O$40)</f>
        <v>0</v>
      </c>
      <c r="X49" s="183">
        <f>SUMIF($N$6:$N$40,Summary!X4,$O$6:$O$40)</f>
        <v>0</v>
      </c>
      <c r="Y49" s="183">
        <f>SUMIF($N$6:$N$40,Summary!Y4,$O$6:$O$40)</f>
        <v>0</v>
      </c>
      <c r="Z49" s="183">
        <f>SUMIF($N$6:$N$40,Summary!Z4,$O$6:$O$40)</f>
        <v>0</v>
      </c>
      <c r="AA49" s="183">
        <f>SUMIF($N$6:$N$40,Summary!AA4,$O$6:$O$40)</f>
        <v>0</v>
      </c>
      <c r="AB49" s="183">
        <f>SUMIF($N$6:$N$40,Summary!AB4,$O$6:$O$40)</f>
        <v>2.5</v>
      </c>
      <c r="AC49" s="183">
        <f>SUMIF($N$6:$N$40,Summary!AC4,$O$6:$O$40)</f>
        <v>0</v>
      </c>
      <c r="AD49" s="183">
        <f>SUMIF($N$6:$N$40,Summary!AD4,$O$6:$O$40)</f>
        <v>0</v>
      </c>
      <c r="AE49" s="183">
        <f>SUMIF($N$6:$N$40,Summary!AE4,$O$6:$O$40)</f>
        <v>0</v>
      </c>
      <c r="AF49" s="183">
        <f>SUMIF($N$6:$N$40,Summary!AF4,$O$6:$O$40)</f>
        <v>24</v>
      </c>
      <c r="AG49" s="183">
        <f>SUMIF($N$6:$N$40,Summary!AG4,$O$6:$O$40)</f>
        <v>0</v>
      </c>
    </row>
    <row r="50" spans="4:33" ht="13.5" customHeight="1">
      <c r="D50" s="219"/>
      <c r="E50" s="192"/>
      <c r="F50" s="192"/>
      <c r="G50" s="192"/>
    </row>
    <row r="51" spans="4:33" ht="13.5" customHeight="1">
      <c r="D51" s="219"/>
      <c r="E51" s="192"/>
      <c r="F51" s="192"/>
      <c r="G51" s="192"/>
    </row>
    <row r="52" spans="4:33">
      <c r="D52" s="219"/>
      <c r="E52" s="192"/>
      <c r="F52" s="192"/>
      <c r="G52" s="192"/>
    </row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6" type="noConversion"/>
  <pageMargins left="0.74803149606299213" right="0.55118110236220474" top="0.6" bottom="0.35433070866141736" header="0.11811023622047245" footer="0"/>
  <pageSetup orientation="portrait" horizontalDpi="360" verticalDpi="36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63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259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258</v>
      </c>
      <c r="E4" s="299"/>
      <c r="F4" s="299"/>
      <c r="G4" s="92" t="s">
        <v>513</v>
      </c>
      <c r="H4" s="100"/>
      <c r="I4" s="84" t="s">
        <v>7</v>
      </c>
      <c r="P4" s="84"/>
      <c r="Q4" s="84"/>
    </row>
    <row r="5" spans="1:17">
      <c r="A5" s="90" t="s">
        <v>669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582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17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4"/>
      <c r="E7" s="140" t="str">
        <f>IF($C7&lt;&gt;0,VLOOKUP($C7,'[1]Course Table'!$A$1:$G$330,2,TRUE),"")</f>
        <v/>
      </c>
      <c r="F7" s="84"/>
      <c r="G7" s="84" t="str">
        <f t="shared" ref="G7:G40" si="0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ref="L7:L40" si="1">COUNTIF($J$6:$J$40,$J7)</f>
        <v>17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4"/>
      <c r="D8" s="94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17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4" t="s">
        <v>390</v>
      </c>
      <c r="D9" s="94"/>
      <c r="E9" s="140" t="str">
        <f>IF($C9&lt;&gt;0,VLOOKUP($C9,'[1]Course Table'!$A$1:$G$330,2,TRUE),"")</f>
        <v>Keyboard Skill Building Level 1 (25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18</v>
      </c>
      <c r="M9" s="84">
        <f>COUNTIF($J$6:$J9,$J9)</f>
        <v>1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391</v>
      </c>
      <c r="D10" s="84"/>
      <c r="E10" s="140" t="str">
        <f>IF($C10&lt;&gt;0,VLOOKUP($C10,'[1]Course Table'!$A$1:$G$330,2,TRUE),"")</f>
        <v>Keyboard Skill Building Level 2 (40 WPM)</v>
      </c>
      <c r="F10" s="84"/>
      <c r="G10" s="84">
        <f t="shared" si="0"/>
        <v>25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25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18</v>
      </c>
      <c r="M10" s="84">
        <f>COUNTIF($J$6:$J10,$J10)</f>
        <v>2</v>
      </c>
      <c r="N10" s="84">
        <f>IF($C10&lt;&gt;"",VLOOKUP($C10,'[1]Course Table'!$A$1:$I$330,8,FALSE),"")</f>
        <v>1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18</v>
      </c>
      <c r="M11" s="84">
        <f>COUNTIF($J$6:$J11,$J11)</f>
        <v>3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18</v>
      </c>
      <c r="M12" s="84">
        <f>COUNTIF($J$6:$J12,$J12)</f>
        <v>4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18</v>
      </c>
      <c r="M13" s="84">
        <f>COUNTIF($J$6:$J13,$J13)</f>
        <v>5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/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0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18</v>
      </c>
      <c r="M14" s="84">
        <f>COUNTIF($J$6:$J14,$J14)</f>
        <v>6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18</v>
      </c>
      <c r="M15" s="84">
        <f>COUNTIF($J$6:$J15,$J15)</f>
        <v>7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18</v>
      </c>
      <c r="M16" s="84">
        <f>COUNTIF($J$6:$J16,$J16)</f>
        <v>8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181</v>
      </c>
      <c r="D17" s="84"/>
      <c r="E17" s="140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18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366</v>
      </c>
      <c r="D18" s="84"/>
      <c r="E18" s="140" t="str">
        <f>IF($C18&lt;&gt;0,VLOOKUP($C18,'[1]Course Table'!$A$1:$G$330,2,TRUE),"")</f>
        <v>Business Correspondence Level 1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18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328</v>
      </c>
      <c r="D19" s="84"/>
      <c r="E19" s="140" t="str">
        <f>IF($C19&lt;&gt;0,VLOOKUP($C19,'[1]Course Table'!$A$1:$G$330,2,TRUE),"")</f>
        <v>Office Procedures Level 1</v>
      </c>
      <c r="F19" s="84"/>
      <c r="G19" s="84">
        <f t="shared" si="0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18</v>
      </c>
      <c r="M19" s="84">
        <f>COUNTIF($J$6:$J19,$J19)</f>
        <v>11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360</v>
      </c>
      <c r="D20" s="84"/>
      <c r="E20" s="140" t="str">
        <f>IF($C20&lt;&gt;0,VLOOKUP($C20,'[1]Course Table'!$A$1:$G$330,2,TRUE),"")</f>
        <v>Human Resource Management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456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18</v>
      </c>
      <c r="M20" s="84">
        <f>COUNTIF($J$6:$J20,$J20)</f>
        <v>12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5" t="s">
        <v>165</v>
      </c>
      <c r="D21" s="99"/>
      <c r="E21" s="140" t="str">
        <f>IF($C21&lt;&gt;0,VLOOKUP($C21,'[1]Course Table'!$A$1:$G$330,2,TRUE),"")</f>
        <v>Business Law &amp; Ethics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18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41"/>
      <c r="C22" s="105" t="s">
        <v>226</v>
      </c>
      <c r="D22" s="99"/>
      <c r="E22" s="140" t="str">
        <f>IF($C22&lt;&gt;0,VLOOKUP($C22,'[1]Course Table'!$A$1:$G$330,2,TRUE),"")</f>
        <v>Workplace Success/Intrapreneurship</v>
      </c>
      <c r="F22" s="84"/>
      <c r="G22" s="84">
        <f t="shared" si="0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688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18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/>
      <c r="B23" s="141"/>
      <c r="C23" s="105" t="s">
        <v>219</v>
      </c>
      <c r="D23" s="99"/>
      <c r="E23" s="140" t="str">
        <f>IF($C23&lt;&gt;0,VLOOKUP($C23,'[1]Course Table'!$A$1:$G$330,2,TRUE),"")</f>
        <v>Business Verbal Communication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18</v>
      </c>
      <c r="M23" s="84">
        <f>COUNTIF($J$6:$J23,$J23)</f>
        <v>15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/>
      <c r="B24" s="141"/>
      <c r="C24" s="104" t="s">
        <v>177</v>
      </c>
      <c r="E24" s="140" t="str">
        <f>IF($C24&lt;&gt;0,VLOOKUP($C24,'[1]Course Table'!$A$1:$G$330,2,TRUE),"")</f>
        <v>Payroll Compliance Legislation</v>
      </c>
      <c r="F24" s="84"/>
      <c r="G24" s="84">
        <f t="shared" si="0"/>
        <v>80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1298</v>
      </c>
      <c r="I24" s="84">
        <f>IF($C24&lt;&gt;"",VLOOKUP($C24,'[1]Course Table'!$A$1:$G$330,5,FALSE),"")</f>
        <v>80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18</v>
      </c>
      <c r="M24" s="84">
        <f>COUNTIF($J$6:$J24,$J24)</f>
        <v>16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4</v>
      </c>
      <c r="P24" s="84"/>
      <c r="Q24" s="84"/>
    </row>
    <row r="25" spans="1:18">
      <c r="A25" s="79"/>
      <c r="B25" s="141"/>
      <c r="C25" s="105" t="s">
        <v>249</v>
      </c>
      <c r="D25" s="84"/>
      <c r="E25" s="140" t="str">
        <f>IF($C25&lt;&gt;0,VLOOKUP($C25,'[1]Course Table'!$A$1:$G$330,2,TRUE),"")</f>
        <v>Job Search/Resume Writing</v>
      </c>
      <c r="F25" s="84"/>
      <c r="G25" s="84">
        <f t="shared" si="0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579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18</v>
      </c>
      <c r="M25" s="84">
        <f>COUNTIF($J$6:$J25,$J25)</f>
        <v>17</v>
      </c>
      <c r="N25" s="84">
        <f>IF($C25&lt;&gt;"",VLOOKUP($C25,'[1]Course Table'!$A$1:$I$330,8,FALSE),"")</f>
        <v>15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41"/>
      <c r="C26" s="105" t="s">
        <v>441</v>
      </c>
      <c r="D26" s="84"/>
      <c r="E26" s="140" t="str">
        <f>IF($C26&lt;&gt;0,VLOOKUP($C26,'[1]Course Table'!$A$1:$G$330,2,TRUE),"")</f>
        <v>Study/Review - Human Resources Admin-BC</v>
      </c>
      <c r="F26" s="84"/>
      <c r="G26" s="84">
        <f t="shared" si="0"/>
        <v>53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0</v>
      </c>
      <c r="I26" s="84">
        <f>IF($C26&lt;&gt;"",VLOOKUP($C26,'[1]Course Table'!$A$1:$G$330,5,FALSE),"")</f>
        <v>53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18</v>
      </c>
      <c r="M26" s="84">
        <f>COUNTIF($J$6:$J26,$J26)</f>
        <v>18</v>
      </c>
      <c r="N26" s="84">
        <f>IF($C26&lt;&gt;"",VLOOKUP($C26,'[1]Course Table'!$A$1:$I$330,8,FALSE),"")</f>
        <v>99</v>
      </c>
      <c r="O26" s="84">
        <f>IF($C26&lt;&gt;"",VLOOKUP($C26,'[1]Course Table'!$A$1:$I$330,9,FALSE),"")</f>
        <v>2.5</v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17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17</v>
      </c>
      <c r="M28" s="84">
        <f>COUNTIF($J$6:$J28,$J28)</f>
        <v>5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17</v>
      </c>
      <c r="M29" s="84">
        <f>COUNTIF($J$6:$J29,$J29)</f>
        <v>6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17</v>
      </c>
      <c r="M30" s="84">
        <f>COUNTIF($J$6:$J30,$J30)</f>
        <v>7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17</v>
      </c>
      <c r="M31" s="84">
        <f>COUNTIF($J$6:$J31,$J31)</f>
        <v>8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17</v>
      </c>
      <c r="M32" s="84">
        <f>COUNTIF($J$6:$J32,$J32)</f>
        <v>9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17</v>
      </c>
      <c r="M33" s="84">
        <f>COUNTIF($J$6:$J33,$J33)</f>
        <v>10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17</v>
      </c>
      <c r="M34" s="84">
        <f>COUNTIF($J$6:$J34,$J34)</f>
        <v>11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17</v>
      </c>
      <c r="M35" s="84">
        <f>COUNTIF($J$6:$J35,$J35)</f>
        <v>12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17</v>
      </c>
      <c r="M36" s="84">
        <f>COUNTIF($J$6:$J36,$J36)</f>
        <v>13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17</v>
      </c>
      <c r="M37" s="84">
        <f>COUNTIF($J$6:$J37,$J37)</f>
        <v>14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17</v>
      </c>
      <c r="M38" s="84">
        <f>COUNTIF($J$6:$J38,$J38)</f>
        <v>15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17</v>
      </c>
      <c r="M39" s="84">
        <f>COUNTIF($J$6:$J39,$J39)</f>
        <v>16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17</v>
      </c>
      <c r="M40" s="84">
        <f>COUNTIF($J$6:$J40,$J40)</f>
        <v>17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8468</v>
      </c>
      <c r="I41" s="115">
        <f>SUM(I6:I40)</f>
        <v>587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- 534          Exam &amp; Review Hours - 53          Total Course Hours - 587</v>
      </c>
      <c r="E42" s="301"/>
      <c r="F42" s="301"/>
      <c r="G42" s="301"/>
      <c r="H42" s="117">
        <f>ROUNDUP(H41/(I41+C43),2)</f>
        <v>14.43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Hrs/Week:6.8 Months (29 Weeks); at 25 Hrs/Week:5.4 Months (23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53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$8822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30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3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1</v>
      </c>
      <c r="V49" s="78">
        <f>SUMIF($N$6:$N$40,Summary!V4,$O$6:$O$40)</f>
        <v>9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:F4"/>
    <mergeCell ref="D45:G45"/>
    <mergeCell ref="D43:G43"/>
    <mergeCell ref="D42:G42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8">
    <tabColor indexed="10"/>
    <pageSetUpPr fitToPage="1"/>
  </sheetPr>
  <dimension ref="A1:AG51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1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D1" s="74"/>
      <c r="E1" s="75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Info'!B6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196</v>
      </c>
      <c r="E3" s="85" t="str">
        <f>'[1]Franchise Info'!$B$4</f>
        <v>#204 - 2692 Clearbrook Road, Abbotsford, BC, V2T 2Y8</v>
      </c>
      <c r="F3" s="86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596</v>
      </c>
      <c r="E4" s="299"/>
      <c r="F4" s="299"/>
      <c r="G4" s="92" t="s">
        <v>498</v>
      </c>
      <c r="I4" s="84" t="s">
        <v>7</v>
      </c>
      <c r="P4" s="84"/>
      <c r="Q4" s="84"/>
    </row>
    <row r="5" spans="1:17">
      <c r="A5" s="90" t="s">
        <v>659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/>
      <c r="B6" s="98"/>
      <c r="C6" s="73"/>
      <c r="D6" s="94" t="s">
        <v>149</v>
      </c>
      <c r="E6" s="99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29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102"/>
      <c r="B7" s="103"/>
      <c r="C7" s="104" t="s">
        <v>782</v>
      </c>
      <c r="D7" s="94"/>
      <c r="E7" s="99" t="str">
        <f>IF($C7&lt;&gt;0,VLOOKUP($C7,'[1]Course Table'!$A$1:$G$330,2,TRUE),"")</f>
        <v xml:space="preserve">CompTIA A+ Certification: 220-1101                                  </v>
      </c>
      <c r="F7" s="84"/>
      <c r="G7" s="84">
        <f t="shared" si="0"/>
        <v>100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1301</v>
      </c>
      <c r="I7" s="84">
        <f>IF($C7&lt;&gt;"",VLOOKUP($C7,'[1]Course Table'!$A$1:$G$330,5,FALSE),"")</f>
        <v>100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6</v>
      </c>
      <c r="M7" s="84">
        <f>COUNTIF($J$6:$J7,$J7)</f>
        <v>1</v>
      </c>
      <c r="N7" s="84">
        <f>IF($C7&lt;&gt;"",VLOOKUP($C7,'[1]Course Table'!$A$1:$I$330,8,FALSE),"")</f>
        <v>11</v>
      </c>
      <c r="O7" s="84">
        <f>IF($C7&lt;&gt;"",VLOOKUP($C7,'[1]Course Table'!$A$1:$I$330,9,FALSE),"")</f>
        <v>5</v>
      </c>
      <c r="P7" s="84"/>
      <c r="Q7" s="84"/>
    </row>
    <row r="8" spans="1:17">
      <c r="A8" s="79"/>
      <c r="B8" s="103"/>
      <c r="C8" s="105" t="s">
        <v>783</v>
      </c>
      <c r="D8" s="94"/>
      <c r="E8" s="99" t="str">
        <f>IF($C8&lt;&gt;0,VLOOKUP($C8,'[1]Course Table'!$A$1:$G$330,2,TRUE),"")</f>
        <v>CompTIA A+ Certification: 220-1102</v>
      </c>
      <c r="F8" s="84"/>
      <c r="G8" s="84">
        <f t="shared" si="0"/>
        <v>100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1301</v>
      </c>
      <c r="I8" s="84">
        <f>IF($C8&lt;&gt;"",VLOOKUP($C8,'[1]Course Table'!$A$1:$G$330,5,FALSE),"")</f>
        <v>100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6</v>
      </c>
      <c r="M8" s="84">
        <f>COUNTIF($J$6:$J8,$J8)</f>
        <v>2</v>
      </c>
      <c r="N8" s="84">
        <f>IF($C8&lt;&gt;"",VLOOKUP($C8,'[1]Course Table'!$A$1:$I$330,8,FALSE),"")</f>
        <v>11</v>
      </c>
      <c r="O8" s="84">
        <f>IF($C8&lt;&gt;"",VLOOKUP($C8,'[1]Course Table'!$A$1:$I$330,9,FALSE),"")</f>
        <v>5</v>
      </c>
      <c r="P8" s="84"/>
      <c r="Q8" s="84"/>
    </row>
    <row r="9" spans="1:17">
      <c r="A9" s="102"/>
      <c r="B9" s="103"/>
      <c r="C9" s="105"/>
      <c r="D9" s="94"/>
      <c r="E9" s="99" t="str">
        <f>IF($C9&lt;&gt;0,VLOOKUP($C9,'[1]Course Table'!$A$1:$G$330,2,TRUE),"")</f>
        <v/>
      </c>
      <c r="F9" s="84"/>
      <c r="G9" s="84" t="str">
        <f t="shared" si="0"/>
        <v/>
      </c>
      <c r="H9" s="100" t="str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/>
      </c>
      <c r="I9" s="84" t="str">
        <f>IF($C9&lt;&gt;"",VLOOKUP($C9,'[1]Course Table'!$A$1:$G$330,5,FALSE),"")</f>
        <v/>
      </c>
      <c r="J9" s="101" t="str">
        <f>IF(AND($C9&lt;&gt;"",A9&lt;&gt;"E"),VLOOKUP($C9,'[1]Course Table'!$A$1:$G$330,6,FALSE),"")</f>
        <v/>
      </c>
      <c r="K9" s="101" t="str">
        <f>IF($C9&lt;&gt;"",VLOOKUP($C9,'[1]Course Table'!$A$1:$G$330,7,FALSE),"")</f>
        <v/>
      </c>
      <c r="L9" s="84">
        <f t="shared" si="1"/>
        <v>29</v>
      </c>
      <c r="M9" s="84">
        <f>COUNTIF($J$6:$J9,$J9)</f>
        <v>2</v>
      </c>
      <c r="N9" s="84" t="str">
        <f>IF($C9&lt;&gt;"",VLOOKUP($C9,'[1]Course Table'!$A$1:$I$330,8,FALSE),"")</f>
        <v/>
      </c>
      <c r="O9" s="84" t="str">
        <f>IF($C9&lt;&gt;"",VLOOKUP($C9,'[1]Course Table'!$A$1:$I$330,9,FALSE),"")</f>
        <v/>
      </c>
      <c r="P9" s="84"/>
      <c r="Q9" s="84"/>
    </row>
    <row r="10" spans="1:17">
      <c r="A10" s="102"/>
      <c r="B10" s="103"/>
      <c r="C10" s="105"/>
      <c r="D10" s="94" t="s">
        <v>267</v>
      </c>
      <c r="E10" s="99" t="str">
        <f>IF($C10&lt;&gt;0,VLOOKUP($C10,'[1]Course Table'!$A$1:$G$330,2,TRUE),"")</f>
        <v/>
      </c>
      <c r="F10" s="84"/>
      <c r="G10" s="84" t="str">
        <f t="shared" si="0"/>
        <v/>
      </c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 t="str">
        <f>IF($C10&lt;&gt;"",VLOOKUP($C10,'[1]Course Table'!$A$1:$G$330,5,FALSE),"")</f>
        <v/>
      </c>
      <c r="J10" s="101" t="str">
        <f>IF(AND($C10&lt;&gt;"",A10&lt;&gt;"E"),VLOOKUP($C10,'[1]Course Table'!$A$1:$G$330,6,FALSE),"")</f>
        <v/>
      </c>
      <c r="K10" s="101" t="str">
        <f>IF($C10&lt;&gt;"",VLOOKUP($C10,'[1]Course Table'!$A$1:$G$330,7,FALSE),"")</f>
        <v/>
      </c>
      <c r="L10" s="84">
        <f t="shared" si="1"/>
        <v>29</v>
      </c>
      <c r="M10" s="84">
        <f>COUNTIF($J$6:$J10,$J10)</f>
        <v>3</v>
      </c>
      <c r="N10" s="84" t="str">
        <f>IF($C10&lt;&gt;"",VLOOKUP($C10,'[1]Course Table'!$A$1:$I$330,8,FALSE),"")</f>
        <v/>
      </c>
      <c r="O10" s="84" t="str">
        <f>IF($C10&lt;&gt;"",VLOOKUP($C10,'[1]Course Table'!$A$1:$I$330,9,FALSE),"")</f>
        <v/>
      </c>
      <c r="P10" s="84"/>
      <c r="Q10" s="84"/>
    </row>
    <row r="11" spans="1:17">
      <c r="A11" s="102"/>
      <c r="B11" s="103"/>
      <c r="C11" s="105" t="s">
        <v>781</v>
      </c>
      <c r="D11" s="94"/>
      <c r="E11" s="99" t="str">
        <f>IF($C11&lt;&gt;0,VLOOKUP($C11,'[1]Course Table'!$A$1:$G$330,2,TRUE),"")</f>
        <v>CompTIA Network+</v>
      </c>
      <c r="F11" s="84"/>
      <c r="G11" s="84">
        <f t="shared" si="0"/>
        <v>60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995</v>
      </c>
      <c r="I11" s="84">
        <f>IF($C11&lt;&gt;"",VLOOKUP($C11,'[1]Course Table'!$A$1:$G$330,5,FALSE),"")</f>
        <v>60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6</v>
      </c>
      <c r="M11" s="84">
        <f>COUNTIF($J$6:$J11,$J11)</f>
        <v>3</v>
      </c>
      <c r="N11" s="84">
        <f>IF($C11&lt;&gt;"",VLOOKUP($C11,'[1]Course Table'!$A$1:$I$330,8,FALSE),"")</f>
        <v>11</v>
      </c>
      <c r="O11" s="84">
        <f>IF($C11&lt;&gt;"",VLOOKUP($C11,'[1]Course Table'!$A$1:$I$330,9,FALSE),"")</f>
        <v>3</v>
      </c>
      <c r="P11" s="84"/>
      <c r="Q11" s="84"/>
    </row>
    <row r="12" spans="1:17">
      <c r="A12" s="102"/>
      <c r="B12" s="103"/>
      <c r="C12" s="105"/>
      <c r="D12" s="94"/>
      <c r="E12" s="99" t="str">
        <f>IF($C12&lt;&gt;0,VLOOKUP($C12,'[1]Course Table'!$A$1:$G$330,2,TRUE),"")</f>
        <v/>
      </c>
      <c r="F12" s="84"/>
      <c r="G12" s="84" t="str">
        <f t="shared" si="0"/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1"/>
        <v>29</v>
      </c>
      <c r="M12" s="84">
        <f>COUNTIF($J$6:$J12,$J12)</f>
        <v>4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03"/>
      <c r="C13" s="105"/>
      <c r="D13" s="94" t="s">
        <v>268</v>
      </c>
      <c r="E13" s="99" t="str">
        <f>IF($C13&lt;&gt;0,VLOOKUP($C13,'[1]Course Table'!$A$1:$G$330,2,TRUE),"")</f>
        <v/>
      </c>
      <c r="F13" s="84"/>
      <c r="G13" s="84" t="str">
        <f t="shared" si="0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1"/>
        <v>29</v>
      </c>
      <c r="M13" s="84">
        <f>COUNTIF($J$6:$J13,$J13)</f>
        <v>5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106"/>
      <c r="B14" s="103"/>
      <c r="C14" s="105" t="s">
        <v>585</v>
      </c>
      <c r="D14" s="84"/>
      <c r="E14" s="99" t="str">
        <f>IF($C14&lt;&gt;0,VLOOKUP($C14,'[1]Course Table'!$A$1:$G$330,2,TRUE),"")</f>
        <v>Microsoft Windows 10 (MD-100)</v>
      </c>
      <c r="F14" s="84"/>
      <c r="G14" s="84">
        <f t="shared" si="0"/>
        <v>100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1600</v>
      </c>
      <c r="I14" s="84">
        <f>IF($C14&lt;&gt;"",VLOOKUP($C14,'[1]Course Table'!$A$1:$G$330,5,FALSE),"")</f>
        <v>100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6</v>
      </c>
      <c r="M14" s="84">
        <f>COUNTIF($J$6:$J14,$J14)</f>
        <v>4</v>
      </c>
      <c r="N14" s="84">
        <f>IF($C14&lt;&gt;"",VLOOKUP($C14,'[1]Course Table'!$A$1:$I$330,8,FALSE),"")</f>
        <v>16</v>
      </c>
      <c r="O14" s="84">
        <f>IF($C14&lt;&gt;"",VLOOKUP($C14,'[1]Course Table'!$A$1:$I$330,9,FALSE),"")</f>
        <v>5</v>
      </c>
      <c r="P14" s="84"/>
      <c r="Q14" s="84"/>
    </row>
    <row r="15" spans="1:17">
      <c r="A15" s="102"/>
      <c r="B15" s="103"/>
      <c r="C15" s="105" t="s">
        <v>586</v>
      </c>
      <c r="D15" s="94"/>
      <c r="E15" s="99" t="str">
        <f>IF($C15&lt;&gt;0,VLOOKUP($C15,'[1]Course Table'!$A$1:$G$330,2,TRUE),"")</f>
        <v>Managing Modern Desktops (MD-101)</v>
      </c>
      <c r="F15" s="84"/>
      <c r="G15" s="84">
        <f t="shared" si="0"/>
        <v>100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1600</v>
      </c>
      <c r="I15" s="84">
        <f>IF($C15&lt;&gt;"",VLOOKUP($C15,'[1]Course Table'!$A$1:$G$330,5,FALSE),"")</f>
        <v>100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6</v>
      </c>
      <c r="M15" s="84">
        <f>COUNTIF($J$6:$J15,$J15)</f>
        <v>5</v>
      </c>
      <c r="N15" s="84">
        <f>IF($C15&lt;&gt;"",VLOOKUP($C15,'[1]Course Table'!$A$1:$I$330,8,FALSE),"")</f>
        <v>16</v>
      </c>
      <c r="O15" s="84">
        <f>IF($C15&lt;&gt;"",VLOOKUP($C15,'[1]Course Table'!$A$1:$I$330,9,FALSE),"")</f>
        <v>5</v>
      </c>
      <c r="P15" s="84"/>
      <c r="Q15" s="84"/>
    </row>
    <row r="16" spans="1:17">
      <c r="A16" s="102"/>
      <c r="B16" s="103"/>
      <c r="C16" s="105"/>
      <c r="D16" s="94"/>
      <c r="E16" s="99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29</v>
      </c>
      <c r="M16" s="84">
        <f>COUNTIF($J$6:$J16,$J16)</f>
        <v>6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102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0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29</v>
      </c>
      <c r="M17" s="84">
        <f>COUNTIF($J$6:$J17,$J17)</f>
        <v>7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102"/>
      <c r="B18" s="103"/>
      <c r="C18" s="105" t="s">
        <v>433</v>
      </c>
      <c r="D18" s="94"/>
      <c r="E18" s="99" t="str">
        <f>IF($C18&lt;&gt;0,VLOOKUP($C18,'[1]Course Table'!$A$1:$G$330,2,TRUE),"")</f>
        <v>Study/Review - A+ Network and MCSA Desktop Cert - BC</v>
      </c>
      <c r="F18" s="84"/>
      <c r="G18" s="84">
        <f t="shared" si="0"/>
        <v>145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1713</v>
      </c>
      <c r="I18" s="84">
        <f>IF($C18&lt;&gt;"",VLOOKUP($C18,'[1]Course Table'!$A$1:$G$330,5,FALSE),"")</f>
        <v>145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6</v>
      </c>
      <c r="M18" s="84">
        <f>COUNTIF($J$6:$J18,$J18)</f>
        <v>6</v>
      </c>
      <c r="N18" s="84">
        <f>IF($C18&lt;&gt;"",VLOOKUP($C18,'[1]Course Table'!$A$1:$I$330,8,FALSE),"")</f>
        <v>99</v>
      </c>
      <c r="O18" s="84">
        <f>IF($C18&lt;&gt;"",VLOOKUP($C18,'[1]Course Table'!$A$1:$I$330,9,FALSE),"")</f>
        <v>7.5</v>
      </c>
      <c r="P18" s="84"/>
      <c r="Q18" s="84"/>
    </row>
    <row r="19" spans="1:18">
      <c r="A19" s="102"/>
      <c r="B19" s="103"/>
      <c r="C19" s="105"/>
      <c r="D19" s="94"/>
      <c r="E19" s="99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29</v>
      </c>
      <c r="M19" s="84">
        <f>COUNTIF($J$6:$J19,$J19)</f>
        <v>8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102"/>
      <c r="B20" s="103"/>
      <c r="C20" s="105"/>
      <c r="D20" s="94"/>
      <c r="E20" s="99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29</v>
      </c>
      <c r="M20" s="84">
        <f>COUNTIF($J$6:$J20,$J20)</f>
        <v>9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102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29</v>
      </c>
      <c r="M21" s="84">
        <f>COUNTIF($J$6:$J21,$J21)</f>
        <v>10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102"/>
      <c r="B22" s="103"/>
      <c r="C22" s="105"/>
      <c r="D22" s="94"/>
      <c r="E22" s="99"/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29</v>
      </c>
      <c r="M22" s="84">
        <f>COUNTIF($J$6:$J22,$J22)</f>
        <v>11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102"/>
      <c r="B23" s="103"/>
      <c r="C23" s="105"/>
      <c r="D23" s="94"/>
      <c r="E23" s="99"/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29</v>
      </c>
      <c r="M23" s="84">
        <f>COUNTIF($J$6:$J23,$J23)</f>
        <v>12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102"/>
      <c r="B24" s="103"/>
      <c r="C24" s="104"/>
      <c r="D24" s="84"/>
      <c r="E24" s="99"/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29</v>
      </c>
      <c r="M24" s="84">
        <f>COUNTIF($J$6:$J24,$J24)</f>
        <v>13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102"/>
      <c r="B25" s="103"/>
      <c r="C25" s="107"/>
      <c r="D25" s="94"/>
      <c r="E25" s="99"/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29</v>
      </c>
      <c r="M25" s="84">
        <f>COUNTIF($J$6:$J25,$J25)</f>
        <v>14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102"/>
      <c r="B26" s="103"/>
      <c r="C26" s="107"/>
      <c r="D26" s="84"/>
      <c r="E26" s="99"/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29</v>
      </c>
      <c r="M26" s="84">
        <f>COUNTIF($J$6:$J26,$J26)</f>
        <v>15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102"/>
      <c r="B27" s="103"/>
      <c r="C27" s="107"/>
      <c r="D27" s="84"/>
      <c r="E27" s="99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29</v>
      </c>
      <c r="M27" s="84">
        <f>COUNTIF($J$6:$J27,$J27)</f>
        <v>16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102"/>
      <c r="B28" s="103"/>
      <c r="C28" s="107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29</v>
      </c>
      <c r="M28" s="84">
        <f>COUNTIF($J$6:$J28,$J28)</f>
        <v>17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102"/>
      <c r="B29" s="103"/>
      <c r="C29" s="107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29</v>
      </c>
      <c r="M29" s="84">
        <f>COUNTIF($J$6:$J29,$J29)</f>
        <v>18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102"/>
      <c r="B30" s="103"/>
      <c r="C30" s="107"/>
      <c r="D30" s="8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29</v>
      </c>
      <c r="M30" s="84">
        <f>COUNTIF($J$6:$J30,$J30)</f>
        <v>19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102"/>
      <c r="B31" s="103"/>
      <c r="C31" s="107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29</v>
      </c>
      <c r="M31" s="84">
        <f>COUNTIF($J$6:$J31,$J31)</f>
        <v>20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102"/>
      <c r="B32" s="103"/>
      <c r="C32" s="107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29</v>
      </c>
      <c r="M32" s="84">
        <f>COUNTIF($J$6:$J32,$J32)</f>
        <v>21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102"/>
      <c r="B33" s="103"/>
      <c r="C33" s="107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29</v>
      </c>
      <c r="M33" s="84">
        <f>COUNTIF($J$6:$J33,$J33)</f>
        <v>22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102"/>
      <c r="B34" s="103"/>
      <c r="C34" s="107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29</v>
      </c>
      <c r="M34" s="84">
        <f>COUNTIF($J$6:$J34,$J34)</f>
        <v>23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102"/>
      <c r="B35" s="103"/>
      <c r="C35" s="107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29</v>
      </c>
      <c r="M35" s="84">
        <f>COUNTIF($J$6:$J35,$J35)</f>
        <v>24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29</v>
      </c>
      <c r="M36" s="84">
        <f>COUNTIF($J$6:$J36,$J36)</f>
        <v>25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29</v>
      </c>
      <c r="M37" s="84">
        <f>COUNTIF($J$6:$J37,$J37)</f>
        <v>26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29</v>
      </c>
      <c r="M38" s="84">
        <f>COUNTIF($J$6:$J38,$J38)</f>
        <v>27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29</v>
      </c>
      <c r="M39" s="84">
        <f>COUNTIF($J$6:$J39,$J39)</f>
        <v>28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29</v>
      </c>
      <c r="M40" s="84">
        <f>COUNTIF($J$6:$J40,$J40)</f>
        <v>29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D41" s="113"/>
      <c r="E41" s="89"/>
      <c r="F41" s="89"/>
      <c r="G41" s="89"/>
      <c r="H41" s="114">
        <f>SUM(H6:H40)</f>
        <v>8510</v>
      </c>
      <c r="I41" s="115">
        <f>SUM(I6:I40)</f>
        <v>605</v>
      </c>
    </row>
    <row r="42" spans="1:23" s="90" customFormat="1" ht="12.75">
      <c r="D42" s="301" t="str">
        <f>CONCATENATE("Course Hours - ",I41-C44,"          Exam &amp; Review Hours - ",C44,"          Total Course Hours - ",I41)</f>
        <v>Course Hours - 460          Exam &amp; Review Hours - 145          Total Course Hours - 605</v>
      </c>
      <c r="E42" s="301"/>
      <c r="F42" s="301"/>
      <c r="G42" s="301"/>
      <c r="H42" s="117">
        <f>ROUNDUP(H41/(I41+C43),2)</f>
        <v>14.07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Hrs/Week:",ROUND(I41/(20*4.33),1)," Months (",ROUND(I41/20,0)," Weeks); at 25 Hrs/Week:",ROUND(I41/(25*4.33),1)," Months (",ROUND(I41/25,0)," Weeks)","; +2 weeks holiday")</f>
        <v>Duration at 20 Hrs/Week:7 Months (30 Weeks); at 25 Hrs/Week:5.6 Months (24 Weeks); +2 weeks holiday</v>
      </c>
      <c r="E43" s="300"/>
      <c r="F43" s="300"/>
      <c r="G43" s="300"/>
      <c r="H43" s="118"/>
    </row>
    <row r="44" spans="1:23" s="84" customFormat="1" ht="13.5">
      <c r="C44" s="288">
        <f>VLOOKUP("SR"&amp;"*",$C$6:$G$40,5,FALSE)</f>
        <v>145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$8864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Info'!B7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30.5</v>
      </c>
    </row>
    <row r="49" spans="14:33" ht="13.5" customHeight="1"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13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10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5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194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160</v>
      </c>
      <c r="E4" s="299"/>
      <c r="F4" s="299"/>
      <c r="G4" s="92" t="s">
        <v>504</v>
      </c>
      <c r="H4" s="100"/>
      <c r="I4" s="84" t="s">
        <v>7</v>
      </c>
      <c r="P4" s="84"/>
      <c r="Q4" s="84"/>
    </row>
    <row r="5" spans="1:17">
      <c r="A5" s="90" t="s">
        <v>207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583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14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14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14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4" t="s">
        <v>390</v>
      </c>
      <c r="D9" s="84"/>
      <c r="E9" s="140" t="str">
        <f>IF($C9&lt;&gt;0,VLOOKUP($C9,'[1]Course Table'!$A$1:$G$330,2,TRUE),"")</f>
        <v>Keyboard Skill Building Level 1 (25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21</v>
      </c>
      <c r="M9" s="84">
        <f>COUNTIF($J$6:$J9,$J9)</f>
        <v>1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21</v>
      </c>
      <c r="M10" s="84">
        <f>COUNTIF($J$6:$J10,$J10)</f>
        <v>2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21</v>
      </c>
      <c r="M11" s="84">
        <f>COUNTIF($J$6:$J11,$J11)</f>
        <v>3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0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21</v>
      </c>
      <c r="M12" s="84">
        <f>COUNTIF($J$6:$J12,$J12)</f>
        <v>4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41"/>
      <c r="C13" s="105" t="s">
        <v>181</v>
      </c>
      <c r="D13" s="84"/>
      <c r="E13" s="140" t="str">
        <f>IF($C13&lt;&gt;0,VLOOKUP($C13,'[1]Course Table'!$A$1:$G$330,2,TRUE),"")</f>
        <v>Grammar Essentials for Business Writing</v>
      </c>
      <c r="F13" s="84"/>
      <c r="G13" s="84">
        <f t="shared" si="0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479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21</v>
      </c>
      <c r="M13" s="84">
        <f>COUNTIF($J$6:$J13,$J13)</f>
        <v>5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366</v>
      </c>
      <c r="D14" s="84"/>
      <c r="E14" s="140" t="str">
        <f>IF($C14&lt;&gt;0,VLOOKUP($C14,'[1]Course Table'!$A$1:$G$330,2,TRUE),"")</f>
        <v>Business Correspondence Level 1</v>
      </c>
      <c r="F14" s="84"/>
      <c r="G14" s="84">
        <f t="shared" si="0"/>
        <v>32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21</v>
      </c>
      <c r="M14" s="84">
        <f>COUNTIF($J$6:$J14,$J14)</f>
        <v>6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21</v>
      </c>
      <c r="M15" s="84">
        <f>COUNTIF($J$6:$J15,$J15)</f>
        <v>7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780</v>
      </c>
      <c r="D16" s="84"/>
      <c r="E16" s="140" t="str">
        <f>IF($C16&lt;&gt;0,VLOOKUP($C16,'[1]Course Table'!$A$1:$G$330,2,TRUE),"")</f>
        <v>MS Publisher Level 1</v>
      </c>
      <c r="F16" s="84"/>
      <c r="G16" s="84">
        <f t="shared" si="0"/>
        <v>26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428</v>
      </c>
      <c r="I16" s="84">
        <f>IF($C16&lt;&gt;"",VLOOKUP($C16,'[1]Course Table'!$A$1:$G$330,5,FALSE),"")</f>
        <v>26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21</v>
      </c>
      <c r="M16" s="84">
        <f>COUNTIF($J$6:$J16,$J16)</f>
        <v>8</v>
      </c>
      <c r="N16" s="84">
        <f>IF($C16&lt;&gt;"",VLOOKUP($C16,'[1]Course Table'!$A$1:$I$330,8,FALSE),"")</f>
        <v>6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324</v>
      </c>
      <c r="D17" s="84"/>
      <c r="E17" s="140" t="str">
        <f>IF($C17&lt;&gt;0,VLOOKUP($C17,'[1]Course Table'!$A$1:$G$330,2,TRUE),"")</f>
        <v>Customer Service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21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760</v>
      </c>
      <c r="D18" s="84"/>
      <c r="E18" s="140" t="str">
        <f>IF($C18&lt;&gt;0,VLOOKUP($C18,'[1]Course Table'!$A$1:$G$330,2,TRUE),"")</f>
        <v>MS Powerpoint Level 1</v>
      </c>
      <c r="F18" s="84"/>
      <c r="G18" s="84">
        <f t="shared" si="0"/>
        <v>24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24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21</v>
      </c>
      <c r="M18" s="84">
        <f>COUNTIF($J$6:$J18,$J18)</f>
        <v>10</v>
      </c>
      <c r="N18" s="84">
        <f>IF($C18&lt;&gt;"",VLOOKUP($C18,'[1]Course Table'!$A$1:$I$330,8,FALSE),"")</f>
        <v>6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41"/>
      <c r="C19" s="105" t="s">
        <v>761</v>
      </c>
      <c r="D19" s="84"/>
      <c r="E19" s="140" t="str">
        <f>IF($C19&lt;&gt;0,VLOOKUP($C19,'[1]Course Table'!$A$1:$G$330,2,TRUE),"")</f>
        <v>MS Powerpoint Level 2</v>
      </c>
      <c r="F19" s="84"/>
      <c r="G19" s="84">
        <f t="shared" si="0"/>
        <v>26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26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21</v>
      </c>
      <c r="M19" s="84">
        <f>COUNTIF($J$6:$J19,$J19)</f>
        <v>11</v>
      </c>
      <c r="N19" s="84">
        <f>IF($C19&lt;&gt;"",VLOOKUP($C19,'[1]Course Table'!$A$1:$I$330,8,FALSE),"")</f>
        <v>6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359</v>
      </c>
      <c r="D20" s="84"/>
      <c r="E20" s="140" t="str">
        <f>IF($C20&lt;&gt;0,VLOOKUP($C20,'[1]Course Table'!$A$1:$G$330,2,TRUE),"")</f>
        <v>Business Essentials</v>
      </c>
      <c r="F20" s="84"/>
      <c r="G20" s="84">
        <f t="shared" si="0"/>
        <v>40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729</v>
      </c>
      <c r="I20" s="84">
        <f>IF($C20&lt;&gt;"",VLOOKUP($C20,'[1]Course Table'!$A$1:$G$330,5,FALSE),"")</f>
        <v>40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21</v>
      </c>
      <c r="M20" s="84">
        <f>COUNTIF($J$6:$J20,$J20)</f>
        <v>12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41"/>
      <c r="C21" s="105" t="s">
        <v>323</v>
      </c>
      <c r="D21" s="99"/>
      <c r="E21" s="140" t="str">
        <f>IF($C21&lt;&gt;0,VLOOKUP($C21,'[1]Course Table'!$A$1:$G$330,2,TRUE),"")</f>
        <v>Marketing &amp; Sales</v>
      </c>
      <c r="F21" s="84"/>
      <c r="G21" s="84">
        <f t="shared" si="0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696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21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2</v>
      </c>
      <c r="P21" s="84"/>
      <c r="Q21" s="84"/>
    </row>
    <row r="22" spans="1:18">
      <c r="A22" s="79"/>
      <c r="B22" s="141"/>
      <c r="C22" s="105" t="s">
        <v>342</v>
      </c>
      <c r="D22" s="99"/>
      <c r="E22" s="140" t="str">
        <f>IF($C22&lt;&gt;0,VLOOKUP($C22,'[1]Course Table'!$A$1:$G$330,2,TRUE),"")</f>
        <v>Photoshop Basics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829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21</v>
      </c>
      <c r="M22" s="84">
        <f>COUNTIF($J$6:$J22,$J22)</f>
        <v>14</v>
      </c>
      <c r="N22" s="84">
        <f>IF($C22&lt;&gt;"",VLOOKUP($C22,'[1]Course Table'!$A$1:$I$330,8,FALSE),"")</f>
        <v>19</v>
      </c>
      <c r="O22" s="84">
        <f>IF($C22&lt;&gt;"",VLOOKUP($C22,'[1]Course Table'!$A$1:$I$330,9,FALSE),"")</f>
        <v>2</v>
      </c>
    </row>
    <row r="23" spans="1:18">
      <c r="A23" s="79"/>
      <c r="B23" s="141"/>
      <c r="C23" s="105" t="s">
        <v>343</v>
      </c>
      <c r="D23" s="99"/>
      <c r="E23" s="140" t="str">
        <f>IF($C23&lt;&gt;0,VLOOKUP($C23,'[1]Course Table'!$A$1:$G$330,2,TRUE),"")</f>
        <v>Illustrator Basics</v>
      </c>
      <c r="F23" s="84"/>
      <c r="G23" s="84">
        <f t="shared" si="0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829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21</v>
      </c>
      <c r="M23" s="84">
        <f>COUNTIF($J$6:$J23,$J23)</f>
        <v>15</v>
      </c>
      <c r="N23" s="84">
        <f>IF($C23&lt;&gt;"",VLOOKUP($C23,'[1]Course Table'!$A$1:$I$330,8,FALSE),"")</f>
        <v>19</v>
      </c>
      <c r="O23" s="84">
        <f>IF($C23&lt;&gt;"",VLOOKUP($C23,'[1]Course Table'!$A$1:$I$330,9,FALSE),"")</f>
        <v>2</v>
      </c>
      <c r="P23" s="84"/>
      <c r="Q23" s="84"/>
    </row>
    <row r="24" spans="1:18">
      <c r="A24" s="79"/>
      <c r="B24" s="141"/>
      <c r="C24" s="104" t="s">
        <v>347</v>
      </c>
      <c r="E24" s="140" t="str">
        <f>IF($C24&lt;&gt;0,VLOOKUP($C24,'[1]Course Table'!$A$1:$G$330,2,TRUE),"")</f>
        <v>Bootstrap using Dreamweaver 1</v>
      </c>
      <c r="F24" s="84"/>
      <c r="G24" s="84">
        <f t="shared" si="0"/>
        <v>50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829</v>
      </c>
      <c r="I24" s="84">
        <f>IF($C24&lt;&gt;"",VLOOKUP($C24,'[1]Course Table'!$A$1:$G$330,5,FALSE),"")</f>
        <v>50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21</v>
      </c>
      <c r="M24" s="84">
        <f>COUNTIF($J$6:$J24,$J24)</f>
        <v>16</v>
      </c>
      <c r="N24" s="84">
        <f>IF($C24&lt;&gt;"",VLOOKUP($C24,'[1]Course Table'!$A$1:$I$330,8,FALSE),"")</f>
        <v>19</v>
      </c>
      <c r="O24" s="84">
        <f>IF($C24&lt;&gt;"",VLOOKUP($C24,'[1]Course Table'!$A$1:$I$330,9,FALSE),"")</f>
        <v>2.5</v>
      </c>
      <c r="P24" s="84"/>
      <c r="Q24" s="84"/>
    </row>
    <row r="25" spans="1:18">
      <c r="A25" s="79"/>
      <c r="B25" s="141"/>
      <c r="C25" s="105" t="s">
        <v>462</v>
      </c>
      <c r="D25" s="84"/>
      <c r="E25" s="140" t="str">
        <f>IF($C25&lt;&gt;0,VLOOKUP($C25,'[1]Course Table'!$A$1:$G$330,2,TRUE),"")</f>
        <v>Internet Fundamentals</v>
      </c>
      <c r="F25" s="84"/>
      <c r="G25" s="84">
        <f t="shared" si="0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21</v>
      </c>
      <c r="M25" s="84">
        <f>COUNTIF($J$6:$J25,$J25)</f>
        <v>17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/>
      <c r="B26" s="141"/>
      <c r="C26" s="105" t="s">
        <v>762</v>
      </c>
      <c r="D26" s="84"/>
      <c r="E26" s="140" t="str">
        <f>IF($C26&lt;&gt;0,VLOOKUP($C26,'[1]Course Table'!$A$1:$G$330,2,TRUE),"")</f>
        <v>MS Outlook Level 1</v>
      </c>
      <c r="F26" s="84"/>
      <c r="G26" s="84">
        <f t="shared" si="0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21</v>
      </c>
      <c r="M26" s="84">
        <f>COUNTIF($J$6:$J26,$J26)</f>
        <v>18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1.5</v>
      </c>
      <c r="P26" s="84"/>
      <c r="Q26" s="84"/>
    </row>
    <row r="27" spans="1:18">
      <c r="A27" s="79"/>
      <c r="B27" s="141"/>
      <c r="C27" s="105" t="s">
        <v>400</v>
      </c>
      <c r="D27" s="84"/>
      <c r="E27" s="140" t="str">
        <f>IF($C27&lt;&gt;0,VLOOKUP($C27,'[1]Course Table'!$A$1:$G$330,2,TRUE),"")</f>
        <v>Marketing Administration</v>
      </c>
      <c r="F27" s="84"/>
      <c r="G27" s="84">
        <f t="shared" si="0"/>
        <v>40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698</v>
      </c>
      <c r="I27" s="84">
        <f>IF($C27&lt;&gt;"",VLOOKUP($C27,'[1]Course Table'!$A$1:$G$330,5,FALSE),"")</f>
        <v>40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21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/>
      <c r="B28" s="141"/>
      <c r="C28" s="105" t="s">
        <v>249</v>
      </c>
      <c r="D28" s="84"/>
      <c r="E28" s="140" t="str">
        <f>IF($C28&lt;&gt;0,VLOOKUP($C28,'[1]Course Table'!$A$1:$G$330,2,TRUE),"")</f>
        <v>Job Search/Resume Writing</v>
      </c>
      <c r="F28" s="84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579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21</v>
      </c>
      <c r="M28" s="84">
        <f>COUNTIF($J$6:$J28,$J28)</f>
        <v>20</v>
      </c>
      <c r="N28" s="84">
        <f>IF($C28&lt;&gt;"",VLOOKUP($C28,'[1]Course Table'!$A$1:$I$330,8,FALSE),"")</f>
        <v>15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41"/>
      <c r="C29" s="105" t="s">
        <v>442</v>
      </c>
      <c r="D29" s="84"/>
      <c r="E29" s="140" t="str">
        <f>IF($C29&lt;&gt;0,VLOOKUP($C29,'[1]Course Table'!$A$1:$G$330,2,TRUE),"")</f>
        <v>Study/Review - Marketing Administrative Assistant Cert - BC</v>
      </c>
      <c r="F29" s="84"/>
      <c r="G29" s="84">
        <f t="shared" si="0"/>
        <v>63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0</v>
      </c>
      <c r="I29" s="84">
        <f>IF($C29&lt;&gt;"",VLOOKUP($C29,'[1]Course Table'!$A$1:$G$330,5,FALSE),"")</f>
        <v>63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21</v>
      </c>
      <c r="M29" s="84">
        <f>COUNTIF($J$6:$J29,$J29)</f>
        <v>21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3</v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14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14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14</v>
      </c>
      <c r="M32" s="84">
        <f>COUNTIF($J$6:$J32,$J32)</f>
        <v>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14</v>
      </c>
      <c r="M33" s="84">
        <f>COUNTIF($J$6:$J33,$J33)</f>
        <v>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14</v>
      </c>
      <c r="M34" s="84">
        <f>COUNTIF($J$6:$J34,$J34)</f>
        <v>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14</v>
      </c>
      <c r="M35" s="84">
        <f>COUNTIF($J$6:$J35,$J35)</f>
        <v>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14</v>
      </c>
      <c r="M36" s="84">
        <f>COUNTIF($J$6:$J36,$J36)</f>
        <v>10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14</v>
      </c>
      <c r="M37" s="84">
        <f>COUNTIF($J$6:$J37,$J37)</f>
        <v>11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14</v>
      </c>
      <c r="M38" s="84">
        <f>COUNTIF($J$6:$J38,$J38)</f>
        <v>12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14</v>
      </c>
      <c r="M39" s="84">
        <f>COUNTIF($J$6:$J39,$J39)</f>
        <v>13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14</v>
      </c>
      <c r="M40" s="84">
        <f>COUNTIF($J$6:$J40,$J40)</f>
        <v>14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D41" s="113" t="s">
        <v>136</v>
      </c>
      <c r="E41" s="89"/>
      <c r="F41" s="89"/>
      <c r="G41" s="89"/>
      <c r="H41" s="114">
        <f>SUM(H6:H40)</f>
        <v>10655</v>
      </c>
      <c r="I41" s="115">
        <f>SUM(I6:I40)</f>
        <v>697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- 634          Exam &amp; Review Hours - 63          Total Course Hours - 697</v>
      </c>
      <c r="E42" s="301"/>
      <c r="F42" s="301"/>
      <c r="G42" s="301"/>
      <c r="H42" s="117">
        <f>ROUNDUP(H41/(I41+C43),2)</f>
        <v>15.29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Hrs/Week:8 Months (34 Weeks); at 25 Hrs/Week:6.4 Months (28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63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$11009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35.5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1.5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4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10.5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6.5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47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591</v>
      </c>
      <c r="E4" s="299"/>
      <c r="F4" s="299"/>
      <c r="G4" s="92" t="s">
        <v>514</v>
      </c>
      <c r="H4" s="100"/>
      <c r="I4" s="84" t="s">
        <v>7</v>
      </c>
      <c r="P4" s="84"/>
      <c r="Q4" s="84"/>
    </row>
    <row r="5" spans="1:17">
      <c r="A5" s="90" t="s">
        <v>670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313" t="s">
        <v>768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 ht="8.25" customHeight="1">
      <c r="A7" s="79"/>
      <c r="B7" s="141"/>
      <c r="C7" s="105"/>
      <c r="D7" s="99"/>
      <c r="E7" s="313"/>
      <c r="F7" s="84"/>
      <c r="G7" s="84" t="str">
        <f t="shared" ref="G7:G37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9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1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0"/>
        <v>9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26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760</v>
      </c>
      <c r="D10" s="84"/>
      <c r="E10" s="140" t="str">
        <f>IF($C10&lt;&gt;0,VLOOKUP($C10,'[1]Course Table'!$A$1:$G$330,2,TRUE),"")</f>
        <v>MS Powerpoint Level 1</v>
      </c>
      <c r="F10" s="84"/>
      <c r="G10" s="84">
        <f t="shared" si="1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26</v>
      </c>
      <c r="M10" s="84">
        <f>COUNTIF($J$6:$J10,$J10)</f>
        <v>2</v>
      </c>
      <c r="N10" s="84">
        <f>IF($C10&lt;&gt;"",VLOOKUP($C10,'[1]Course Table'!$A$1:$I$330,8,FALSE),"")</f>
        <v>6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761</v>
      </c>
      <c r="D11" s="84"/>
      <c r="E11" s="140" t="str">
        <f>IF($C11&lt;&gt;0,VLOOKUP($C11,'[1]Course Table'!$A$1:$G$330,2,TRUE),"")</f>
        <v>MS Powerpoint Level 2</v>
      </c>
      <c r="F11" s="84"/>
      <c r="G11" s="84">
        <f t="shared" si="1"/>
        <v>26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399</v>
      </c>
      <c r="I11" s="84">
        <f>IF($C11&lt;&gt;"",VLOOKUP($C11,'[1]Course Table'!$A$1:$G$330,5,FALSE),"")</f>
        <v>26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26</v>
      </c>
      <c r="M11" s="84">
        <f>COUNTIF($J$6:$J11,$J11)</f>
        <v>3</v>
      </c>
      <c r="N11" s="84">
        <f>IF($C11&lt;&gt;"",VLOOKUP($C11,'[1]Course Table'!$A$1:$I$330,8,FALSE),"")</f>
        <v>6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4" t="s">
        <v>23</v>
      </c>
      <c r="D12" s="84"/>
      <c r="E12" s="140" t="str">
        <f>IF($C12&lt;&gt;0,VLOOKUP($C12,'[1]Course Table'!$A$1:$G$330,2,TRUE),"")</f>
        <v>Practical Applications - 2 Units</v>
      </c>
      <c r="F12" s="84"/>
      <c r="G12" s="84">
        <f t="shared" si="1"/>
        <v>40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689</v>
      </c>
      <c r="I12" s="84">
        <f>IF($C12&lt;&gt;"",VLOOKUP($C12,'[1]Course Table'!$A$1:$G$330,5,FALSE),"")</f>
        <v>40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26</v>
      </c>
      <c r="M12" s="84">
        <f>COUNTIF($J$6:$J12,$J12)</f>
        <v>4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0</v>
      </c>
      <c r="P12" s="84"/>
      <c r="Q12" s="84"/>
    </row>
    <row r="13" spans="1:17">
      <c r="A13" s="79" t="s">
        <v>0</v>
      </c>
      <c r="B13" s="141"/>
      <c r="C13" s="105" t="s">
        <v>359</v>
      </c>
      <c r="D13" s="84"/>
      <c r="E13" s="140" t="str">
        <f>IF($C13&lt;&gt;0,VLOOKUP($C13,'[1]Course Table'!$A$1:$G$330,2,TRUE),"")</f>
        <v>Business Essentials</v>
      </c>
      <c r="F13" s="84"/>
      <c r="G13" s="84">
        <f t="shared" si="1"/>
        <v>40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729</v>
      </c>
      <c r="I13" s="84">
        <f>IF($C13&lt;&gt;"",VLOOKUP($C13,'[1]Course Table'!$A$1:$G$330,5,FALSE),"")</f>
        <v>40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26</v>
      </c>
      <c r="M13" s="84">
        <f>COUNTIF($J$6:$J13,$J13)</f>
        <v>5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324</v>
      </c>
      <c r="D14" s="84"/>
      <c r="E14" s="140" t="str">
        <f>IF($C14&lt;&gt;0,VLOOKUP($C14,'[1]Course Table'!$A$1:$G$330,2,TRUE),"")</f>
        <v>Customer Service</v>
      </c>
      <c r="F14" s="84"/>
      <c r="G14" s="84">
        <f t="shared" si="1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549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26</v>
      </c>
      <c r="M14" s="84">
        <f>COUNTIF($J$6:$J14,$J14)</f>
        <v>6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323</v>
      </c>
      <c r="D15" s="84"/>
      <c r="E15" s="140" t="str">
        <f>IF($C15&lt;&gt;0,VLOOKUP($C15,'[1]Course Table'!$A$1:$G$330,2,TRUE),"")</f>
        <v>Marketing &amp; Sales</v>
      </c>
      <c r="F15" s="84"/>
      <c r="G15" s="84">
        <f t="shared" si="1"/>
        <v>40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696</v>
      </c>
      <c r="I15" s="84">
        <f>IF($C15&lt;&gt;"",VLOOKUP($C15,'[1]Course Table'!$A$1:$G$330,5,FALSE),"")</f>
        <v>40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26</v>
      </c>
      <c r="M15" s="84">
        <f>COUNTIF($J$6:$J15,$J15)</f>
        <v>7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41"/>
      <c r="C16" s="105" t="s">
        <v>400</v>
      </c>
      <c r="D16" s="84"/>
      <c r="E16" s="140" t="str">
        <f>IF($C16&lt;&gt;0,VLOOKUP($C16,'[1]Course Table'!$A$1:$G$330,2,TRUE),"")</f>
        <v>Marketing Administration</v>
      </c>
      <c r="F16" s="84"/>
      <c r="G16" s="84">
        <f t="shared" si="1"/>
        <v>40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698</v>
      </c>
      <c r="I16" s="84">
        <f>IF($C16&lt;&gt;"",VLOOKUP($C16,'[1]Course Table'!$A$1:$G$330,5,FALSE),"")</f>
        <v>40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26</v>
      </c>
      <c r="M16" s="84">
        <f>COUNTIF($J$6:$J16,$J16)</f>
        <v>8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41"/>
      <c r="C17" s="105" t="s">
        <v>181</v>
      </c>
      <c r="D17" s="84"/>
      <c r="E17" s="140" t="str">
        <f>IF($C17&lt;&gt;0,VLOOKUP($C17,'[1]Course Table'!$A$1:$G$330,2,TRUE),"")</f>
        <v>Grammar Essentials for Business Writing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26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366</v>
      </c>
      <c r="D18" s="84"/>
      <c r="E18" s="140" t="str">
        <f>IF($C18&lt;&gt;0,VLOOKUP($C18,'[1]Course Table'!$A$1:$G$330,2,TRUE),"")</f>
        <v>Business Correspondence Level 1</v>
      </c>
      <c r="F18" s="84"/>
      <c r="G18" s="84">
        <f t="shared" si="1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26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367</v>
      </c>
      <c r="D19" s="84"/>
      <c r="E19" s="140" t="str">
        <f>IF($C19&lt;&gt;0,VLOOKUP($C19,'[1]Course Table'!$A$1:$G$330,2,TRUE),"")</f>
        <v>Business Correspondence Level 2</v>
      </c>
      <c r="F19" s="84"/>
      <c r="G19" s="84">
        <f t="shared" si="1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499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26</v>
      </c>
      <c r="M19" s="84">
        <f>COUNTIF($J$6:$J19,$J19)</f>
        <v>11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1</v>
      </c>
      <c r="B20" s="141"/>
      <c r="C20" s="105" t="s">
        <v>328</v>
      </c>
      <c r="D20" s="84"/>
      <c r="E20" s="140" t="str">
        <f>IF($C20&lt;&gt;0,VLOOKUP($C20,'[1]Course Table'!$A$1:$G$330,2,TRUE),"")</f>
        <v>Office Procedures Level 1</v>
      </c>
      <c r="F20" s="84"/>
      <c r="G20" s="84">
        <f t="shared" si="1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26</v>
      </c>
      <c r="M20" s="84">
        <f>COUNTIF($J$6:$J20,$J20)</f>
        <v>12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41"/>
      <c r="C21" s="105" t="s">
        <v>329</v>
      </c>
      <c r="D21" s="99"/>
      <c r="E21" s="140" t="str">
        <f>IF($C21&lt;&gt;0,VLOOKUP($C21,'[1]Course Table'!$A$1:$G$330,2,TRUE),"")</f>
        <v>Office Procedures Level 2</v>
      </c>
      <c r="F21" s="84"/>
      <c r="G21" s="84">
        <f t="shared" si="1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399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26</v>
      </c>
      <c r="M21" s="84">
        <f>COUNTIF($J$6:$J21,$J21)</f>
        <v>13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41"/>
      <c r="C22" s="105" t="s">
        <v>780</v>
      </c>
      <c r="D22" s="99"/>
      <c r="E22" s="140" t="str">
        <f>IF($C22&lt;&gt;0,VLOOKUP($C22,'[1]Course Table'!$A$1:$G$330,2,TRUE),"")</f>
        <v>MS Publisher Level 1</v>
      </c>
      <c r="F22" s="84"/>
      <c r="G22" s="84">
        <f t="shared" si="1"/>
        <v>26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428</v>
      </c>
      <c r="I22" s="84">
        <f>IF($C22&lt;&gt;"",VLOOKUP($C22,'[1]Course Table'!$A$1:$G$330,5,FALSE),"")</f>
        <v>26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26</v>
      </c>
      <c r="M22" s="84">
        <f>COUNTIF($J$6:$J22,$J22)</f>
        <v>14</v>
      </c>
      <c r="N22" s="84">
        <f>IF($C22&lt;&gt;"",VLOOKUP($C22,'[1]Course Table'!$A$1:$I$330,8,FALSE),"")</f>
        <v>6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342</v>
      </c>
      <c r="D23" s="99"/>
      <c r="E23" s="140" t="str">
        <f>IF($C23&lt;&gt;0,VLOOKUP($C23,'[1]Course Table'!$A$1:$G$330,2,TRUE),"")</f>
        <v>Photoshop Basics</v>
      </c>
      <c r="F23" s="84"/>
      <c r="G23" s="84">
        <f t="shared" si="1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829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26</v>
      </c>
      <c r="M23" s="84">
        <f>COUNTIF($J$6:$J23,$J23)</f>
        <v>15</v>
      </c>
      <c r="N23" s="84">
        <f>IF($C23&lt;&gt;"",VLOOKUP($C23,'[1]Course Table'!$A$1:$I$330,8,FALSE),"")</f>
        <v>19</v>
      </c>
      <c r="O23" s="84">
        <f>IF($C23&lt;&gt;"",VLOOKUP($C23,'[1]Course Table'!$A$1:$I$330,9,FALSE),"")</f>
        <v>2</v>
      </c>
      <c r="P23" s="84"/>
      <c r="Q23" s="84"/>
    </row>
    <row r="24" spans="1:18">
      <c r="A24" s="79" t="s">
        <v>0</v>
      </c>
      <c r="B24" s="141"/>
      <c r="C24" s="105" t="s">
        <v>343</v>
      </c>
      <c r="E24" s="140" t="str">
        <f>IF($C24&lt;&gt;0,VLOOKUP($C24,'[1]Course Table'!$A$1:$G$330,2,TRUE),"")</f>
        <v>Illustrator Basics</v>
      </c>
      <c r="F24" s="84"/>
      <c r="G24" s="84">
        <f t="shared" si="1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829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26</v>
      </c>
      <c r="M24" s="84">
        <f>COUNTIF($J$6:$J24,$J24)</f>
        <v>16</v>
      </c>
      <c r="N24" s="84">
        <f>IF($C24&lt;&gt;"",VLOOKUP($C24,'[1]Course Table'!$A$1:$I$330,8,FALSE),"")</f>
        <v>19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361</v>
      </c>
      <c r="D25" s="84"/>
      <c r="E25" s="140" t="str">
        <f>IF($C25&lt;&gt;0,VLOOKUP($C25,'[1]Course Table'!$A$1:$G$330,2,TRUE),"")</f>
        <v>Employment Success Strategies</v>
      </c>
      <c r="F25" s="84"/>
      <c r="G25" s="84">
        <f t="shared" si="1"/>
        <v>40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699</v>
      </c>
      <c r="I25" s="84">
        <f>IF($C25&lt;&gt;"",VLOOKUP($C25,'[1]Course Table'!$A$1:$G$330,5,FALSE),"")</f>
        <v>40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26</v>
      </c>
      <c r="M25" s="84">
        <f>COUNTIF($J$6:$J25,$J25)</f>
        <v>17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2</v>
      </c>
      <c r="P25" s="84"/>
      <c r="Q25" s="84"/>
    </row>
    <row r="26" spans="1:18">
      <c r="A26" s="79" t="s">
        <v>0</v>
      </c>
      <c r="B26" s="141"/>
      <c r="C26" s="105" t="s">
        <v>180</v>
      </c>
      <c r="D26" s="84"/>
      <c r="E26" s="140" t="str">
        <f>IF($C26&lt;&gt;0,VLOOKUP($C26,'[1]Course Table'!$A$1:$G$330,2,TRUE),"")</f>
        <v>Business Math</v>
      </c>
      <c r="F26" s="84"/>
      <c r="G26" s="84">
        <f t="shared" si="1"/>
        <v>22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399</v>
      </c>
      <c r="I26" s="84">
        <f>IF($C26&lt;&gt;"",VLOOKUP($C26,'[1]Course Table'!$A$1:$G$330,5,FALSE),"")</f>
        <v>22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26</v>
      </c>
      <c r="M26" s="84">
        <f>COUNTIF($J$6:$J26,$J26)</f>
        <v>18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41"/>
      <c r="C27" s="105" t="s">
        <v>568</v>
      </c>
      <c r="D27" s="84"/>
      <c r="E27" s="140" t="str">
        <f>IF($C27&lt;&gt;0,VLOOKUP($C27,'[1]Course Table'!$A$1:$G$330,2,TRUE),"")</f>
        <v>Project Management Fundamentals - Level 1</v>
      </c>
      <c r="F27" s="84"/>
      <c r="G27" s="84">
        <f t="shared" si="1"/>
        <v>36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995</v>
      </c>
      <c r="I27" s="84">
        <f>IF($C27&lt;&gt;"",VLOOKUP($C27,'[1]Course Table'!$A$1:$G$330,5,FALSE),"")</f>
        <v>36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26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41"/>
      <c r="C28" s="105" t="s">
        <v>791</v>
      </c>
      <c r="D28" s="84"/>
      <c r="E28" s="140" t="str">
        <f>IF($C28&lt;&gt;0,VLOOKUP($C28,'[1]Course Table'!$A$1:$G$330,2,TRUE),"")</f>
        <v>MS Project Level 1</v>
      </c>
      <c r="F28" s="84"/>
      <c r="G28" s="84">
        <f t="shared" si="1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499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26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41"/>
      <c r="C29" s="105" t="s">
        <v>363</v>
      </c>
      <c r="D29" s="84"/>
      <c r="E29" s="140" t="str">
        <f>IF($C29&lt;&gt;0,VLOOKUP($C29,'[1]Course Table'!$A$1:$G$330,2,TRUE),"")</f>
        <v>Business in the Digital Age</v>
      </c>
      <c r="F29" s="84"/>
      <c r="G29" s="84">
        <f t="shared" si="1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499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26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 t="s">
        <v>0</v>
      </c>
      <c r="B30" s="141"/>
      <c r="C30" s="105" t="s">
        <v>172</v>
      </c>
      <c r="D30" s="84"/>
      <c r="E30" s="140" t="str">
        <f>IF($C30&lt;&gt;0,VLOOKUP($C30,'[1]Course Table'!$A$1:$G$330,2,TRUE),"")</f>
        <v>Business Presentations</v>
      </c>
      <c r="F30" s="84"/>
      <c r="G30" s="84">
        <f t="shared" si="1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26</v>
      </c>
      <c r="M30" s="84">
        <f>COUNTIF($J$6:$J30,$J30)</f>
        <v>22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1.5</v>
      </c>
      <c r="P30" s="84"/>
      <c r="Q30" s="84"/>
    </row>
    <row r="31" spans="1:18">
      <c r="A31" s="79" t="s">
        <v>0</v>
      </c>
      <c r="B31" s="141"/>
      <c r="C31" s="105" t="s">
        <v>123</v>
      </c>
      <c r="D31" s="84"/>
      <c r="E31" s="140" t="str">
        <f>IF($C31&lt;&gt;0,VLOOKUP($C31,'[1]Course Table'!$A$1:$G$330,2,TRUE),"")</f>
        <v>Basic Bookkeeping Level 1</v>
      </c>
      <c r="F31" s="84"/>
      <c r="G31" s="84">
        <f t="shared" si="1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499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26</v>
      </c>
      <c r="M31" s="84">
        <f>COUNTIF($J$6:$J31,$J31)</f>
        <v>23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1.5</v>
      </c>
      <c r="P31" s="84"/>
      <c r="Q31" s="84"/>
    </row>
    <row r="32" spans="1:18">
      <c r="A32" s="79" t="s">
        <v>0</v>
      </c>
      <c r="B32" s="141"/>
      <c r="C32" s="105" t="s">
        <v>570</v>
      </c>
      <c r="D32" s="84"/>
      <c r="E32" s="140" t="str">
        <f>IF($C32&lt;&gt;0,VLOOKUP($C32,'[1]Course Table'!$A$1:$G$330,2,TRUE),"")</f>
        <v>QuickBooks Premier 2019</v>
      </c>
      <c r="F32" s="84"/>
      <c r="G32" s="84">
        <f t="shared" si="1"/>
        <v>29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495</v>
      </c>
      <c r="I32" s="84">
        <f>IF($C32&lt;&gt;"",VLOOKUP($C32,'[1]Course Table'!$A$1:$G$330,5,FALSE),"")</f>
        <v>29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26</v>
      </c>
      <c r="M32" s="84">
        <f>COUNTIF($J$6:$J32,$J32)</f>
        <v>24</v>
      </c>
      <c r="N32" s="84">
        <f>IF($C32&lt;&gt;"",VLOOKUP($C32,'[1]Course Table'!$A$1:$I$330,8,FALSE),"")</f>
        <v>7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0</v>
      </c>
      <c r="B33" s="141"/>
      <c r="C33" s="105" t="s">
        <v>249</v>
      </c>
      <c r="D33" s="84"/>
      <c r="E33" s="140" t="str">
        <f>IF($C33&lt;&gt;0,VLOOKUP($C33,'[1]Course Table'!$A$1:$G$330,2,TRUE),"")</f>
        <v>Job Search/Resume Writing</v>
      </c>
      <c r="F33" s="84"/>
      <c r="G33" s="84">
        <f t="shared" si="1"/>
        <v>30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579</v>
      </c>
      <c r="I33" s="84">
        <f>IF($C33&lt;&gt;"",VLOOKUP($C33,'[1]Course Table'!$A$1:$G$330,5,FALSE),"")</f>
        <v>30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26</v>
      </c>
      <c r="M33" s="84">
        <f>COUNTIF($J$6:$J33,$J33)</f>
        <v>25</v>
      </c>
      <c r="N33" s="84">
        <f>IF($C33&lt;&gt;"",VLOOKUP($C33,'[1]Course Table'!$A$1:$I$330,8,FALSE),"")</f>
        <v>15</v>
      </c>
      <c r="O33" s="84">
        <f>IF($C33&lt;&gt;"",VLOOKUP($C33,'[1]Course Table'!$A$1:$I$330,9,FALSE),"")</f>
        <v>1.5</v>
      </c>
      <c r="P33" s="84"/>
      <c r="Q33" s="84"/>
      <c r="R33" s="90"/>
    </row>
    <row r="34" spans="1:18">
      <c r="A34" s="79"/>
      <c r="B34" s="141"/>
      <c r="C34" s="105" t="s">
        <v>422</v>
      </c>
      <c r="D34" s="84"/>
      <c r="E34" s="140" t="str">
        <f>IF($C34&lt;&gt;0,VLOOKUP($C34,'[1]Course Table'!$A$1:$G$330,2,TRUE),"")</f>
        <v>Study/Review - Marketing Coordinator - BC</v>
      </c>
      <c r="F34" s="84"/>
      <c r="G34" s="84">
        <f t="shared" si="1"/>
        <v>79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0</v>
      </c>
      <c r="I34" s="84">
        <f>IF($C34&lt;&gt;"",VLOOKUP($C34,'[1]Course Table'!$A$1:$G$330,5,FALSE),"")</f>
        <v>79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26</v>
      </c>
      <c r="M34" s="84">
        <f>COUNTIF($J$6:$J34,$J34)</f>
        <v>26</v>
      </c>
      <c r="N34" s="84">
        <f>IF($C34&lt;&gt;"",VLOOKUP($C34,'[1]Course Table'!$A$1:$I$330,8,FALSE),"")</f>
        <v>99</v>
      </c>
      <c r="O34" s="84">
        <f>IF($C34&lt;&gt;"",VLOOKUP($C34,'[1]Course Table'!$A$1:$I$330,9,FALSE),"")</f>
        <v>4</v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9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9</v>
      </c>
      <c r="M36" s="84">
        <f>COUNTIF($J$6:$J36,$J36)</f>
        <v>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>I38</f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>I39</f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>I40</f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14242</v>
      </c>
      <c r="I41" s="115">
        <f>SUM(I6:I40)</f>
        <v>868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- 789          Exam &amp; Review Hours - 79          Total Course Hours - 868</v>
      </c>
      <c r="E42" s="301"/>
      <c r="F42" s="301"/>
      <c r="G42" s="301"/>
      <c r="H42" s="117">
        <f>ROUNDUP(H41/(I41+C43),2)</f>
        <v>16.41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Hrs/Week:10 Months (43 Weeks); at 25 Hrs/Week:8 Months (35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$14596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3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4</v>
      </c>
      <c r="T49" s="78">
        <f>SUMIF($N$6:$N$40,Summary!T4,$O$6:$O$40)</f>
        <v>1.5</v>
      </c>
      <c r="U49" s="78">
        <f>SUMIF($N$6:$N$40,Summary!U4,$O$6:$O$40)</f>
        <v>0</v>
      </c>
      <c r="V49" s="78">
        <f>SUMIF($N$6:$N$40,Summary!V4,$O$6:$O$40)</f>
        <v>22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4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F1:G1"/>
    <mergeCell ref="D45:G45"/>
    <mergeCell ref="F2:G2"/>
    <mergeCell ref="D4:F4"/>
    <mergeCell ref="E6:E7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58">
    <tabColor indexed="10"/>
    <pageSetUpPr fitToPage="1"/>
  </sheetPr>
  <dimension ref="A1:AG52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251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594</v>
      </c>
      <c r="E4" s="303"/>
      <c r="F4" s="303"/>
      <c r="G4" s="92" t="s">
        <v>516</v>
      </c>
      <c r="H4" s="100"/>
      <c r="I4" s="84" t="s">
        <v>7</v>
      </c>
      <c r="P4" s="84"/>
      <c r="Q4" s="84"/>
    </row>
    <row r="5" spans="1:17">
      <c r="A5" s="90" t="s">
        <v>671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784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29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29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1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0"/>
        <v>29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5" t="s">
        <v>571</v>
      </c>
      <c r="D9" s="99"/>
      <c r="E9" s="140" t="str">
        <f>IF($C9&lt;&gt;0,VLOOKUP($C9,'[1]Course Table'!$A$1:$G$330,2,TRUE),"")</f>
        <v>Installation, Storage, and Compute with Windows Server 2016</v>
      </c>
      <c r="F9" s="84"/>
      <c r="G9" s="84">
        <f t="shared" si="1"/>
        <v>100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1600</v>
      </c>
      <c r="I9" s="84">
        <f>IF($C9&lt;&gt;"",VLOOKUP($C9,'[1]Course Table'!$A$1:$G$330,5,FALSE),"")</f>
        <v>100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6</v>
      </c>
      <c r="M9" s="84">
        <f>COUNTIF($J$6:$J9,$J9)</f>
        <v>1</v>
      </c>
      <c r="N9" s="84">
        <f>IF($C9&lt;&gt;"",VLOOKUP($C9,'[1]Course Table'!$A$1:$I$330,8,FALSE),"")</f>
        <v>16</v>
      </c>
      <c r="O9" s="84">
        <f>IF($C9&lt;&gt;"",VLOOKUP($C9,'[1]Course Table'!$A$1:$I$330,9,FALSE),"")</f>
        <v>5</v>
      </c>
      <c r="P9" s="84"/>
      <c r="Q9" s="84"/>
    </row>
    <row r="10" spans="1:17">
      <c r="A10" s="79"/>
      <c r="B10" s="141"/>
      <c r="C10" s="105" t="s">
        <v>572</v>
      </c>
      <c r="D10" s="99"/>
      <c r="E10" s="140" t="str">
        <f>IF($C10&lt;&gt;0,VLOOKUP($C10,'[1]Course Table'!$A$1:$G$330,2,TRUE),"")</f>
        <v>Networking with Windows Server 2016</v>
      </c>
      <c r="F10" s="84"/>
      <c r="G10" s="84">
        <f t="shared" si="1"/>
        <v>100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1600</v>
      </c>
      <c r="I10" s="84">
        <f>IF($C10&lt;&gt;"",VLOOKUP($C10,'[1]Course Table'!$A$1:$G$330,5,FALSE),"")</f>
        <v>100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6</v>
      </c>
      <c r="M10" s="84">
        <f>COUNTIF($J$6:$J10,$J10)</f>
        <v>2</v>
      </c>
      <c r="N10" s="84">
        <f>IF($C10&lt;&gt;"",VLOOKUP($C10,'[1]Course Table'!$A$1:$I$330,8,FALSE),"")</f>
        <v>16</v>
      </c>
      <c r="O10" s="84">
        <f>IF($C10&lt;&gt;"",VLOOKUP($C10,'[1]Course Table'!$A$1:$I$330,9,FALSE),"")</f>
        <v>5</v>
      </c>
      <c r="P10" s="84"/>
      <c r="Q10" s="84"/>
    </row>
    <row r="11" spans="1:17">
      <c r="A11" s="79"/>
      <c r="B11" s="141"/>
      <c r="C11" s="105" t="s">
        <v>573</v>
      </c>
      <c r="D11" s="84"/>
      <c r="E11" s="140" t="str">
        <f>IF($C11&lt;&gt;0,VLOOKUP($C11,'[1]Course Table'!$A$1:$G$330,2,TRUE),"")</f>
        <v>Identity with Windows Server 2016</v>
      </c>
      <c r="F11" s="84"/>
      <c r="G11" s="84">
        <f t="shared" si="1"/>
        <v>100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1600</v>
      </c>
      <c r="I11" s="84">
        <f>IF($C11&lt;&gt;"",VLOOKUP($C11,'[1]Course Table'!$A$1:$G$330,5,FALSE),"")</f>
        <v>100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6</v>
      </c>
      <c r="M11" s="84">
        <f>COUNTIF($J$6:$J11,$J11)</f>
        <v>3</v>
      </c>
      <c r="N11" s="84">
        <f>IF($C11&lt;&gt;"",VLOOKUP($C11,'[1]Course Table'!$A$1:$I$330,8,FALSE),"")</f>
        <v>16</v>
      </c>
      <c r="O11" s="84">
        <f>IF($C11&lt;&gt;"",VLOOKUP($C11,'[1]Course Table'!$A$1:$I$330,9,FALSE),"")</f>
        <v>5</v>
      </c>
      <c r="P11" s="84"/>
      <c r="Q11" s="84"/>
    </row>
    <row r="12" spans="1:17">
      <c r="A12" s="79"/>
      <c r="B12" s="141"/>
      <c r="C12" s="105"/>
      <c r="D12" s="84"/>
      <c r="E12" s="140" t="str">
        <f>IF($C12&lt;&gt;0,VLOOKUP($C12,'[1]Course Table'!$A$1:$G$330,2,TRUE),"")</f>
        <v/>
      </c>
      <c r="F12" s="84"/>
      <c r="G12" s="84" t="str">
        <f t="shared" si="1"/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0"/>
        <v>29</v>
      </c>
      <c r="M12" s="84">
        <f>COUNTIF($J$6:$J12,$J12)</f>
        <v>4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41"/>
      <c r="C13" s="105" t="s">
        <v>461</v>
      </c>
      <c r="D13" s="84"/>
      <c r="E13" s="140" t="str">
        <f>IF($C13&lt;&gt;0,VLOOKUP($C13,'[1]Course Table'!$A$1:$G$330,2,TRUE),"")</f>
        <v>Microsoft Certification Exams - 3 Single Attempts</v>
      </c>
      <c r="F13" s="84"/>
      <c r="G13" s="84">
        <f t="shared" si="1"/>
        <v>12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510</v>
      </c>
      <c r="I13" s="84">
        <f>IF($C13&lt;&gt;"",VLOOKUP($C13,'[1]Course Table'!$A$1:$G$330,5,FALSE),"")</f>
        <v>12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6</v>
      </c>
      <c r="M13" s="84">
        <f>COUNTIF($J$6:$J13,$J13)</f>
        <v>4</v>
      </c>
      <c r="N13" s="84">
        <f>IF($C13&lt;&gt;"",VLOOKUP($C13,'[1]Course Table'!$A$1:$I$330,8,FALSE),"")</f>
        <v>98</v>
      </c>
      <c r="O13" s="84">
        <f>IF($C13&lt;&gt;"",VLOOKUP($C13,'[1]Course Table'!$A$1:$I$330,9,FALSE),"")</f>
        <v>0</v>
      </c>
      <c r="P13" s="84"/>
      <c r="Q13" s="84"/>
    </row>
    <row r="14" spans="1:17">
      <c r="A14" s="79"/>
      <c r="B14" s="141"/>
      <c r="C14" s="105" t="s">
        <v>460</v>
      </c>
      <c r="D14" s="84"/>
      <c r="E14" s="140" t="str">
        <f>IF($C14&lt;&gt;0,VLOOKUP($C14,'[1]Course Table'!$A$1:$G$330,2,TRUE),"")</f>
        <v>CertBlaster Exam Preparation 1 Unit</v>
      </c>
      <c r="F14" s="84"/>
      <c r="G14" s="84">
        <f t="shared" si="1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314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6</v>
      </c>
      <c r="M14" s="84">
        <f>COUNTIF($J$6:$J14,$J14)</f>
        <v>5</v>
      </c>
      <c r="N14" s="84">
        <f>IF($C14&lt;&gt;"",VLOOKUP($C14,'[1]Course Table'!$A$1:$I$330,8,FALSE),"")</f>
        <v>98</v>
      </c>
      <c r="O14" s="84">
        <f>IF($C14&lt;&gt;"",VLOOKUP($C14,'[1]Course Table'!$A$1:$I$330,9,FALSE),"")</f>
        <v>0</v>
      </c>
      <c r="P14" s="84"/>
      <c r="Q14" s="84"/>
    </row>
    <row r="15" spans="1:17">
      <c r="A15" s="79"/>
      <c r="B15" s="141"/>
      <c r="C15" s="105" t="s">
        <v>450</v>
      </c>
      <c r="D15" s="84"/>
      <c r="E15" s="140" t="str">
        <f>IF($C15&lt;&gt;0,VLOOKUP($C15,'[1]Course Table'!$A$1:$G$330,2,TRUE),"")</f>
        <v>Study/Review - MSCA Windows Server Cert - BC</v>
      </c>
      <c r="F15" s="84"/>
      <c r="G15" s="84">
        <f t="shared" si="1"/>
        <v>35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0</v>
      </c>
      <c r="I15" s="84">
        <f>IF($C15&lt;&gt;"",VLOOKUP($C15,'[1]Course Table'!$A$1:$G$330,5,FALSE),"")</f>
        <v>35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6</v>
      </c>
      <c r="M15" s="84">
        <f>COUNTIF($J$6:$J15,$J15)</f>
        <v>6</v>
      </c>
      <c r="N15" s="84">
        <f>IF($C15&lt;&gt;"",VLOOKUP($C15,'[1]Course Table'!$A$1:$I$330,8,FALSE),"")</f>
        <v>99</v>
      </c>
      <c r="O15" s="84">
        <f>IF($C15&lt;&gt;"",VLOOKUP($C15,'[1]Course Table'!$A$1:$I$330,9,FALSE),"")</f>
        <v>4</v>
      </c>
      <c r="P15" s="84"/>
      <c r="Q15" s="84"/>
    </row>
    <row r="16" spans="1:17">
      <c r="A16" s="79"/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1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0"/>
        <v>29</v>
      </c>
      <c r="M16" s="84">
        <f>COUNTIF($J$6:$J16,$J16)</f>
        <v>5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41"/>
      <c r="C17" s="105"/>
      <c r="D17" s="84"/>
      <c r="E17" s="140" t="str">
        <f>IF($C17&lt;&gt;0,VLOOKUP($C17,'[1]Course Table'!$A$1:$G$330,2,TRUE),"")</f>
        <v/>
      </c>
      <c r="F17" s="84"/>
      <c r="G17" s="84" t="str">
        <f t="shared" si="1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0"/>
        <v>29</v>
      </c>
      <c r="M17" s="84">
        <f>COUNTIF($J$6:$J17,$J17)</f>
        <v>6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1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0"/>
        <v>29</v>
      </c>
      <c r="M18" s="84">
        <f>COUNTIF($J$6:$J18,$J18)</f>
        <v>7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1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0"/>
        <v>29</v>
      </c>
      <c r="M19" s="84">
        <f>COUNTIF($J$6:$J19,$J19)</f>
        <v>8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1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0"/>
        <v>29</v>
      </c>
      <c r="M20" s="84">
        <f>COUNTIF($J$6:$J20,$J20)</f>
        <v>9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29</v>
      </c>
      <c r="M21" s="84">
        <f>COUNTIF($J$6:$J21,$J21)</f>
        <v>10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29</v>
      </c>
      <c r="M22" s="84">
        <f>COUNTIF($J$6:$J22,$J22)</f>
        <v>11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29</v>
      </c>
      <c r="M23" s="84">
        <f>COUNTIF($J$6:$J23,$J23)</f>
        <v>12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29</v>
      </c>
      <c r="M24" s="84">
        <f>COUNTIF($J$6:$J24,$J24)</f>
        <v>13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29</v>
      </c>
      <c r="M25" s="84">
        <f>COUNTIF($J$6:$J25,$J25)</f>
        <v>14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29</v>
      </c>
      <c r="M26" s="84">
        <f>COUNTIF($J$6:$J26,$J26)</f>
        <v>15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29</v>
      </c>
      <c r="M27" s="84">
        <f>COUNTIF($J$6:$J27,$J27)</f>
        <v>16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29</v>
      </c>
      <c r="M28" s="84">
        <f>COUNTIF($J$6:$J28,$J28)</f>
        <v>17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29</v>
      </c>
      <c r="M29" s="84">
        <f>COUNTIF($J$6:$J29,$J29)</f>
        <v>18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29</v>
      </c>
      <c r="M30" s="84">
        <f>COUNTIF($J$6:$J30,$J30)</f>
        <v>19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29</v>
      </c>
      <c r="M31" s="84">
        <f>COUNTIF($J$6:$J31,$J31)</f>
        <v>20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29</v>
      </c>
      <c r="M32" s="84">
        <f>COUNTIF($J$6:$J32,$J32)</f>
        <v>21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29</v>
      </c>
      <c r="M33" s="84">
        <f>COUNTIF($J$6:$J33,$J33)</f>
        <v>22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29</v>
      </c>
      <c r="M34" s="84">
        <f>COUNTIF($J$6:$J34,$J34)</f>
        <v>23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29</v>
      </c>
      <c r="M35" s="84">
        <f>COUNTIF($J$6:$J35,$J35)</f>
        <v>24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29</v>
      </c>
      <c r="M36" s="84">
        <f>COUNTIF($J$6:$J36,$J36)</f>
        <v>25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29</v>
      </c>
      <c r="M37" s="84">
        <f>COUNTIF($J$6:$J37,$J37)</f>
        <v>26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29</v>
      </c>
      <c r="M38" s="84">
        <f>COUNTIF($J$6:$J38,$J38)</f>
        <v>27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29</v>
      </c>
      <c r="M39" s="84">
        <f>COUNTIF($J$6:$J39,$J39)</f>
        <v>28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29</v>
      </c>
      <c r="M40" s="84">
        <f>COUNTIF($J$6:$J40,$J40)</f>
        <v>29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5624</v>
      </c>
      <c r="I41" s="115">
        <f>SUM(I6:I40)</f>
        <v>382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- 347          Exam &amp; Review Hours - 35          Total Course Hours - 382</v>
      </c>
      <c r="E42" s="301"/>
      <c r="F42" s="301"/>
      <c r="G42" s="301"/>
      <c r="H42" s="117">
        <f>ROUNDUP(H41/(I41+C43),2)</f>
        <v>14.73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Weeks)",)</f>
        <v>Duration at 20 Hrs/Week:4.4 Months (19 Weeks); at 25 Hrs/Week:3.5 Months (15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$5978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19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15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70">
    <tabColor rgb="FFFF0000"/>
    <pageSetUpPr fitToPage="1"/>
  </sheetPr>
  <dimension ref="A1:AG52"/>
  <sheetViews>
    <sheetView showZeros="0" zoomScaleNormal="100" workbookViewId="0">
      <selection activeCell="C13" sqref="C13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250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449</v>
      </c>
      <c r="E4" s="299"/>
      <c r="F4" s="299"/>
      <c r="G4" s="92" t="s">
        <v>515</v>
      </c>
      <c r="H4" s="100"/>
      <c r="I4" s="84" t="s">
        <v>7</v>
      </c>
      <c r="P4" s="84"/>
      <c r="Q4" s="84"/>
    </row>
    <row r="5" spans="1:17">
      <c r="A5" s="90" t="s">
        <v>672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78" t="s">
        <v>464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30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99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30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/>
      <c r="B8" s="141"/>
      <c r="C8" s="105"/>
      <c r="D8" s="94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30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/>
      <c r="B9" s="141"/>
      <c r="C9" s="105" t="s">
        <v>585</v>
      </c>
      <c r="D9" s="99" t="s">
        <v>146</v>
      </c>
      <c r="E9" s="140" t="str">
        <f>IF($C9&lt;&gt;0,VLOOKUP($C9,'[1]Course Table'!$A$1:$G$330,2,TRUE),"")</f>
        <v>Microsoft Windows 10 (MD-100)</v>
      </c>
      <c r="F9" s="84"/>
      <c r="G9" s="84">
        <f t="shared" si="0"/>
        <v>100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1600</v>
      </c>
      <c r="I9" s="84">
        <f>IF($C9&lt;&gt;"",VLOOKUP($C9,'[1]Course Table'!$A$1:$G$330,5,FALSE),"")</f>
        <v>100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5</v>
      </c>
      <c r="M9" s="84">
        <f>COUNTIF($J$6:$J9,$J9)</f>
        <v>1</v>
      </c>
      <c r="N9" s="84">
        <f>IF($C9&lt;&gt;"",VLOOKUP($C9,'[1]Course Table'!$A$1:$I$330,8,FALSE),"")</f>
        <v>16</v>
      </c>
      <c r="O9" s="84">
        <f>IF($C9&lt;&gt;"",VLOOKUP($C9,'[1]Course Table'!$A$1:$I$330,9,FALSE),"")</f>
        <v>5</v>
      </c>
      <c r="P9" s="84"/>
      <c r="Q9" s="84"/>
    </row>
    <row r="10" spans="1:17">
      <c r="A10" s="79"/>
      <c r="B10" s="141"/>
      <c r="C10" s="105" t="s">
        <v>586</v>
      </c>
      <c r="D10" s="84"/>
      <c r="E10" s="140" t="str">
        <f>IF($C10&lt;&gt;0,VLOOKUP($C10,'[1]Course Table'!$A$1:$G$330,2,TRUE),"")</f>
        <v>Managing Modern Desktops (MD-101)</v>
      </c>
      <c r="F10" s="84"/>
      <c r="G10" s="84">
        <f t="shared" si="0"/>
        <v>100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1600</v>
      </c>
      <c r="I10" s="84">
        <f>IF($C10&lt;&gt;"",VLOOKUP($C10,'[1]Course Table'!$A$1:$G$330,5,FALSE),"")</f>
        <v>100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5</v>
      </c>
      <c r="M10" s="84">
        <f>COUNTIF($J$6:$J10,$J10)</f>
        <v>2</v>
      </c>
      <c r="N10" s="84">
        <f>IF($C10&lt;&gt;"",VLOOKUP($C10,'[1]Course Table'!$A$1:$I$330,8,FALSE),"")</f>
        <v>16</v>
      </c>
      <c r="O10" s="84">
        <f>IF($C10&lt;&gt;"",VLOOKUP($C10,'[1]Course Table'!$A$1:$I$330,9,FALSE),"")</f>
        <v>5</v>
      </c>
      <c r="P10" s="84"/>
      <c r="Q10" s="84"/>
    </row>
    <row r="11" spans="1:17">
      <c r="A11" s="79"/>
      <c r="B11" s="141"/>
      <c r="C11" s="105"/>
      <c r="D11" s="84"/>
      <c r="E11" s="140" t="str">
        <f>IF($C11&lt;&gt;0,VLOOKUP($C11,'[1]Course Table'!$A$1:$G$330,2,TRUE),"")</f>
        <v/>
      </c>
      <c r="F11" s="84"/>
      <c r="G11" s="84" t="str">
        <f t="shared" si="0"/>
        <v/>
      </c>
      <c r="H11" s="100" t="str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/>
      </c>
      <c r="I11" s="84" t="str">
        <f>IF($C11&lt;&gt;"",VLOOKUP($C11,'[1]Course Table'!$A$1:$G$330,5,FALSE),"")</f>
        <v/>
      </c>
      <c r="J11" s="101" t="str">
        <f>IF(AND($C11&lt;&gt;"",A11&lt;&gt;"E"),VLOOKUP($C11,'[1]Course Table'!$A$1:$G$330,6,FALSE),"")</f>
        <v/>
      </c>
      <c r="K11" s="101" t="str">
        <f>IF($C11&lt;&gt;"",VLOOKUP($C11,'[1]Course Table'!$A$1:$G$330,7,FALSE),"")</f>
        <v/>
      </c>
      <c r="L11" s="84">
        <f t="shared" si="1"/>
        <v>30</v>
      </c>
      <c r="M11" s="84">
        <f>COUNTIF($J$6:$J11,$J11)</f>
        <v>4</v>
      </c>
      <c r="N11" s="84" t="str">
        <f>IF($C11&lt;&gt;"",VLOOKUP($C11,'[1]Course Table'!$A$1:$I$330,8,FALSE),"")</f>
        <v/>
      </c>
      <c r="O11" s="84" t="str">
        <f>IF($C11&lt;&gt;"",VLOOKUP($C11,'[1]Course Table'!$A$1:$I$330,9,FALSE),"")</f>
        <v/>
      </c>
      <c r="P11" s="84"/>
      <c r="Q11" s="84"/>
    </row>
    <row r="12" spans="1:17">
      <c r="A12" s="79"/>
      <c r="B12" s="141"/>
      <c r="C12" s="105" t="s">
        <v>459</v>
      </c>
      <c r="D12" s="84"/>
      <c r="E12" s="140" t="str">
        <f>IF($C12&lt;&gt;0,VLOOKUP($C12,'[1]Course Table'!$A$1:$G$330,2,TRUE),"")</f>
        <v>Microsoft Certification Exams - 2 Single Attempts</v>
      </c>
      <c r="F12" s="84"/>
      <c r="G12" s="84">
        <f t="shared" si="0"/>
        <v>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340</v>
      </c>
      <c r="I12" s="84">
        <f>IF($C12&lt;&gt;"",VLOOKUP($C12,'[1]Course Table'!$A$1:$G$330,5,FALSE),"")</f>
        <v>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5</v>
      </c>
      <c r="M12" s="84">
        <f>COUNTIF($J$6:$J12,$J12)</f>
        <v>3</v>
      </c>
      <c r="N12" s="84">
        <f>IF($C12&lt;&gt;"",VLOOKUP($C12,'[1]Course Table'!$A$1:$I$330,8,FALSE),"")</f>
        <v>98</v>
      </c>
      <c r="O12" s="84">
        <f>IF($C12&lt;&gt;"",VLOOKUP($C12,'[1]Course Table'!$A$1:$I$330,9,FALSE),"")</f>
        <v>0</v>
      </c>
      <c r="P12" s="84"/>
      <c r="Q12" s="84"/>
    </row>
    <row r="13" spans="1:17">
      <c r="A13" s="79"/>
      <c r="B13" s="141"/>
      <c r="C13" s="105" t="s">
        <v>460</v>
      </c>
      <c r="D13" s="84"/>
      <c r="E13" s="140" t="str">
        <f>IF($C13&lt;&gt;0,VLOOKUP($C13,'[1]Course Table'!$A$1:$G$330,2,TRUE),"")</f>
        <v>CertBlaster Exam Preparation 1 Unit</v>
      </c>
      <c r="F13" s="84"/>
      <c r="G13" s="84">
        <f t="shared" si="0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314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5</v>
      </c>
      <c r="M13" s="84">
        <f>COUNTIF($J$6:$J13,$J13)</f>
        <v>4</v>
      </c>
      <c r="N13" s="84">
        <f>IF($C13&lt;&gt;"",VLOOKUP($C13,'[1]Course Table'!$A$1:$I$330,8,FALSE),"")</f>
        <v>98</v>
      </c>
      <c r="O13" s="84">
        <f>IF($C13&lt;&gt;"",VLOOKUP($C13,'[1]Course Table'!$A$1:$I$330,9,FALSE),"")</f>
        <v>0</v>
      </c>
      <c r="P13" s="84"/>
      <c r="Q13" s="84"/>
    </row>
    <row r="14" spans="1:17">
      <c r="A14" s="79"/>
      <c r="B14" s="141"/>
      <c r="C14" s="105" t="s">
        <v>451</v>
      </c>
      <c r="D14" s="84"/>
      <c r="E14" s="140" t="str">
        <f>IF($C14&lt;&gt;0,VLOOKUP($C14,'[1]Course Table'!$A$1:$G$330,2,TRUE),"")</f>
        <v>Study/Review - MCSA Windows Cert - BC</v>
      </c>
      <c r="F14" s="84"/>
      <c r="G14" s="84">
        <f t="shared" si="0"/>
        <v>24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0</v>
      </c>
      <c r="I14" s="84">
        <f>IF($C14&lt;&gt;"",VLOOKUP($C14,'[1]Course Table'!$A$1:$G$330,5,FALSE),"")</f>
        <v>24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5</v>
      </c>
      <c r="M14" s="84">
        <f>COUNTIF($J$6:$J14,$J14)</f>
        <v>5</v>
      </c>
      <c r="N14" s="84">
        <f>IF($C14&lt;&gt;"",VLOOKUP($C14,'[1]Course Table'!$A$1:$I$330,8,FALSE),"")</f>
        <v>99</v>
      </c>
      <c r="O14" s="84">
        <f>IF($C14&lt;&gt;"",VLOOKUP($C14,'[1]Course Table'!$A$1:$I$330,9,FALSE),"")</f>
        <v>1</v>
      </c>
      <c r="P14" s="84"/>
      <c r="Q14" s="84"/>
    </row>
    <row r="15" spans="1:17">
      <c r="A15" s="79"/>
      <c r="B15" s="141"/>
      <c r="C15" s="105"/>
      <c r="D15" s="84"/>
      <c r="E15" s="140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30</v>
      </c>
      <c r="M15" s="84">
        <f>COUNTIF($J$6:$J15,$J15)</f>
        <v>5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30</v>
      </c>
      <c r="M16" s="84">
        <f>COUNTIF($J$6:$J16,$J16)</f>
        <v>6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41"/>
      <c r="C17" s="105"/>
      <c r="D17" s="84"/>
      <c r="E17" s="140" t="str">
        <f>IF($C17&lt;&gt;0,VLOOKUP($C17,'[1]Course Table'!$A$1:$G$330,2,TRUE),"")</f>
        <v/>
      </c>
      <c r="F17" s="84"/>
      <c r="G17" s="84" t="str">
        <f>I17</f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30</v>
      </c>
      <c r="M17" s="84">
        <f>COUNTIF($J$6:$J17,$J17)</f>
        <v>7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30</v>
      </c>
      <c r="M18" s="84">
        <f>COUNTIF($J$6:$J18,$J18)</f>
        <v>8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30</v>
      </c>
      <c r="M19" s="84">
        <f>COUNTIF($J$6:$J19,$J19)</f>
        <v>9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30</v>
      </c>
      <c r="M20" s="84">
        <f>COUNTIF($J$6:$J20,$J20)</f>
        <v>10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30</v>
      </c>
      <c r="M21" s="84">
        <f>COUNTIF($J$6:$J21,$J21)</f>
        <v>11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30</v>
      </c>
      <c r="M22" s="84">
        <f>COUNTIF($J$6:$J22,$J22)</f>
        <v>12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30</v>
      </c>
      <c r="M23" s="84">
        <f>COUNTIF($J$6:$J23,$J23)</f>
        <v>13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30</v>
      </c>
      <c r="M24" s="84">
        <f>COUNTIF($J$6:$J24,$J24)</f>
        <v>14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30</v>
      </c>
      <c r="M25" s="84">
        <f>COUNTIF($J$6:$J25,$J25)</f>
        <v>15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30</v>
      </c>
      <c r="M26" s="84">
        <f>COUNTIF($J$6:$J26,$J26)</f>
        <v>16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30</v>
      </c>
      <c r="M27" s="84">
        <f>COUNTIF($J$6:$J27,$J27)</f>
        <v>17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30</v>
      </c>
      <c r="M28" s="84">
        <f>COUNTIF($J$6:$J28,$J28)</f>
        <v>18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30</v>
      </c>
      <c r="M29" s="84">
        <f>COUNTIF($J$6:$J29,$J29)</f>
        <v>19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30</v>
      </c>
      <c r="M30" s="84">
        <f>COUNTIF($J$6:$J30,$J30)</f>
        <v>20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30</v>
      </c>
      <c r="M31" s="84">
        <f>COUNTIF($J$6:$J31,$J31)</f>
        <v>21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30</v>
      </c>
      <c r="M32" s="84">
        <f>COUNTIF($J$6:$J32,$J32)</f>
        <v>22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30</v>
      </c>
      <c r="M33" s="84">
        <f>COUNTIF($J$6:$J33,$J33)</f>
        <v>23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30</v>
      </c>
      <c r="M34" s="84">
        <f>COUNTIF($J$6:$J34,$J34)</f>
        <v>24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30</v>
      </c>
      <c r="M35" s="84">
        <f>COUNTIF($J$6:$J35,$J35)</f>
        <v>25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30</v>
      </c>
      <c r="M36" s="84">
        <f>COUNTIF($J$6:$J36,$J36)</f>
        <v>26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30</v>
      </c>
      <c r="M37" s="84">
        <f>COUNTIF($J$6:$J37,$J37)</f>
        <v>27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30</v>
      </c>
      <c r="M38" s="84">
        <f>COUNTIF($J$6:$J38,$J38)</f>
        <v>28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30</v>
      </c>
      <c r="M39" s="84">
        <f>COUNTIF($J$6:$J39,$J39)</f>
        <v>29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30</v>
      </c>
      <c r="M40" s="84">
        <f>COUNTIF($J$6:$J40,$J40)</f>
        <v>30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3854</v>
      </c>
      <c r="I41" s="115">
        <f>SUM(I6:I40)</f>
        <v>267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- 243          Exam &amp; Review Hours - 24          Total Course Hours - 267</v>
      </c>
      <c r="E42" s="301"/>
      <c r="F42" s="301"/>
      <c r="G42" s="301"/>
      <c r="H42" s="117">
        <f>ROUNDUP(H41/(I41+C43),2)</f>
        <v>14.44</v>
      </c>
    </row>
    <row r="43" spans="1:18" s="90" customFormat="1" ht="13.5" customHeight="1">
      <c r="C43" s="90">
        <f>ROUNDDOWN(I41*C42,0)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+1 week holiday")</f>
        <v>Duration at 20 Hrs/Week:3.1 Months (13 Weeks); at 25 Hrs/Week:2.5 Months (11 Weeks); +1 week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24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$4208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11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10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139</v>
      </c>
      <c r="E4" s="303"/>
      <c r="F4" s="303"/>
      <c r="G4" s="92" t="s">
        <v>517</v>
      </c>
      <c r="H4" s="100"/>
      <c r="I4" s="84" t="s">
        <v>7</v>
      </c>
      <c r="P4" s="84"/>
      <c r="Q4" s="84"/>
    </row>
    <row r="5" spans="1:17">
      <c r="A5" s="90" t="s">
        <v>208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23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23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391</v>
      </c>
      <c r="D8" s="84"/>
      <c r="E8" s="140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23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580</v>
      </c>
      <c r="D9" s="84"/>
      <c r="E9" s="140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23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23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23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23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1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23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765</v>
      </c>
      <c r="D14" s="84"/>
      <c r="E14" s="140" t="str">
        <f>IF($C14&lt;&gt;0,VLOOKUP($C14,'[1]Course Table'!$A$1:$G$330,2,TRUE),"")</f>
        <v>MS Excel Level 2</v>
      </c>
      <c r="F14" s="84"/>
      <c r="G14" s="84">
        <f t="shared" si="1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23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1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23</v>
      </c>
      <c r="M15" s="84">
        <f>COUNTIF($J$6:$J15,$J15)</f>
        <v>10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462</v>
      </c>
      <c r="D16" s="84"/>
      <c r="E16" s="140" t="str">
        <f>IF($C16&lt;&gt;0,VLOOKUP($C16,'[1]Course Table'!$A$1:$G$330,2,TRUE),"")</f>
        <v>Internet Fundamentals</v>
      </c>
      <c r="F16" s="84"/>
      <c r="G16" s="84">
        <f t="shared" si="1"/>
        <v>22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23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1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23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23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181</v>
      </c>
      <c r="D19" s="84"/>
      <c r="E19" s="140" t="str">
        <f>IF($C19&lt;&gt;0,VLOOKUP($C19,'[1]Course Table'!$A$1:$G$330,2,TRUE),"")</f>
        <v>Grammar Essentials for Business Writing</v>
      </c>
      <c r="F19" s="84"/>
      <c r="G19" s="84">
        <f t="shared" si="1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23</v>
      </c>
      <c r="M19" s="84">
        <f>COUNTIF($J$6:$J19,$J19)</f>
        <v>14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366</v>
      </c>
      <c r="D20" s="84"/>
      <c r="E20" s="140" t="str">
        <f>IF($C20&lt;&gt;0,VLOOKUP($C20,'[1]Course Table'!$A$1:$G$330,2,TRUE),"")</f>
        <v>Business Correspondence Level 1</v>
      </c>
      <c r="F20" s="84"/>
      <c r="G20" s="84">
        <f t="shared" si="1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23</v>
      </c>
      <c r="M20" s="84">
        <f>COUNTIF($J$6:$J20,$J20)</f>
        <v>15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4" t="s">
        <v>121</v>
      </c>
      <c r="D21" s="99"/>
      <c r="E21" s="140" t="str">
        <f>IF($C21&lt;&gt;0,VLOOKUP($C21,'[1]Course Table'!$A$1:$G$330,2,TRUE),"")</f>
        <v>Call Centre Telephone Communication Skills</v>
      </c>
      <c r="F21" s="84"/>
      <c r="G21" s="84">
        <f t="shared" si="1"/>
        <v>18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375</v>
      </c>
      <c r="I21" s="84">
        <f>IF($C21&lt;&gt;"",VLOOKUP($C21,'[1]Course Table'!$A$1:$G$330,5,FALSE),"")</f>
        <v>18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23</v>
      </c>
      <c r="M21" s="84">
        <f>COUNTIF($J$6:$J21,$J21)</f>
        <v>16</v>
      </c>
      <c r="N21" s="84">
        <f>IF($C21&lt;&gt;"",VLOOKUP($C21,'[1]Course Table'!$A$1:$I$330,8,FALSE),"")</f>
        <v>13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41"/>
      <c r="C22" s="105" t="s">
        <v>123</v>
      </c>
      <c r="D22" s="99"/>
      <c r="E22" s="140" t="str">
        <f>IF($C22&lt;&gt;0,VLOOKUP($C22,'[1]Course Table'!$A$1:$G$330,2,TRUE),"")</f>
        <v>Basic Bookkeeping Level 1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23</v>
      </c>
      <c r="M22" s="84">
        <f>COUNTIF($J$6:$J22,$J22)</f>
        <v>17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/>
      <c r="B23" s="141"/>
      <c r="C23" s="105" t="s">
        <v>456</v>
      </c>
      <c r="D23" s="99"/>
      <c r="E23" s="140" t="str">
        <f>IF($C23&lt;&gt;0,VLOOKUP($C23,'[1]Course Table'!$A$1:$G$330,2,TRUE),"")</f>
        <v>Learning Medical Language</v>
      </c>
      <c r="F23" s="84"/>
      <c r="G23" s="84">
        <f t="shared" si="1"/>
        <v>150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1639</v>
      </c>
      <c r="I23" s="84">
        <f>IF($C23&lt;&gt;"",VLOOKUP($C23,'[1]Course Table'!$A$1:$G$330,5,FALSE),"")</f>
        <v>150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23</v>
      </c>
      <c r="M23" s="84">
        <f>COUNTIF($J$6:$J23,$J23)</f>
        <v>18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7.5</v>
      </c>
      <c r="P23" s="84"/>
      <c r="Q23" s="84"/>
    </row>
    <row r="24" spans="1:18">
      <c r="A24" s="79"/>
      <c r="B24" s="141"/>
      <c r="C24" s="105" t="s">
        <v>134</v>
      </c>
      <c r="E24" s="140" t="str">
        <f>IF($C24&lt;&gt;0,VLOOKUP($C24,'[1]Course Table'!$A$1:$G$330,2,TRUE),"")</f>
        <v>Medical Office Procedures</v>
      </c>
      <c r="F24" s="84"/>
      <c r="G24" s="84">
        <f t="shared" si="1"/>
        <v>32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625</v>
      </c>
      <c r="I24" s="84">
        <f>IF($C24&lt;&gt;"",VLOOKUP($C24,'[1]Course Table'!$A$1:$G$330,5,FALSE),"")</f>
        <v>32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23</v>
      </c>
      <c r="M24" s="84">
        <f>COUNTIF($J$6:$J24,$J24)</f>
        <v>19</v>
      </c>
      <c r="N24" s="84">
        <f>IF($C24&lt;&gt;"",VLOOKUP($C24,'[1]Course Table'!$A$1:$I$330,8,FALSE),"")</f>
        <v>18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151</v>
      </c>
      <c r="D25" s="84"/>
      <c r="E25" s="140" t="str">
        <f>IF($C25&lt;&gt;0,VLOOKUP($C25,'[1]Course Table'!$A$1:$G$330,2,TRUE),"")</f>
        <v>Medical Receptionist Pratical Simulation</v>
      </c>
      <c r="F25" s="84"/>
      <c r="G25" s="84">
        <f t="shared" si="1"/>
        <v>20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314</v>
      </c>
      <c r="I25" s="84">
        <f>IF($C25&lt;&gt;"",VLOOKUP($C25,'[1]Course Table'!$A$1:$G$330,5,FALSE),"")</f>
        <v>20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23</v>
      </c>
      <c r="M25" s="84">
        <f>COUNTIF($J$6:$J25,$J25)</f>
        <v>20</v>
      </c>
      <c r="N25" s="84">
        <f>IF($C25&lt;&gt;"",VLOOKUP($C25,'[1]Course Table'!$A$1:$I$330,8,FALSE),"")</f>
        <v>98</v>
      </c>
      <c r="O25" s="84">
        <f>IF($C25&lt;&gt;"",VLOOKUP($C25,'[1]Course Table'!$A$1:$I$330,9,FALSE),"")</f>
        <v>1</v>
      </c>
      <c r="P25" s="84"/>
      <c r="Q25" s="84"/>
    </row>
    <row r="26" spans="1:18">
      <c r="A26" s="79"/>
      <c r="B26" s="141"/>
      <c r="C26" s="105" t="s">
        <v>23</v>
      </c>
      <c r="D26" s="84"/>
      <c r="E26" s="140" t="str">
        <f>IF($C26&lt;&gt;0,VLOOKUP($C26,'[1]Course Table'!$A$1:$G$330,2,TRUE),"")</f>
        <v>Practical Applications - 2 Units</v>
      </c>
      <c r="F26" s="84"/>
      <c r="G26" s="84">
        <f t="shared" si="1"/>
        <v>40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689</v>
      </c>
      <c r="I26" s="84">
        <f>IF($C26&lt;&gt;"",VLOOKUP($C26,'[1]Course Table'!$A$1:$G$330,5,FALSE),"")</f>
        <v>40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23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0</v>
      </c>
      <c r="P26" s="84"/>
      <c r="Q26" s="84"/>
    </row>
    <row r="27" spans="1:18">
      <c r="A27" s="79"/>
      <c r="B27" s="141"/>
      <c r="C27" s="105" t="s">
        <v>249</v>
      </c>
      <c r="D27" s="84"/>
      <c r="E27" s="140" t="str">
        <f>IF($C27&lt;&gt;0,VLOOKUP($C27,'[1]Course Table'!$A$1:$G$330,2,TRUE),"")</f>
        <v>Job Search/Resume Writing</v>
      </c>
      <c r="F27" s="84"/>
      <c r="G27" s="84">
        <f t="shared" si="1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579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23</v>
      </c>
      <c r="M27" s="84">
        <f>COUNTIF($J$6:$J27,$J27)</f>
        <v>22</v>
      </c>
      <c r="N27" s="84">
        <f>IF($C27&lt;&gt;"",VLOOKUP($C27,'[1]Course Table'!$A$1:$I$330,8,FALSE),"")</f>
        <v>15</v>
      </c>
      <c r="O27" s="84">
        <f>IF($C27&lt;&gt;"",VLOOKUP($C27,'[1]Course Table'!$A$1:$I$330,9,FALSE),"")</f>
        <v>1.5</v>
      </c>
      <c r="P27" s="84"/>
      <c r="Q27" s="84"/>
    </row>
    <row r="28" spans="1:18">
      <c r="A28" s="79"/>
      <c r="B28" s="141"/>
      <c r="C28" s="105" t="s">
        <v>443</v>
      </c>
      <c r="D28" s="84"/>
      <c r="E28" s="140" t="str">
        <f>IF($C28&lt;&gt;0,VLOOKUP($C28,'[1]Course Table'!$A$1:$G$330,2,TRUE),"")</f>
        <v>Study/Review - Med Adm Assistant Cert - BC</v>
      </c>
      <c r="F28" s="84"/>
      <c r="G28" s="84">
        <f t="shared" si="1"/>
        <v>73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0</v>
      </c>
      <c r="I28" s="84">
        <f>IF($C28&lt;&gt;"",VLOOKUP($C28,'[1]Course Table'!$A$1:$G$330,5,FALSE),"")</f>
        <v>73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23</v>
      </c>
      <c r="M28" s="84">
        <f>COUNTIF($J$6:$J28,$J28)</f>
        <v>23</v>
      </c>
      <c r="N28" s="84">
        <f>IF($C28&lt;&gt;"",VLOOKUP($C28,'[1]Course Table'!$A$1:$I$330,8,FALSE),"")</f>
        <v>99</v>
      </c>
      <c r="O28" s="84">
        <f>IF($C28&lt;&gt;"",VLOOKUP($C28,'[1]Course Table'!$A$1:$I$330,9,FALSE),"")</f>
        <v>3.5</v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12</v>
      </c>
      <c r="M29" s="84">
        <f>COUNTIF($J$6:$J29,$J29)</f>
        <v>1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12</v>
      </c>
      <c r="M30" s="84">
        <f>COUNTIF($J$6:$J30,$J30)</f>
        <v>2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12</v>
      </c>
      <c r="M31" s="84">
        <f>COUNTIF($J$6:$J31,$J31)</f>
        <v>3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12</v>
      </c>
      <c r="M32" s="84">
        <f>COUNTIF($J$6:$J32,$J32)</f>
        <v>4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12</v>
      </c>
      <c r="M33" s="84">
        <f>COUNTIF($J$6:$J33,$J33)</f>
        <v>5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12</v>
      </c>
      <c r="M34" s="84">
        <f>COUNTIF($J$6:$J34,$J34)</f>
        <v>6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12</v>
      </c>
      <c r="M35" s="84">
        <f>COUNTIF($J$6:$J35,$J35)</f>
        <v>7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12</v>
      </c>
      <c r="M36" s="84">
        <f>COUNTIF($J$6:$J36,$J36)</f>
        <v>8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12</v>
      </c>
      <c r="M37" s="84">
        <f>COUNTIF($J$6:$J37,$J37)</f>
        <v>9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12</v>
      </c>
      <c r="M38" s="84">
        <f>COUNTIF($J$6:$J38,$J38)</f>
        <v>10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12</v>
      </c>
      <c r="M39" s="84">
        <f>COUNTIF($J$6:$J39,$J39)</f>
        <v>11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12</v>
      </c>
      <c r="M40" s="84">
        <f>COUNTIF($J$6:$J40,$J40)</f>
        <v>12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138</v>
      </c>
      <c r="E41" s="89"/>
      <c r="F41" s="89"/>
      <c r="G41" s="89"/>
      <c r="H41" s="114">
        <f>SUM(H6:H40)</f>
        <v>10875</v>
      </c>
      <c r="I41" s="115">
        <f>SUM(I6:I40)</f>
        <v>801</v>
      </c>
    </row>
    <row r="42" spans="1:18" s="90" customFormat="1" ht="12.75">
      <c r="C42" s="135">
        <v>0</v>
      </c>
      <c r="D42" s="301" t="str">
        <f>CONCATENATE("Course Hours - ",I41,"          Exam &amp; Review Hours - ",C43,"          Total Course Hours - ",I41+C43)</f>
        <v>Course Hours - 801          Exam &amp; Review Hours - 0          Total Course Hours - 801</v>
      </c>
      <c r="E42" s="301"/>
      <c r="F42" s="301"/>
      <c r="G42" s="301"/>
      <c r="H42" s="117">
        <f>ROUNDUP(H41/(I41+C43),2)</f>
        <v>13.58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Hrs/Week:9.2 Months (40 Weeks); at 25 Hrs/Week:7.4 Months (32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$11229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39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3.5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6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1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9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horizontalDpi="360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9">
    <tabColor indexed="10"/>
    <pageSetUpPr fitToPage="1"/>
  </sheetPr>
  <dimension ref="A1:AG52"/>
  <sheetViews>
    <sheetView showZeros="0" topLeftCell="A10" zoomScaleNormal="100" workbookViewId="0">
      <selection activeCell="E34" sqref="E34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315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144</v>
      </c>
      <c r="E4" s="303"/>
      <c r="F4" s="303"/>
      <c r="G4" s="92" t="s">
        <v>517</v>
      </c>
      <c r="H4" s="100"/>
      <c r="I4" s="84" t="s">
        <v>7</v>
      </c>
      <c r="P4" s="84"/>
      <c r="Q4" s="84"/>
    </row>
    <row r="5" spans="1:17">
      <c r="A5" s="90" t="s">
        <v>216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145</v>
      </c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388</v>
      </c>
      <c r="D7" s="99"/>
      <c r="E7" s="140" t="str">
        <f>IF($C7&lt;&gt;0,VLOOKUP($C7,'[1]Course Table'!$A$1:$G$330,2,TRUE),"")</f>
        <v>Introduction to Keyboarding</v>
      </c>
      <c r="F7" s="84"/>
      <c r="G7" s="84">
        <f t="shared" ref="G7:G38" si="0"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26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390</v>
      </c>
      <c r="D8" s="84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26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391</v>
      </c>
      <c r="D9" s="84"/>
      <c r="E9" s="140" t="str">
        <f>IF($C9&lt;&gt;0,VLOOKUP($C9,'[1]Course Table'!$A$1:$G$330,2,TRUE),"")</f>
        <v>Keyboard Skill Building Level 2 (40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26</v>
      </c>
      <c r="M9" s="84">
        <f>COUNTIF($J$6:$J9,$J9)</f>
        <v>3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26</v>
      </c>
      <c r="M10" s="84">
        <f>COUNTIF($J$6:$J10,$J10)</f>
        <v>4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26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26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26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759</v>
      </c>
      <c r="D14" s="84"/>
      <c r="E14" s="140" t="str">
        <f>IF($C14&lt;&gt;0,VLOOKUP($C14,'[1]Course Table'!$A$1:$G$330,2,TRUE),"")</f>
        <v>MS Word Level 3</v>
      </c>
      <c r="F14" s="84"/>
      <c r="G14" s="84">
        <f t="shared" si="0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26</v>
      </c>
      <c r="M14" s="84">
        <f>COUNTIF($J$6:$J14,$J14)</f>
        <v>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26</v>
      </c>
      <c r="M15" s="84">
        <f>COUNTIF($J$6:$J15,$J15)</f>
        <v>9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0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26</v>
      </c>
      <c r="M16" s="84">
        <f>COUNTIF($J$6:$J16,$J16)</f>
        <v>10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0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26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123</v>
      </c>
      <c r="D18" s="84"/>
      <c r="E18" s="140" t="str">
        <f>IF($C18&lt;&gt;0,VLOOKUP($C18,'[1]Course Table'!$A$1:$G$330,2,TRUE),"")</f>
        <v>Basic Bookkeeping Level 1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26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16</v>
      </c>
      <c r="D19" s="84"/>
      <c r="E19" s="140" t="str">
        <f>IF($C19&lt;&gt;0,VLOOKUP($C19,'[1]Course Table'!$A$1:$G$330,2,TRUE),"")</f>
        <v>Practical Applications - 3 Units</v>
      </c>
      <c r="F19" s="84"/>
      <c r="G19" s="84">
        <f t="shared" si="0"/>
        <v>60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965</v>
      </c>
      <c r="I19" s="84">
        <f>IF($C19&lt;&gt;"",VLOOKUP($C19,'[1]Course Table'!$A$1:$G$330,5,FALSE),"")</f>
        <v>60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26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0</v>
      </c>
      <c r="P19" s="84"/>
      <c r="Q19" s="84"/>
    </row>
    <row r="20" spans="1:18">
      <c r="A20" s="79"/>
      <c r="B20" s="141"/>
      <c r="C20" s="105" t="s">
        <v>249</v>
      </c>
      <c r="D20" s="84"/>
      <c r="E20" s="140" t="str">
        <f>IF($C20&lt;&gt;0,VLOOKUP($C20,'[1]Course Table'!$A$1:$G$330,2,TRUE),"")</f>
        <v>Job Search/Resume Writing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579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26</v>
      </c>
      <c r="M20" s="84">
        <f>COUNTIF($J$6:$J20,$J20)</f>
        <v>14</v>
      </c>
      <c r="N20" s="84">
        <f>IF($C20&lt;&gt;"",VLOOKUP($C20,'[1]Course Table'!$A$1:$I$330,8,FALSE),"")</f>
        <v>15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5"/>
      <c r="D21" s="99" t="s">
        <v>253</v>
      </c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9</v>
      </c>
      <c r="M21" s="84">
        <f>COUNTIF($J$6:$J21,$J21)</f>
        <v>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 t="s">
        <v>0</v>
      </c>
      <c r="B22" s="141"/>
      <c r="C22" s="105" t="s">
        <v>481</v>
      </c>
      <c r="D22" s="99"/>
      <c r="E22" s="140" t="str">
        <f>IF($C22&lt;&gt;0,VLOOKUP($C22,'[1]Course Table'!$A$1:$G$330,2,TRUE),"")</f>
        <v>Introduction to Medical Terminology</v>
      </c>
      <c r="F22" s="84"/>
      <c r="G22" s="84">
        <f t="shared" si="0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26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 t="s">
        <v>0</v>
      </c>
      <c r="B23" s="141"/>
      <c r="C23" s="105" t="s">
        <v>480</v>
      </c>
      <c r="D23" s="99"/>
      <c r="E23" s="140" t="str">
        <f>IF($C23&lt;&gt;0,VLOOKUP($C23,'[1]Course Table'!$A$1:$G$330,2,TRUE),"")</f>
        <v>Introduction to Medical Transcription</v>
      </c>
      <c r="F23" s="84"/>
      <c r="G23" s="84">
        <f t="shared" si="0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26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 t="s">
        <v>0</v>
      </c>
      <c r="B24" s="141"/>
      <c r="C24" s="105" t="s">
        <v>452</v>
      </c>
      <c r="E24" s="140" t="str">
        <f>IF($C24&lt;&gt;0,VLOOKUP($C24,'[1]Course Table'!$A$1:$G$330,2,TRUE),"")</f>
        <v>Anatomy and Physiology Part 1</v>
      </c>
      <c r="F24" s="84"/>
      <c r="G24" s="84">
        <f t="shared" si="0"/>
        <v>75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949</v>
      </c>
      <c r="I24" s="84">
        <f>IF($C24&lt;&gt;"",VLOOKUP($C24,'[1]Course Table'!$A$1:$G$330,5,FALSE),"")</f>
        <v>75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26</v>
      </c>
      <c r="M24" s="84">
        <f>COUNTIF($J$6:$J24,$J24)</f>
        <v>17</v>
      </c>
      <c r="N24" s="84">
        <f>IF($C24&lt;&gt;"",VLOOKUP($C24,'[1]Course Table'!$A$1:$I$330,8,FALSE),"")</f>
        <v>18</v>
      </c>
      <c r="O24" s="84">
        <f>IF($C24&lt;&gt;"",VLOOKUP($C24,'[1]Course Table'!$A$1:$I$330,9,FALSE),"")</f>
        <v>4</v>
      </c>
      <c r="P24" s="84"/>
      <c r="Q24" s="84"/>
    </row>
    <row r="25" spans="1:18">
      <c r="A25" s="79" t="s">
        <v>0</v>
      </c>
      <c r="B25" s="141"/>
      <c r="C25" s="105" t="s">
        <v>453</v>
      </c>
      <c r="D25" s="84"/>
      <c r="E25" s="140" t="str">
        <f>IF($C25&lt;&gt;0,VLOOKUP($C25,'[1]Course Table'!$A$1:$G$330,2,TRUE),"")</f>
        <v>Anatomy and Physiology Part 2</v>
      </c>
      <c r="F25" s="84"/>
      <c r="G25" s="84">
        <f t="shared" si="0"/>
        <v>75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949</v>
      </c>
      <c r="I25" s="84">
        <f>IF($C25&lt;&gt;"",VLOOKUP($C25,'[1]Course Table'!$A$1:$G$330,5,FALSE),"")</f>
        <v>75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26</v>
      </c>
      <c r="M25" s="84">
        <f>COUNTIF($J$6:$J25,$J25)</f>
        <v>18</v>
      </c>
      <c r="N25" s="84">
        <f>IF($C25&lt;&gt;"",VLOOKUP($C25,'[1]Course Table'!$A$1:$I$330,8,FALSE),"")</f>
        <v>18</v>
      </c>
      <c r="O25" s="84">
        <f>IF($C25&lt;&gt;"",VLOOKUP($C25,'[1]Course Table'!$A$1:$I$330,9,FALSE),"")</f>
        <v>4</v>
      </c>
      <c r="P25" s="84"/>
      <c r="Q25" s="84"/>
    </row>
    <row r="26" spans="1:18">
      <c r="A26" s="79" t="s">
        <v>0</v>
      </c>
      <c r="B26" s="141"/>
      <c r="C26" s="105" t="s">
        <v>455</v>
      </c>
      <c r="D26" s="84"/>
      <c r="E26" s="140" t="str">
        <f>IF($C26&lt;&gt;0,VLOOKUP($C26,'[1]Course Table'!$A$1:$G$330,2,TRUE),"")</f>
        <v>Medical Office Procedures</v>
      </c>
      <c r="F26" s="84"/>
      <c r="G26" s="84">
        <f t="shared" si="0"/>
        <v>75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949</v>
      </c>
      <c r="I26" s="84">
        <f>IF($C26&lt;&gt;"",VLOOKUP($C26,'[1]Course Table'!$A$1:$G$330,5,FALSE),"")</f>
        <v>75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26</v>
      </c>
      <c r="M26" s="84">
        <f>COUNTIF($J$6:$J26,$J26)</f>
        <v>19</v>
      </c>
      <c r="N26" s="84">
        <f>IF($C26&lt;&gt;"",VLOOKUP($C26,'[1]Course Table'!$A$1:$I$330,8,FALSE),"")</f>
        <v>18</v>
      </c>
      <c r="O26" s="84">
        <f>IF($C26&lt;&gt;"",VLOOKUP($C26,'[1]Course Table'!$A$1:$I$330,9,FALSE),"")</f>
        <v>4</v>
      </c>
      <c r="P26" s="84"/>
      <c r="Q26" s="84"/>
    </row>
    <row r="27" spans="1:18">
      <c r="A27" s="79" t="s">
        <v>0</v>
      </c>
      <c r="B27" s="141"/>
      <c r="C27" s="105" t="s">
        <v>567</v>
      </c>
      <c r="D27" s="84"/>
      <c r="E27" s="140" t="str">
        <f>IF($C27&lt;&gt;0,VLOOKUP($C27,'[1]Course Table'!$A$1:$G$330,2,TRUE),"")</f>
        <v>Clinical Procedures</v>
      </c>
      <c r="F27" s="84"/>
      <c r="G27" s="84">
        <f t="shared" si="0"/>
        <v>75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949</v>
      </c>
      <c r="I27" s="84">
        <f>IF($C27&lt;&gt;"",VLOOKUP($C27,'[1]Course Table'!$A$1:$G$330,5,FALSE),"")</f>
        <v>75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26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4</v>
      </c>
      <c r="P27" s="84"/>
      <c r="Q27" s="84"/>
    </row>
    <row r="28" spans="1:18">
      <c r="A28" s="79"/>
      <c r="B28" s="141"/>
      <c r="C28" s="105" t="s">
        <v>401</v>
      </c>
      <c r="D28" s="84"/>
      <c r="E28" s="140" t="str">
        <f>IF($C28&lt;&gt;0,VLOOKUP($C28,'[1]Course Table'!$A$1:$G$330,2,TRUE),"")</f>
        <v>Standard First Aid</v>
      </c>
      <c r="F28" s="84"/>
      <c r="G28" s="84">
        <f t="shared" si="0"/>
        <v>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99</v>
      </c>
      <c r="I28" s="84">
        <f>IF($C28&lt;&gt;"",VLOOKUP($C28,'[1]Course Table'!$A$1:$G$330,5,FALSE),"")</f>
        <v>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26</v>
      </c>
      <c r="M28" s="84">
        <f>COUNTIF($J$6:$J28,$J28)</f>
        <v>21</v>
      </c>
      <c r="N28" s="84">
        <f>IF($C28&lt;&gt;"",VLOOKUP($C28,'[1]Course Table'!$A$1:$I$330,8,FALSE),"")</f>
        <v>98</v>
      </c>
      <c r="O28" s="84">
        <f>IF($C28&lt;&gt;"",VLOOKUP($C28,'[1]Course Table'!$A$1:$I$330,9,FALSE),"")</f>
        <v>0</v>
      </c>
      <c r="P28" s="84"/>
      <c r="Q28" s="84"/>
    </row>
    <row r="29" spans="1:18">
      <c r="A29" s="79"/>
      <c r="B29" s="141"/>
      <c r="C29" s="105" t="s">
        <v>402</v>
      </c>
      <c r="D29" s="84"/>
      <c r="E29" s="140" t="str">
        <f>IF($C29&lt;&gt;0,VLOOKUP($C29,'[1]Course Table'!$A$1:$G$330,2,TRUE),"")</f>
        <v>Basic Rescuer (Level C) CPR Certifications</v>
      </c>
      <c r="F29" s="84"/>
      <c r="G29" s="84">
        <f t="shared" si="0"/>
        <v>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99</v>
      </c>
      <c r="I29" s="84">
        <f>IF($C29&lt;&gt;"",VLOOKUP($C29,'[1]Course Table'!$A$1:$G$330,5,FALSE),"")</f>
        <v>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26</v>
      </c>
      <c r="M29" s="84">
        <f>COUNTIF($J$6:$J29,$J29)</f>
        <v>22</v>
      </c>
      <c r="N29" s="84">
        <f>IF($C29&lt;&gt;"",VLOOKUP($C29,'[1]Course Table'!$A$1:$I$330,8,FALSE),"")</f>
        <v>18</v>
      </c>
      <c r="O29" s="84">
        <f>IF($C29&lt;&gt;"",VLOOKUP($C29,'[1]Course Table'!$A$1:$I$330,9,FALSE),"")</f>
        <v>0</v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9</v>
      </c>
      <c r="M30" s="84">
        <f>COUNTIF($J$6:$J30,$J30)</f>
        <v>3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 t="s">
        <v>254</v>
      </c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9</v>
      </c>
      <c r="M31" s="84">
        <f>COUNTIF($J$6:$J31,$J31)</f>
        <v>4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 t="s">
        <v>394</v>
      </c>
      <c r="E32" s="140" t="str">
        <f>IF($C32&lt;&gt;0,VLOOKUP($C32,'[1]Course Table'!$A$1:$G$330,2,TRUE),"")</f>
        <v>Preceptorship for MOA - BC</v>
      </c>
      <c r="F32" s="84"/>
      <c r="G32" s="84">
        <f t="shared" si="0"/>
        <v>75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889</v>
      </c>
      <c r="I32" s="84">
        <f>IF($C32&lt;&gt;"",VLOOKUP($C32,'[1]Course Table'!$A$1:$G$330,5,FALSE),"")</f>
        <v>75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26</v>
      </c>
      <c r="M32" s="84">
        <f>COUNTIF($J$6:$J32,$J32)</f>
        <v>23</v>
      </c>
      <c r="N32" s="84">
        <f>IF($C32&lt;&gt;"",VLOOKUP($C32,'[1]Course Table'!$A$1:$I$330,8,FALSE),"")</f>
        <v>14</v>
      </c>
      <c r="O32" s="84">
        <f>IF($C32&lt;&gt;"",VLOOKUP($C32,'[1]Course Table'!$A$1:$I$330,9,FALSE),"")</f>
        <v>4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9</v>
      </c>
      <c r="M33" s="84">
        <f>COUNTIF($J$6:$J33,$J33)</f>
        <v>5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 t="s">
        <v>334</v>
      </c>
      <c r="D34" s="84"/>
      <c r="E34" s="140" t="str">
        <f>IF($C34&lt;&gt;0,VLOOKUP($C34,'[1]Course Table'!$A$1:$G$330,2,TRUE),"")</f>
        <v>Books Fee (Medical Office Assistant)</v>
      </c>
      <c r="F34" s="84"/>
      <c r="G34" s="84">
        <f t="shared" si="0"/>
        <v>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700</v>
      </c>
      <c r="I34" s="84">
        <f>IF($C34&lt;&gt;"",VLOOKUP($C34,'[1]Course Table'!$A$1:$G$330,5,FALSE),"")</f>
        <v>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26</v>
      </c>
      <c r="M34" s="84">
        <f>COUNTIF($J$6:$J34,$J34)</f>
        <v>24</v>
      </c>
      <c r="N34" s="84">
        <f>IF($C34&lt;&gt;"",VLOOKUP($C34,'[1]Course Table'!$A$1:$I$330,8,FALSE),"")</f>
        <v>98</v>
      </c>
      <c r="O34" s="84">
        <f>IF($C34&lt;&gt;"",VLOOKUP($C34,'[1]Course Table'!$A$1:$I$330,9,FALSE),"")</f>
        <v>0</v>
      </c>
      <c r="P34" s="84"/>
      <c r="Q34" s="84"/>
      <c r="R34" s="90"/>
    </row>
    <row r="35" spans="1:18">
      <c r="A35" s="79"/>
      <c r="B35" s="141"/>
      <c r="C35" s="105" t="s">
        <v>469</v>
      </c>
      <c r="D35" s="84"/>
      <c r="E35" s="140" t="str">
        <f>IF($C35&lt;&gt;0,VLOOKUP($C35,'[1]Course Table'!$A$1:$G$330,2,TRUE),"")</f>
        <v>Lab &amp; Uniform Fees</v>
      </c>
      <c r="F35" s="84"/>
      <c r="G35" s="84">
        <f t="shared" si="0"/>
        <v>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160</v>
      </c>
      <c r="I35" s="84">
        <f>IF($C35&lt;&gt;"",VLOOKUP($C35,'[1]Course Table'!$A$1:$G$330,5,FALSE),"")</f>
        <v>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26</v>
      </c>
      <c r="M35" s="84">
        <f>COUNTIF($J$6:$J35,$J35)</f>
        <v>25</v>
      </c>
      <c r="N35" s="84">
        <f>IF($C35&lt;&gt;"",VLOOKUP($C35,'[1]Course Table'!$A$1:$I$330,8,FALSE),"")</f>
        <v>98</v>
      </c>
      <c r="O35" s="84">
        <f>IF($C35&lt;&gt;"",VLOOKUP($C35,'[1]Course Table'!$A$1:$I$330,9,FALSE),"")</f>
        <v>0</v>
      </c>
      <c r="P35" s="84"/>
      <c r="Q35" s="84"/>
      <c r="R35" s="90"/>
    </row>
    <row r="36" spans="1:18">
      <c r="A36" s="79"/>
      <c r="B36" s="141"/>
      <c r="C36" s="105" t="s">
        <v>423</v>
      </c>
      <c r="D36" s="84"/>
      <c r="E36" s="140" t="str">
        <f>IF($C36&lt;&gt;0,VLOOKUP($C36,'[1]Course Table'!$A$1:$G$330,2,TRUE),"")</f>
        <v>Study/Review - Medical Office Assistant - BC</v>
      </c>
      <c r="F36" s="84"/>
      <c r="G36" s="84">
        <f t="shared" si="0"/>
        <v>35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35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26</v>
      </c>
      <c r="M36" s="84">
        <f>COUNTIF($J$6:$J36,$J36)</f>
        <v>26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2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 t="s">
        <v>238</v>
      </c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">
        <v>239</v>
      </c>
      <c r="F39" s="84"/>
      <c r="G39" s="84"/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">
        <v>240</v>
      </c>
      <c r="F40" s="111"/>
      <c r="G40" s="111"/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314" t="s">
        <v>384</v>
      </c>
      <c r="E41" s="314"/>
      <c r="F41" s="314"/>
      <c r="G41" s="315"/>
      <c r="H41" s="114">
        <f>SUM(H6:H40)</f>
        <v>14133</v>
      </c>
      <c r="I41" s="115">
        <f>SUM(I6:I40)</f>
        <v>973</v>
      </c>
    </row>
    <row r="42" spans="1:18" s="90" customFormat="1" ht="12.75">
      <c r="C42" s="135">
        <v>0</v>
      </c>
      <c r="D42" s="306" t="str">
        <f>CONCATENATE("Course Hours - ",SUM(I6:I40)-SUMIF(C6:C40,"HCCP1BC_MOA",I6:I40)-C44,"   ","Practicum Hours - ",SUMIF(C6:C40,"HCCP1BC_MOA",I6:I40),"   ","Exam &amp; Review Hours - ",C44,"   Total Course Hours - ",I41+C43)</f>
        <v>Course Hours - 863   Practicum Hours - 75   Exam &amp; Review Hours - 35   Total Course Hours - 973</v>
      </c>
      <c r="E42" s="301"/>
      <c r="F42" s="301"/>
      <c r="G42" s="301"/>
      <c r="H42" s="117">
        <f>ROUNDUP(H41/(I41+C43),2)</f>
        <v>14.53</v>
      </c>
    </row>
    <row r="43" spans="1:18" s="90" customFormat="1" ht="12.75">
      <c r="C43" s="90">
        <f>ROUNDUP(I41*C42,0)</f>
        <v>0</v>
      </c>
      <c r="D43" s="301" t="str">
        <f>CONCATENATE("NOTE - Only available @25 Hrs/Week: Program @25h/Week ",ROUND((I41+C43-SUMIF(C6:C40,"HCCP1BC_MOA",I6:I40))/(22.5*4.33)+SUMIF(C6:C40,"HCCP1BC_MOA",I6:I40)/(37.5*4.33),1)," Months  (",ROUND(((I41+C43-SUMIF(C6:C40,"HCCP1BC_MOA",I6:I40))/22.5)+(SUMIF(C6:C40,"HCCP1BC_MOA",I6:I40)/37.5),0)," Weeks + 2 Weeks Holiday)")</f>
        <v>NOTE - Only available @25 Hrs/Week: Program @25h/Week 9.7 Months  (42 Weeks + 2 Weeks Holiday)</v>
      </c>
      <c r="E43" s="301"/>
      <c r="F43" s="301"/>
      <c r="G43" s="301"/>
      <c r="H43" s="118"/>
    </row>
    <row r="44" spans="1:18" s="84" customFormat="1" ht="13.5">
      <c r="C44" s="90">
        <f>VLOOKUP("SR"&amp;"*",$C$6:$G$40,5,FALSE)</f>
        <v>35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$14487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48.5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1.5</v>
      </c>
      <c r="P49" s="78">
        <f>SUMIF($N$6:$N$40,Summary!P4,$O$6:$O$40)</f>
        <v>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4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24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F1:G1"/>
    <mergeCell ref="D45:G45"/>
    <mergeCell ref="F2:G2"/>
    <mergeCell ref="D43:G43"/>
    <mergeCell ref="D42:G42"/>
    <mergeCell ref="D4:F4"/>
    <mergeCell ref="D41:G41"/>
  </mergeCells>
  <phoneticPr fontId="0" type="noConversion"/>
  <pageMargins left="0.74803149606299213" right="0.70866141732283472" top="0.39370078740157483" bottom="0" header="0.11811023622047245" footer="0"/>
  <pageSetup orientation="portrait" horizontalDpi="360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60">
    <tabColor indexed="10"/>
    <pageSetUpPr fitToPage="1"/>
  </sheetPr>
  <dimension ref="A1:AG52"/>
  <sheetViews>
    <sheetView showZeros="0" topLeftCell="A19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316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397</v>
      </c>
      <c r="E4" s="303"/>
      <c r="F4" s="303"/>
      <c r="G4" s="92" t="s">
        <v>518</v>
      </c>
      <c r="H4" s="100"/>
      <c r="I4" s="84" t="s">
        <v>7</v>
      </c>
      <c r="P4" s="84"/>
      <c r="Q4" s="84"/>
    </row>
    <row r="5" spans="1:17">
      <c r="A5" s="90" t="s">
        <v>255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145</v>
      </c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6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388</v>
      </c>
      <c r="D7" s="99"/>
      <c r="E7" s="140" t="str">
        <f>IF($C7&lt;&gt;0,VLOOKUP($C7,'[1]Course Table'!$A$1:$G$330,2,TRUE),"")</f>
        <v>Introduction to Keyboarding</v>
      </c>
      <c r="F7" s="84"/>
      <c r="G7" s="84">
        <f t="shared" ref="G7:G38" si="0"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29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390</v>
      </c>
      <c r="D8" s="84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29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391</v>
      </c>
      <c r="D9" s="84"/>
      <c r="E9" s="140" t="str">
        <f>IF($C9&lt;&gt;0,VLOOKUP($C9,'[1]Course Table'!$A$1:$G$330,2,TRUE),"")</f>
        <v>Keyboard Skill Building Level 2 (40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29</v>
      </c>
      <c r="M9" s="84">
        <f>COUNTIF($J$6:$J9,$J9)</f>
        <v>3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29</v>
      </c>
      <c r="M10" s="84">
        <f>COUNTIF($J$6:$J10,$J10)</f>
        <v>4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29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29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0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29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759</v>
      </c>
      <c r="D14" s="84"/>
      <c r="E14" s="140" t="str">
        <f>IF($C14&lt;&gt;0,VLOOKUP($C14,'[1]Course Table'!$A$1:$G$330,2,TRUE),"")</f>
        <v>MS Word Level 3</v>
      </c>
      <c r="F14" s="84"/>
      <c r="G14" s="84">
        <f t="shared" si="0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29</v>
      </c>
      <c r="M14" s="84">
        <f>COUNTIF($J$6:$J14,$J14)</f>
        <v>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29</v>
      </c>
      <c r="M15" s="84">
        <f>COUNTIF($J$6:$J15,$J15)</f>
        <v>9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0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29</v>
      </c>
      <c r="M16" s="84">
        <f>COUNTIF($J$6:$J16,$J16)</f>
        <v>10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0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29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123</v>
      </c>
      <c r="D18" s="84"/>
      <c r="E18" s="140" t="str">
        <f>IF($C18&lt;&gt;0,VLOOKUP($C18,'[1]Course Table'!$A$1:$G$330,2,TRUE),"")</f>
        <v>Basic Bookkeeping Level 1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29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86</v>
      </c>
      <c r="D19" s="84"/>
      <c r="E19" s="140" t="str">
        <f>IF($C19&lt;&gt;0,VLOOKUP($C19,'[1]Course Table'!$A$1:$G$330,2,TRUE),"")</f>
        <v>Practical Applications - 1 Unit</v>
      </c>
      <c r="F19" s="84"/>
      <c r="G19" s="84">
        <f t="shared" si="0"/>
        <v>20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314</v>
      </c>
      <c r="I19" s="84">
        <f>IF($C19&lt;&gt;"",VLOOKUP($C19,'[1]Course Table'!$A$1:$G$330,5,FALSE),"")</f>
        <v>20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29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0</v>
      </c>
      <c r="P19" s="84"/>
      <c r="Q19" s="84"/>
    </row>
    <row r="20" spans="1:18">
      <c r="A20" s="79"/>
      <c r="B20" s="141"/>
      <c r="C20" s="105" t="s">
        <v>249</v>
      </c>
      <c r="D20" s="84"/>
      <c r="E20" s="140" t="str">
        <f>IF($C20&lt;&gt;0,VLOOKUP($C20,'[1]Course Table'!$A$1:$G$330,2,TRUE),"")</f>
        <v>Job Search/Resume Writing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579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29</v>
      </c>
      <c r="M20" s="84">
        <f>COUNTIF($J$6:$J20,$J20)</f>
        <v>14</v>
      </c>
      <c r="N20" s="84">
        <f>IF($C20&lt;&gt;"",VLOOKUP($C20,'[1]Course Table'!$A$1:$I$330,8,FALSE),"")</f>
        <v>15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5"/>
      <c r="D21" s="99" t="s">
        <v>253</v>
      </c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6</v>
      </c>
      <c r="M21" s="84">
        <f>COUNTIF($J$6:$J21,$J21)</f>
        <v>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 t="s">
        <v>0</v>
      </c>
      <c r="B22" s="141"/>
      <c r="C22" s="105" t="s">
        <v>481</v>
      </c>
      <c r="D22" s="99"/>
      <c r="E22" s="140" t="str">
        <f>IF($C22&lt;&gt;0,VLOOKUP($C22,'[1]Course Table'!$A$1:$G$330,2,TRUE),"")</f>
        <v>Introduction to Medical Terminology</v>
      </c>
      <c r="F22" s="84"/>
      <c r="G22" s="84">
        <f t="shared" si="0"/>
        <v>75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949</v>
      </c>
      <c r="I22" s="84">
        <f>IF($C22&lt;&gt;"",VLOOKUP($C22,'[1]Course Table'!$A$1:$G$330,5,FALSE),"")</f>
        <v>75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29</v>
      </c>
      <c r="M22" s="84">
        <f>COUNTIF($J$6:$J22,$J22)</f>
        <v>15</v>
      </c>
      <c r="N22" s="84">
        <f>IF($C22&lt;&gt;"",VLOOKUP($C22,'[1]Course Table'!$A$1:$I$330,8,FALSE),"")</f>
        <v>18</v>
      </c>
      <c r="O22" s="84">
        <f>IF($C22&lt;&gt;"",VLOOKUP($C22,'[1]Course Table'!$A$1:$I$330,9,FALSE),"")</f>
        <v>4</v>
      </c>
    </row>
    <row r="23" spans="1:18">
      <c r="A23" s="79" t="s">
        <v>0</v>
      </c>
      <c r="B23" s="141"/>
      <c r="C23" s="105" t="s">
        <v>480</v>
      </c>
      <c r="D23" s="99"/>
      <c r="E23" s="140" t="str">
        <f>IF($C23&lt;&gt;0,VLOOKUP($C23,'[1]Course Table'!$A$1:$G$330,2,TRUE),"")</f>
        <v>Introduction to Medical Transcription</v>
      </c>
      <c r="F23" s="84"/>
      <c r="G23" s="84">
        <f t="shared" si="0"/>
        <v>75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949</v>
      </c>
      <c r="I23" s="84">
        <f>IF($C23&lt;&gt;"",VLOOKUP($C23,'[1]Course Table'!$A$1:$G$330,5,FALSE),"")</f>
        <v>75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29</v>
      </c>
      <c r="M23" s="84">
        <f>COUNTIF($J$6:$J23,$J23)</f>
        <v>16</v>
      </c>
      <c r="N23" s="84">
        <f>IF($C23&lt;&gt;"",VLOOKUP($C23,'[1]Course Table'!$A$1:$I$330,8,FALSE),"")</f>
        <v>18</v>
      </c>
      <c r="O23" s="84">
        <f>IF($C23&lt;&gt;"",VLOOKUP($C23,'[1]Course Table'!$A$1:$I$330,9,FALSE),"")</f>
        <v>4</v>
      </c>
      <c r="P23" s="84"/>
      <c r="Q23" s="84"/>
    </row>
    <row r="24" spans="1:18">
      <c r="A24" s="79" t="s">
        <v>0</v>
      </c>
      <c r="B24" s="141"/>
      <c r="C24" s="105" t="s">
        <v>452</v>
      </c>
      <c r="E24" s="140" t="str">
        <f>IF($C24&lt;&gt;0,VLOOKUP($C24,'[1]Course Table'!$A$1:$G$330,2,TRUE),"")</f>
        <v>Anatomy and Physiology Part 1</v>
      </c>
      <c r="F24" s="84"/>
      <c r="G24" s="84">
        <f t="shared" si="0"/>
        <v>75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949</v>
      </c>
      <c r="I24" s="84">
        <f>IF($C24&lt;&gt;"",VLOOKUP($C24,'[1]Course Table'!$A$1:$G$330,5,FALSE),"")</f>
        <v>75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29</v>
      </c>
      <c r="M24" s="84">
        <f>COUNTIF($J$6:$J24,$J24)</f>
        <v>17</v>
      </c>
      <c r="N24" s="84">
        <f>IF($C24&lt;&gt;"",VLOOKUP($C24,'[1]Course Table'!$A$1:$I$330,8,FALSE),"")</f>
        <v>18</v>
      </c>
      <c r="O24" s="84">
        <f>IF($C24&lt;&gt;"",VLOOKUP($C24,'[1]Course Table'!$A$1:$I$330,9,FALSE),"")</f>
        <v>4</v>
      </c>
      <c r="P24" s="84"/>
      <c r="Q24" s="84"/>
    </row>
    <row r="25" spans="1:18">
      <c r="A25" s="79" t="s">
        <v>0</v>
      </c>
      <c r="B25" s="141"/>
      <c r="C25" s="105" t="s">
        <v>453</v>
      </c>
      <c r="D25" s="84"/>
      <c r="E25" s="140" t="str">
        <f>IF($C25&lt;&gt;0,VLOOKUP($C25,'[1]Course Table'!$A$1:$G$330,2,TRUE),"")</f>
        <v>Anatomy and Physiology Part 2</v>
      </c>
      <c r="F25" s="84"/>
      <c r="G25" s="84">
        <f t="shared" si="0"/>
        <v>75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949</v>
      </c>
      <c r="I25" s="84">
        <f>IF($C25&lt;&gt;"",VLOOKUP($C25,'[1]Course Table'!$A$1:$G$330,5,FALSE),"")</f>
        <v>75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29</v>
      </c>
      <c r="M25" s="84">
        <f>COUNTIF($J$6:$J25,$J25)</f>
        <v>18</v>
      </c>
      <c r="N25" s="84">
        <f>IF($C25&lt;&gt;"",VLOOKUP($C25,'[1]Course Table'!$A$1:$I$330,8,FALSE),"")</f>
        <v>18</v>
      </c>
      <c r="O25" s="84">
        <f>IF($C25&lt;&gt;"",VLOOKUP($C25,'[1]Course Table'!$A$1:$I$330,9,FALSE),"")</f>
        <v>4</v>
      </c>
      <c r="P25" s="84"/>
      <c r="Q25" s="84"/>
    </row>
    <row r="26" spans="1:18">
      <c r="A26" s="79" t="s">
        <v>0</v>
      </c>
      <c r="B26" s="141"/>
      <c r="C26" s="105" t="s">
        <v>455</v>
      </c>
      <c r="D26" s="84"/>
      <c r="E26" s="140" t="str">
        <f>IF($C26&lt;&gt;0,VLOOKUP($C26,'[1]Course Table'!$A$1:$G$330,2,TRUE),"")</f>
        <v>Medical Office Procedures</v>
      </c>
      <c r="F26" s="84"/>
      <c r="G26" s="84">
        <f t="shared" si="0"/>
        <v>75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949</v>
      </c>
      <c r="I26" s="84">
        <f>IF($C26&lt;&gt;"",VLOOKUP($C26,'[1]Course Table'!$A$1:$G$330,5,FALSE),"")</f>
        <v>75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29</v>
      </c>
      <c r="M26" s="84">
        <f>COUNTIF($J$6:$J26,$J26)</f>
        <v>19</v>
      </c>
      <c r="N26" s="84">
        <f>IF($C26&lt;&gt;"",VLOOKUP($C26,'[1]Course Table'!$A$1:$I$330,8,FALSE),"")</f>
        <v>18</v>
      </c>
      <c r="O26" s="84">
        <f>IF($C26&lt;&gt;"",VLOOKUP($C26,'[1]Course Table'!$A$1:$I$330,9,FALSE),"")</f>
        <v>4</v>
      </c>
      <c r="P26" s="84"/>
      <c r="Q26" s="84"/>
    </row>
    <row r="27" spans="1:18">
      <c r="A27" s="79" t="s">
        <v>0</v>
      </c>
      <c r="B27" s="141"/>
      <c r="C27" s="105" t="s">
        <v>567</v>
      </c>
      <c r="D27" s="84"/>
      <c r="E27" s="140" t="str">
        <f>IF($C27&lt;&gt;0,VLOOKUP($C27,'[1]Course Table'!$A$1:$G$330,2,TRUE),"")</f>
        <v>Clinical Procedures</v>
      </c>
      <c r="F27" s="84"/>
      <c r="G27" s="84">
        <f t="shared" si="0"/>
        <v>75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949</v>
      </c>
      <c r="I27" s="84">
        <f>IF($C27&lt;&gt;"",VLOOKUP($C27,'[1]Course Table'!$A$1:$G$330,5,FALSE),"")</f>
        <v>75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29</v>
      </c>
      <c r="M27" s="84">
        <f>COUNTIF($J$6:$J27,$J27)</f>
        <v>20</v>
      </c>
      <c r="N27" s="84">
        <f>IF($C27&lt;&gt;"",VLOOKUP($C27,'[1]Course Table'!$A$1:$I$330,8,FALSE),"")</f>
        <v>18</v>
      </c>
      <c r="O27" s="84">
        <f>IF($C27&lt;&gt;"",VLOOKUP($C27,'[1]Course Table'!$A$1:$I$330,9,FALSE),"")</f>
        <v>4</v>
      </c>
      <c r="P27" s="84"/>
      <c r="Q27" s="84"/>
    </row>
    <row r="28" spans="1:18">
      <c r="A28" s="79"/>
      <c r="B28" s="141"/>
      <c r="C28" s="105" t="s">
        <v>317</v>
      </c>
      <c r="D28" s="84"/>
      <c r="E28" s="140" t="str">
        <f>IF($C28&lt;&gt;0,VLOOKUP($C28,'[1]Course Table'!$A$1:$G$330,2,TRUE),"")</f>
        <v>Health Unit Coordinator Level 1</v>
      </c>
      <c r="F28" s="84"/>
      <c r="G28" s="84">
        <f t="shared" si="0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949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29</v>
      </c>
      <c r="M28" s="84">
        <f>COUNTIF($J$6:$J28,$J28)</f>
        <v>21</v>
      </c>
      <c r="N28" s="84">
        <f>IF($C28&lt;&gt;"",VLOOKUP($C28,'[1]Course Table'!$A$1:$I$330,8,FALSE),"")</f>
        <v>18</v>
      </c>
      <c r="O28" s="84">
        <f>IF($C28&lt;&gt;"",VLOOKUP($C28,'[1]Course Table'!$A$1:$I$330,9,FALSE),"")</f>
        <v>5</v>
      </c>
      <c r="P28" s="84"/>
      <c r="Q28" s="84"/>
    </row>
    <row r="29" spans="1:18">
      <c r="A29" s="79"/>
      <c r="B29" s="141"/>
      <c r="C29" s="105" t="s">
        <v>318</v>
      </c>
      <c r="D29" s="84"/>
      <c r="E29" s="140" t="str">
        <f>IF($C29&lt;&gt;0,VLOOKUP($C29,'[1]Course Table'!$A$1:$G$330,2,TRUE),"")</f>
        <v>Health Unit Coordinator Level 2</v>
      </c>
      <c r="F29" s="84"/>
      <c r="G29" s="84">
        <f t="shared" si="0"/>
        <v>100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949</v>
      </c>
      <c r="I29" s="84">
        <f>IF($C29&lt;&gt;"",VLOOKUP($C29,'[1]Course Table'!$A$1:$G$330,5,FALSE),"")</f>
        <v>100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29</v>
      </c>
      <c r="M29" s="84">
        <f>COUNTIF($J$6:$J29,$J29)</f>
        <v>22</v>
      </c>
      <c r="N29" s="84">
        <f>IF($C29&lt;&gt;"",VLOOKUP($C29,'[1]Course Table'!$A$1:$I$330,8,FALSE),"")</f>
        <v>18</v>
      </c>
      <c r="O29" s="84">
        <f>IF($C29&lt;&gt;"",VLOOKUP($C29,'[1]Course Table'!$A$1:$I$330,9,FALSE),"")</f>
        <v>5</v>
      </c>
      <c r="P29" s="84"/>
      <c r="Q29" s="84"/>
    </row>
    <row r="30" spans="1:18">
      <c r="A30" s="79"/>
      <c r="B30" s="141"/>
      <c r="C30" s="105" t="s">
        <v>319</v>
      </c>
      <c r="D30" s="84"/>
      <c r="E30" s="140" t="str">
        <f>IF($C30&lt;&gt;0,VLOOKUP($C30,'[1]Course Table'!$A$1:$G$330,2,TRUE),"")</f>
        <v>Health Unit Coordinator Level 3</v>
      </c>
      <c r="F30" s="84"/>
      <c r="G30" s="84">
        <f t="shared" si="0"/>
        <v>100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949</v>
      </c>
      <c r="I30" s="84">
        <f>IF($C30&lt;&gt;"",VLOOKUP($C30,'[1]Course Table'!$A$1:$G$330,5,FALSE),"")</f>
        <v>100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29</v>
      </c>
      <c r="M30" s="84">
        <f>COUNTIF($J$6:$J30,$J30)</f>
        <v>23</v>
      </c>
      <c r="N30" s="84">
        <f>IF($C30&lt;&gt;"",VLOOKUP($C30,'[1]Course Table'!$A$1:$I$330,8,FALSE),"")</f>
        <v>18</v>
      </c>
      <c r="O30" s="84">
        <f>IF($C30&lt;&gt;"",VLOOKUP($C30,'[1]Course Table'!$A$1:$I$330,9,FALSE),"")</f>
        <v>5</v>
      </c>
      <c r="P30" s="84"/>
      <c r="Q30" s="84"/>
    </row>
    <row r="31" spans="1:18">
      <c r="A31" s="79"/>
      <c r="B31" s="141"/>
      <c r="C31" s="105" t="s">
        <v>401</v>
      </c>
      <c r="D31" s="84"/>
      <c r="E31" s="140" t="str">
        <f>IF($C31&lt;&gt;0,VLOOKUP($C31,'[1]Course Table'!$A$1:$G$330,2,TRUE),"")</f>
        <v>Standard First Aid</v>
      </c>
      <c r="F31" s="84"/>
      <c r="G31" s="84">
        <f t="shared" si="0"/>
        <v>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99</v>
      </c>
      <c r="I31" s="84">
        <f>IF($C31&lt;&gt;"",VLOOKUP($C31,'[1]Course Table'!$A$1:$G$330,5,FALSE),"")</f>
        <v>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29</v>
      </c>
      <c r="M31" s="84">
        <f>COUNTIF($J$6:$J31,$J31)</f>
        <v>24</v>
      </c>
      <c r="N31" s="84">
        <f>IF($C31&lt;&gt;"",VLOOKUP($C31,'[1]Course Table'!$A$1:$I$330,8,FALSE),"")</f>
        <v>98</v>
      </c>
      <c r="O31" s="84">
        <f>IF($C31&lt;&gt;"",VLOOKUP($C31,'[1]Course Table'!$A$1:$I$330,9,FALSE),"")</f>
        <v>0</v>
      </c>
      <c r="P31" s="84"/>
      <c r="Q31" s="84"/>
    </row>
    <row r="32" spans="1:18">
      <c r="A32" s="79"/>
      <c r="B32" s="141"/>
      <c r="C32" s="105" t="s">
        <v>402</v>
      </c>
      <c r="D32" s="84"/>
      <c r="E32" s="140" t="str">
        <f>IF($C32&lt;&gt;0,VLOOKUP($C32,'[1]Course Table'!$A$1:$G$330,2,TRUE),"")</f>
        <v>Basic Rescuer (Level C) CPR Certifications</v>
      </c>
      <c r="F32" s="84"/>
      <c r="G32" s="84">
        <f t="shared" si="0"/>
        <v>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99</v>
      </c>
      <c r="I32" s="84">
        <f>IF($C32&lt;&gt;"",VLOOKUP($C32,'[1]Course Table'!$A$1:$G$330,5,FALSE),"")</f>
        <v>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29</v>
      </c>
      <c r="M32" s="84">
        <f>COUNTIF($J$6:$J32,$J32)</f>
        <v>25</v>
      </c>
      <c r="N32" s="84">
        <f>IF($C32&lt;&gt;"",VLOOKUP($C32,'[1]Course Table'!$A$1:$I$330,8,FALSE),"")</f>
        <v>18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/>
      <c r="B33" s="141"/>
      <c r="C33" s="105"/>
      <c r="D33" s="84" t="s">
        <v>254</v>
      </c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6</v>
      </c>
      <c r="M33" s="84">
        <f>COUNTIF($J$6:$J33,$J33)</f>
        <v>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 t="s">
        <v>393</v>
      </c>
      <c r="D34" s="84"/>
      <c r="E34" s="140" t="str">
        <f>IF($C34&lt;&gt;0,VLOOKUP($C34,'[1]Course Table'!$A$1:$G$330,2,TRUE),"")</f>
        <v>Preceptorship for MOA with UC - BC</v>
      </c>
      <c r="F34" s="84"/>
      <c r="G34" s="84">
        <f t="shared" si="0"/>
        <v>113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889</v>
      </c>
      <c r="I34" s="84">
        <f>IF($C34&lt;&gt;"",VLOOKUP($C34,'[1]Course Table'!$A$1:$G$330,5,FALSE),"")</f>
        <v>113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29</v>
      </c>
      <c r="M34" s="84">
        <f>COUNTIF($J$6:$J34,$J34)</f>
        <v>26</v>
      </c>
      <c r="N34" s="84">
        <f>IF($C34&lt;&gt;"",VLOOKUP($C34,'[1]Course Table'!$A$1:$I$330,8,FALSE),"")</f>
        <v>14</v>
      </c>
      <c r="O34" s="84">
        <f>IF($C34&lt;&gt;"",VLOOKUP($C34,'[1]Course Table'!$A$1:$I$330,9,FALSE),"")</f>
        <v>5.5</v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6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 t="s">
        <v>335</v>
      </c>
      <c r="D36" s="84"/>
      <c r="E36" s="140" t="str">
        <f>IF($C36&lt;&gt;0,VLOOKUP($C36,'[1]Course Table'!$A$1:$G$330,2,TRUE),"")</f>
        <v>Books Fee (MOA with Unit Clerk)</v>
      </c>
      <c r="F36" s="84"/>
      <c r="G36" s="84">
        <f t="shared" si="0"/>
        <v>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826</v>
      </c>
      <c r="I36" s="84">
        <f>IF($C36&lt;&gt;"",VLOOKUP($C36,'[1]Course Table'!$A$1:$G$330,5,FALSE),"")</f>
        <v>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29</v>
      </c>
      <c r="M36" s="84">
        <f>COUNTIF($J$6:$J36,$J36)</f>
        <v>27</v>
      </c>
      <c r="N36" s="84">
        <f>IF($C36&lt;&gt;"",VLOOKUP($C36,'[1]Course Table'!$A$1:$I$330,8,FALSE),"")</f>
        <v>98</v>
      </c>
      <c r="O36" s="84">
        <f>IF($C36&lt;&gt;"",VLOOKUP($C36,'[1]Course Table'!$A$1:$I$330,9,FALSE),"")</f>
        <v>0</v>
      </c>
      <c r="P36" s="84"/>
      <c r="Q36" s="84"/>
      <c r="R36" s="90"/>
    </row>
    <row r="37" spans="1:18">
      <c r="A37" s="79"/>
      <c r="B37" s="141"/>
      <c r="C37" s="105" t="s">
        <v>469</v>
      </c>
      <c r="D37" s="84"/>
      <c r="E37" s="140" t="str">
        <f>IF($C37&lt;&gt;0,VLOOKUP($C37,'[1]Course Table'!$A$1:$G$330,2,TRUE),"")</f>
        <v>Lab &amp; Uniform Fees</v>
      </c>
      <c r="F37" s="84"/>
      <c r="G37" s="84">
        <f t="shared" si="0"/>
        <v>0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160</v>
      </c>
      <c r="I37" s="84">
        <f>IF($C37&lt;&gt;"",VLOOKUP($C37,'[1]Course Table'!$A$1:$G$330,5,FALSE),"")</f>
        <v>0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29</v>
      </c>
      <c r="M37" s="84">
        <f>COUNTIF($J$6:$J37,$J37)</f>
        <v>28</v>
      </c>
      <c r="N37" s="84">
        <f>IF($C37&lt;&gt;"",VLOOKUP($C37,'[1]Course Table'!$A$1:$I$330,8,FALSE),"")</f>
        <v>98</v>
      </c>
      <c r="O37" s="84">
        <f>IF($C37&lt;&gt;"",VLOOKUP($C37,'[1]Course Table'!$A$1:$I$330,9,FALSE),"")</f>
        <v>0</v>
      </c>
      <c r="P37" s="84"/>
      <c r="Q37" s="84"/>
      <c r="R37" s="90"/>
    </row>
    <row r="38" spans="1:18">
      <c r="A38" s="79"/>
      <c r="B38" s="141"/>
      <c r="C38" s="105" t="s">
        <v>424</v>
      </c>
      <c r="E38" s="140" t="str">
        <f>IF($C38&lt;&gt;0,VLOOKUP($C38,'[1]Course Table'!$A$1:$G$330,2,TRUE),"")</f>
        <v>Study/Review - MOA with UC - BC</v>
      </c>
      <c r="F38" s="84"/>
      <c r="G38" s="84">
        <f t="shared" si="0"/>
        <v>33</v>
      </c>
      <c r="H38" s="100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>0</v>
      </c>
      <c r="I38" s="84">
        <f>IF($C38&lt;&gt;"",VLOOKUP($C38,'[1]Course Table'!$A$1:$G$330,5,FALSE),"")</f>
        <v>33</v>
      </c>
      <c r="J38" s="101">
        <f>IF(AND($C38&lt;&gt;"",A38&lt;&gt;"E"),VLOOKUP($C38,'[1]Course Table'!$A$1:$G$330,6,FALSE),"")</f>
        <v>0</v>
      </c>
      <c r="K38" s="101">
        <f>IF($C38&lt;&gt;"",VLOOKUP($C38,'[1]Course Table'!$A$1:$G$330,7,FALSE),"")</f>
        <v>0</v>
      </c>
      <c r="L38" s="84">
        <f t="shared" si="1"/>
        <v>29</v>
      </c>
      <c r="M38" s="84">
        <f>COUNTIF($J$6:$J38,$J38)</f>
        <v>29</v>
      </c>
      <c r="N38" s="84">
        <f>IF($C38&lt;&gt;"",VLOOKUP($C38,'[1]Course Table'!$A$1:$I$330,8,FALSE),"")</f>
        <v>99</v>
      </c>
      <c r="O38" s="84">
        <f>IF($C38&lt;&gt;"",VLOOKUP($C38,'[1]Course Table'!$A$1:$I$330,9,FALSE),"")</f>
        <v>1.5</v>
      </c>
      <c r="P38" s="84"/>
      <c r="Q38" s="84"/>
    </row>
    <row r="39" spans="1:18">
      <c r="A39" s="79"/>
      <c r="B39" s="141"/>
      <c r="C39" s="105"/>
      <c r="D39" s="84" t="s">
        <v>238</v>
      </c>
      <c r="E39" s="140" t="s">
        <v>385</v>
      </c>
      <c r="F39" s="84"/>
      <c r="G39" s="84"/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6</v>
      </c>
      <c r="M39" s="84">
        <f>COUNTIF($J$6:$J39,$J39)</f>
        <v>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">
        <v>386</v>
      </c>
      <c r="F40" s="111"/>
      <c r="G40" s="111"/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6</v>
      </c>
      <c r="M40" s="84">
        <f>COUNTIF($J$6:$J40,$J40)</f>
        <v>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317" t="s">
        <v>384</v>
      </c>
      <c r="E41" s="317"/>
      <c r="F41" s="317"/>
      <c r="G41" s="318"/>
      <c r="H41" s="114">
        <f>SUM(H6:H40)</f>
        <v>16455</v>
      </c>
      <c r="I41" s="115">
        <f>SUM(I6:I40)</f>
        <v>1269</v>
      </c>
    </row>
    <row r="42" spans="1:18" s="90" customFormat="1" ht="12.75">
      <c r="C42" s="135">
        <v>0</v>
      </c>
      <c r="D42" s="306" t="str">
        <f>CONCATENATE("Course Hours - ",SUM(I6:I40)-SUMIF(C6:C40,"HCCP1BC_HUC",I6:I40)-C44,"   ","Practicum Hours - ",SUMIF(C6:C40,"HCCP1BC_HUC",I6:I40),"   ","Exam &amp; Review Hours - ",C44,"   Total Course Hours - ",I41+C43)</f>
        <v>Course Hours - 1123   Practicum Hours - 113   Exam &amp; Review Hours - 33   Total Course Hours - 1269</v>
      </c>
      <c r="E42" s="301"/>
      <c r="F42" s="301"/>
      <c r="G42" s="301"/>
      <c r="H42" s="117">
        <f>ROUNDUP(H41/(I41+C43),2)</f>
        <v>12.97</v>
      </c>
    </row>
    <row r="43" spans="1:18" s="90" customFormat="1" ht="12.75">
      <c r="C43" s="90">
        <f>ROUNDUP(I41*C42,0)</f>
        <v>0</v>
      </c>
      <c r="D43" s="316" t="str">
        <f>CONCATENATE("NOTE - only available @25 Hrs/Week: Program"," @25h/Week ",ROUND((I41+C43)/(23.5*4.33),1)," Months  (",ROUND(((I41+C43-SUMIF(C6:C40,"HCCP1BC_HUC",I6:I40))/23.5)+(SUMIF(C6:C40,"HCCP1BC_HUC",I6:I40)/37.5),0)," Weeks)")</f>
        <v>NOTE - only available @25 Hrs/Week: Program @25h/Week 12.5 Months  (52 Weeks)</v>
      </c>
      <c r="E43" s="316"/>
      <c r="F43" s="316"/>
      <c r="G43" s="316"/>
      <c r="H43" s="118"/>
    </row>
    <row r="44" spans="1:18" s="84" customFormat="1" ht="13.5">
      <c r="C44" s="90">
        <f>VLOOKUP("SR"&amp;"*",$C$6:$G$40,5,FALSE)</f>
        <v>33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$16809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64.5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1.5</v>
      </c>
      <c r="P49" s="78">
        <f>SUMIF($N$6:$N$40,Summary!P4,$O$6:$O$40)</f>
        <v>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1.5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5.5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39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F1:G1"/>
    <mergeCell ref="F2:G2"/>
    <mergeCell ref="D45:G45"/>
    <mergeCell ref="D4:F4"/>
    <mergeCell ref="D43:G43"/>
    <mergeCell ref="D42:G42"/>
    <mergeCell ref="D41:G41"/>
  </mergeCells>
  <phoneticPr fontId="36" type="noConversion"/>
  <pageMargins left="0.74803149606299213" right="0.70866141732283472" top="0.39370078740157483" bottom="0" header="0.11811023622047245" footer="0"/>
  <pageSetup orientation="portrait" horizontalDpi="360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64">
    <tabColor indexed="10"/>
    <pageSetUpPr fitToPage="1"/>
  </sheetPr>
  <dimension ref="A1:AG52"/>
  <sheetViews>
    <sheetView showZeros="0" zoomScaleNormal="100" workbookViewId="0">
      <selection activeCell="C6" sqref="C6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575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576</v>
      </c>
      <c r="E4" s="303"/>
      <c r="F4" s="303"/>
      <c r="G4" s="92" t="s">
        <v>518</v>
      </c>
      <c r="H4" s="100"/>
      <c r="I4" s="84" t="s">
        <v>7</v>
      </c>
      <c r="P4" s="84"/>
      <c r="Q4" s="84"/>
    </row>
    <row r="5" spans="1:17">
      <c r="A5" s="90" t="s">
        <v>577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 t="s">
        <v>145</v>
      </c>
      <c r="E6" s="140" t="str">
        <f>IF($C6&lt;&gt;0,VLOOKUP($C6,'[1]Course Table'!$A$1:$G$330,2,TRUE),"")</f>
        <v/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>COUNTIF($J$6:$J$40,$J6)</f>
        <v>21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 t="s">
        <v>388</v>
      </c>
      <c r="D7" s="99"/>
      <c r="E7" s="140" t="str">
        <f>IF($C7&lt;&gt;0,VLOOKUP($C7,'[1]Course Table'!$A$1:$G$330,2,TRUE),"")</f>
        <v>Introduction to Keyboarding</v>
      </c>
      <c r="F7" s="84"/>
      <c r="G7" s="84">
        <f t="shared" ref="G7:G38" si="0">I7</f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14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41"/>
      <c r="C8" s="105" t="s">
        <v>390</v>
      </c>
      <c r="D8" s="84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14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41"/>
      <c r="C9" s="105" t="s">
        <v>391</v>
      </c>
      <c r="D9" s="84"/>
      <c r="E9" s="140" t="str">
        <f>IF($C9&lt;&gt;0,VLOOKUP($C9,'[1]Course Table'!$A$1:$G$330,2,TRUE),"")</f>
        <v>Keyboard Skill Building Level 2 (40 WPM)</v>
      </c>
      <c r="F9" s="84"/>
      <c r="G9" s="84">
        <f t="shared" si="0"/>
        <v>25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25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14</v>
      </c>
      <c r="M9" s="84">
        <f>COUNTIF($J$6:$J9,$J9)</f>
        <v>3</v>
      </c>
      <c r="N9" s="84">
        <f>IF($C9&lt;&gt;"",VLOOKUP($C9,'[1]Course Table'!$A$1:$I$330,8,FALSE),"")</f>
        <v>1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14</v>
      </c>
      <c r="M10" s="84">
        <f>COUNTIF($J$6:$J10,$J10)</f>
        <v>4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14</v>
      </c>
      <c r="M11" s="84">
        <f>COUNTIF($J$6:$J11,$J11)</f>
        <v>5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14</v>
      </c>
      <c r="M12" s="84">
        <f>COUNTIF($J$6:$J12,$J12)</f>
        <v>6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762</v>
      </c>
      <c r="D13" s="84"/>
      <c r="E13" s="140" t="str">
        <f>IF($C13&lt;&gt;0,VLOOKUP($C13,'[1]Course Table'!$A$1:$G$330,2,TRUE),"")</f>
        <v>MS Outlook Level 1</v>
      </c>
      <c r="F13" s="84"/>
      <c r="G13" s="84">
        <f t="shared" si="0"/>
        <v>25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14</v>
      </c>
      <c r="M13" s="84">
        <f>COUNTIF($J$6:$J13,$J13)</f>
        <v>7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86</v>
      </c>
      <c r="D14" s="84"/>
      <c r="E14" s="140" t="str">
        <f>IF($C14&lt;&gt;0,VLOOKUP($C14,'[1]Course Table'!$A$1:$G$330,2,TRUE),"")</f>
        <v>Practical Applications - 1 Unit</v>
      </c>
      <c r="F14" s="84"/>
      <c r="G14" s="84">
        <f t="shared" si="0"/>
        <v>20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314</v>
      </c>
      <c r="I14" s="84">
        <f>IF($C14&lt;&gt;"",VLOOKUP($C14,'[1]Course Table'!$A$1:$G$330,5,FALSE),"")</f>
        <v>20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14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0</v>
      </c>
      <c r="P14" s="84"/>
      <c r="Q14" s="84"/>
    </row>
    <row r="15" spans="1:17">
      <c r="A15" s="79" t="s">
        <v>0</v>
      </c>
      <c r="B15" s="141"/>
      <c r="C15" s="105"/>
      <c r="D15" s="99" t="s">
        <v>253</v>
      </c>
      <c r="E15" s="140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21</v>
      </c>
      <c r="M15" s="84">
        <f>COUNTIF($J$6:$J15,$J15)</f>
        <v>2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 t="s">
        <v>0</v>
      </c>
      <c r="B16" s="141"/>
      <c r="C16" s="105" t="s">
        <v>481</v>
      </c>
      <c r="D16" s="84"/>
      <c r="E16" s="140" t="str">
        <f>IF($C16&lt;&gt;0,VLOOKUP($C16,'[1]Course Table'!$A$1:$G$330,2,TRUE),"")</f>
        <v>Introduction to Medical Terminology</v>
      </c>
      <c r="F16" s="84"/>
      <c r="G16" s="84">
        <f t="shared" si="0"/>
        <v>75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949</v>
      </c>
      <c r="I16" s="84">
        <f>IF($C16&lt;&gt;"",VLOOKUP($C16,'[1]Course Table'!$A$1:$G$330,5,FALSE),"")</f>
        <v>75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14</v>
      </c>
      <c r="M16" s="84">
        <f>COUNTIF($J$6:$J16,$J16)</f>
        <v>9</v>
      </c>
      <c r="N16" s="84">
        <f>IF($C16&lt;&gt;"",VLOOKUP($C16,'[1]Course Table'!$A$1:$I$330,8,FALSE),"")</f>
        <v>18</v>
      </c>
      <c r="O16" s="84">
        <f>IF($C16&lt;&gt;"",VLOOKUP($C16,'[1]Course Table'!$A$1:$I$330,9,FALSE),"")</f>
        <v>4</v>
      </c>
      <c r="P16" s="84"/>
      <c r="Q16" s="84"/>
    </row>
    <row r="17" spans="1:18">
      <c r="A17" s="79" t="s">
        <v>0</v>
      </c>
      <c r="B17" s="141"/>
      <c r="C17" s="105" t="s">
        <v>452</v>
      </c>
      <c r="D17" s="84"/>
      <c r="E17" s="140" t="str">
        <f>IF($C17&lt;&gt;0,VLOOKUP($C17,'[1]Course Table'!$A$1:$G$330,2,TRUE),"")</f>
        <v>Anatomy and Physiology Part 1</v>
      </c>
      <c r="F17" s="84"/>
      <c r="G17" s="84">
        <f t="shared" si="0"/>
        <v>75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949</v>
      </c>
      <c r="I17" s="84">
        <f>IF($C17&lt;&gt;"",VLOOKUP($C17,'[1]Course Table'!$A$1:$G$330,5,FALSE),"")</f>
        <v>75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14</v>
      </c>
      <c r="M17" s="84">
        <f>COUNTIF($J$6:$J17,$J17)</f>
        <v>10</v>
      </c>
      <c r="N17" s="84">
        <f>IF($C17&lt;&gt;"",VLOOKUP($C17,'[1]Course Table'!$A$1:$I$330,8,FALSE),"")</f>
        <v>18</v>
      </c>
      <c r="O17" s="84">
        <f>IF($C17&lt;&gt;"",VLOOKUP($C17,'[1]Course Table'!$A$1:$I$330,9,FALSE),"")</f>
        <v>4</v>
      </c>
      <c r="P17" s="84"/>
      <c r="Q17" s="84"/>
    </row>
    <row r="18" spans="1:18">
      <c r="A18" s="79" t="s">
        <v>0</v>
      </c>
      <c r="B18" s="141"/>
      <c r="C18" s="105" t="s">
        <v>453</v>
      </c>
      <c r="D18" s="84"/>
      <c r="E18" s="140" t="str">
        <f>IF($C18&lt;&gt;0,VLOOKUP($C18,'[1]Course Table'!$A$1:$G$330,2,TRUE),"")</f>
        <v>Anatomy and Physiology Part 2</v>
      </c>
      <c r="F18" s="84"/>
      <c r="G18" s="84">
        <f t="shared" si="0"/>
        <v>75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949</v>
      </c>
      <c r="I18" s="84">
        <f>IF($C18&lt;&gt;"",VLOOKUP($C18,'[1]Course Table'!$A$1:$G$330,5,FALSE),"")</f>
        <v>75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14</v>
      </c>
      <c r="M18" s="84">
        <f>COUNTIF($J$6:$J18,$J18)</f>
        <v>11</v>
      </c>
      <c r="N18" s="84">
        <f>IF($C18&lt;&gt;"",VLOOKUP($C18,'[1]Course Table'!$A$1:$I$330,8,FALSE),"")</f>
        <v>18</v>
      </c>
      <c r="O18" s="84">
        <f>IF($C18&lt;&gt;"",VLOOKUP($C18,'[1]Course Table'!$A$1:$I$330,9,FALSE),"")</f>
        <v>4</v>
      </c>
      <c r="P18" s="84"/>
      <c r="Q18" s="84"/>
    </row>
    <row r="19" spans="1:18">
      <c r="A19" s="79" t="s">
        <v>0</v>
      </c>
      <c r="B19" s="141"/>
      <c r="C19" s="105" t="s">
        <v>134</v>
      </c>
      <c r="D19" s="84"/>
      <c r="E19" s="140" t="str">
        <f>IF($C19&lt;&gt;0,VLOOKUP($C19,'[1]Course Table'!$A$1:$G$330,2,TRUE),"")</f>
        <v>Medical Office Procedures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625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14</v>
      </c>
      <c r="M19" s="84">
        <f>COUNTIF($J$6:$J19,$J19)</f>
        <v>12</v>
      </c>
      <c r="N19" s="84">
        <f>IF($C19&lt;&gt;"",VLOOKUP($C19,'[1]Course Table'!$A$1:$I$330,8,FALSE),"")</f>
        <v>18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21</v>
      </c>
      <c r="M20" s="84">
        <f>COUNTIF($J$6:$J20,$J20)</f>
        <v>3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5" t="s">
        <v>249</v>
      </c>
      <c r="D21" s="99"/>
      <c r="E21" s="140" t="str">
        <f>IF($C21&lt;&gt;0,VLOOKUP($C21,'[1]Course Table'!$A$1:$G$330,2,TRUE),"")</f>
        <v>Job Search/Resume Writing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14</v>
      </c>
      <c r="M21" s="84">
        <f>COUNTIF($J$6:$J21,$J21)</f>
        <v>13</v>
      </c>
      <c r="N21" s="84">
        <f>IF($C21&lt;&gt;"",VLOOKUP($C21,'[1]Course Table'!$A$1:$I$330,8,FALSE),"")</f>
        <v>15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578</v>
      </c>
      <c r="D22" s="99"/>
      <c r="E22" s="140" t="str">
        <f>IF($C22&lt;&gt;0,VLOOKUP($C22,'[1]Course Table'!$A$1:$G$330,2,TRUE),"")</f>
        <v>Study/Review - Med Office Front Desk Assist Cert-BC</v>
      </c>
      <c r="F22" s="84"/>
      <c r="G22" s="84">
        <f t="shared" si="0"/>
        <v>48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0</v>
      </c>
      <c r="I22" s="84">
        <f>IF($C22&lt;&gt;"",VLOOKUP($C22,'[1]Course Table'!$A$1:$G$330,5,FALSE),"")</f>
        <v>48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14</v>
      </c>
      <c r="M22" s="84">
        <f>COUNTIF($J$6:$J22,$J22)</f>
        <v>14</v>
      </c>
      <c r="N22" s="84">
        <f>IF($C22&lt;&gt;"",VLOOKUP($C22,'[1]Course Table'!$A$1:$I$330,8,FALSE),"")</f>
        <v>99</v>
      </c>
      <c r="O22" s="84">
        <f>IF($C22&lt;&gt;"",VLOOKUP($C22,'[1]Course Table'!$A$1:$I$330,9,FALSE),"")</f>
        <v>2.5</v>
      </c>
    </row>
    <row r="23" spans="1:18">
      <c r="A23" s="79" t="s">
        <v>0</v>
      </c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21</v>
      </c>
      <c r="M23" s="84">
        <f>COUNTIF($J$6:$J23,$J23)</f>
        <v>4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 t="s">
        <v>0</v>
      </c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21</v>
      </c>
      <c r="M24" s="84">
        <f>COUNTIF($J$6:$J24,$J24)</f>
        <v>5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 t="s">
        <v>0</v>
      </c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21</v>
      </c>
      <c r="M25" s="84">
        <f>COUNTIF($J$6:$J25,$J25)</f>
        <v>6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 t="s">
        <v>0</v>
      </c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21</v>
      </c>
      <c r="M26" s="84">
        <f>COUNTIF($J$6:$J26,$J26)</f>
        <v>7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 t="s">
        <v>0</v>
      </c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21</v>
      </c>
      <c r="M27" s="84">
        <f>COUNTIF($J$6:$J27,$J27)</f>
        <v>8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21</v>
      </c>
      <c r="M28" s="84">
        <f>COUNTIF($J$6:$J28,$J28)</f>
        <v>9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21</v>
      </c>
      <c r="M29" s="84">
        <f>COUNTIF($J$6:$J29,$J29)</f>
        <v>10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21</v>
      </c>
      <c r="M30" s="84">
        <f>COUNTIF($J$6:$J30,$J30)</f>
        <v>11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21</v>
      </c>
      <c r="M31" s="84">
        <f>COUNTIF($J$6:$J31,$J31)</f>
        <v>12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21</v>
      </c>
      <c r="M32" s="84">
        <f>COUNTIF($J$6:$J32,$J32)</f>
        <v>13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21</v>
      </c>
      <c r="M33" s="84">
        <f>COUNTIF($J$6:$J33,$J33)</f>
        <v>14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21</v>
      </c>
      <c r="M34" s="84">
        <f>COUNTIF($J$6:$J34,$J34)</f>
        <v>15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21</v>
      </c>
      <c r="M35" s="84">
        <f>COUNTIF($J$6:$J35,$J35)</f>
        <v>16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21</v>
      </c>
      <c r="M36" s="84">
        <f>COUNTIF($J$6:$J36,$J36)</f>
        <v>17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21</v>
      </c>
      <c r="M37" s="84">
        <f>COUNTIF($J$6:$J37,$J37)</f>
        <v>18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21</v>
      </c>
      <c r="M38" s="84">
        <f>COUNTIF($J$6:$J38,$J38)</f>
        <v>19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/>
      <c r="F39" s="84"/>
      <c r="G39" s="84"/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21</v>
      </c>
      <c r="M39" s="84">
        <f>COUNTIF($J$6:$J39,$J39)</f>
        <v>20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/>
      <c r="F40" s="111"/>
      <c r="G40" s="111"/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21</v>
      </c>
      <c r="M40" s="84">
        <f>COUNTIF($J$6:$J40,$J40)</f>
        <v>21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317" t="s">
        <v>384</v>
      </c>
      <c r="E41" s="317"/>
      <c r="F41" s="317"/>
      <c r="G41" s="318"/>
      <c r="H41" s="114">
        <f>SUM(H6:H40)</f>
        <v>7048</v>
      </c>
      <c r="I41" s="115">
        <f>SUM(I6:I40)</f>
        <v>526</v>
      </c>
    </row>
    <row r="42" spans="1:18" s="90" customFormat="1" ht="12.75">
      <c r="C42" s="135">
        <v>0</v>
      </c>
      <c r="D42" s="306" t="str">
        <f>CONCATENATE("Course Hours - ",SUM(I6:I40)-SUMIF(C6:C40,"HCCP1BC_HUC",I6:I40)-C44,"   ","Practicum Hours - ",SUMIF(C6:C40,"HCCP1BC_HUC",I6:I40),"   ","Exam &amp; Review Hours - ",C44,"   Total Course Hours - ",I41+C43)</f>
        <v>Course Hours - 478   Practicum Hours - 0   Exam &amp; Review Hours - 48   Total Course Hours - 526</v>
      </c>
      <c r="E42" s="301"/>
      <c r="F42" s="301"/>
      <c r="G42" s="301"/>
      <c r="H42" s="117">
        <f>ROUNDUP(H41/(I41+C43),2)</f>
        <v>13.4</v>
      </c>
    </row>
    <row r="43" spans="1:18" s="90" customFormat="1" ht="10.9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Hrs/Week:6.1 Months (26 Weeks); at 25 Hrs/Week:4.9 Months (21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$7402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27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4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13.5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7">
    <mergeCell ref="D45:G45"/>
    <mergeCell ref="F1:G1"/>
    <mergeCell ref="F2:G2"/>
    <mergeCell ref="D4:F4"/>
    <mergeCell ref="D41:G41"/>
    <mergeCell ref="D42:G42"/>
    <mergeCell ref="D43:G43"/>
  </mergeCells>
  <phoneticPr fontId="37" type="noConversion"/>
  <pageMargins left="0.74803149606299213" right="0.70866141732283472" top="0.39370078740157483" bottom="0" header="0.11811023622047245" footer="0"/>
  <pageSetup orientation="portrait" horizontalDpi="360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59">
    <tabColor indexed="10"/>
    <pageSetUpPr fitToPage="1"/>
  </sheetPr>
  <dimension ref="A1:AG52"/>
  <sheetViews>
    <sheetView showZeros="0"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191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574</v>
      </c>
      <c r="E4" s="303"/>
      <c r="F4" s="303"/>
      <c r="G4" s="92" t="s">
        <v>516</v>
      </c>
      <c r="H4" s="100"/>
      <c r="I4" s="84" t="s">
        <v>7</v>
      </c>
      <c r="P4" s="84"/>
      <c r="Q4" s="84"/>
    </row>
    <row r="5" spans="1:17">
      <c r="A5" s="90" t="s">
        <v>210</v>
      </c>
      <c r="B5" s="90"/>
      <c r="C5" s="90"/>
      <c r="D5" s="94" t="s">
        <v>325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27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462</v>
      </c>
      <c r="D9" s="84"/>
      <c r="E9" s="140" t="str">
        <f>IF($C9&lt;&gt;0,VLOOKUP($C9,'[1]Course Table'!$A$1:$G$330,2,TRUE),"")</f>
        <v>Internet Fundamentals</v>
      </c>
      <c r="F9" s="84"/>
      <c r="G9" s="84">
        <f t="shared" si="0"/>
        <v>22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22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/>
      <c r="D10" s="84" t="s">
        <v>244</v>
      </c>
      <c r="E10" s="140" t="str">
        <f>IF($C10&lt;&gt;0,VLOOKUP($C10,'[1]Course Table'!$A$1:$G$330,2,TRUE),"")</f>
        <v/>
      </c>
      <c r="F10" s="84"/>
      <c r="G10" s="84" t="str">
        <f t="shared" si="0"/>
        <v/>
      </c>
      <c r="H10" s="100" t="str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/>
      </c>
      <c r="I10" s="84" t="str">
        <f>IF($C10&lt;&gt;"",VLOOKUP($C10,'[1]Course Table'!$A$1:$G$330,5,FALSE),"")</f>
        <v/>
      </c>
      <c r="J10" s="101" t="str">
        <f>IF(AND($C10&lt;&gt;"",A10&lt;&gt;"E"),VLOOKUP($C10,'[1]Course Table'!$A$1:$G$330,6,FALSE),"")</f>
        <v/>
      </c>
      <c r="K10" s="101" t="str">
        <f>IF($C10&lt;&gt;"",VLOOKUP($C10,'[1]Course Table'!$A$1:$G$330,7,FALSE),"")</f>
        <v/>
      </c>
      <c r="L10" s="84">
        <f t="shared" si="1"/>
        <v>8</v>
      </c>
      <c r="M10" s="84">
        <f>COUNTIF($J$6:$J10,$J10)</f>
        <v>1</v>
      </c>
      <c r="N10" s="84" t="str">
        <f>IF($C10&lt;&gt;"",VLOOKUP($C10,'[1]Course Table'!$A$1:$I$330,8,FALSE),"")</f>
        <v/>
      </c>
      <c r="O10" s="84" t="str">
        <f>IF($C10&lt;&gt;"",VLOOKUP($C10,'[1]Course Table'!$A$1:$I$330,9,FALSE),"")</f>
        <v/>
      </c>
      <c r="P10" s="84"/>
      <c r="Q10" s="84"/>
    </row>
    <row r="11" spans="1:17">
      <c r="A11" s="79" t="s">
        <v>0</v>
      </c>
      <c r="B11" s="141"/>
      <c r="C11" s="104" t="s">
        <v>785</v>
      </c>
      <c r="D11" s="84"/>
      <c r="E11" s="140" t="str">
        <f>IF($C11&lt;&gt;0,VLOOKUP($C11,'[1]Course Table'!$A$1:$G$330,2,TRUE),"")</f>
        <v>Thought Patterns for a Successful Career</v>
      </c>
      <c r="F11" s="84"/>
      <c r="G11" s="84">
        <f t="shared" si="0"/>
        <v>24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589</v>
      </c>
      <c r="I11" s="84">
        <f>IF($C11&lt;&gt;"",VLOOKUP($C11,'[1]Course Table'!$A$1:$G$330,5,FALSE),"")</f>
        <v>24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27</v>
      </c>
      <c r="M11" s="84">
        <f>COUNTIF($J$6:$J11,$J11)</f>
        <v>5</v>
      </c>
      <c r="N11" s="84">
        <f>IF($C11&lt;&gt;"",VLOOKUP($C11,'[1]Course Table'!$A$1:$I$330,8,FALSE),"")</f>
        <v>15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463</v>
      </c>
      <c r="D12" s="84"/>
      <c r="E12" s="140" t="str">
        <f>IF($C12&lt;&gt;0,VLOOKUP($C12,'[1]Course Table'!$A$1:$G$330,2,TRUE),"")</f>
        <v>Windows 10 Level 1</v>
      </c>
      <c r="F12" s="84"/>
      <c r="G12" s="84">
        <f t="shared" si="0"/>
        <v>21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21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27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467</v>
      </c>
      <c r="D13" s="84"/>
      <c r="E13" s="140" t="str">
        <f>IF($C13&lt;&gt;0,VLOOKUP($C13,'[1]Course Table'!$A$1:$G$330,2,TRUE),"")</f>
        <v>Windows 10 Level 2</v>
      </c>
      <c r="F13" s="84"/>
      <c r="G13" s="84">
        <f>I13</f>
        <v>20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27</v>
      </c>
      <c r="M13" s="84">
        <f>COUNTIF($J$6:$J13,$J13)</f>
        <v>7</v>
      </c>
      <c r="N13" s="84">
        <f>IF($C13&lt;&gt;"",VLOOKUP($C13,'[1]Course Table'!$A$1:$I$330,8,FALSE),"")</f>
        <v>8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41"/>
      <c r="C14" s="105" t="s">
        <v>757</v>
      </c>
      <c r="D14" s="84"/>
      <c r="E14" s="140" t="str">
        <f>IF($C14&lt;&gt;0,VLOOKUP($C14,'[1]Course Table'!$A$1:$G$330,2,TRUE),"")</f>
        <v>MS Word Level 1</v>
      </c>
      <c r="F14" s="84"/>
      <c r="G14" s="84">
        <f t="shared" si="0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27</v>
      </c>
      <c r="M14" s="84">
        <f>COUNTIF($J$6:$J14,$J14)</f>
        <v>8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763</v>
      </c>
      <c r="D15" s="84"/>
      <c r="E15" s="140" t="str">
        <f>IF($C15&lt;&gt;0,VLOOKUP($C15,'[1]Course Table'!$A$1:$G$330,2,TRUE),"")</f>
        <v>MS Excel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27</v>
      </c>
      <c r="M15" s="84">
        <f>COUNTIF($J$6:$J15,$J15)</f>
        <v>9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0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27</v>
      </c>
      <c r="M16" s="84">
        <f>COUNTIF($J$6:$J16,$J16)</f>
        <v>10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762</v>
      </c>
      <c r="D17" s="84"/>
      <c r="E17" s="140" t="str">
        <f>IF($C17&lt;&gt;0,VLOOKUP($C17,'[1]Course Table'!$A$1:$G$330,2,TRUE),"")</f>
        <v>MS Outlook Level 1</v>
      </c>
      <c r="F17" s="84"/>
      <c r="G17" s="84">
        <f t="shared" si="0"/>
        <v>25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27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27</v>
      </c>
      <c r="M18" s="84">
        <f>COUNTIF($J$6:$J18,$J18)</f>
        <v>12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366</v>
      </c>
      <c r="D19" s="84"/>
      <c r="E19" s="140" t="str">
        <f>IF($C19&lt;&gt;0,VLOOKUP($C19,'[1]Course Table'!$A$1:$G$330,2,TRUE),"")</f>
        <v>Business Correspondence Level 1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499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27</v>
      </c>
      <c r="M19" s="84">
        <f>COUNTIF($J$6:$J19,$J19)</f>
        <v>13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226</v>
      </c>
      <c r="D20" s="84"/>
      <c r="E20" s="140" t="str">
        <f>IF($C20&lt;&gt;0,VLOOKUP($C20,'[1]Course Table'!$A$1:$G$330,2,TRUE),"")</f>
        <v>Workplace Success/Intrapreneurship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688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27</v>
      </c>
      <c r="M20" s="84">
        <f>COUNTIF($J$6:$J20,$J20)</f>
        <v>14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568</v>
      </c>
      <c r="D21" s="99"/>
      <c r="E21" s="140" t="str">
        <f>IF($C21&lt;&gt;0,VLOOKUP($C21,'[1]Course Table'!$A$1:$G$330,2,TRUE),"")</f>
        <v>Project Management Fundamentals - Level 1</v>
      </c>
      <c r="F21" s="84"/>
      <c r="G21" s="84">
        <f t="shared" si="0"/>
        <v>36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995</v>
      </c>
      <c r="I21" s="84">
        <f>IF($C21&lt;&gt;"",VLOOKUP($C21,'[1]Course Table'!$A$1:$G$330,5,FALSE),"")</f>
        <v>36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27</v>
      </c>
      <c r="M21" s="84">
        <f>COUNTIF($J$6:$J21,$J21)</f>
        <v>15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2</v>
      </c>
      <c r="P21" s="84"/>
      <c r="Q21" s="84"/>
    </row>
    <row r="22" spans="1:18">
      <c r="A22" s="79" t="s">
        <v>0</v>
      </c>
      <c r="B22" s="141"/>
      <c r="C22" s="105" t="s">
        <v>86</v>
      </c>
      <c r="D22" s="99"/>
      <c r="E22" s="140" t="str">
        <f>IF($C22&lt;&gt;0,VLOOKUP($C22,'[1]Course Table'!$A$1:$G$330,2,TRUE),"")</f>
        <v>Practical Applications - 1 Unit</v>
      </c>
      <c r="F22" s="84"/>
      <c r="G22" s="84">
        <f t="shared" si="0"/>
        <v>20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314</v>
      </c>
      <c r="I22" s="84">
        <f>IF($C22&lt;&gt;"",VLOOKUP($C22,'[1]Course Table'!$A$1:$G$330,5,FALSE),"")</f>
        <v>20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27</v>
      </c>
      <c r="M22" s="84">
        <f>COUNTIF($J$6:$J22,$J22)</f>
        <v>16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0</v>
      </c>
    </row>
    <row r="23" spans="1:18">
      <c r="A23" s="79" t="s">
        <v>1</v>
      </c>
      <c r="B23" s="141"/>
      <c r="C23" s="105"/>
      <c r="D23" s="99" t="s">
        <v>252</v>
      </c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8</v>
      </c>
      <c r="M23" s="84">
        <f>COUNTIF($J$6:$J23,$J23)</f>
        <v>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 t="s">
        <v>782</v>
      </c>
      <c r="E24" s="140" t="str">
        <f>IF($C24&lt;&gt;0,VLOOKUP($C24,'[1]Course Table'!$A$1:$G$330,2,TRUE),"")</f>
        <v xml:space="preserve">CompTIA A+ Certification: 220-1101                                  </v>
      </c>
      <c r="F24" s="84"/>
      <c r="G24" s="84">
        <f t="shared" si="0"/>
        <v>100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1301</v>
      </c>
      <c r="I24" s="84">
        <f>IF($C24&lt;&gt;"",VLOOKUP($C24,'[1]Course Table'!$A$1:$G$330,5,FALSE),"")</f>
        <v>100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27</v>
      </c>
      <c r="M24" s="84">
        <f>COUNTIF($J$6:$J24,$J24)</f>
        <v>17</v>
      </c>
      <c r="N24" s="84">
        <f>IF($C24&lt;&gt;"",VLOOKUP($C24,'[1]Course Table'!$A$1:$I$330,8,FALSE),"")</f>
        <v>11</v>
      </c>
      <c r="O24" s="84">
        <f>IF($C24&lt;&gt;"",VLOOKUP($C24,'[1]Course Table'!$A$1:$I$330,9,FALSE),"")</f>
        <v>5</v>
      </c>
      <c r="P24" s="84"/>
      <c r="Q24" s="84"/>
    </row>
    <row r="25" spans="1:18">
      <c r="A25" s="79" t="s">
        <v>0</v>
      </c>
      <c r="B25" s="141"/>
      <c r="C25" s="105" t="s">
        <v>783</v>
      </c>
      <c r="D25" s="84"/>
      <c r="E25" s="140" t="str">
        <f>IF($C25&lt;&gt;0,VLOOKUP($C25,'[1]Course Table'!$A$1:$G$330,2,TRUE),"")</f>
        <v>CompTIA A+ Certification: 220-1102</v>
      </c>
      <c r="F25" s="84"/>
      <c r="G25" s="84">
        <f t="shared" si="0"/>
        <v>100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1301</v>
      </c>
      <c r="I25" s="84">
        <f>IF($C25&lt;&gt;"",VLOOKUP($C25,'[1]Course Table'!$A$1:$G$330,5,FALSE),"")</f>
        <v>100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27</v>
      </c>
      <c r="M25" s="84">
        <f>COUNTIF($J$6:$J25,$J25)</f>
        <v>18</v>
      </c>
      <c r="N25" s="84">
        <f>IF($C25&lt;&gt;"",VLOOKUP($C25,'[1]Course Table'!$A$1:$I$330,8,FALSE),"")</f>
        <v>11</v>
      </c>
      <c r="O25" s="84">
        <f>IF($C25&lt;&gt;"",VLOOKUP($C25,'[1]Course Table'!$A$1:$I$330,9,FALSE),"")</f>
        <v>5</v>
      </c>
      <c r="P25" s="84"/>
      <c r="Q25" s="84"/>
    </row>
    <row r="26" spans="1:18">
      <c r="A26" s="79" t="s">
        <v>0</v>
      </c>
      <c r="B26" s="141"/>
      <c r="C26" s="105"/>
      <c r="D26" s="84" t="s">
        <v>326</v>
      </c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8</v>
      </c>
      <c r="M26" s="84">
        <f>COUNTIF($J$6:$J26,$J26)</f>
        <v>3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 t="s">
        <v>0</v>
      </c>
      <c r="B27" s="141"/>
      <c r="C27" s="105" t="s">
        <v>781</v>
      </c>
      <c r="D27" s="84"/>
      <c r="E27" s="140" t="str">
        <f>IF($C27&lt;&gt;0,VLOOKUP($C27,'[1]Course Table'!$A$1:$G$330,2,TRUE),"")</f>
        <v>CompTIA Network+</v>
      </c>
      <c r="F27" s="84"/>
      <c r="G27" s="84">
        <f t="shared" si="0"/>
        <v>60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995</v>
      </c>
      <c r="I27" s="84">
        <f>IF($C27&lt;&gt;"",VLOOKUP($C27,'[1]Course Table'!$A$1:$G$330,5,FALSE),"")</f>
        <v>60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27</v>
      </c>
      <c r="M27" s="84">
        <f>COUNTIF($J$6:$J27,$J27)</f>
        <v>19</v>
      </c>
      <c r="N27" s="84">
        <f>IF($C27&lt;&gt;"",VLOOKUP($C27,'[1]Course Table'!$A$1:$I$330,8,FALSE),"")</f>
        <v>11</v>
      </c>
      <c r="O27" s="84">
        <f>IF($C27&lt;&gt;"",VLOOKUP($C27,'[1]Course Table'!$A$1:$I$330,9,FALSE),"")</f>
        <v>3</v>
      </c>
      <c r="P27" s="84"/>
      <c r="Q27" s="84"/>
    </row>
    <row r="28" spans="1:18">
      <c r="A28" s="79" t="s">
        <v>0</v>
      </c>
      <c r="B28" s="141"/>
      <c r="C28" s="105" t="s">
        <v>754</v>
      </c>
      <c r="D28" s="84"/>
      <c r="E28" s="140" t="str">
        <f>IF($C28&lt;&gt;0,VLOOKUP($C28,'[1]Course Table'!$A$1:$G$330,2,TRUE),"")</f>
        <v>Microsoft Windows 10 (MD-100)</v>
      </c>
      <c r="F28" s="84"/>
      <c r="G28" s="84">
        <f t="shared" si="0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1600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27</v>
      </c>
      <c r="M28" s="84">
        <f>COUNTIF($J$6:$J28,$J28)</f>
        <v>20</v>
      </c>
      <c r="N28" s="84">
        <f>IF($C28&lt;&gt;"",VLOOKUP($C28,'[1]Course Table'!$A$1:$I$330,8,FALSE),"")</f>
        <v>16</v>
      </c>
      <c r="O28" s="84">
        <f>IF($C28&lt;&gt;"",VLOOKUP($C28,'[1]Course Table'!$A$1:$I$330,9,FALSE),"")</f>
        <v>5</v>
      </c>
      <c r="P28" s="84"/>
      <c r="Q28" s="84"/>
    </row>
    <row r="29" spans="1:18">
      <c r="A29" s="79" t="s">
        <v>0</v>
      </c>
      <c r="B29" s="141"/>
      <c r="C29" s="105" t="s">
        <v>425</v>
      </c>
      <c r="D29" s="84"/>
      <c r="E29" s="140" t="str">
        <f>IF($C29&lt;&gt;0,VLOOKUP($C29,'[1]Course Table'!$A$1:$G$330,2,TRUE),"")</f>
        <v>Study/Review - Network Adm - Year 1- BC</v>
      </c>
      <c r="F29" s="84"/>
      <c r="G29" s="84">
        <f t="shared" si="0"/>
        <v>155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628</v>
      </c>
      <c r="I29" s="84">
        <f>IF($C29&lt;&gt;"",VLOOKUP($C29,'[1]Course Table'!$A$1:$G$330,5,FALSE),"")</f>
        <v>155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27</v>
      </c>
      <c r="M29" s="84">
        <f>COUNTIF($J$6:$J29,$J29)</f>
        <v>21</v>
      </c>
      <c r="N29" s="84">
        <f>IF($C29&lt;&gt;"",VLOOKUP($C29,'[1]Course Table'!$A$1:$I$330,8,FALSE),"")</f>
        <v>99</v>
      </c>
      <c r="O29" s="84">
        <f>IF($C29&lt;&gt;"",VLOOKUP($C29,'[1]Course Table'!$A$1:$I$330,9,FALSE),"")</f>
        <v>8</v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>I30</f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8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 t="s">
        <v>248</v>
      </c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8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 t="s">
        <v>0</v>
      </c>
      <c r="B32" s="141"/>
      <c r="C32" s="105" t="s">
        <v>772</v>
      </c>
      <c r="D32" s="84"/>
      <c r="E32" s="140" t="str">
        <f>IF($C32&lt;&gt;0,VLOOKUP($C32,'[1]Course Table'!$A$1:$G$330,2,TRUE),"")</f>
        <v>CompTIA Security+</v>
      </c>
      <c r="F32" s="84"/>
      <c r="G32" s="84">
        <f t="shared" si="0"/>
        <v>100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1600</v>
      </c>
      <c r="I32" s="84">
        <f>IF($C32&lt;&gt;"",VLOOKUP($C32,'[1]Course Table'!$A$1:$G$330,5,FALSE),"")</f>
        <v>100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27</v>
      </c>
      <c r="M32" s="84">
        <f>COUNTIF($J$6:$J32,$J32)</f>
        <v>22</v>
      </c>
      <c r="N32" s="84">
        <f>IF($C32&lt;&gt;"",VLOOKUP($C32,'[1]Course Table'!$A$1:$I$330,8,FALSE),"")</f>
        <v>11</v>
      </c>
      <c r="O32" s="84">
        <f>IF($C32&lt;&gt;"",VLOOKUP($C32,'[1]Course Table'!$A$1:$I$330,9,FALSE),"")</f>
        <v>5</v>
      </c>
      <c r="P32" s="84"/>
      <c r="Q32" s="84"/>
      <c r="R32" s="90"/>
    </row>
    <row r="33" spans="1:18">
      <c r="A33" s="79" t="s">
        <v>0</v>
      </c>
      <c r="B33" s="141"/>
      <c r="C33" s="105" t="s">
        <v>571</v>
      </c>
      <c r="D33" s="84"/>
      <c r="E33" s="140" t="str">
        <f>IF($C33&lt;&gt;0,VLOOKUP($C33,'[1]Course Table'!$A$1:$G$330,2,TRUE),"")</f>
        <v>Installation, Storage, and Compute with Windows Server 2016</v>
      </c>
      <c r="F33" s="84"/>
      <c r="G33" s="84">
        <f t="shared" si="0"/>
        <v>100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1600</v>
      </c>
      <c r="I33" s="84">
        <f>IF($C33&lt;&gt;"",VLOOKUP($C33,'[1]Course Table'!$A$1:$G$330,5,FALSE),"")</f>
        <v>100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27</v>
      </c>
      <c r="M33" s="84">
        <f>COUNTIF($J$6:$J33,$J33)</f>
        <v>23</v>
      </c>
      <c r="N33" s="84">
        <f>IF($C33&lt;&gt;"",VLOOKUP($C33,'[1]Course Table'!$A$1:$I$330,8,FALSE),"")</f>
        <v>16</v>
      </c>
      <c r="O33" s="84">
        <f>IF($C33&lt;&gt;"",VLOOKUP($C33,'[1]Course Table'!$A$1:$I$330,9,FALSE),"")</f>
        <v>5</v>
      </c>
      <c r="P33" s="84"/>
      <c r="Q33" s="84"/>
      <c r="R33" s="90"/>
    </row>
    <row r="34" spans="1:18">
      <c r="A34" s="79" t="s">
        <v>0</v>
      </c>
      <c r="B34" s="141"/>
      <c r="C34" s="105" t="s">
        <v>572</v>
      </c>
      <c r="D34" s="84"/>
      <c r="E34" s="140" t="str">
        <f>IF($C34&lt;&gt;0,VLOOKUP($C34,'[1]Course Table'!$A$1:$G$330,2,TRUE),"")</f>
        <v>Networking with Windows Server 2016</v>
      </c>
      <c r="F34" s="84"/>
      <c r="G34" s="84">
        <f t="shared" si="0"/>
        <v>100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1600</v>
      </c>
      <c r="I34" s="84">
        <f>IF($C34&lt;&gt;"",VLOOKUP($C34,'[1]Course Table'!$A$1:$G$330,5,FALSE),"")</f>
        <v>100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27</v>
      </c>
      <c r="M34" s="84">
        <f>COUNTIF($J$6:$J34,$J34)</f>
        <v>24</v>
      </c>
      <c r="N34" s="84">
        <f>IF($C34&lt;&gt;"",VLOOKUP($C34,'[1]Course Table'!$A$1:$I$330,8,FALSE),"")</f>
        <v>16</v>
      </c>
      <c r="O34" s="84">
        <f>IF($C34&lt;&gt;"",VLOOKUP($C34,'[1]Course Table'!$A$1:$I$330,9,FALSE),"")</f>
        <v>5</v>
      </c>
      <c r="P34" s="84"/>
      <c r="Q34" s="84"/>
      <c r="R34" s="90"/>
    </row>
    <row r="35" spans="1:18">
      <c r="A35" s="79"/>
      <c r="B35" s="141"/>
      <c r="C35" s="105" t="s">
        <v>573</v>
      </c>
      <c r="D35" s="84"/>
      <c r="E35" s="140" t="str">
        <f>IF($C35&lt;&gt;0,VLOOKUP($C35,'[1]Course Table'!$A$1:$G$330,2,TRUE),"")</f>
        <v>Identity with Windows Server 2016</v>
      </c>
      <c r="F35" s="84"/>
      <c r="G35" s="84">
        <f t="shared" si="0"/>
        <v>100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1600</v>
      </c>
      <c r="I35" s="84">
        <f>IF($C35&lt;&gt;"",VLOOKUP($C35,'[1]Course Table'!$A$1:$G$330,5,FALSE),"")</f>
        <v>100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27</v>
      </c>
      <c r="M35" s="84">
        <f>COUNTIF($J$6:$J35,$J35)</f>
        <v>25</v>
      </c>
      <c r="N35" s="84">
        <f>IF($C35&lt;&gt;"",VLOOKUP($C35,'[1]Course Table'!$A$1:$I$330,8,FALSE),"")</f>
        <v>16</v>
      </c>
      <c r="O35" s="84">
        <f>IF($C35&lt;&gt;"",VLOOKUP($C35,'[1]Course Table'!$A$1:$I$330,9,FALSE),"")</f>
        <v>5</v>
      </c>
      <c r="P35" s="84"/>
      <c r="Q35" s="84"/>
      <c r="R35" s="90"/>
    </row>
    <row r="36" spans="1:18">
      <c r="A36" s="79" t="s">
        <v>0</v>
      </c>
      <c r="B36" s="141"/>
      <c r="C36" s="105" t="s">
        <v>249</v>
      </c>
      <c r="D36" s="84"/>
      <c r="E36" s="140" t="str">
        <f>IF($C36&lt;&gt;0,VLOOKUP($C36,'[1]Course Table'!$A$1:$G$330,2,TRUE),"")</f>
        <v>Job Search/Resume Writing</v>
      </c>
      <c r="F36" s="84"/>
      <c r="G36" s="84">
        <f>I36</f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579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27</v>
      </c>
      <c r="M36" s="84">
        <f>COUNTIF($J$6:$J36,$J36)</f>
        <v>26</v>
      </c>
      <c r="N36" s="84">
        <f>IF($C36&lt;&gt;"",VLOOKUP($C36,'[1]Course Table'!$A$1:$I$330,8,FALSE),"")</f>
        <v>15</v>
      </c>
      <c r="O36" s="84">
        <f>IF($C36&lt;&gt;"",VLOOKUP($C36,'[1]Course Table'!$A$1:$I$330,9,FALSE),"")</f>
        <v>1.5</v>
      </c>
      <c r="P36" s="84"/>
      <c r="Q36" s="84"/>
      <c r="R36" s="90"/>
    </row>
    <row r="37" spans="1:18">
      <c r="A37" s="79"/>
      <c r="B37" s="141"/>
      <c r="C37" s="105" t="s">
        <v>426</v>
      </c>
      <c r="D37" s="84"/>
      <c r="E37" s="140" t="str">
        <f>IF($C37&lt;&gt;0,VLOOKUP($C37,'[1]Course Table'!$A$1:$G$330,2,TRUE),"")</f>
        <v>Study/Review - Network Adm - Year 2- BC</v>
      </c>
      <c r="F37" s="84"/>
      <c r="G37" s="84">
        <f t="shared" si="0"/>
        <v>120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628</v>
      </c>
      <c r="I37" s="84">
        <f>IF($C37&lt;&gt;"",VLOOKUP($C37,'[1]Course Table'!$A$1:$G$330,5,FALSE),"")</f>
        <v>120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27</v>
      </c>
      <c r="M37" s="84">
        <f>COUNTIF($J$6:$J37,$J37)</f>
        <v>27</v>
      </c>
      <c r="N37" s="84">
        <f>IF($C37&lt;&gt;"",VLOOKUP($C37,'[1]Course Table'!$A$1:$I$330,8,FALSE),"")</f>
        <v>99</v>
      </c>
      <c r="O37" s="84">
        <f>IF($C37&lt;&gt;"",VLOOKUP($C37,'[1]Course Table'!$A$1:$I$330,9,FALSE),"")</f>
        <v>6</v>
      </c>
      <c r="P37" s="84"/>
      <c r="Q37" s="84"/>
      <c r="R37" s="90"/>
    </row>
    <row r="38" spans="1:18">
      <c r="A38" s="79" t="s">
        <v>0</v>
      </c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>I38</f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20916</v>
      </c>
      <c r="I41" s="115">
        <f>SUM(I6:I40)</f>
        <v>1478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- 1203          Exam &amp; Review Hours - 275          Total Course Hours - 1478</v>
      </c>
      <c r="E42" s="301"/>
      <c r="F42" s="301"/>
      <c r="G42" s="301"/>
      <c r="H42" s="117">
        <f>ROUNDUP(H41/(I41+C43),2)</f>
        <v>14.16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(",ROUND((I41+C43)/20.2,0)," Weeks); at 25 Hrs/Week:",ROUND((I41+C43)/(25*4.33),1)," Months (",ROUND((I41+C43)/25,0)," Weeks)","; +4 weeks holiday")</f>
        <v>Duration at 20 Hrs/Week:17.1 Months (73 Weeks); at 25 Hrs/Week:13.7 Months (59 Weeks); +4 weeks holiday</v>
      </c>
      <c r="E43" s="300"/>
      <c r="F43" s="300"/>
      <c r="G43" s="300"/>
      <c r="H43" s="118"/>
    </row>
    <row r="44" spans="1:18" s="84" customFormat="1" ht="13.5">
      <c r="C44" s="90">
        <f>VLOOKUP("SR"&amp;"*",$C$6:$G$44,5,FALSE)+VLOOKUP("SR"&amp;"*"&amp;"Y2"&amp;"*",$C$6:$G$44,5,FALSE)</f>
        <v>275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$21270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 t="s">
        <v>231</v>
      </c>
      <c r="H47" s="93"/>
      <c r="I47" s="78"/>
    </row>
    <row r="48" spans="1:18" ht="13.5" customHeight="1">
      <c r="D48" s="113"/>
      <c r="E48" s="74"/>
      <c r="F48" s="74" t="s">
        <v>9</v>
      </c>
      <c r="G48" s="74" t="s">
        <v>247</v>
      </c>
      <c r="H48" s="302" t="s">
        <v>246</v>
      </c>
      <c r="I48" s="302"/>
      <c r="J48" s="144" t="s">
        <v>245</v>
      </c>
      <c r="N48" s="84" t="s">
        <v>19</v>
      </c>
      <c r="O48" s="78">
        <f>SUM(O6:O40)</f>
        <v>73.5</v>
      </c>
    </row>
    <row r="49" spans="4:33" ht="13.5" customHeight="1">
      <c r="D49" s="113"/>
      <c r="E49" s="145" t="s">
        <v>244</v>
      </c>
      <c r="F49" s="74">
        <f>ROUNDUP(SUM(G6:G29)*(1+$C$42),0)</f>
        <v>928</v>
      </c>
      <c r="G49" s="74">
        <f>ROUND(J49/4.33,1)</f>
        <v>10.6</v>
      </c>
      <c r="H49" s="302">
        <f>ROUND(SUM(H6:H30),0)</f>
        <v>13309</v>
      </c>
      <c r="I49" s="302"/>
      <c r="J49" s="144">
        <f>ROUND(F49/20.2,0)</f>
        <v>46</v>
      </c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6.5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20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 t="s">
        <v>248</v>
      </c>
      <c r="F50" s="74">
        <f>ROUNDUP(SUM(G32:G40)*(1+$C$42),0)</f>
        <v>550</v>
      </c>
      <c r="G50" s="74">
        <f>ROUND(J50/4.33,1)</f>
        <v>6.2</v>
      </c>
      <c r="H50" s="302">
        <f>ROUND(SUM(H32:H40),0)</f>
        <v>7607</v>
      </c>
      <c r="I50" s="302"/>
      <c r="J50" s="144">
        <f>ROUND(F50/20.2,0)</f>
        <v>27</v>
      </c>
    </row>
    <row r="51" spans="4:33" ht="13.5" customHeight="1">
      <c r="D51" s="113"/>
      <c r="E51" s="145" t="s">
        <v>32</v>
      </c>
      <c r="F51" s="74">
        <f>SUM(F49:F50)</f>
        <v>1478</v>
      </c>
      <c r="G51" s="74">
        <f>SUM(G49:G50)</f>
        <v>16.8</v>
      </c>
      <c r="H51" s="302">
        <f>SUM(H49:H50)</f>
        <v>20916</v>
      </c>
      <c r="I51" s="302"/>
      <c r="J51" s="144">
        <f>SUM(J49:J50)</f>
        <v>73</v>
      </c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9:I49"/>
    <mergeCell ref="H50:I50"/>
    <mergeCell ref="H51:I51"/>
    <mergeCell ref="F1:G1"/>
    <mergeCell ref="F2:G2"/>
    <mergeCell ref="D45:G45"/>
    <mergeCell ref="D4:F4"/>
    <mergeCell ref="H48:I48"/>
    <mergeCell ref="D42:G42"/>
    <mergeCell ref="D43:G43"/>
  </mergeCells>
  <phoneticPr fontId="36" type="noConversion"/>
  <pageMargins left="0.74803149606299213" right="0.63" top="0.6" bottom="0.39370078740157483" header="0.11811023622047245" footer="0"/>
  <pageSetup scale="99" orientation="portrait" horizontalDpi="360" verticalDpi="360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14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91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25</v>
      </c>
      <c r="E4" s="303"/>
      <c r="F4" s="303"/>
      <c r="G4" s="92" t="s">
        <v>520</v>
      </c>
      <c r="H4" s="100"/>
      <c r="I4" s="84" t="s">
        <v>7</v>
      </c>
      <c r="P4" s="84"/>
      <c r="Q4" s="84"/>
    </row>
    <row r="5" spans="1:17">
      <c r="A5" s="90" t="s">
        <v>211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390</v>
      </c>
      <c r="D6" s="99"/>
      <c r="E6" s="140" t="str">
        <f>IF($C6&lt;&gt;0,VLOOKUP($C6,'[1]Course Table'!$A$1:$G$330,2,TRUE),"")</f>
        <v>Keyboard Skill Building Level 1 (25 WPM)</v>
      </c>
      <c r="F6" s="84"/>
      <c r="G6" s="84">
        <f>I6</f>
        <v>25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389</v>
      </c>
      <c r="I6" s="84">
        <f>IF($C6&lt;&gt;"",VLOOKUP($C6,'[1]Course Table'!$A$1:$G$330,5,FALSE),"")</f>
        <v>25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32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1.5</v>
      </c>
      <c r="P6" s="84"/>
      <c r="Q6" s="84"/>
    </row>
    <row r="7" spans="1:17">
      <c r="A7" s="79" t="s">
        <v>0</v>
      </c>
      <c r="B7" s="141"/>
      <c r="C7" s="105" t="s">
        <v>391</v>
      </c>
      <c r="D7" s="99"/>
      <c r="E7" s="140" t="str">
        <f>IF($C7&lt;&gt;0,VLOOKUP($C7,'[1]Course Table'!$A$1:$G$330,2,TRUE),"")</f>
        <v>Keyboard Skill Building Level 2 (40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32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41"/>
      <c r="C8" s="105" t="s">
        <v>785</v>
      </c>
      <c r="D8" s="84"/>
      <c r="E8" s="140" t="str">
        <f>IF($C8&lt;&gt;0,VLOOKUP($C8,'[1]Course Table'!$A$1:$G$330,2,TRUE),"")</f>
        <v>Thought Patterns for a Successful Career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32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32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467</v>
      </c>
      <c r="D10" s="84"/>
      <c r="E10" s="140" t="str">
        <f>IF($C10&lt;&gt;0,VLOOKUP($C10,'[1]Course Table'!$A$1:$G$330,2,TRUE),"")</f>
        <v>Windows 10 Level 2</v>
      </c>
      <c r="F10" s="84"/>
      <c r="G10" s="84">
        <f t="shared" si="1"/>
        <v>20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32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757</v>
      </c>
      <c r="D11" s="84"/>
      <c r="E11" s="140" t="str">
        <f>IF($C11&lt;&gt;0,VLOOKUP($C11,'[1]Course Table'!$A$1:$G$330,2,TRUE),"")</f>
        <v>MS Word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32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758</v>
      </c>
      <c r="D12" s="84"/>
      <c r="E12" s="140" t="str">
        <f>IF($C12&lt;&gt;0,VLOOKUP($C12,'[1]Course Table'!$A$1:$G$330,2,TRUE),"")</f>
        <v>MS Word Level 2</v>
      </c>
      <c r="F12" s="84"/>
      <c r="G12" s="84">
        <f t="shared" si="1"/>
        <v>37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37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32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41"/>
      <c r="C13" s="105" t="s">
        <v>759</v>
      </c>
      <c r="D13" s="84"/>
      <c r="E13" s="140" t="str">
        <f>IF($C13&lt;&gt;0,VLOOKUP($C13,'[1]Course Table'!$A$1:$G$330,2,TRUE),"")</f>
        <v>MS Word Level 3</v>
      </c>
      <c r="F13" s="84"/>
      <c r="G13" s="84">
        <f t="shared" si="1"/>
        <v>34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399</v>
      </c>
      <c r="I13" s="84">
        <f>IF($C13&lt;&gt;"",VLOOKUP($C13,'[1]Course Table'!$A$1:$G$330,5,FALSE),"")</f>
        <v>34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32</v>
      </c>
      <c r="M13" s="84">
        <f>COUNTIF($J$6:$J13,$J13)</f>
        <v>8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181</v>
      </c>
      <c r="D14" s="84"/>
      <c r="E14" s="140" t="str">
        <f>IF($C14&lt;&gt;0,VLOOKUP($C14,'[1]Course Table'!$A$1:$G$330,2,TRUE),"")</f>
        <v>Grammar Essentials for Business Writing</v>
      </c>
      <c r="F14" s="84"/>
      <c r="G14" s="84">
        <f t="shared" si="1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479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32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366</v>
      </c>
      <c r="D15" s="84"/>
      <c r="E15" s="140" t="str">
        <f>IF($C15&lt;&gt;0,VLOOKUP($C15,'[1]Course Table'!$A$1:$G$330,2,TRUE),"")</f>
        <v>Business Correspondence Level 1</v>
      </c>
      <c r="F15" s="84"/>
      <c r="G15" s="84">
        <f t="shared" si="1"/>
        <v>32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32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32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367</v>
      </c>
      <c r="D16" s="84"/>
      <c r="E16" s="140" t="str">
        <f>IF($C16&lt;&gt;0,VLOOKUP($C16,'[1]Course Table'!$A$1:$G$330,2,TRUE),"")</f>
        <v>Business Correspondence Level 2</v>
      </c>
      <c r="F16" s="84"/>
      <c r="G16" s="84">
        <f t="shared" si="1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32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763</v>
      </c>
      <c r="D17" s="84"/>
      <c r="E17" s="140" t="str">
        <f>IF($C17&lt;&gt;0,VLOOKUP($C17,'[1]Course Table'!$A$1:$G$330,2,TRUE),"")</f>
        <v>MS Excel Level 1</v>
      </c>
      <c r="F17" s="84"/>
      <c r="G17" s="84">
        <f t="shared" si="1"/>
        <v>28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28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32</v>
      </c>
      <c r="M17" s="84">
        <f>COUNTIF($J$6:$J17,$J17)</f>
        <v>12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765</v>
      </c>
      <c r="D18" s="84"/>
      <c r="E18" s="140" t="str">
        <f>IF($C18&lt;&gt;0,VLOOKUP($C18,'[1]Course Table'!$A$1:$G$330,2,TRUE),"")</f>
        <v>MS Excel Level 2</v>
      </c>
      <c r="F18" s="84"/>
      <c r="G18" s="84">
        <f t="shared" si="1"/>
        <v>35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35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32</v>
      </c>
      <c r="M18" s="84">
        <f>COUNTIF($J$6:$J18,$J18)</f>
        <v>13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2</v>
      </c>
      <c r="P18" s="84"/>
      <c r="Q18" s="84"/>
    </row>
    <row r="19" spans="1:18">
      <c r="A19" s="79" t="s">
        <v>0</v>
      </c>
      <c r="B19" s="141"/>
      <c r="C19" s="105" t="s">
        <v>766</v>
      </c>
      <c r="D19" s="84"/>
      <c r="E19" s="140" t="str">
        <f>IF($C19&lt;&gt;0,VLOOKUP($C19,'[1]Course Table'!$A$1:$G$330,2,TRUE),"")</f>
        <v>MS Excel Level 3</v>
      </c>
      <c r="F19" s="84"/>
      <c r="G19" s="84">
        <f t="shared" si="1"/>
        <v>35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35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32</v>
      </c>
      <c r="M19" s="84">
        <f>COUNTIF($J$6:$J19,$J19)</f>
        <v>14</v>
      </c>
      <c r="N19" s="84">
        <f>IF($C19&lt;&gt;"",VLOOKUP($C19,'[1]Course Table'!$A$1:$I$330,8,FALSE),"")</f>
        <v>4</v>
      </c>
      <c r="O19" s="84">
        <f>IF($C19&lt;&gt;"",VLOOKUP($C19,'[1]Course Table'!$A$1:$I$330,9,FALSE),"")</f>
        <v>2</v>
      </c>
      <c r="P19" s="84"/>
      <c r="Q19" s="84"/>
    </row>
    <row r="20" spans="1:18">
      <c r="A20" s="79" t="s">
        <v>0</v>
      </c>
      <c r="B20" s="141"/>
      <c r="C20" s="105" t="s">
        <v>767</v>
      </c>
      <c r="D20" s="84"/>
      <c r="E20" s="140" t="str">
        <f>IF($C20&lt;&gt;0,VLOOKUP($C20,'[1]Course Table'!$A$1:$G$330,2,TRUE),"")</f>
        <v>MS Access Level 1</v>
      </c>
      <c r="F20" s="84"/>
      <c r="G20" s="84">
        <f t="shared" si="1"/>
        <v>27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27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32</v>
      </c>
      <c r="M20" s="84">
        <f>COUNTIF($J$6:$J20,$J20)</f>
        <v>15</v>
      </c>
      <c r="N20" s="84">
        <f>IF($C20&lt;&gt;"",VLOOKUP($C20,'[1]Course Table'!$A$1:$I$330,8,FALSE),"")</f>
        <v>5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760</v>
      </c>
      <c r="D21" s="99"/>
      <c r="E21" s="140" t="str">
        <f>IF($C21&lt;&gt;0,VLOOKUP($C21,'[1]Course Table'!$A$1:$G$330,2,TRUE),"")</f>
        <v>MS Powerpoint Level 1</v>
      </c>
      <c r="F21" s="84"/>
      <c r="G21" s="84">
        <f t="shared" si="1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389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32</v>
      </c>
      <c r="M21" s="84">
        <f>COUNTIF($J$6:$J21,$J21)</f>
        <v>16</v>
      </c>
      <c r="N21" s="84">
        <f>IF($C21&lt;&gt;"",VLOOKUP($C21,'[1]Course Table'!$A$1:$I$330,8,FALSE),"")</f>
        <v>6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41"/>
      <c r="C22" s="104" t="s">
        <v>780</v>
      </c>
      <c r="D22" s="99"/>
      <c r="E22" s="140" t="str">
        <f>IF($C22&lt;&gt;0,VLOOKUP($C22,'[1]Course Table'!$A$1:$G$330,2,TRUE),"")</f>
        <v>MS Publisher Level 1</v>
      </c>
      <c r="F22" s="84"/>
      <c r="G22" s="84">
        <f t="shared" si="1"/>
        <v>26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428</v>
      </c>
      <c r="I22" s="84">
        <f>IF($C22&lt;&gt;"",VLOOKUP($C22,'[1]Course Table'!$A$1:$G$330,5,FALSE),"")</f>
        <v>26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32</v>
      </c>
      <c r="M22" s="84">
        <f>COUNTIF($J$6:$J22,$J22)</f>
        <v>17</v>
      </c>
      <c r="N22" s="84">
        <f>IF($C22&lt;&gt;"",VLOOKUP($C22,'[1]Course Table'!$A$1:$I$330,8,FALSE),"")</f>
        <v>6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328</v>
      </c>
      <c r="D23" s="99"/>
      <c r="E23" s="140" t="str">
        <f>IF($C23&lt;&gt;0,VLOOKUP($C23,'[1]Course Table'!$A$1:$G$330,2,TRUE),"")</f>
        <v>Office Procedures Level 1</v>
      </c>
      <c r="F23" s="84"/>
      <c r="G23" s="84">
        <f t="shared" si="1"/>
        <v>24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399</v>
      </c>
      <c r="I23" s="84">
        <f>IF($C23&lt;&gt;"",VLOOKUP($C23,'[1]Course Table'!$A$1:$G$330,5,FALSE),"")</f>
        <v>24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32</v>
      </c>
      <c r="M23" s="84">
        <f>COUNTIF($J$6:$J23,$J23)</f>
        <v>18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41"/>
      <c r="C24" s="105" t="s">
        <v>329</v>
      </c>
      <c r="E24" s="140" t="str">
        <f>IF($C24&lt;&gt;0,VLOOKUP($C24,'[1]Course Table'!$A$1:$G$330,2,TRUE),"")</f>
        <v>Office Procedures Level 2</v>
      </c>
      <c r="F24" s="84"/>
      <c r="G24" s="84">
        <f t="shared" si="1"/>
        <v>24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399</v>
      </c>
      <c r="I24" s="84">
        <f>IF($C24&lt;&gt;"",VLOOKUP($C24,'[1]Course Table'!$A$1:$G$330,5,FALSE),"")</f>
        <v>24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32</v>
      </c>
      <c r="M24" s="84">
        <f>COUNTIF($J$6:$J24,$J24)</f>
        <v>19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41"/>
      <c r="C25" s="105" t="s">
        <v>327</v>
      </c>
      <c r="D25" s="84"/>
      <c r="E25" s="140" t="str">
        <f>IF($C25&lt;&gt;0,VLOOKUP($C25,'[1]Course Table'!$A$1:$G$330,2,TRUE),"")</f>
        <v>Customer Service Essentials</v>
      </c>
      <c r="F25" s="84"/>
      <c r="G25" s="84">
        <f t="shared" si="1"/>
        <v>20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341</v>
      </c>
      <c r="I25" s="84">
        <f>IF($C25&lt;&gt;"",VLOOKUP($C25,'[1]Course Table'!$A$1:$G$330,5,FALSE),"")</f>
        <v>20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32</v>
      </c>
      <c r="M25" s="84">
        <f>COUNTIF($J$6:$J25,$J25)</f>
        <v>20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41"/>
      <c r="C26" s="105" t="s">
        <v>365</v>
      </c>
      <c r="D26" s="84"/>
      <c r="E26" s="140" t="str">
        <f>IF($C26&lt;&gt;0,VLOOKUP($C26,'[1]Course Table'!$A$1:$G$330,2,TRUE),"")</f>
        <v>Business Planning</v>
      </c>
      <c r="F26" s="84"/>
      <c r="G26" s="84">
        <f t="shared" si="1"/>
        <v>16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375</v>
      </c>
      <c r="I26" s="84">
        <f>IF($C26&lt;&gt;"",VLOOKUP($C26,'[1]Course Table'!$A$1:$G$330,5,FALSE),"")</f>
        <v>16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32</v>
      </c>
      <c r="M26" s="84">
        <f>COUNTIF($J$6:$J26,$J26)</f>
        <v>21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</v>
      </c>
      <c r="P26" s="84"/>
      <c r="Q26" s="84"/>
    </row>
    <row r="27" spans="1:18">
      <c r="A27" s="79" t="s">
        <v>0</v>
      </c>
      <c r="B27" s="141"/>
      <c r="C27" s="105" t="s">
        <v>183</v>
      </c>
      <c r="D27" s="84"/>
      <c r="E27" s="140" t="str">
        <f>IF($C27&lt;&gt;0,VLOOKUP($C27,'[1]Course Table'!$A$1:$G$330,2,TRUE),"")</f>
        <v>Management Fundamentals</v>
      </c>
      <c r="F27" s="84"/>
      <c r="G27" s="84">
        <f t="shared" si="1"/>
        <v>36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688</v>
      </c>
      <c r="I27" s="84">
        <f>IF($C27&lt;&gt;"",VLOOKUP($C27,'[1]Course Table'!$A$1:$G$330,5,FALSE),"")</f>
        <v>36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32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2</v>
      </c>
      <c r="P27" s="84"/>
      <c r="Q27" s="84"/>
    </row>
    <row r="28" spans="1:18">
      <c r="A28" s="79" t="s">
        <v>0</v>
      </c>
      <c r="B28" s="141"/>
      <c r="C28" s="105" t="s">
        <v>180</v>
      </c>
      <c r="D28" s="84"/>
      <c r="E28" s="140" t="str">
        <f>IF($C28&lt;&gt;0,VLOOKUP($C28,'[1]Course Table'!$A$1:$G$330,2,TRUE),"")</f>
        <v>Business Math</v>
      </c>
      <c r="F28" s="84"/>
      <c r="G28" s="84">
        <f t="shared" si="1"/>
        <v>22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399</v>
      </c>
      <c r="I28" s="84">
        <f>IF($C28&lt;&gt;"",VLOOKUP($C28,'[1]Course Table'!$A$1:$G$330,5,FALSE),"")</f>
        <v>22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32</v>
      </c>
      <c r="M28" s="84">
        <f>COUNTIF($J$6:$J28,$J28)</f>
        <v>23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1</v>
      </c>
      <c r="P28" s="84"/>
      <c r="Q28" s="84"/>
    </row>
    <row r="29" spans="1:18">
      <c r="A29" s="79" t="s">
        <v>0</v>
      </c>
      <c r="B29" s="141"/>
      <c r="C29" s="105" t="s">
        <v>123</v>
      </c>
      <c r="D29" s="84"/>
      <c r="E29" s="140" t="str">
        <f>IF($C29&lt;&gt;0,VLOOKUP($C29,'[1]Course Table'!$A$1:$G$330,2,TRUE),"")</f>
        <v>Basic Bookkeeping Level 1</v>
      </c>
      <c r="F29" s="84"/>
      <c r="G29" s="84">
        <f t="shared" si="1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499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32</v>
      </c>
      <c r="M29" s="84">
        <f>COUNTIF($J$6:$J29,$J29)</f>
        <v>24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 t="s">
        <v>0</v>
      </c>
      <c r="B30" s="141"/>
      <c r="C30" s="105" t="s">
        <v>124</v>
      </c>
      <c r="D30" s="84"/>
      <c r="E30" s="140" t="str">
        <f>IF($C30&lt;&gt;0,VLOOKUP($C30,'[1]Course Table'!$A$1:$G$330,2,TRUE),"")</f>
        <v>Basic Bookkeeping Level 2</v>
      </c>
      <c r="F30" s="84"/>
      <c r="G30" s="84">
        <f t="shared" si="1"/>
        <v>20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449</v>
      </c>
      <c r="I30" s="84">
        <f>IF($C30&lt;&gt;"",VLOOKUP($C30,'[1]Course Table'!$A$1:$G$330,5,FALSE),"")</f>
        <v>20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32</v>
      </c>
      <c r="M30" s="84">
        <f>COUNTIF($J$6:$J30,$J30)</f>
        <v>25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</v>
      </c>
      <c r="P30" s="84"/>
      <c r="Q30" s="84"/>
    </row>
    <row r="31" spans="1:18">
      <c r="A31" s="79" t="s">
        <v>0</v>
      </c>
      <c r="B31" s="141"/>
      <c r="C31" s="105" t="s">
        <v>322</v>
      </c>
      <c r="D31" s="84"/>
      <c r="E31" s="140" t="str">
        <f>IF($C31&lt;&gt;0,VLOOKUP($C31,'[1]Course Table'!$A$1:$G$330,2,TRUE),"")</f>
        <v>Sage 50 Premium Accounting 2013</v>
      </c>
      <c r="F31" s="84"/>
      <c r="G31" s="84">
        <f t="shared" si="1"/>
        <v>46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799</v>
      </c>
      <c r="I31" s="84">
        <f>IF($C31&lt;&gt;"",VLOOKUP($C31,'[1]Course Table'!$A$1:$G$330,5,FALSE),"")</f>
        <v>46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32</v>
      </c>
      <c r="M31" s="84">
        <f>COUNTIF($J$6:$J31,$J31)</f>
        <v>26</v>
      </c>
      <c r="N31" s="84">
        <f>IF($C31&lt;&gt;"",VLOOKUP($C31,'[1]Course Table'!$A$1:$I$330,8,FALSE),"")</f>
        <v>7</v>
      </c>
      <c r="O31" s="84">
        <f>IF($C31&lt;&gt;"",VLOOKUP($C31,'[1]Course Table'!$A$1:$I$330,9,FALSE),"")</f>
        <v>2.5</v>
      </c>
      <c r="P31" s="84"/>
      <c r="Q31" s="84"/>
    </row>
    <row r="32" spans="1:18">
      <c r="A32" s="79" t="s">
        <v>0</v>
      </c>
      <c r="B32" s="141"/>
      <c r="C32" s="105" t="s">
        <v>16</v>
      </c>
      <c r="D32" s="84"/>
      <c r="E32" s="140" t="str">
        <f>IF($C32&lt;&gt;0,VLOOKUP($C32,'[1]Course Table'!$A$1:$G$330,2,TRUE),"")</f>
        <v>Practical Applications - 3 Units</v>
      </c>
      <c r="F32" s="84"/>
      <c r="G32" s="84">
        <f t="shared" si="1"/>
        <v>60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965</v>
      </c>
      <c r="I32" s="84">
        <f>IF($C32&lt;&gt;"",VLOOKUP($C32,'[1]Course Table'!$A$1:$G$330,5,FALSE),"")</f>
        <v>60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32</v>
      </c>
      <c r="M32" s="84">
        <f>COUNTIF($J$6:$J32,$J32)</f>
        <v>27</v>
      </c>
      <c r="N32" s="84">
        <f>IF($C32&lt;&gt;"",VLOOKUP($C32,'[1]Course Table'!$A$1:$I$330,8,FALSE),"")</f>
        <v>2</v>
      </c>
      <c r="O32" s="84">
        <f>IF($C32&lt;&gt;"",VLOOKUP($C32,'[1]Course Table'!$A$1:$I$330,9,FALSE),"")</f>
        <v>0</v>
      </c>
      <c r="P32" s="84"/>
      <c r="Q32" s="84"/>
      <c r="R32" s="90"/>
    </row>
    <row r="33" spans="1:18">
      <c r="A33" s="79" t="s">
        <v>0</v>
      </c>
      <c r="B33" s="141"/>
      <c r="C33" s="105" t="s">
        <v>462</v>
      </c>
      <c r="D33" s="84"/>
      <c r="E33" s="140" t="str">
        <f>IF($C33&lt;&gt;0,VLOOKUP($C33,'[1]Course Table'!$A$1:$G$330,2,TRUE),"")</f>
        <v>Internet Fundamentals</v>
      </c>
      <c r="F33" s="84"/>
      <c r="G33" s="84">
        <f t="shared" si="1"/>
        <v>22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389</v>
      </c>
      <c r="I33" s="84">
        <f>IF($C33&lt;&gt;"",VLOOKUP($C33,'[1]Course Table'!$A$1:$G$330,5,FALSE),"")</f>
        <v>22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32</v>
      </c>
      <c r="M33" s="84">
        <f>COUNTIF($J$6:$J33,$J33)</f>
        <v>28</v>
      </c>
      <c r="N33" s="84">
        <f>IF($C33&lt;&gt;"",VLOOKUP($C33,'[1]Course Table'!$A$1:$I$330,8,FALSE),"")</f>
        <v>2</v>
      </c>
      <c r="O33" s="84">
        <f>IF($C33&lt;&gt;"",VLOOKUP($C33,'[1]Course Table'!$A$1:$I$330,9,FALSE),"")</f>
        <v>1</v>
      </c>
      <c r="P33" s="84"/>
      <c r="Q33" s="84"/>
      <c r="R33" s="90"/>
    </row>
    <row r="34" spans="1:18">
      <c r="A34" s="79" t="s">
        <v>0</v>
      </c>
      <c r="B34" s="141"/>
      <c r="C34" s="105" t="s">
        <v>762</v>
      </c>
      <c r="D34" s="84"/>
      <c r="E34" s="140" t="str">
        <f>IF($C34&lt;&gt;0,VLOOKUP($C34,'[1]Course Table'!$A$1:$G$330,2,TRUE),"")</f>
        <v>MS Outlook Level 1</v>
      </c>
      <c r="F34" s="84"/>
      <c r="G34" s="84">
        <f t="shared" si="1"/>
        <v>25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389</v>
      </c>
      <c r="I34" s="84">
        <f>IF($C34&lt;&gt;"",VLOOKUP($C34,'[1]Course Table'!$A$1:$G$330,5,FALSE),"")</f>
        <v>25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32</v>
      </c>
      <c r="M34" s="84">
        <f>COUNTIF($J$6:$J34,$J34)</f>
        <v>29</v>
      </c>
      <c r="N34" s="84">
        <f>IF($C34&lt;&gt;"",VLOOKUP($C34,'[1]Course Table'!$A$1:$I$330,8,FALSE),"")</f>
        <v>2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 t="s">
        <v>1</v>
      </c>
      <c r="B35" s="141"/>
      <c r="C35" s="105" t="s">
        <v>776</v>
      </c>
      <c r="D35" s="84"/>
      <c r="E35" s="140" t="str">
        <f>IF($C35&lt;&gt;0,VLOOKUP($C35,'[1]Course Table'!$A$1:$G$330,2,TRUE),"")</f>
        <v>MS Outlook Level 2</v>
      </c>
      <c r="F35" s="84"/>
      <c r="G35" s="84">
        <f t="shared" si="1"/>
        <v>25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399</v>
      </c>
      <c r="I35" s="84">
        <f>IF($C35&lt;&gt;"",VLOOKUP($C35,'[1]Course Table'!$A$1:$G$330,5,FALSE),"")</f>
        <v>25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0"/>
        <v>32</v>
      </c>
      <c r="M35" s="84">
        <f>COUNTIF($J$6:$J35,$J35)</f>
        <v>30</v>
      </c>
      <c r="N35" s="84">
        <f>IF($C35&lt;&gt;"",VLOOKUP($C35,'[1]Course Table'!$A$1:$I$330,8,FALSE),"")</f>
        <v>2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 t="s">
        <v>0</v>
      </c>
      <c r="B36" s="141"/>
      <c r="C36" s="105" t="s">
        <v>249</v>
      </c>
      <c r="D36" s="84"/>
      <c r="E36" s="140" t="str">
        <f>IF($C36&lt;&gt;0,VLOOKUP($C36,'[1]Course Table'!$A$1:$G$330,2,TRUE),"")</f>
        <v>Job Search/Resume Writing</v>
      </c>
      <c r="F36" s="84"/>
      <c r="G36" s="84">
        <f t="shared" si="1"/>
        <v>30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579</v>
      </c>
      <c r="I36" s="84">
        <f>IF($C36&lt;&gt;"",VLOOKUP($C36,'[1]Course Table'!$A$1:$G$330,5,FALSE),"")</f>
        <v>30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0"/>
        <v>32</v>
      </c>
      <c r="M36" s="84">
        <f>COUNTIF($J$6:$J36,$J36)</f>
        <v>31</v>
      </c>
      <c r="N36" s="84">
        <f>IF($C36&lt;&gt;"",VLOOKUP($C36,'[1]Course Table'!$A$1:$I$330,8,FALSE),"")</f>
        <v>15</v>
      </c>
      <c r="O36" s="84">
        <f>IF($C36&lt;&gt;"",VLOOKUP($C36,'[1]Course Table'!$A$1:$I$330,9,FALSE),"")</f>
        <v>1.5</v>
      </c>
      <c r="P36" s="84"/>
      <c r="Q36" s="84"/>
      <c r="R36" s="90"/>
    </row>
    <row r="37" spans="1:18">
      <c r="A37" s="79"/>
      <c r="B37" s="141"/>
      <c r="C37" s="105" t="s">
        <v>427</v>
      </c>
      <c r="D37" s="84"/>
      <c r="E37" s="140" t="str">
        <f>IF($C37&lt;&gt;0,VLOOKUP($C37,'[1]Course Table'!$A$1:$G$330,2,TRUE),"")</f>
        <v>Study/Review - Office Administration - BC</v>
      </c>
      <c r="F37" s="84"/>
      <c r="G37" s="84">
        <f t="shared" si="1"/>
        <v>89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0</v>
      </c>
      <c r="I37" s="84">
        <f>IF($C37&lt;&gt;"",VLOOKUP($C37,'[1]Course Table'!$A$1:$G$330,5,FALSE),"")</f>
        <v>89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0"/>
        <v>32</v>
      </c>
      <c r="M37" s="84">
        <f>COUNTIF($J$6:$J37,$J37)</f>
        <v>32</v>
      </c>
      <c r="N37" s="84">
        <f>IF($C37&lt;&gt;"",VLOOKUP($C37,'[1]Course Table'!$A$1:$I$330,8,FALSE),"")</f>
        <v>99</v>
      </c>
      <c r="O37" s="84">
        <f>IF($C37&lt;&gt;"",VLOOKUP($C37,'[1]Course Table'!$A$1:$I$330,9,FALSE),"")</f>
        <v>4.5</v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3</v>
      </c>
      <c r="M38" s="84">
        <f>COUNTIF($J$6:$J38,$J38)</f>
        <v>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>I39</f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3</v>
      </c>
      <c r="M39" s="84">
        <f>COUNTIF($J$6:$J39,$J39)</f>
        <v>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3</v>
      </c>
      <c r="M40" s="84">
        <f>COUNTIF($J$6:$J40,$J40)</f>
        <v>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14251</v>
      </c>
      <c r="I41" s="115">
        <f>SUM(I6:I40)</f>
        <v>972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- 883          Exam &amp; Review Hours - 89          Total Course Hours - 972</v>
      </c>
      <c r="E42" s="301"/>
      <c r="F42" s="301"/>
      <c r="G42" s="301"/>
      <c r="H42" s="117">
        <f>ROUNDUP(H41/(I41+C43),2)</f>
        <v>14.67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Hrs/Week:11.2 Months (48 Weeks); at 25 Hrs/Week:9 Months (39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$14605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47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3</v>
      </c>
      <c r="O49" s="78">
        <f>SUMIF($N$6:$N$40,Summary!O4,$O$6:$O$40)</f>
        <v>7</v>
      </c>
      <c r="P49" s="78">
        <f>SUMIF($N$6:$N$40,Summary!P4,$O$6:$O$40)</f>
        <v>5</v>
      </c>
      <c r="Q49" s="78">
        <f>SUMIF($N$6:$N$40,Summary!Q4,$O$6:$O$40)</f>
        <v>5.5</v>
      </c>
      <c r="R49" s="78">
        <f>SUMIF($N$6:$N$40,Summary!R4,$O$6:$O$40)</f>
        <v>1.5</v>
      </c>
      <c r="S49" s="78">
        <f>SUMIF($N$6:$N$40,Summary!S4,$O$6:$O$40)</f>
        <v>2.5</v>
      </c>
      <c r="T49" s="78">
        <f>SUMIF($N$6:$N$40,Summary!T4,$O$6:$O$40)</f>
        <v>2.5</v>
      </c>
      <c r="U49" s="78">
        <f>SUMIF($N$6:$N$40,Summary!U4,$O$6:$O$40)</f>
        <v>2</v>
      </c>
      <c r="V49" s="78">
        <f>SUMIF($N$6:$N$40,Summary!V4,$O$6:$O$40)</f>
        <v>11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9:I49"/>
    <mergeCell ref="H50:I50"/>
    <mergeCell ref="H51:I51"/>
    <mergeCell ref="F1:G1"/>
    <mergeCell ref="D45:G45"/>
    <mergeCell ref="F2:G2"/>
    <mergeCell ref="D4:F4"/>
    <mergeCell ref="H48:I48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 t="str">
        <f>'[1]Franchise Info'!$B$6</f>
        <v>(o/b 0833917 B.C. Ltd.)</v>
      </c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184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492</v>
      </c>
      <c r="E4" s="299"/>
      <c r="F4" s="299"/>
      <c r="G4" s="92" t="s">
        <v>499</v>
      </c>
      <c r="I4" s="84" t="s">
        <v>7</v>
      </c>
      <c r="P4" s="84"/>
      <c r="Q4" s="84"/>
    </row>
    <row r="5" spans="1:17">
      <c r="A5" s="90" t="s">
        <v>203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25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25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25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463</v>
      </c>
      <c r="D9" s="84"/>
      <c r="E9" s="99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25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757</v>
      </c>
      <c r="D10" s="84"/>
      <c r="E10" s="99" t="str">
        <f>IF($C10&lt;&gt;0,VLOOKUP($C10,'[1]Course Table'!$A$1:$G$330,2,TRUE),"")</f>
        <v>MS Word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25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03"/>
      <c r="C11" s="105" t="s">
        <v>763</v>
      </c>
      <c r="D11" s="84"/>
      <c r="E11" s="99" t="str">
        <f>IF($C11&lt;&gt;0,VLOOKUP($C11,'[1]Course Table'!$A$1:$G$330,2,TRUE),"")</f>
        <v>MS Excel Level 1</v>
      </c>
      <c r="F11" s="84"/>
      <c r="G11" s="84">
        <f t="shared" si="1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25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765</v>
      </c>
      <c r="D12" s="84"/>
      <c r="E12" s="99" t="str">
        <f>IF($C12&lt;&gt;0,VLOOKUP($C12,'[1]Course Table'!$A$1:$G$330,2,TRUE),"")</f>
        <v>MS Excel Level 2</v>
      </c>
      <c r="F12" s="84"/>
      <c r="G12" s="84">
        <f t="shared" si="1"/>
        <v>35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25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2</v>
      </c>
      <c r="P12" s="84"/>
      <c r="Q12" s="84"/>
    </row>
    <row r="13" spans="1:17">
      <c r="A13" s="79" t="s">
        <v>0</v>
      </c>
      <c r="B13" s="103"/>
      <c r="C13" s="105" t="s">
        <v>328</v>
      </c>
      <c r="D13" s="84"/>
      <c r="E13" s="99" t="str">
        <f>IF($C13&lt;&gt;0,VLOOKUP($C13,'[1]Course Table'!$A$1:$G$330,2,TRUE),"")</f>
        <v>Office Procedures Level 1</v>
      </c>
      <c r="F13" s="84"/>
      <c r="G13" s="84">
        <f t="shared" si="1"/>
        <v>24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399</v>
      </c>
      <c r="I13" s="84">
        <f>IF($C13&lt;&gt;"",VLOOKUP($C13,'[1]Course Table'!$A$1:$G$330,5,FALSE),"")</f>
        <v>24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25</v>
      </c>
      <c r="M13" s="84">
        <f>COUNTIF($J$6:$J13,$J13)</f>
        <v>8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03"/>
      <c r="C14" s="105" t="s">
        <v>324</v>
      </c>
      <c r="D14" s="84"/>
      <c r="E14" s="99" t="str">
        <f>IF($C14&lt;&gt;0,VLOOKUP($C14,'[1]Course Table'!$A$1:$G$330,2,TRUE),"")</f>
        <v>Customer Service</v>
      </c>
      <c r="F14" s="84"/>
      <c r="G14" s="84">
        <f t="shared" si="1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549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25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181</v>
      </c>
      <c r="D15" s="84"/>
      <c r="E15" s="99" t="str">
        <f>IF($C15&lt;&gt;0,VLOOKUP($C15,'[1]Course Table'!$A$1:$G$330,2,TRUE),"")</f>
        <v>Grammar Essentials for Business Writing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25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767</v>
      </c>
      <c r="D16" s="84"/>
      <c r="E16" s="99" t="str">
        <f>IF($C16&lt;&gt;0,VLOOKUP($C16,'[1]Course Table'!$A$1:$G$330,2,TRUE),"")</f>
        <v>MS Access Level 1</v>
      </c>
      <c r="F16" s="84"/>
      <c r="G16" s="84">
        <f t="shared" si="1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25</v>
      </c>
      <c r="M16" s="84">
        <f>COUNTIF($J$6:$J16,$J16)</f>
        <v>11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03"/>
      <c r="C17" s="105" t="s">
        <v>180</v>
      </c>
      <c r="D17" s="84"/>
      <c r="E17" s="99" t="str">
        <f>IF($C17&lt;&gt;0,VLOOKUP($C17,'[1]Course Table'!$A$1:$G$330,2,TRUE),"")</f>
        <v>Business Math</v>
      </c>
      <c r="F17" s="84"/>
      <c r="G17" s="84">
        <f t="shared" si="1"/>
        <v>22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25</v>
      </c>
      <c r="M17" s="84">
        <f>COUNTIF($J$6:$J17,$J17)</f>
        <v>12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 t="s">
        <v>0</v>
      </c>
      <c r="B18" s="103"/>
      <c r="C18" s="105" t="s">
        <v>123</v>
      </c>
      <c r="D18" s="84"/>
      <c r="E18" s="99" t="str">
        <f>IF($C18&lt;&gt;0,VLOOKUP($C18,'[1]Course Table'!$A$1:$G$330,2,TRUE),"")</f>
        <v>Basic Bookkeeping Level 1</v>
      </c>
      <c r="F18" s="84"/>
      <c r="G18" s="84">
        <f t="shared" si="1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25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 t="s">
        <v>124</v>
      </c>
      <c r="D19" s="84"/>
      <c r="E19" s="99" t="str">
        <f>IF($C19&lt;&gt;0,VLOOKUP($C19,'[1]Course Table'!$A$1:$G$330,2,TRUE),"")</f>
        <v>Basic Bookkeeping Level 2</v>
      </c>
      <c r="F19" s="84"/>
      <c r="G19" s="84">
        <f t="shared" si="1"/>
        <v>20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449</v>
      </c>
      <c r="I19" s="84">
        <f>IF($C19&lt;&gt;"",VLOOKUP($C19,'[1]Course Table'!$A$1:$G$330,5,FALSE),"")</f>
        <v>20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25</v>
      </c>
      <c r="M19" s="84">
        <f>COUNTIF($J$6:$J19,$J19)</f>
        <v>14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03"/>
      <c r="C20" s="105" t="s">
        <v>322</v>
      </c>
      <c r="D20" s="84"/>
      <c r="E20" s="99" t="str">
        <f>IF($C20&lt;&gt;0,VLOOKUP($C20,'[1]Course Table'!$A$1:$G$330,2,TRUE),"")</f>
        <v>Sage 50 Premium Accounting 2013</v>
      </c>
      <c r="F20" s="84"/>
      <c r="G20" s="84">
        <f t="shared" si="1"/>
        <v>46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799</v>
      </c>
      <c r="I20" s="84">
        <f>IF($C20&lt;&gt;"",VLOOKUP($C20,'[1]Course Table'!$A$1:$G$330,5,FALSE),"")</f>
        <v>46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25</v>
      </c>
      <c r="M20" s="84">
        <f>COUNTIF($J$6:$J20,$J20)</f>
        <v>15</v>
      </c>
      <c r="N20" s="84">
        <f>IF($C20&lt;&gt;"",VLOOKUP($C20,'[1]Course Table'!$A$1:$I$330,8,FALSE),"")</f>
        <v>7</v>
      </c>
      <c r="O20" s="84">
        <f>IF($C20&lt;&gt;"",VLOOKUP($C20,'[1]Course Table'!$A$1:$I$330,9,FALSE),"")</f>
        <v>2.5</v>
      </c>
      <c r="P20" s="84"/>
      <c r="Q20" s="84"/>
    </row>
    <row r="21" spans="1:18">
      <c r="A21" s="79" t="s">
        <v>0</v>
      </c>
      <c r="B21" s="103"/>
      <c r="C21" s="105" t="s">
        <v>570</v>
      </c>
      <c r="D21" s="84"/>
      <c r="E21" s="99" t="str">
        <f>IF($C21&lt;&gt;0,VLOOKUP($C21,'[1]Course Table'!$A$1:$G$330,2,TRUE),"")</f>
        <v>QuickBooks Premier 2019</v>
      </c>
      <c r="F21" s="84"/>
      <c r="G21" s="84">
        <f t="shared" si="1"/>
        <v>29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495</v>
      </c>
      <c r="I21" s="84">
        <f>IF($C21&lt;&gt;"",VLOOKUP($C21,'[1]Course Table'!$A$1:$G$330,5,FALSE),"")</f>
        <v>29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25</v>
      </c>
      <c r="M21" s="84">
        <f>COUNTIF($J$6:$J21,$J21)</f>
        <v>16</v>
      </c>
      <c r="N21" s="84">
        <f>IF($C21&lt;&gt;"",VLOOKUP($C21,'[1]Course Table'!$A$1:$I$330,8,FALSE),"")</f>
        <v>7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03"/>
      <c r="C22" s="105" t="s">
        <v>493</v>
      </c>
      <c r="D22" s="84"/>
      <c r="E22" s="99" t="str">
        <f>IF($C22&lt;&gt;0,VLOOKUP($C22,'[1]Course Table'!$A$1:$G$330,2,TRUE),"")</f>
        <v>Sage 300 2018 General Ledger</v>
      </c>
      <c r="F22" s="84"/>
      <c r="G22" s="84">
        <f t="shared" si="1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495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25</v>
      </c>
      <c r="M22" s="84">
        <f>COUNTIF($J$6:$J22,$J22)</f>
        <v>17</v>
      </c>
      <c r="N22" s="84">
        <f>IF($C22&lt;&gt;"",VLOOKUP($C22,'[1]Course Table'!$A$1:$I$330,8,FALSE),"")</f>
        <v>7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494</v>
      </c>
      <c r="D23" s="84"/>
      <c r="E23" s="99" t="str">
        <f>IF($C23&lt;&gt;0,VLOOKUP($C23,'[1]Course Table'!$A$1:$G$330,2,TRUE),"")</f>
        <v>Sage 300 2018 Accounts Receivable</v>
      </c>
      <c r="F23" s="84"/>
      <c r="G23" s="84">
        <f t="shared" si="1"/>
        <v>21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495</v>
      </c>
      <c r="I23" s="84">
        <f>IF($C23&lt;&gt;"",VLOOKUP($C23,'[1]Course Table'!$A$1:$G$330,5,FALSE),"")</f>
        <v>21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25</v>
      </c>
      <c r="M23" s="84">
        <f>COUNTIF($J$6:$J23,$J23)</f>
        <v>18</v>
      </c>
      <c r="N23" s="84">
        <f>IF($C23&lt;&gt;"",VLOOKUP($C23,'[1]Course Table'!$A$1:$I$330,8,FALSE),"")</f>
        <v>7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03"/>
      <c r="C24" s="105" t="s">
        <v>495</v>
      </c>
      <c r="D24" s="84"/>
      <c r="E24" s="99" t="str">
        <f>IF($C24&lt;&gt;0,VLOOKUP($C24,'[1]Course Table'!$A$1:$G$330,2,TRUE),"")</f>
        <v>Sage 300 2018 Accounts Payable</v>
      </c>
      <c r="F24" s="84"/>
      <c r="G24" s="84">
        <f t="shared" si="1"/>
        <v>21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495</v>
      </c>
      <c r="I24" s="84">
        <f>IF($C24&lt;&gt;"",VLOOKUP($C24,'[1]Course Table'!$A$1:$G$330,5,FALSE),"")</f>
        <v>21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25</v>
      </c>
      <c r="M24" s="84">
        <f>COUNTIF($J$6:$J24,$J24)</f>
        <v>19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462</v>
      </c>
      <c r="D25" s="84"/>
      <c r="E25" s="99" t="str">
        <f>IF($C25&lt;&gt;0,VLOOKUP($C25,'[1]Course Table'!$A$1:$G$330,2,TRUE),"")</f>
        <v>Internet Fundamentals</v>
      </c>
      <c r="F25" s="84"/>
      <c r="G25" s="84">
        <f t="shared" si="1"/>
        <v>22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22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25</v>
      </c>
      <c r="M25" s="84">
        <f>COUNTIF($J$6:$J25,$J25)</f>
        <v>20</v>
      </c>
      <c r="N25" s="84">
        <f>IF($C25&lt;&gt;"",VLOOKUP($C25,'[1]Course Table'!$A$1:$I$330,8,FALSE),"")</f>
        <v>2</v>
      </c>
      <c r="O25" s="84">
        <f>IF($C25&lt;&gt;"",VLOOKUP($C25,'[1]Course Table'!$A$1:$I$330,9,FALSE),"")</f>
        <v>1</v>
      </c>
      <c r="P25" s="84"/>
      <c r="Q25" s="84"/>
    </row>
    <row r="26" spans="1:18">
      <c r="A26" s="79" t="s">
        <v>0</v>
      </c>
      <c r="B26" s="103"/>
      <c r="C26" s="105" t="s">
        <v>762</v>
      </c>
      <c r="D26" s="84"/>
      <c r="E26" s="99" t="str">
        <f>IF($C26&lt;&gt;0,VLOOKUP($C26,'[1]Course Table'!$A$1:$G$330,2,TRUE),"")</f>
        <v>MS Outlook Level 1</v>
      </c>
      <c r="F26" s="84"/>
      <c r="G26" s="84">
        <f t="shared" si="1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389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25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1</v>
      </c>
      <c r="B27" s="103"/>
      <c r="C27" s="105" t="s">
        <v>226</v>
      </c>
      <c r="D27" s="84"/>
      <c r="E27" s="99" t="str">
        <f>IF($C27&lt;&gt;0,VLOOKUP($C27,'[1]Course Table'!$A$1:$G$330,2,TRUE),"")</f>
        <v>Workplace Success/Intrapreneurship</v>
      </c>
      <c r="F27" s="84"/>
      <c r="G27" s="84">
        <f t="shared" si="1"/>
        <v>32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688</v>
      </c>
      <c r="I27" s="84">
        <f>IF($C27&lt;&gt;"",VLOOKUP($C27,'[1]Course Table'!$A$1:$G$330,5,FALSE),"")</f>
        <v>32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25</v>
      </c>
      <c r="M27" s="84">
        <f>COUNTIF($J$6:$J27,$J27)</f>
        <v>22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03"/>
      <c r="C28" s="105" t="s">
        <v>23</v>
      </c>
      <c r="D28" s="84"/>
      <c r="E28" s="99" t="str">
        <f>IF($C28&lt;&gt;0,VLOOKUP($C28,'[1]Course Table'!$A$1:$G$330,2,TRUE),"")</f>
        <v>Practical Applications - 2 Units</v>
      </c>
      <c r="F28" s="84"/>
      <c r="G28" s="84">
        <f t="shared" si="1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689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25</v>
      </c>
      <c r="M28" s="84">
        <f>COUNTIF($J$6:$J28,$J28)</f>
        <v>23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0</v>
      </c>
      <c r="P28" s="84"/>
      <c r="Q28" s="84"/>
    </row>
    <row r="29" spans="1:18">
      <c r="A29" s="79"/>
      <c r="B29" s="103"/>
      <c r="C29" s="105" t="s">
        <v>249</v>
      </c>
      <c r="D29" s="84"/>
      <c r="E29" s="99" t="str">
        <f>IF($C29&lt;&gt;0,VLOOKUP($C29,'[1]Course Table'!$A$1:$G$330,2,TRUE),"")</f>
        <v>Job Search/Resume Writing</v>
      </c>
      <c r="F29" s="84"/>
      <c r="G29" s="84">
        <f t="shared" si="1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579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25</v>
      </c>
      <c r="M29" s="84">
        <f>COUNTIF($J$6:$J29,$J29)</f>
        <v>24</v>
      </c>
      <c r="N29" s="84">
        <f>IF($C29&lt;&gt;"",VLOOKUP($C29,'[1]Course Table'!$A$1:$I$330,8,FALSE),"")</f>
        <v>15</v>
      </c>
      <c r="O29" s="84">
        <f>IF($C29&lt;&gt;"",VLOOKUP($C29,'[1]Course Table'!$A$1:$I$330,9,FALSE),"")</f>
        <v>1.5</v>
      </c>
      <c r="P29" s="84"/>
      <c r="Q29" s="84"/>
    </row>
    <row r="30" spans="1:18">
      <c r="A30" s="79"/>
      <c r="B30" s="103"/>
      <c r="C30" s="105" t="s">
        <v>411</v>
      </c>
      <c r="D30" s="84"/>
      <c r="E30" s="99" t="str">
        <f>IF($C30&lt;&gt;0,VLOOKUP($C30,'[1]Course Table'!$A$1:$G$330,2,TRUE),"")</f>
        <v>Study/Review - Adm Assistant BC</v>
      </c>
      <c r="F30" s="84"/>
      <c r="G30" s="84">
        <f t="shared" si="1"/>
        <v>64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0</v>
      </c>
      <c r="I30" s="84">
        <f>IF($C30&lt;&gt;"",VLOOKUP($C30,'[1]Course Table'!$A$1:$G$330,5,FALSE),"")</f>
        <v>64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25</v>
      </c>
      <c r="M30" s="84">
        <f>COUNTIF($J$6:$J30,$J30)</f>
        <v>25</v>
      </c>
      <c r="N30" s="84">
        <f>IF($C30&lt;&gt;"",VLOOKUP($C30,'[1]Course Table'!$A$1:$I$330,8,FALSE),"")</f>
        <v>99</v>
      </c>
      <c r="O30" s="84">
        <f>IF($C30&lt;&gt;"",VLOOKUP($C30,'[1]Course Table'!$A$1:$I$330,9,FALSE),"")</f>
        <v>3</v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10</v>
      </c>
      <c r="M31" s="84">
        <f>COUNTIF($J$6:$J31,$J31)</f>
        <v>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10</v>
      </c>
      <c r="M32" s="84">
        <f>COUNTIF($J$6:$J32,$J32)</f>
        <v>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10</v>
      </c>
      <c r="M33" s="84">
        <f>COUNTIF($J$6:$J33,$J33)</f>
        <v>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10</v>
      </c>
      <c r="M34" s="84">
        <f>COUNTIF($J$6:$J34,$J34)</f>
        <v>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10</v>
      </c>
      <c r="M35" s="84">
        <f>COUNTIF($J$6:$J35,$J35)</f>
        <v>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10</v>
      </c>
      <c r="M36" s="84">
        <f>COUNTIF($J$6:$J36,$J36)</f>
        <v>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10</v>
      </c>
      <c r="M37" s="84">
        <f>COUNTIF($J$6:$J37,$J37)</f>
        <v>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10</v>
      </c>
      <c r="M38" s="84">
        <f>COUNTIF($J$6:$J38,$J38)</f>
        <v>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10</v>
      </c>
      <c r="M39" s="84">
        <f>COUNTIF($J$6:$J39,$J39)</f>
        <v>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10</v>
      </c>
      <c r="M40" s="84">
        <f>COUNTIF($J$6:$J40,$J40)</f>
        <v>10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11559</v>
      </c>
      <c r="I41" s="115">
        <f>SUM(I6:I40)</f>
        <v>725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- 661          Exam &amp; Review Hours - 64          Total Course Hours - 725</v>
      </c>
      <c r="E42" s="301"/>
      <c r="F42" s="301"/>
      <c r="G42" s="301"/>
      <c r="H42" s="117">
        <f>ROUNDUP(H41/(I41+C43),2)</f>
        <v>15.95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Hrs/Week:8.4 Months (36 Weeks); at 25 Hrs/Week:6.7 Months (29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64</v>
      </c>
      <c r="D44" s="119" t="str">
        <f>CONCATENATE("Total Costs (including text manuals, registration &amp; assessment fees) -  $",ROUND(H41,0)+'[1]Outline Info'!$B$14+'[1]Outline Info'!$B$15+'[1]Outline Info'!$C$15)</f>
        <v>Total Costs (including text manuals, registration &amp; assessment fees) -  $11913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34.5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4.5</v>
      </c>
      <c r="P49" s="78">
        <f>SUMIF($N$6:$N$40,Summary!P4,$O$6:$O$40)</f>
        <v>1.5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7.5</v>
      </c>
      <c r="U49" s="78">
        <f>SUMIF($N$6:$N$40,Summary!U4,$O$6:$O$40)</f>
        <v>1</v>
      </c>
      <c r="V49" s="78">
        <f>SUMIF($N$6:$N$40,Summary!V4,$O$6:$O$40)</f>
        <v>7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.11811023622047245" footer="0"/>
  <pageSetup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3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122</v>
      </c>
      <c r="E4" s="303"/>
      <c r="F4" s="303"/>
      <c r="G4" s="92" t="s">
        <v>519</v>
      </c>
      <c r="H4" s="100"/>
      <c r="I4" s="84" t="s">
        <v>7</v>
      </c>
      <c r="P4" s="84"/>
      <c r="Q4" s="84"/>
    </row>
    <row r="5" spans="1:17">
      <c r="A5" s="90" t="s">
        <v>212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15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15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463</v>
      </c>
      <c r="D8" s="84"/>
      <c r="E8" s="140" t="str">
        <f>IF($C8&lt;&gt;0,VLOOKUP($C8,'[1]Course Table'!$A$1:$G$330,2,TRUE),"")</f>
        <v>Windows 10 Level 1</v>
      </c>
      <c r="F8" s="84"/>
      <c r="G8" s="84">
        <f t="shared" si="0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15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757</v>
      </c>
      <c r="D9" s="84"/>
      <c r="E9" s="140" t="str">
        <f>IF($C9&lt;&gt;0,VLOOKUP($C9,'[1]Course Table'!$A$1:$G$330,2,TRUE),"")</f>
        <v>MS Word Level 1</v>
      </c>
      <c r="F9" s="84"/>
      <c r="G9" s="84">
        <f t="shared" si="0"/>
        <v>28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28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15</v>
      </c>
      <c r="M9" s="84">
        <f>COUNTIF($J$6:$J9,$J9)</f>
        <v>4</v>
      </c>
      <c r="N9" s="84">
        <f>IF($C9&lt;&gt;"",VLOOKUP($C9,'[1]Course Table'!$A$1:$I$330,8,FALSE),"")</f>
        <v>3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758</v>
      </c>
      <c r="D10" s="84"/>
      <c r="E10" s="140" t="str">
        <f>IF($C10&lt;&gt;0,VLOOKUP($C10,'[1]Course Table'!$A$1:$G$330,2,TRUE),"")</f>
        <v>MS Word Level 2</v>
      </c>
      <c r="F10" s="84"/>
      <c r="G10" s="84">
        <f t="shared" si="0"/>
        <v>37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37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15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2</v>
      </c>
      <c r="P10" s="84"/>
      <c r="Q10" s="84"/>
    </row>
    <row r="11" spans="1:17">
      <c r="A11" s="79"/>
      <c r="B11" s="141"/>
      <c r="C11" s="105" t="s">
        <v>763</v>
      </c>
      <c r="D11" s="84"/>
      <c r="E11" s="140" t="str">
        <f>IF($C11&lt;&gt;0,VLOOKUP($C11,'[1]Course Table'!$A$1:$G$330,2,TRUE),"")</f>
        <v>MS Excel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15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328</v>
      </c>
      <c r="D12" s="84"/>
      <c r="E12" s="140" t="str">
        <f>IF($C12&lt;&gt;0,VLOOKUP($C12,'[1]Course Table'!$A$1:$G$330,2,TRUE),"")</f>
        <v>Office Procedures Level 1</v>
      </c>
      <c r="F12" s="84"/>
      <c r="G12" s="84">
        <f t="shared" si="0"/>
        <v>24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399</v>
      </c>
      <c r="I12" s="84">
        <f>IF($C12&lt;&gt;"",VLOOKUP($C12,'[1]Course Table'!$A$1:$G$330,5,FALSE),"")</f>
        <v>24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15</v>
      </c>
      <c r="M12" s="84">
        <f>COUNTIF($J$6:$J12,$J12)</f>
        <v>7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767</v>
      </c>
      <c r="D13" s="84"/>
      <c r="E13" s="140" t="str">
        <f>IF($C13&lt;&gt;0,VLOOKUP($C13,'[1]Course Table'!$A$1:$G$330,2,TRUE),"")</f>
        <v>MS Access Level 1</v>
      </c>
      <c r="F13" s="84"/>
      <c r="G13" s="84">
        <f t="shared" si="0"/>
        <v>27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15</v>
      </c>
      <c r="M13" s="84">
        <f>COUNTIF($J$6:$J13,$J13)</f>
        <v>8</v>
      </c>
      <c r="N13" s="84">
        <f>IF($C13&lt;&gt;"",VLOOKUP($C13,'[1]Course Table'!$A$1:$I$330,8,FALSE),"")</f>
        <v>5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123</v>
      </c>
      <c r="D14" s="84"/>
      <c r="E14" s="140" t="str">
        <f>IF($C14&lt;&gt;0,VLOOKUP($C14,'[1]Course Table'!$A$1:$G$330,2,TRUE),"")</f>
        <v>Basic Bookkeeping Level 1</v>
      </c>
      <c r="F14" s="84"/>
      <c r="G14" s="84">
        <f t="shared" si="0"/>
        <v>30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15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124</v>
      </c>
      <c r="D15" s="84"/>
      <c r="E15" s="140" t="str">
        <f>IF($C15&lt;&gt;0,VLOOKUP($C15,'[1]Course Table'!$A$1:$G$330,2,TRUE),"")</f>
        <v>Basic Bookkeeping Level 2</v>
      </c>
      <c r="F15" s="84"/>
      <c r="G15" s="84">
        <f t="shared" si="0"/>
        <v>20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449</v>
      </c>
      <c r="I15" s="84">
        <f>IF($C15&lt;&gt;"",VLOOKUP($C15,'[1]Course Table'!$A$1:$G$330,5,FALSE),"")</f>
        <v>20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15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</v>
      </c>
      <c r="P15" s="84"/>
      <c r="Q15" s="84"/>
    </row>
    <row r="16" spans="1:17">
      <c r="A16" s="79"/>
      <c r="B16" s="141"/>
      <c r="C16" s="105" t="s">
        <v>322</v>
      </c>
      <c r="D16" s="84"/>
      <c r="E16" s="140" t="str">
        <f>IF($C16&lt;&gt;0,VLOOKUP($C16,'[1]Course Table'!$A$1:$G$330,2,TRUE),"")</f>
        <v>Sage 50 Premium Accounting 2013</v>
      </c>
      <c r="F16" s="84"/>
      <c r="G16" s="84">
        <f t="shared" si="0"/>
        <v>46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799</v>
      </c>
      <c r="I16" s="84">
        <f>IF($C16&lt;&gt;"",VLOOKUP($C16,'[1]Course Table'!$A$1:$G$330,5,FALSE),"")</f>
        <v>46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15</v>
      </c>
      <c r="M16" s="84">
        <f>COUNTIF($J$6:$J16,$J16)</f>
        <v>11</v>
      </c>
      <c r="N16" s="84">
        <f>IF($C16&lt;&gt;"",VLOOKUP($C16,'[1]Course Table'!$A$1:$I$330,8,FALSE),"")</f>
        <v>7</v>
      </c>
      <c r="O16" s="84">
        <f>IF($C16&lt;&gt;"",VLOOKUP($C16,'[1]Course Table'!$A$1:$I$330,9,FALSE),"")</f>
        <v>2.5</v>
      </c>
      <c r="P16" s="84"/>
      <c r="Q16" s="84"/>
    </row>
    <row r="17" spans="1:18">
      <c r="A17" s="79"/>
      <c r="B17" s="141"/>
      <c r="C17" s="105" t="s">
        <v>366</v>
      </c>
      <c r="D17" s="84"/>
      <c r="E17" s="140" t="str">
        <f>IF($C17&lt;&gt;0,VLOOKUP($C17,'[1]Course Table'!$A$1:$G$330,2,TRUE),"")</f>
        <v>Business Correspondence Level 1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15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762</v>
      </c>
      <c r="D18" s="84"/>
      <c r="E18" s="140" t="str">
        <f>IF($C18&lt;&gt;0,VLOOKUP($C18,'[1]Course Table'!$A$1:$G$330,2,TRUE),"")</f>
        <v>MS Outlook Level 1</v>
      </c>
      <c r="F18" s="84"/>
      <c r="G18" s="84">
        <f t="shared" si="0"/>
        <v>25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25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15</v>
      </c>
      <c r="M18" s="84">
        <f>COUNTIF($J$6:$J18,$J18)</f>
        <v>13</v>
      </c>
      <c r="N18" s="84">
        <f>IF($C18&lt;&gt;"",VLOOKUP($C18,'[1]Course Table'!$A$1:$I$330,8,FALSE),"")</f>
        <v>2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249</v>
      </c>
      <c r="D19" s="84"/>
      <c r="E19" s="140" t="str">
        <f>IF($C19&lt;&gt;0,VLOOKUP($C19,'[1]Course Table'!$A$1:$G$330,2,TRUE),"")</f>
        <v>Job Search/Resume Writing</v>
      </c>
      <c r="F19" s="84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15</v>
      </c>
      <c r="M19" s="84">
        <f>COUNTIF($J$6:$J19,$J19)</f>
        <v>14</v>
      </c>
      <c r="N19" s="84">
        <f>IF($C19&lt;&gt;"",VLOOKUP($C19,'[1]Course Table'!$A$1:$I$330,8,FALSE),"")</f>
        <v>15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444</v>
      </c>
      <c r="D20" s="84"/>
      <c r="E20" s="140" t="str">
        <f>IF($C20&lt;&gt;0,VLOOKUP($C20,'[1]Course Table'!$A$1:$G$330,2,TRUE),"")</f>
        <v>Study/Review - Office Adm Assistant Cert-BC</v>
      </c>
      <c r="F20" s="84"/>
      <c r="G20" s="84">
        <f t="shared" si="0"/>
        <v>40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0</v>
      </c>
      <c r="I20" s="84">
        <f>IF($C20&lt;&gt;"",VLOOKUP($C20,'[1]Course Table'!$A$1:$G$330,5,FALSE),"")</f>
        <v>40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15</v>
      </c>
      <c r="M20" s="84">
        <f>COUNTIF($J$6:$J20,$J20)</f>
        <v>15</v>
      </c>
      <c r="N20" s="84">
        <f>IF($C20&lt;&gt;"",VLOOKUP($C20,'[1]Course Table'!$A$1:$I$330,8,FALSE),"")</f>
        <v>99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20</v>
      </c>
      <c r="M21" s="84">
        <f>COUNTIF($J$6:$J21,$J21)</f>
        <v>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20</v>
      </c>
      <c r="M22" s="84">
        <f>COUNTIF($J$6:$J22,$J22)</f>
        <v>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20</v>
      </c>
      <c r="M23" s="84">
        <f>COUNTIF($J$6:$J23,$J23)</f>
        <v>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20</v>
      </c>
      <c r="M24" s="84">
        <f>COUNTIF($J$6:$J24,$J24)</f>
        <v>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20</v>
      </c>
      <c r="M25" s="84">
        <f>COUNTIF($J$6:$J25,$J25)</f>
        <v>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20</v>
      </c>
      <c r="M26" s="84">
        <f>COUNTIF($J$6:$J26,$J26)</f>
        <v>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20</v>
      </c>
      <c r="M27" s="84">
        <f>COUNTIF($J$6:$J27,$J27)</f>
        <v>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20</v>
      </c>
      <c r="M28" s="84">
        <f>COUNTIF($J$6:$J28,$J28)</f>
        <v>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20</v>
      </c>
      <c r="M29" s="84">
        <f>COUNTIF($J$6:$J29,$J29)</f>
        <v>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20</v>
      </c>
      <c r="M30" s="84">
        <f>COUNTIF($J$6:$J30,$J30)</f>
        <v>10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20</v>
      </c>
      <c r="M31" s="84">
        <f>COUNTIF($J$6:$J31,$J31)</f>
        <v>11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20</v>
      </c>
      <c r="M32" s="84">
        <f>COUNTIF($J$6:$J32,$J32)</f>
        <v>12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20</v>
      </c>
      <c r="M33" s="84">
        <f>COUNTIF($J$6:$J33,$J33)</f>
        <v>13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20</v>
      </c>
      <c r="M34" s="84">
        <f>COUNTIF($J$6:$J34,$J34)</f>
        <v>14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20</v>
      </c>
      <c r="M35" s="84">
        <f>COUNTIF($J$6:$J35,$J35)</f>
        <v>15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20</v>
      </c>
      <c r="M36" s="84">
        <f>COUNTIF($J$6:$J36,$J36)</f>
        <v>16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20</v>
      </c>
      <c r="M37" s="84">
        <f>COUNTIF($J$6:$J37,$J37)</f>
        <v>17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20</v>
      </c>
      <c r="M38" s="84">
        <f>COUNTIF($J$6:$J38,$J38)</f>
        <v>18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20</v>
      </c>
      <c r="M39" s="84">
        <f>COUNTIF($J$6:$J39,$J39)</f>
        <v>19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20</v>
      </c>
      <c r="M40" s="84">
        <f>COUNTIF($J$6:$J40,$J40)</f>
        <v>20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6296</v>
      </c>
      <c r="I41" s="115">
        <f>SUM(I6:I40)</f>
        <v>432</v>
      </c>
    </row>
    <row r="42" spans="1:18" s="90" customFormat="1" ht="12.75">
      <c r="C42" s="135">
        <v>0</v>
      </c>
      <c r="D42" s="301" t="str">
        <f>CONCATENATE("Course Hours - ",I41,"          Exam &amp; Review Hours - ",C43,"          Total Course Hours - ",I41+C43)</f>
        <v>Course Hours - 432          Exam &amp; Review Hours - 0          Total Course Hours - 432</v>
      </c>
      <c r="E42" s="301"/>
      <c r="F42" s="301"/>
      <c r="G42" s="301"/>
      <c r="H42" s="117">
        <f>ROUNDUP(H41/(I41+C43),2)</f>
        <v>14.58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Hrs/Week:5 Months (21 Weeks); at 25 Hrs/Week:4 Months (17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40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$6650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22.5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2.5</v>
      </c>
      <c r="U49" s="78">
        <f>SUMIF($N$6:$N$40,Summary!U4,$O$6:$O$40)</f>
        <v>1</v>
      </c>
      <c r="V49" s="78">
        <f>SUMIF($N$6:$N$40,Summary!V4,$O$6:$O$40)</f>
        <v>4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9:I49"/>
    <mergeCell ref="H50:I50"/>
    <mergeCell ref="H51:I51"/>
    <mergeCell ref="F1:G1"/>
    <mergeCell ref="D45:G45"/>
    <mergeCell ref="F2:G2"/>
    <mergeCell ref="D4:F4"/>
    <mergeCell ref="H48:I48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62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396</v>
      </c>
      <c r="E4" s="299"/>
      <c r="F4" s="299"/>
      <c r="G4" s="92" t="s">
        <v>521</v>
      </c>
      <c r="H4" s="100"/>
      <c r="I4" s="84" t="s">
        <v>7</v>
      </c>
      <c r="P4" s="84"/>
      <c r="Q4" s="84"/>
    </row>
    <row r="5" spans="1:17">
      <c r="A5" s="90" t="s">
        <v>673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14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14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463</v>
      </c>
      <c r="D8" s="84"/>
      <c r="E8" s="140" t="str">
        <f>IF($C8&lt;&gt;0,VLOOKUP($C8,'[1]Course Table'!$A$1:$G$330,2,TRUE),"")</f>
        <v>Windows 10 Level 1</v>
      </c>
      <c r="F8" s="84"/>
      <c r="G8" s="84">
        <f t="shared" si="0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14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757</v>
      </c>
      <c r="D9" s="84"/>
      <c r="E9" s="140" t="str">
        <f>IF($C9&lt;&gt;0,VLOOKUP($C9,'[1]Course Table'!$A$1:$G$330,2,TRUE),"")</f>
        <v>MS Word Level 1</v>
      </c>
      <c r="F9" s="84"/>
      <c r="G9" s="84">
        <f t="shared" si="0"/>
        <v>28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28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14</v>
      </c>
      <c r="M9" s="84">
        <f>COUNTIF($J$6:$J9,$J9)</f>
        <v>4</v>
      </c>
      <c r="N9" s="84">
        <f>IF($C9&lt;&gt;"",VLOOKUP($C9,'[1]Course Table'!$A$1:$I$330,8,FALSE),"")</f>
        <v>3</v>
      </c>
      <c r="O9" s="84">
        <f>IF($C9&lt;&gt;"",VLOOKUP($C9,'[1]Course Table'!$A$1:$I$330,9,FALSE),"")</f>
        <v>1.5</v>
      </c>
      <c r="P9" s="84"/>
      <c r="Q9" s="84"/>
    </row>
    <row r="10" spans="1:17">
      <c r="A10" s="79"/>
      <c r="B10" s="141"/>
      <c r="C10" s="105" t="s">
        <v>758</v>
      </c>
      <c r="D10" s="84"/>
      <c r="E10" s="140" t="str">
        <f>IF($C10&lt;&gt;0,VLOOKUP($C10,'[1]Course Table'!$A$1:$G$330,2,TRUE),"")</f>
        <v>MS Word Level 2</v>
      </c>
      <c r="F10" s="84"/>
      <c r="G10" s="84">
        <f t="shared" si="0"/>
        <v>37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37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14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2</v>
      </c>
      <c r="P10" s="84"/>
      <c r="Q10" s="84"/>
    </row>
    <row r="11" spans="1:17">
      <c r="A11" s="79"/>
      <c r="B11" s="141"/>
      <c r="C11" s="105" t="s">
        <v>763</v>
      </c>
      <c r="D11" s="84"/>
      <c r="E11" s="140" t="str">
        <f>IF($C11&lt;&gt;0,VLOOKUP($C11,'[1]Course Table'!$A$1:$G$330,2,TRUE),"")</f>
        <v>MS Excel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14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/>
      <c r="B12" s="141"/>
      <c r="C12" s="105" t="s">
        <v>765</v>
      </c>
      <c r="D12" s="84"/>
      <c r="E12" s="140" t="str">
        <f>IF($C12&lt;&gt;0,VLOOKUP($C12,'[1]Course Table'!$A$1:$G$330,2,TRUE),"")</f>
        <v>MS Excel Level 2</v>
      </c>
      <c r="F12" s="84"/>
      <c r="G12" s="84">
        <f t="shared" si="0"/>
        <v>35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35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14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2</v>
      </c>
      <c r="P12" s="84"/>
      <c r="Q12" s="84"/>
    </row>
    <row r="13" spans="1:17">
      <c r="A13" s="79"/>
      <c r="B13" s="141"/>
      <c r="C13" s="105" t="s">
        <v>328</v>
      </c>
      <c r="D13" s="84"/>
      <c r="E13" s="140" t="str">
        <f>IF($C13&lt;&gt;0,VLOOKUP($C13,'[1]Course Table'!$A$1:$G$330,2,TRUE),"")</f>
        <v>Office Procedures Level 1</v>
      </c>
      <c r="F13" s="84"/>
      <c r="G13" s="84">
        <f t="shared" si="0"/>
        <v>24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399</v>
      </c>
      <c r="I13" s="84">
        <f>IF($C13&lt;&gt;"",VLOOKUP($C13,'[1]Course Table'!$A$1:$G$330,5,FALSE),"")</f>
        <v>24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14</v>
      </c>
      <c r="M13" s="84">
        <f>COUNTIF($J$6:$J13,$J13)</f>
        <v>8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/>
      <c r="B14" s="141"/>
      <c r="C14" s="105" t="s">
        <v>767</v>
      </c>
      <c r="D14" s="84"/>
      <c r="E14" s="140" t="str">
        <f>IF($C14&lt;&gt;0,VLOOKUP($C14,'[1]Course Table'!$A$1:$G$330,2,TRUE),"")</f>
        <v>MS Access Level 1</v>
      </c>
      <c r="F14" s="84"/>
      <c r="G14" s="84">
        <f t="shared" si="0"/>
        <v>27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14</v>
      </c>
      <c r="M14" s="84">
        <f>COUNTIF($J$6:$J14,$J14)</f>
        <v>9</v>
      </c>
      <c r="N14" s="84">
        <f>IF($C14&lt;&gt;"",VLOOKUP($C14,'[1]Course Table'!$A$1:$I$330,8,FALSE),"")</f>
        <v>5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41"/>
      <c r="C15" s="105" t="s">
        <v>366</v>
      </c>
      <c r="D15" s="84"/>
      <c r="E15" s="140" t="str">
        <f>IF($C15&lt;&gt;0,VLOOKUP($C15,'[1]Course Table'!$A$1:$G$330,2,TRUE),"")</f>
        <v>Business Correspondence Level 1</v>
      </c>
      <c r="F15" s="84"/>
      <c r="G15" s="84">
        <f t="shared" si="0"/>
        <v>32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32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14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14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324</v>
      </c>
      <c r="D17" s="84"/>
      <c r="E17" s="140" t="str">
        <f>IF($C17&lt;&gt;0,VLOOKUP($C17,'[1]Course Table'!$A$1:$G$330,2,TRUE),"")</f>
        <v>Customer Service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549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14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249</v>
      </c>
      <c r="D18" s="84"/>
      <c r="E18" s="140" t="str">
        <f>IF($C18&lt;&gt;0,VLOOKUP($C18,'[1]Course Table'!$A$1:$G$330,2,TRUE),"")</f>
        <v>Job Search/Resume Writing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579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14</v>
      </c>
      <c r="M18" s="84">
        <f>COUNTIF($J$6:$J18,$J18)</f>
        <v>13</v>
      </c>
      <c r="N18" s="84">
        <f>IF($C18&lt;&gt;"",VLOOKUP($C18,'[1]Course Table'!$A$1:$I$330,8,FALSE),"")</f>
        <v>15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445</v>
      </c>
      <c r="D19" s="84"/>
      <c r="E19" s="140" t="str">
        <f>IF($C19&lt;&gt;0,VLOOKUP($C19,'[1]Course Table'!$A$1:$G$330,2,TRUE),"")</f>
        <v>Study/Review - Office Clerk - BC</v>
      </c>
      <c r="F19" s="84"/>
      <c r="G19" s="84">
        <f t="shared" si="0"/>
        <v>37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0</v>
      </c>
      <c r="I19" s="84">
        <f>IF($C19&lt;&gt;"",VLOOKUP($C19,'[1]Course Table'!$A$1:$G$330,5,FALSE),"")</f>
        <v>37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14</v>
      </c>
      <c r="M19" s="84">
        <f>COUNTIF($J$6:$J19,$J19)</f>
        <v>14</v>
      </c>
      <c r="N19" s="84">
        <f>IF($C19&lt;&gt;"",VLOOKUP($C19,'[1]Course Table'!$A$1:$I$330,8,FALSE),"")</f>
        <v>99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21</v>
      </c>
      <c r="M20" s="84">
        <f>COUNTIF($J$6:$J20,$J20)</f>
        <v>1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21</v>
      </c>
      <c r="M21" s="84">
        <f>COUNTIF($J$6:$J21,$J21)</f>
        <v>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21</v>
      </c>
      <c r="M22" s="84">
        <f>COUNTIF($J$6:$J22,$J22)</f>
        <v>3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21</v>
      </c>
      <c r="M23" s="84">
        <f>COUNTIF($J$6:$J23,$J23)</f>
        <v>4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21</v>
      </c>
      <c r="M24" s="84">
        <f>COUNTIF($J$6:$J24,$J24)</f>
        <v>5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21</v>
      </c>
      <c r="M25" s="84">
        <f>COUNTIF($J$6:$J25,$J25)</f>
        <v>6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21</v>
      </c>
      <c r="M26" s="84">
        <f>COUNTIF($J$6:$J26,$J26)</f>
        <v>7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21</v>
      </c>
      <c r="M27" s="84">
        <f>COUNTIF($J$6:$J27,$J27)</f>
        <v>8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21</v>
      </c>
      <c r="M28" s="84">
        <f>COUNTIF($J$6:$J28,$J28)</f>
        <v>9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21</v>
      </c>
      <c r="M29" s="84">
        <f>COUNTIF($J$6:$J29,$J29)</f>
        <v>10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21</v>
      </c>
      <c r="M30" s="84">
        <f>COUNTIF($J$6:$J30,$J30)</f>
        <v>11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21</v>
      </c>
      <c r="M31" s="84">
        <f>COUNTIF($J$6:$J31,$J31)</f>
        <v>12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21</v>
      </c>
      <c r="M32" s="84">
        <f>COUNTIF($J$6:$J32,$J32)</f>
        <v>13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21</v>
      </c>
      <c r="M33" s="84">
        <f>COUNTIF($J$6:$J33,$J33)</f>
        <v>14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21</v>
      </c>
      <c r="M34" s="84">
        <f>COUNTIF($J$6:$J34,$J34)</f>
        <v>15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21</v>
      </c>
      <c r="M35" s="84">
        <f>COUNTIF($J$6:$J35,$J35)</f>
        <v>16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21</v>
      </c>
      <c r="M36" s="84">
        <f>COUNTIF($J$6:$J36,$J36)</f>
        <v>17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21</v>
      </c>
      <c r="M37" s="84">
        <f>COUNTIF($J$6:$J37,$J37)</f>
        <v>18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21</v>
      </c>
      <c r="M38" s="84">
        <f>COUNTIF($J$6:$J38,$J38)</f>
        <v>19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21</v>
      </c>
      <c r="M39" s="84">
        <f>COUNTIF($J$6:$J39,$J39)</f>
        <v>20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21</v>
      </c>
      <c r="M40" s="84">
        <f>COUNTIF($J$6:$J40,$J40)</f>
        <v>21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5487</v>
      </c>
      <c r="I41" s="115">
        <f>SUM(I6:I40)</f>
        <v>398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- 361          Exam &amp; Review Hours - 37          Total Course Hours - 398</v>
      </c>
      <c r="E42" s="301"/>
      <c r="F42" s="301"/>
      <c r="G42" s="301"/>
      <c r="H42" s="117">
        <f>ROUNDUP(H41/(I41+C43),2)</f>
        <v>13.79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Weeks)")</f>
        <v>Duration at 20 Hrs/Week:4.6 Months (19 Weeks); at 25 Hrs/Week:3.7 Months (16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37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$5841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21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3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F2:G2"/>
    <mergeCell ref="D4:F4"/>
    <mergeCell ref="D45:G45"/>
    <mergeCell ref="D43:G43"/>
    <mergeCell ref="D42:G42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8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157</v>
      </c>
      <c r="E4" s="303"/>
      <c r="F4" s="303"/>
      <c r="G4" s="92" t="s">
        <v>522</v>
      </c>
      <c r="H4" s="100"/>
      <c r="I4" s="84" t="s">
        <v>7</v>
      </c>
      <c r="P4" s="84"/>
      <c r="Q4" s="84"/>
    </row>
    <row r="5" spans="1:17">
      <c r="A5" s="90" t="s">
        <v>213</v>
      </c>
      <c r="B5" s="90"/>
      <c r="C5" s="90"/>
      <c r="D5" s="94" t="s">
        <v>168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167</v>
      </c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19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167</v>
      </c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19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167</v>
      </c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19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/>
      <c r="D9" s="84" t="s">
        <v>8</v>
      </c>
      <c r="E9" s="140"/>
      <c r="F9" s="84"/>
      <c r="G9" s="84" t="str">
        <f t="shared" si="0"/>
        <v/>
      </c>
      <c r="H9" s="100" t="str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/>
      </c>
      <c r="I9" s="84" t="str">
        <f>IF($C9&lt;&gt;"",VLOOKUP($C9,'[1]Course Table'!$A$1:$G$330,5,FALSE),"")</f>
        <v/>
      </c>
      <c r="J9" s="101" t="str">
        <f>IF(AND($C9&lt;&gt;"",A9&lt;&gt;"E"),VLOOKUP($C9,'[1]Course Table'!$A$1:$G$330,6,FALSE),"")</f>
        <v/>
      </c>
      <c r="K9" s="101" t="str">
        <f>IF($C9&lt;&gt;"",VLOOKUP($C9,'[1]Course Table'!$A$1:$G$330,7,FALSE),"")</f>
        <v/>
      </c>
      <c r="L9" s="84">
        <f t="shared" si="1"/>
        <v>16</v>
      </c>
      <c r="M9" s="84">
        <f>COUNTIF($J$6:$J9,$J9)</f>
        <v>1</v>
      </c>
      <c r="N9" s="84" t="str">
        <f>IF($C9&lt;&gt;"",VLOOKUP($C9,'[1]Course Table'!$A$1:$I$330,8,FALSE),"")</f>
        <v/>
      </c>
      <c r="O9" s="84" t="str">
        <f>IF($C9&lt;&gt;"",VLOOKUP($C9,'[1]Course Table'!$A$1:$I$330,9,FALSE),"")</f>
        <v/>
      </c>
      <c r="P9" s="84"/>
      <c r="Q9" s="84"/>
    </row>
    <row r="10" spans="1:17">
      <c r="A10" s="79" t="s">
        <v>0</v>
      </c>
      <c r="B10" s="141"/>
      <c r="C10" s="105" t="s">
        <v>785</v>
      </c>
      <c r="D10" s="84"/>
      <c r="E10" s="140" t="str">
        <f>IF($C10&lt;&gt;0,VLOOKUP($C10,'[1]Course Table'!$A$1:$G$330,2,TRUE),"")</f>
        <v>Thought Patterns for a Successful Career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589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19</v>
      </c>
      <c r="M10" s="84">
        <f>COUNTIF($J$6:$J10,$J10)</f>
        <v>4</v>
      </c>
      <c r="N10" s="84">
        <f>IF($C10&lt;&gt;"",VLOOKUP($C10,'[1]Course Table'!$A$1:$I$330,8,FALSE),"")</f>
        <v>15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463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19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19</v>
      </c>
      <c r="M12" s="84">
        <f>COUNTIF($J$6:$J12,$J12)</f>
        <v>6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19</v>
      </c>
      <c r="M13" s="84">
        <f>COUNTIF($J$6:$J13,$J13)</f>
        <v>7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366</v>
      </c>
      <c r="D14" s="84"/>
      <c r="E14" s="140" t="str">
        <f>IF($C14&lt;&gt;0,VLOOKUP($C14,'[1]Course Table'!$A$1:$G$330,2,TRUE),"")</f>
        <v>Business Correspondence Level 1</v>
      </c>
      <c r="F14" s="84"/>
      <c r="G14" s="84">
        <f t="shared" si="0"/>
        <v>32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499</v>
      </c>
      <c r="I14" s="84">
        <f>IF($C14&lt;&gt;"",VLOOKUP($C14,'[1]Course Table'!$A$1:$G$330,5,FALSE),"")</f>
        <v>32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19</v>
      </c>
      <c r="M14" s="84">
        <f>COUNTIF($J$6:$J14,$J14)</f>
        <v>8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324</v>
      </c>
      <c r="D15" s="84"/>
      <c r="E15" s="140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19</v>
      </c>
      <c r="M15" s="84">
        <f>COUNTIF($J$6:$J15,$J15)</f>
        <v>9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123</v>
      </c>
      <c r="D16" s="84"/>
      <c r="E16" s="140" t="str">
        <f>IF($C16&lt;&gt;0,VLOOKUP($C16,'[1]Course Table'!$A$1:$G$330,2,TRUE),"")</f>
        <v>Basic Bookkeeping Level 1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19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180</v>
      </c>
      <c r="D17" s="84"/>
      <c r="E17" s="140" t="str">
        <f>IF($C17&lt;&gt;0,VLOOKUP($C17,'[1]Course Table'!$A$1:$G$330,2,TRUE),"")</f>
        <v>Business Math</v>
      </c>
      <c r="F17" s="84"/>
      <c r="G17" s="84">
        <f t="shared" si="0"/>
        <v>22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19</v>
      </c>
      <c r="M17" s="84">
        <f>COUNTIF($J$6:$J17,$J17)</f>
        <v>11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 t="s">
        <v>0</v>
      </c>
      <c r="B18" s="141"/>
      <c r="C18" s="105" t="s">
        <v>570</v>
      </c>
      <c r="D18" s="84"/>
      <c r="E18" s="140" t="str">
        <f>IF($C18&lt;&gt;0,VLOOKUP($C18,'[1]Course Table'!$A$1:$G$330,2,TRUE),"")</f>
        <v>QuickBooks Premier 2019</v>
      </c>
      <c r="F18" s="84"/>
      <c r="G18" s="84">
        <f t="shared" si="0"/>
        <v>29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495</v>
      </c>
      <c r="I18" s="84">
        <f>IF($C18&lt;&gt;"",VLOOKUP($C18,'[1]Course Table'!$A$1:$G$330,5,FALSE),"")</f>
        <v>29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19</v>
      </c>
      <c r="M18" s="84">
        <f>COUNTIF($J$6:$J18,$J18)</f>
        <v>12</v>
      </c>
      <c r="N18" s="84">
        <f>IF($C18&lt;&gt;"",VLOOKUP($C18,'[1]Course Table'!$A$1:$I$330,8,FALSE),"")</f>
        <v>7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762</v>
      </c>
      <c r="D19" s="84"/>
      <c r="E19" s="140" t="str">
        <f>IF($C19&lt;&gt;0,VLOOKUP($C19,'[1]Course Table'!$A$1:$G$330,2,TRUE),"")</f>
        <v>MS Outlook Level 1</v>
      </c>
      <c r="F19" s="84"/>
      <c r="G19" s="84">
        <f t="shared" si="0"/>
        <v>25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25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19</v>
      </c>
      <c r="M19" s="84">
        <f>COUNTIF($J$6:$J19,$J19)</f>
        <v>13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1</v>
      </c>
      <c r="B20" s="141"/>
      <c r="C20" s="105" t="s">
        <v>86</v>
      </c>
      <c r="D20" s="84"/>
      <c r="E20" s="140" t="str">
        <f>IF($C20&lt;&gt;0,VLOOKUP($C20,'[1]Course Table'!$A$1:$G$330,2,TRUE),"")</f>
        <v>Practical Applications - 1 Unit</v>
      </c>
      <c r="F20" s="84"/>
      <c r="G20" s="84">
        <f t="shared" si="0"/>
        <v>20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314</v>
      </c>
      <c r="I20" s="84">
        <f>IF($C20&lt;&gt;"",VLOOKUP($C20,'[1]Course Table'!$A$1:$G$330,5,FALSE),"")</f>
        <v>20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19</v>
      </c>
      <c r="M20" s="84">
        <f>COUNTIF($J$6:$J20,$J20)</f>
        <v>14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0</v>
      </c>
      <c r="P20" s="84"/>
      <c r="Q20" s="84"/>
    </row>
    <row r="21" spans="1:18">
      <c r="A21" s="79" t="s">
        <v>0</v>
      </c>
      <c r="B21" s="141"/>
      <c r="C21" s="104" t="s">
        <v>249</v>
      </c>
      <c r="D21" s="99"/>
      <c r="E21" s="140" t="str">
        <f>IF($C21&lt;&gt;0,VLOOKUP($C21,'[1]Course Table'!$A$1:$G$330,2,TRUE),"")</f>
        <v>Job Search/Resume Writing</v>
      </c>
      <c r="F21" s="84"/>
      <c r="G21" s="84">
        <f t="shared" si="0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579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19</v>
      </c>
      <c r="M21" s="84">
        <f>COUNTIF($J$6:$J21,$J21)</f>
        <v>15</v>
      </c>
      <c r="N21" s="84">
        <f>IF($C21&lt;&gt;"",VLOOKUP($C21,'[1]Course Table'!$A$1:$I$330,8,FALSE),"")</f>
        <v>15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41"/>
      <c r="C22" s="104"/>
      <c r="D22" s="99"/>
      <c r="E22" s="140" t="s">
        <v>230</v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16</v>
      </c>
      <c r="M22" s="84">
        <f>COUNTIF($J$6:$J22,$J22)</f>
        <v>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 t="s">
        <v>156</v>
      </c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16</v>
      </c>
      <c r="M23" s="84">
        <f>COUNTIF($J$6:$J23,$J23)</f>
        <v>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 t="s">
        <v>0</v>
      </c>
      <c r="B24" s="141"/>
      <c r="C24" s="105" t="s">
        <v>177</v>
      </c>
      <c r="D24" s="84" t="s">
        <v>229</v>
      </c>
      <c r="E24" s="140" t="str">
        <f>IF($C24&lt;&gt;0,VLOOKUP($C24,'[1]Course Table'!$A$1:$G$330,2,TRUE),"")</f>
        <v>Payroll Compliance Legislation</v>
      </c>
      <c r="F24" s="84"/>
      <c r="G24" s="84">
        <f t="shared" si="0"/>
        <v>80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1298</v>
      </c>
      <c r="I24" s="84">
        <f>IF($C24&lt;&gt;"",VLOOKUP($C24,'[1]Course Table'!$A$1:$G$330,5,FALSE),"")</f>
        <v>80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19</v>
      </c>
      <c r="M24" s="84">
        <f>COUNTIF($J$6:$J24,$J24)</f>
        <v>16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4</v>
      </c>
      <c r="P24" s="84"/>
      <c r="Q24" s="84"/>
    </row>
    <row r="25" spans="1:18">
      <c r="A25" s="79" t="s">
        <v>0</v>
      </c>
      <c r="B25" s="141"/>
      <c r="C25" s="105" t="s">
        <v>178</v>
      </c>
      <c r="D25" s="84" t="s">
        <v>229</v>
      </c>
      <c r="E25" s="140" t="str">
        <f>IF($C25&lt;&gt;0,VLOOKUP($C25,'[1]Course Table'!$A$1:$G$330,2,TRUE),"")</f>
        <v>Payroll Fundamentals 1</v>
      </c>
      <c r="F25" s="84"/>
      <c r="G25" s="84">
        <f t="shared" si="0"/>
        <v>80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1298</v>
      </c>
      <c r="I25" s="84">
        <f>IF($C25&lt;&gt;"",VLOOKUP($C25,'[1]Course Table'!$A$1:$G$330,5,FALSE),"")</f>
        <v>80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19</v>
      </c>
      <c r="M25" s="84">
        <f>COUNTIF($J$6:$J25,$J25)</f>
        <v>17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4</v>
      </c>
      <c r="P25" s="84"/>
      <c r="Q25" s="84"/>
    </row>
    <row r="26" spans="1:18">
      <c r="A26" s="79" t="s">
        <v>0</v>
      </c>
      <c r="B26" s="141"/>
      <c r="C26" s="105" t="s">
        <v>179</v>
      </c>
      <c r="D26" s="84" t="s">
        <v>229</v>
      </c>
      <c r="E26" s="140" t="str">
        <f>IF($C26&lt;&gt;0,VLOOKUP($C26,'[1]Course Table'!$A$1:$G$330,2,TRUE),"")</f>
        <v>Payroll Fundamentals 2</v>
      </c>
      <c r="F26" s="84"/>
      <c r="G26" s="84">
        <f t="shared" si="0"/>
        <v>80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1298</v>
      </c>
      <c r="I26" s="84">
        <f>IF($C26&lt;&gt;"",VLOOKUP($C26,'[1]Course Table'!$A$1:$G$330,5,FALSE),"")</f>
        <v>80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19</v>
      </c>
      <c r="M26" s="84">
        <f>COUNTIF($J$6:$J26,$J26)</f>
        <v>18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4</v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16</v>
      </c>
      <c r="M27" s="84">
        <f>COUNTIF($J$6:$J27,$J27)</f>
        <v>4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 t="s">
        <v>446</v>
      </c>
      <c r="D28" s="84"/>
      <c r="E28" s="140" t="str">
        <f>IF($C28&lt;&gt;0,VLOOKUP($C28,'[1]Course Table'!$A$1:$G$330,2,TRUE),"")</f>
        <v>Study/Review - Payroll Adm Cert - BC</v>
      </c>
      <c r="F28" s="84"/>
      <c r="G28" s="84">
        <f t="shared" si="0"/>
        <v>63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382</v>
      </c>
      <c r="I28" s="84">
        <f>IF($C28&lt;&gt;"",VLOOKUP($C28,'[1]Course Table'!$A$1:$G$330,5,FALSE),"")</f>
        <v>63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19</v>
      </c>
      <c r="M28" s="84">
        <f>COUNTIF($J$6:$J28,$J28)</f>
        <v>19</v>
      </c>
      <c r="N28" s="84">
        <f>IF($C28&lt;&gt;"",VLOOKUP($C28,'[1]Course Table'!$A$1:$I$330,8,FALSE),"")</f>
        <v>99</v>
      </c>
      <c r="O28" s="84">
        <f>IF($C28&lt;&gt;"",VLOOKUP($C28,'[1]Course Table'!$A$1:$I$330,9,FALSE),"")</f>
        <v>3</v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16</v>
      </c>
      <c r="M29" s="84">
        <f>COUNTIF($J$6:$J29,$J29)</f>
        <v>5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16</v>
      </c>
      <c r="M30" s="84">
        <f>COUNTIF($J$6:$J30,$J30)</f>
        <v>6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16</v>
      </c>
      <c r="M31" s="84">
        <f>COUNTIF($J$6:$J31,$J31)</f>
        <v>7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16</v>
      </c>
      <c r="M32" s="84">
        <f>COUNTIF($J$6:$J32,$J32)</f>
        <v>8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16</v>
      </c>
      <c r="M33" s="84">
        <f>COUNTIF($J$6:$J33,$J33)</f>
        <v>9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16</v>
      </c>
      <c r="M34" s="84">
        <f>COUNTIF($J$6:$J34,$J34)</f>
        <v>10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16</v>
      </c>
      <c r="M35" s="84">
        <f>COUNTIF($J$6:$J35,$J35)</f>
        <v>11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16</v>
      </c>
      <c r="M36" s="84">
        <f>COUNTIF($J$6:$J36,$J36)</f>
        <v>12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16</v>
      </c>
      <c r="M37" s="84">
        <f>COUNTIF($J$6:$J37,$J37)</f>
        <v>13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16</v>
      </c>
      <c r="M38" s="84">
        <f>COUNTIF($J$6:$J38,$J38)</f>
        <v>14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16</v>
      </c>
      <c r="M39" s="84">
        <f>COUNTIF($J$6:$J39,$J39)</f>
        <v>15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16</v>
      </c>
      <c r="M40" s="84">
        <f>COUNTIF($J$6:$J40,$J40)</f>
        <v>16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10882</v>
      </c>
      <c r="I41" s="115">
        <f>SUM(I6:I40)</f>
        <v>690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- 627          Exam &amp; Review Hours - 63          Total Course Hours - 690</v>
      </c>
      <c r="E42" s="301"/>
      <c r="F42" s="301"/>
      <c r="G42" s="301"/>
      <c r="H42" s="117">
        <f>ROUNDUP(H41/(I41+C43),2)</f>
        <v>15.78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Hrs/Week:8 Months (34 Weeks); at 25 Hrs/Week:6.4 Months (28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63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$11236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33.5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13.5</v>
      </c>
      <c r="U49" s="78">
        <f>SUMIF($N$6:$N$40,Summary!U4,$O$6:$O$40)</f>
        <v>1</v>
      </c>
      <c r="V49" s="78">
        <f>SUMIF($N$6:$N$40,Summary!V4,$O$6:$O$40)</f>
        <v>4.5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61">
    <tabColor indexed="10"/>
    <pageSetUpPr fitToPage="1"/>
  </sheetPr>
  <dimension ref="A1:AG52"/>
  <sheetViews>
    <sheetView showZeros="0" topLeftCell="A16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256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398</v>
      </c>
      <c r="E4" s="303"/>
      <c r="F4" s="303"/>
      <c r="G4" s="92" t="s">
        <v>523</v>
      </c>
      <c r="H4" s="100"/>
      <c r="I4" s="84" t="s">
        <v>7</v>
      </c>
      <c r="P4" s="84"/>
      <c r="Q4" s="84"/>
    </row>
    <row r="5" spans="1:17">
      <c r="A5" s="90" t="s">
        <v>674</v>
      </c>
      <c r="B5" s="90"/>
      <c r="C5" s="90"/>
      <c r="D5" s="94" t="s">
        <v>8</v>
      </c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167</v>
      </c>
      <c r="B6" s="139"/>
      <c r="C6" s="73" t="s">
        <v>463</v>
      </c>
      <c r="D6" s="99"/>
      <c r="E6" s="140" t="str">
        <f>IF($C6&lt;&gt;0,VLOOKUP($C6,'[1]Course Table'!$A$1:$G$330,2,TRUE),"")</f>
        <v>Windows 10 Level 1</v>
      </c>
      <c r="F6" s="84"/>
      <c r="G6" s="84">
        <f t="shared" ref="G6:G40" si="0">I6</f>
        <v>21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389</v>
      </c>
      <c r="I6" s="84">
        <f>IF($C6&lt;&gt;"",VLOOKUP($C6,'[1]Course Table'!$A$1:$G$330,5,FALSE),"")</f>
        <v>21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11</v>
      </c>
      <c r="M6" s="84">
        <f>COUNTIF($J$6:$J6,$J6)</f>
        <v>1</v>
      </c>
      <c r="N6" s="84">
        <f>IF($C6&lt;&gt;"",VLOOKUP($C6,'[1]Course Table'!$A$1:$I$330,8,FALSE),"")</f>
        <v>8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167</v>
      </c>
      <c r="B7" s="141"/>
      <c r="C7" s="105" t="s">
        <v>757</v>
      </c>
      <c r="D7" s="99"/>
      <c r="E7" s="140" t="str">
        <f>IF($C7&lt;&gt;0,VLOOKUP($C7,'[1]Course Table'!$A$1:$G$330,2,TRUE),"")</f>
        <v>MS Word Level 1</v>
      </c>
      <c r="F7" s="84"/>
      <c r="G7" s="84">
        <f t="shared" si="0"/>
        <v>28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28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11</v>
      </c>
      <c r="M7" s="84">
        <f>COUNTIF($J$6:$J7,$J7)</f>
        <v>2</v>
      </c>
      <c r="N7" s="84">
        <f>IF($C7&lt;&gt;"",VLOOKUP($C7,'[1]Course Table'!$A$1:$I$330,8,FALSE),"")</f>
        <v>3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167</v>
      </c>
      <c r="B8" s="141"/>
      <c r="C8" s="105" t="s">
        <v>763</v>
      </c>
      <c r="D8" s="84"/>
      <c r="E8" s="140" t="str">
        <f>IF($C8&lt;&gt;0,VLOOKUP($C8,'[1]Course Table'!$A$1:$G$330,2,TRUE),"")</f>
        <v>MS Excel Level 1</v>
      </c>
      <c r="F8" s="84"/>
      <c r="G8" s="84">
        <f t="shared" si="0"/>
        <v>28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28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11</v>
      </c>
      <c r="M8" s="84">
        <f>COUNTIF($J$6:$J8,$J8)</f>
        <v>3</v>
      </c>
      <c r="N8" s="84">
        <f>IF($C8&lt;&gt;"",VLOOKUP($C8,'[1]Course Table'!$A$1:$I$330,8,FALSE),"")</f>
        <v>4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123</v>
      </c>
      <c r="D9" s="84"/>
      <c r="E9" s="140" t="str">
        <f>IF($C9&lt;&gt;0,VLOOKUP($C9,'[1]Course Table'!$A$1:$G$330,2,TRUE),"")</f>
        <v>Basic Bookkeeping Level 1</v>
      </c>
      <c r="F9" s="84"/>
      <c r="G9" s="84">
        <f t="shared" si="0"/>
        <v>30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499</v>
      </c>
      <c r="I9" s="84">
        <f>IF($C9&lt;&gt;"",VLOOKUP($C9,'[1]Course Table'!$A$1:$G$330,5,FALSE),"")</f>
        <v>30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11</v>
      </c>
      <c r="M9" s="84">
        <f>COUNTIF($J$6:$J9,$J9)</f>
        <v>4</v>
      </c>
      <c r="N9" s="84">
        <f>IF($C9&lt;&gt;"",VLOOKUP($C9,'[1]Course Table'!$A$1:$I$330,8,FALSE),"")</f>
        <v>9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41"/>
      <c r="C10" s="105" t="s">
        <v>322</v>
      </c>
      <c r="D10" s="84"/>
      <c r="E10" s="140" t="str">
        <f>IF($C10&lt;&gt;0,VLOOKUP($C10,'[1]Course Table'!$A$1:$G$330,2,TRUE),"")</f>
        <v>Sage 50 Premium Accounting 2013</v>
      </c>
      <c r="F10" s="84"/>
      <c r="G10" s="84">
        <f t="shared" si="0"/>
        <v>46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799</v>
      </c>
      <c r="I10" s="84">
        <f>IF($C10&lt;&gt;"",VLOOKUP($C10,'[1]Course Table'!$A$1:$G$330,5,FALSE),"")</f>
        <v>46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11</v>
      </c>
      <c r="M10" s="84">
        <f>COUNTIF($J$6:$J10,$J10)</f>
        <v>5</v>
      </c>
      <c r="N10" s="84">
        <f>IF($C10&lt;&gt;"",VLOOKUP($C10,'[1]Course Table'!$A$1:$I$330,8,FALSE),"")</f>
        <v>7</v>
      </c>
      <c r="O10" s="84">
        <f>IF($C10&lt;&gt;"",VLOOKUP($C10,'[1]Course Table'!$A$1:$I$330,9,FALSE),"")</f>
        <v>2.5</v>
      </c>
      <c r="P10" s="84"/>
      <c r="Q10" s="84"/>
    </row>
    <row r="11" spans="1:17">
      <c r="A11" s="79" t="s">
        <v>0</v>
      </c>
      <c r="B11" s="141"/>
      <c r="C11" s="105" t="s">
        <v>762</v>
      </c>
      <c r="D11" s="84"/>
      <c r="E11" s="140" t="str">
        <f>IF($C11&lt;&gt;0,VLOOKUP($C11,'[1]Course Table'!$A$1:$G$330,2,TRUE),"")</f>
        <v>MS Outlook Level 1</v>
      </c>
      <c r="F11" s="84"/>
      <c r="G11" s="84">
        <f t="shared" si="0"/>
        <v>25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25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11</v>
      </c>
      <c r="M11" s="84">
        <f>COUNTIF($J$6:$J11,$J11)</f>
        <v>6</v>
      </c>
      <c r="N11" s="84">
        <f>IF($C11&lt;&gt;"",VLOOKUP($C11,'[1]Course Table'!$A$1:$I$330,8,FALSE),"")</f>
        <v>2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177</v>
      </c>
      <c r="D12" s="84"/>
      <c r="E12" s="140" t="str">
        <f>IF($C12&lt;&gt;0,VLOOKUP($C12,'[1]Course Table'!$A$1:$G$330,2,TRUE),"")</f>
        <v>Payroll Compliance Legislation</v>
      </c>
      <c r="F12" s="84"/>
      <c r="G12" s="84">
        <f t="shared" si="0"/>
        <v>80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1298</v>
      </c>
      <c r="I12" s="84">
        <f>IF($C12&lt;&gt;"",VLOOKUP($C12,'[1]Course Table'!$A$1:$G$330,5,FALSE),"")</f>
        <v>80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11</v>
      </c>
      <c r="M12" s="84">
        <f>COUNTIF($J$6:$J12,$J12)</f>
        <v>7</v>
      </c>
      <c r="N12" s="84">
        <f>IF($C12&lt;&gt;"",VLOOKUP($C12,'[1]Course Table'!$A$1:$I$330,8,FALSE),"")</f>
        <v>7</v>
      </c>
      <c r="O12" s="84">
        <f>IF($C12&lt;&gt;"",VLOOKUP($C12,'[1]Course Table'!$A$1:$I$330,9,FALSE),"")</f>
        <v>4</v>
      </c>
      <c r="P12" s="84"/>
      <c r="Q12" s="84"/>
    </row>
    <row r="13" spans="1:17">
      <c r="A13" s="79" t="s">
        <v>0</v>
      </c>
      <c r="B13" s="141"/>
      <c r="C13" s="105" t="s">
        <v>178</v>
      </c>
      <c r="D13" s="84"/>
      <c r="E13" s="140" t="str">
        <f>IF($C13&lt;&gt;0,VLOOKUP($C13,'[1]Course Table'!$A$1:$G$330,2,TRUE),"")</f>
        <v>Payroll Fundamentals 1</v>
      </c>
      <c r="F13" s="84"/>
      <c r="G13" s="84">
        <f t="shared" si="0"/>
        <v>80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1298</v>
      </c>
      <c r="I13" s="84">
        <f>IF($C13&lt;&gt;"",VLOOKUP($C13,'[1]Course Table'!$A$1:$G$330,5,FALSE),"")</f>
        <v>80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11</v>
      </c>
      <c r="M13" s="84">
        <f>COUNTIF($J$6:$J13,$J13)</f>
        <v>8</v>
      </c>
      <c r="N13" s="84">
        <f>IF($C13&lt;&gt;"",VLOOKUP($C13,'[1]Course Table'!$A$1:$I$330,8,FALSE),"")</f>
        <v>7</v>
      </c>
      <c r="O13" s="84">
        <f>IF($C13&lt;&gt;"",VLOOKUP($C13,'[1]Course Table'!$A$1:$I$330,9,FALSE),"")</f>
        <v>4</v>
      </c>
      <c r="P13" s="84"/>
      <c r="Q13" s="84"/>
    </row>
    <row r="14" spans="1:17">
      <c r="A14" s="79" t="s">
        <v>0</v>
      </c>
      <c r="B14" s="141"/>
      <c r="C14" s="105" t="s">
        <v>179</v>
      </c>
      <c r="D14" s="84"/>
      <c r="E14" s="140" t="str">
        <f>IF($C14&lt;&gt;0,VLOOKUP($C14,'[1]Course Table'!$A$1:$G$330,2,TRUE),"")</f>
        <v>Payroll Fundamentals 2</v>
      </c>
      <c r="F14" s="84"/>
      <c r="G14" s="84">
        <f t="shared" si="0"/>
        <v>80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1298</v>
      </c>
      <c r="I14" s="84">
        <f>IF($C14&lt;&gt;"",VLOOKUP($C14,'[1]Course Table'!$A$1:$G$330,5,FALSE),"")</f>
        <v>80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11</v>
      </c>
      <c r="M14" s="84">
        <f>COUNTIF($J$6:$J14,$J14)</f>
        <v>9</v>
      </c>
      <c r="N14" s="84">
        <f>IF($C14&lt;&gt;"",VLOOKUP($C14,'[1]Course Table'!$A$1:$I$330,8,FALSE),"")</f>
        <v>7</v>
      </c>
      <c r="O14" s="84">
        <f>IF($C14&lt;&gt;"",VLOOKUP($C14,'[1]Course Table'!$A$1:$I$330,9,FALSE),"")</f>
        <v>4</v>
      </c>
      <c r="P14" s="84"/>
      <c r="Q14" s="84"/>
    </row>
    <row r="15" spans="1:17">
      <c r="A15" s="79" t="s">
        <v>0</v>
      </c>
      <c r="B15" s="141"/>
      <c r="C15" s="105" t="s">
        <v>249</v>
      </c>
      <c r="D15" s="84"/>
      <c r="E15" s="140" t="str">
        <f>IF($C15&lt;&gt;0,VLOOKUP($C15,'[1]Course Table'!$A$1:$G$330,2,TRUE),"")</f>
        <v>Job Search/Resume Writing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11</v>
      </c>
      <c r="M15" s="84">
        <f>COUNTIF($J$6:$J15,$J15)</f>
        <v>10</v>
      </c>
      <c r="N15" s="84">
        <f>IF($C15&lt;&gt;"",VLOOKUP($C15,'[1]Course Table'!$A$1:$I$330,8,FALSE),"")</f>
        <v>15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24</v>
      </c>
      <c r="M16" s="84">
        <f>COUNTIF($J$6:$J16,$J16)</f>
        <v>1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 t="s">
        <v>0</v>
      </c>
      <c r="B17" s="141"/>
      <c r="C17" s="105" t="s">
        <v>447</v>
      </c>
      <c r="D17" s="84"/>
      <c r="E17" s="140" t="str">
        <f>IF($C17&lt;&gt;0,VLOOKUP($C17,'[1]Course Table'!$A$1:$G$330,2,TRUE),"")</f>
        <v>Study/Review - Payroll Clerk Cert - BC</v>
      </c>
      <c r="F17" s="84"/>
      <c r="G17" s="84">
        <f t="shared" si="0"/>
        <v>45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329</v>
      </c>
      <c r="I17" s="84">
        <f>IF($C17&lt;&gt;"",VLOOKUP($C17,'[1]Course Table'!$A$1:$G$330,5,FALSE),"")</f>
        <v>45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11</v>
      </c>
      <c r="M17" s="84">
        <f>COUNTIF($J$6:$J17,$J17)</f>
        <v>11</v>
      </c>
      <c r="N17" s="84">
        <f>IF($C17&lt;&gt;"",VLOOKUP($C17,'[1]Course Table'!$A$1:$I$330,8,FALSE),"")</f>
        <v>99</v>
      </c>
      <c r="O17" s="84">
        <f>IF($C17&lt;&gt;"",VLOOKUP($C17,'[1]Course Table'!$A$1:$I$330,9,FALSE),"")</f>
        <v>2.5</v>
      </c>
      <c r="P17" s="84"/>
      <c r="Q17" s="84"/>
    </row>
    <row r="18" spans="1:18">
      <c r="A18" s="79" t="s">
        <v>0</v>
      </c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24</v>
      </c>
      <c r="M18" s="84">
        <f>COUNTIF($J$6:$J18,$J18)</f>
        <v>2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 t="s">
        <v>0</v>
      </c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24</v>
      </c>
      <c r="M19" s="84">
        <f>COUNTIF($J$6:$J19,$J19)</f>
        <v>3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 t="s">
        <v>1</v>
      </c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24</v>
      </c>
      <c r="M20" s="84">
        <f>COUNTIF($J$6:$J20,$J20)</f>
        <v>4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 t="s">
        <v>0</v>
      </c>
      <c r="B21" s="141"/>
      <c r="C21" s="104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24</v>
      </c>
      <c r="M21" s="84">
        <f>COUNTIF($J$6:$J21,$J21)</f>
        <v>5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24</v>
      </c>
      <c r="M22" s="84">
        <f>COUNTIF($J$6:$J22,$J22)</f>
        <v>6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5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24</v>
      </c>
      <c r="M23" s="84">
        <f>COUNTIF($J$6:$J23,$J23)</f>
        <v>7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 t="s">
        <v>0</v>
      </c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24</v>
      </c>
      <c r="M24" s="84">
        <f>COUNTIF($J$6:$J24,$J24)</f>
        <v>8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 t="s">
        <v>0</v>
      </c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24</v>
      </c>
      <c r="M25" s="84">
        <f>COUNTIF($J$6:$J25,$J25)</f>
        <v>9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 t="s">
        <v>0</v>
      </c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24</v>
      </c>
      <c r="M26" s="84">
        <f>COUNTIF($J$6:$J26,$J26)</f>
        <v>10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24</v>
      </c>
      <c r="M27" s="84">
        <f>COUNTIF($J$6:$J27,$J27)</f>
        <v>11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 t="s">
        <v>0</v>
      </c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24</v>
      </c>
      <c r="M28" s="84">
        <f>COUNTIF($J$6:$J28,$J28)</f>
        <v>12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 t="s">
        <v>0</v>
      </c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24</v>
      </c>
      <c r="M29" s="84">
        <f>COUNTIF($J$6:$J29,$J29)</f>
        <v>13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24</v>
      </c>
      <c r="M30" s="84">
        <f>COUNTIF($J$6:$J30,$J30)</f>
        <v>14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24</v>
      </c>
      <c r="M31" s="84">
        <f>COUNTIF($J$6:$J31,$J31)</f>
        <v>15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24</v>
      </c>
      <c r="M32" s="84">
        <f>COUNTIF($J$6:$J32,$J32)</f>
        <v>16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24</v>
      </c>
      <c r="M33" s="84">
        <f>COUNTIF($J$6:$J33,$J33)</f>
        <v>17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24</v>
      </c>
      <c r="M34" s="84">
        <f>COUNTIF($J$6:$J34,$J34)</f>
        <v>18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24</v>
      </c>
      <c r="M35" s="84">
        <f>COUNTIF($J$6:$J35,$J35)</f>
        <v>19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24</v>
      </c>
      <c r="M36" s="84">
        <f>COUNTIF($J$6:$J36,$J36)</f>
        <v>20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24</v>
      </c>
      <c r="M37" s="84">
        <f>COUNTIF($J$6:$J37,$J37)</f>
        <v>21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24</v>
      </c>
      <c r="M38" s="84">
        <f>COUNTIF($J$6:$J38,$J38)</f>
        <v>22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24</v>
      </c>
      <c r="M39" s="84">
        <f>COUNTIF($J$6:$J39,$J39)</f>
        <v>23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24</v>
      </c>
      <c r="M40" s="84">
        <f>COUNTIF($J$6:$J40,$J40)</f>
        <v>24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7656</v>
      </c>
      <c r="I41" s="115">
        <f>SUM(I6:I40)</f>
        <v>493</v>
      </c>
    </row>
    <row r="42" spans="1:18" s="90" customFormat="1" ht="12.75">
      <c r="C42" s="135">
        <v>0</v>
      </c>
      <c r="D42" s="306" t="str">
        <f>CONCATENATE("Course Hours - ",I41-C44,"          Exam &amp; Review Hours - ",C44,"          Total Course Hours - ",I41)</f>
        <v>Course Hours - 448          Exam &amp; Review Hours - 45          Total Course Hours - 493</v>
      </c>
      <c r="E42" s="301"/>
      <c r="F42" s="301"/>
      <c r="G42" s="301"/>
      <c r="H42" s="117">
        <f>ROUNDUP(H41/(I41+C43),2)</f>
        <v>15.53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Hrs/Week:5.7 Months (24 Weeks); at 25 Hrs/Week:4.6 Months (20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45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$8010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25.5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1.5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14.5</v>
      </c>
      <c r="U49" s="78">
        <f>SUMIF($N$6:$N$40,Summary!U4,$O$6:$O$40)</f>
        <v>1</v>
      </c>
      <c r="V49" s="78">
        <f>SUMIF($N$6:$N$40,Summary!V4,$O$6:$O$40)</f>
        <v>1.5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:F4"/>
    <mergeCell ref="D45:G45"/>
    <mergeCell ref="D42:G42"/>
    <mergeCell ref="D43:G43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15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105</v>
      </c>
      <c r="E4" s="303"/>
      <c r="F4" s="303"/>
      <c r="G4" s="92" t="s">
        <v>524</v>
      </c>
      <c r="H4" s="100"/>
      <c r="I4" s="84" t="s">
        <v>7</v>
      </c>
      <c r="P4" s="84"/>
      <c r="Q4" s="84"/>
    </row>
    <row r="5" spans="1:17">
      <c r="A5" s="90" t="s">
        <v>214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7" t="s">
        <v>388</v>
      </c>
      <c r="F6" s="84"/>
      <c r="G6" s="84" t="str">
        <f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0">COUNTIF($J$6:$J$40,$J6)</f>
        <v>13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84"/>
      <c r="E7" s="140" t="str">
        <f>IF($C7&lt;&gt;0,VLOOKUP($C7,'[1]Course Table'!$A$1:$G$330,2,TRUE),"")</f>
        <v/>
      </c>
      <c r="F7" s="84"/>
      <c r="G7" s="84" t="str">
        <f t="shared" ref="G7:G40" si="1">I7</f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0"/>
        <v>13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/>
      <c r="D8" s="84" t="s">
        <v>8</v>
      </c>
      <c r="E8" s="140"/>
      <c r="F8" s="84"/>
      <c r="G8" s="84" t="str">
        <f t="shared" si="1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0"/>
        <v>13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22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463</v>
      </c>
      <c r="D10" s="84"/>
      <c r="E10" s="140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22</v>
      </c>
      <c r="M10" s="84">
        <f>COUNTIF($J$6:$J10,$J10)</f>
        <v>2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41"/>
      <c r="C11" s="105" t="s">
        <v>467</v>
      </c>
      <c r="D11" s="84"/>
      <c r="E11" s="140" t="str">
        <f>IF($C11&lt;&gt;0,VLOOKUP($C11,'[1]Course Table'!$A$1:$G$330,2,TRUE),"")</f>
        <v>Windows 10 Level 2</v>
      </c>
      <c r="F11" s="84"/>
      <c r="G11" s="84">
        <f t="shared" si="1"/>
        <v>20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22</v>
      </c>
      <c r="M11" s="84">
        <f>COUNTIF($J$6:$J11,$J11)</f>
        <v>3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41"/>
      <c r="C12" s="105" t="s">
        <v>757</v>
      </c>
      <c r="D12" s="84"/>
      <c r="E12" s="140" t="str">
        <f>IF($C12&lt;&gt;0,VLOOKUP($C12,'[1]Course Table'!$A$1:$G$330,2,TRUE),"")</f>
        <v>MS Word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22</v>
      </c>
      <c r="M12" s="84">
        <f>COUNTIF($J$6:$J12,$J12)</f>
        <v>4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758</v>
      </c>
      <c r="D13" s="84"/>
      <c r="E13" s="140" t="str">
        <f>IF($C13&lt;&gt;0,VLOOKUP($C13,'[1]Course Table'!$A$1:$G$330,2,TRUE),"")</f>
        <v>MS Word Level 2</v>
      </c>
      <c r="F13" s="84"/>
      <c r="G13" s="84">
        <f t="shared" si="1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22</v>
      </c>
      <c r="M13" s="84">
        <f>COUNTIF($J$6:$J13,$J13)</f>
        <v>5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763</v>
      </c>
      <c r="D14" s="84"/>
      <c r="E14" s="140" t="str">
        <f>IF($C14&lt;&gt;0,VLOOKUP($C14,'[1]Course Table'!$A$1:$G$330,2,TRUE),"")</f>
        <v>MS Excel Level 1</v>
      </c>
      <c r="F14" s="84"/>
      <c r="G14" s="84">
        <f t="shared" si="1"/>
        <v>28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28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22</v>
      </c>
      <c r="M14" s="84">
        <f>COUNTIF($J$6:$J14,$J14)</f>
        <v>6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765</v>
      </c>
      <c r="D15" s="84"/>
      <c r="E15" s="140" t="str">
        <f>IF($C15&lt;&gt;0,VLOOKUP($C15,'[1]Course Table'!$A$1:$G$330,2,TRUE),"")</f>
        <v>MS Excel Level 2</v>
      </c>
      <c r="F15" s="84"/>
      <c r="G15" s="84">
        <f t="shared" si="1"/>
        <v>35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35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22</v>
      </c>
      <c r="M15" s="84">
        <f>COUNTIF($J$6:$J15,$J15)</f>
        <v>7</v>
      </c>
      <c r="N15" s="84">
        <f>IF($C15&lt;&gt;"",VLOOKUP($C15,'[1]Course Table'!$A$1:$I$330,8,FALSE),"")</f>
        <v>4</v>
      </c>
      <c r="O15" s="84">
        <f>IF($C15&lt;&gt;"",VLOOKUP($C15,'[1]Course Table'!$A$1:$I$330,9,FALSE),"")</f>
        <v>2</v>
      </c>
      <c r="P15" s="84"/>
      <c r="Q15" s="84"/>
    </row>
    <row r="16" spans="1:17">
      <c r="A16" s="79" t="s">
        <v>0</v>
      </c>
      <c r="B16" s="141"/>
      <c r="C16" s="105" t="s">
        <v>767</v>
      </c>
      <c r="D16" s="84"/>
      <c r="E16" s="140" t="str">
        <f>IF($C16&lt;&gt;0,VLOOKUP($C16,'[1]Course Table'!$A$1:$G$330,2,TRUE),"")</f>
        <v>MS Access Level 1</v>
      </c>
      <c r="F16" s="84"/>
      <c r="G16" s="84">
        <f t="shared" si="1"/>
        <v>27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27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22</v>
      </c>
      <c r="M16" s="84">
        <f>COUNTIF($J$6:$J16,$J16)</f>
        <v>8</v>
      </c>
      <c r="N16" s="84">
        <f>IF($C16&lt;&gt;"",VLOOKUP($C16,'[1]Course Table'!$A$1:$I$330,8,FALSE),"")</f>
        <v>5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769</v>
      </c>
      <c r="D17" s="84"/>
      <c r="E17" s="140" t="str">
        <f>IF($C17&lt;&gt;0,VLOOKUP($C17,'[1]Course Table'!$A$1:$G$330,2,TRUE),"")</f>
        <v>MS Access Level 2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22</v>
      </c>
      <c r="M17" s="84">
        <f>COUNTIF($J$6:$J17,$J17)</f>
        <v>9</v>
      </c>
      <c r="N17" s="84">
        <f>IF($C17&lt;&gt;"",VLOOKUP($C17,'[1]Course Table'!$A$1:$I$330,8,FALSE),"")</f>
        <v>5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760</v>
      </c>
      <c r="D18" s="84"/>
      <c r="E18" s="140" t="str">
        <f>IF($C18&lt;&gt;0,VLOOKUP($C18,'[1]Course Table'!$A$1:$G$330,2,TRUE),"")</f>
        <v>MS Powerpoint Level 1</v>
      </c>
      <c r="F18" s="84"/>
      <c r="G18" s="84">
        <f t="shared" si="1"/>
        <v>24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24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22</v>
      </c>
      <c r="M18" s="84">
        <f>COUNTIF($J$6:$J18,$J18)</f>
        <v>10</v>
      </c>
      <c r="N18" s="84">
        <f>IF($C18&lt;&gt;"",VLOOKUP($C18,'[1]Course Table'!$A$1:$I$330,8,FALSE),"")</f>
        <v>6</v>
      </c>
      <c r="O18" s="84">
        <f>IF($C18&lt;&gt;"",VLOOKUP($C18,'[1]Course Table'!$A$1:$I$330,9,FALSE),"")</f>
        <v>1</v>
      </c>
      <c r="P18" s="84"/>
      <c r="Q18" s="84"/>
    </row>
    <row r="19" spans="1:18">
      <c r="A19" s="79" t="s">
        <v>0</v>
      </c>
      <c r="B19" s="141"/>
      <c r="C19" s="105" t="s">
        <v>761</v>
      </c>
      <c r="D19" s="84"/>
      <c r="E19" s="140" t="str">
        <f>IF($C19&lt;&gt;0,VLOOKUP($C19,'[1]Course Table'!$A$1:$G$330,2,TRUE),"")</f>
        <v>MS Powerpoint Level 2</v>
      </c>
      <c r="F19" s="84"/>
      <c r="G19" s="84">
        <f t="shared" si="1"/>
        <v>26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26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22</v>
      </c>
      <c r="M19" s="84">
        <f>COUNTIF($J$6:$J19,$J19)</f>
        <v>11</v>
      </c>
      <c r="N19" s="84">
        <f>IF($C19&lt;&gt;"",VLOOKUP($C19,'[1]Course Table'!$A$1:$I$330,8,FALSE),"")</f>
        <v>6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762</v>
      </c>
      <c r="D20" s="84"/>
      <c r="E20" s="140" t="str">
        <f>IF($C20&lt;&gt;0,VLOOKUP($C20,'[1]Course Table'!$A$1:$G$330,2,TRUE),"")</f>
        <v>MS Outlook Level 1</v>
      </c>
      <c r="F20" s="84"/>
      <c r="G20" s="84">
        <f t="shared" si="1"/>
        <v>25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389</v>
      </c>
      <c r="I20" s="84">
        <f>IF($C20&lt;&gt;"",VLOOKUP($C20,'[1]Course Table'!$A$1:$G$330,5,FALSE),"")</f>
        <v>25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22</v>
      </c>
      <c r="M20" s="84">
        <f>COUNTIF($J$6:$J20,$J20)</f>
        <v>12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776</v>
      </c>
      <c r="D21" s="99"/>
      <c r="E21" s="140" t="str">
        <f>IF($C21&lt;&gt;0,VLOOKUP($C21,'[1]Course Table'!$A$1:$G$330,2,TRUE),"")</f>
        <v>MS Outlook Level 2</v>
      </c>
      <c r="F21" s="84"/>
      <c r="G21" s="84">
        <f t="shared" si="1"/>
        <v>25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399</v>
      </c>
      <c r="I21" s="84">
        <f>IF($C21&lt;&gt;"",VLOOKUP($C21,'[1]Course Table'!$A$1:$G$330,5,FALSE),"")</f>
        <v>25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22</v>
      </c>
      <c r="M21" s="84">
        <f>COUNTIF($J$6:$J21,$J21)</f>
        <v>13</v>
      </c>
      <c r="N21" s="84">
        <f>IF($C21&lt;&gt;"",VLOOKUP($C21,'[1]Course Table'!$A$1:$I$330,8,FALSE),"")</f>
        <v>2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4" t="s">
        <v>226</v>
      </c>
      <c r="D22" s="99"/>
      <c r="E22" s="140" t="str">
        <f>IF($C22&lt;&gt;0,VLOOKUP($C22,'[1]Course Table'!$A$1:$G$330,2,TRUE),"")</f>
        <v>Workplace Success/Intrapreneurship</v>
      </c>
      <c r="F22" s="84"/>
      <c r="G22" s="84">
        <f t="shared" si="1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688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22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324</v>
      </c>
      <c r="D23" s="99"/>
      <c r="E23" s="140" t="str">
        <f>IF($C23&lt;&gt;0,VLOOKUP($C23,'[1]Course Table'!$A$1:$G$330,2,TRUE),"")</f>
        <v>Customer Service</v>
      </c>
      <c r="F23" s="84"/>
      <c r="G23" s="84">
        <f t="shared" si="1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549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22</v>
      </c>
      <c r="M23" s="84">
        <f>COUNTIF($J$6:$J23,$J23)</f>
        <v>15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1</v>
      </c>
      <c r="B24" s="141"/>
      <c r="C24" s="105" t="s">
        <v>23</v>
      </c>
      <c r="E24" s="140" t="str">
        <f>IF($C24&lt;&gt;0,VLOOKUP($C24,'[1]Course Table'!$A$1:$G$330,2,TRUE),"")</f>
        <v>Practical Applications - 2 Units</v>
      </c>
      <c r="F24" s="84"/>
      <c r="G24" s="84">
        <f t="shared" si="1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689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22</v>
      </c>
      <c r="M24" s="84">
        <f>COUNTIF($J$6:$J24,$J24)</f>
        <v>16</v>
      </c>
      <c r="N24" s="84">
        <f>IF($C24&lt;&gt;"",VLOOKUP($C24,'[1]Course Table'!$A$1:$I$330,8,FALSE),"")</f>
        <v>2</v>
      </c>
      <c r="O24" s="84">
        <f>IF($C24&lt;&gt;"",VLOOKUP($C24,'[1]Course Table'!$A$1:$I$330,9,FALSE),"")</f>
        <v>0</v>
      </c>
      <c r="P24" s="84"/>
      <c r="Q24" s="84"/>
    </row>
    <row r="25" spans="1:18">
      <c r="A25" s="79" t="s">
        <v>0</v>
      </c>
      <c r="B25" s="141"/>
      <c r="C25" s="105" t="s">
        <v>249</v>
      </c>
      <c r="D25" s="84"/>
      <c r="E25" s="140" t="str">
        <f>IF($C25&lt;&gt;0,VLOOKUP($C25,'[1]Course Table'!$A$1:$G$330,2,TRUE),"")</f>
        <v>Job Search/Resume Writing</v>
      </c>
      <c r="F25" s="84"/>
      <c r="G25" s="84">
        <f t="shared" si="1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579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22</v>
      </c>
      <c r="M25" s="84">
        <f>COUNTIF($J$6:$J25,$J25)</f>
        <v>17</v>
      </c>
      <c r="N25" s="84">
        <f>IF($C25&lt;&gt;"",VLOOKUP($C25,'[1]Course Table'!$A$1:$I$330,8,FALSE),"")</f>
        <v>15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41"/>
      <c r="C26" s="105"/>
      <c r="D26" s="84" t="s">
        <v>103</v>
      </c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13</v>
      </c>
      <c r="M26" s="84">
        <f>COUNTIF($J$6:$J26,$J26)</f>
        <v>4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 t="s">
        <v>0</v>
      </c>
      <c r="B27" s="141"/>
      <c r="C27" s="105" t="s">
        <v>782</v>
      </c>
      <c r="D27" s="84" t="s">
        <v>389</v>
      </c>
      <c r="E27" s="140" t="str">
        <f>IF($C27&lt;&gt;0,VLOOKUP($C27,'[1]Course Table'!$A$1:$G$330,2,TRUE),"")</f>
        <v xml:space="preserve">CompTIA A+ Certification: 220-1101                                  </v>
      </c>
      <c r="F27" s="84"/>
      <c r="G27" s="84">
        <f t="shared" si="1"/>
        <v>100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1301</v>
      </c>
      <c r="I27" s="84">
        <f>IF($C27&lt;&gt;"",VLOOKUP($C27,'[1]Course Table'!$A$1:$G$330,5,FALSE),"")</f>
        <v>100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22</v>
      </c>
      <c r="M27" s="84">
        <f>COUNTIF($J$6:$J27,$J27)</f>
        <v>18</v>
      </c>
      <c r="N27" s="84">
        <f>IF($C27&lt;&gt;"",VLOOKUP($C27,'[1]Course Table'!$A$1:$I$330,8,FALSE),"")</f>
        <v>11</v>
      </c>
      <c r="O27" s="84">
        <f>IF($C27&lt;&gt;"",VLOOKUP($C27,'[1]Course Table'!$A$1:$I$330,9,FALSE),"")</f>
        <v>5</v>
      </c>
      <c r="P27" s="84"/>
      <c r="Q27" s="84"/>
    </row>
    <row r="28" spans="1:18">
      <c r="A28" s="79" t="s">
        <v>0</v>
      </c>
      <c r="B28" s="141"/>
      <c r="C28" s="105" t="s">
        <v>783</v>
      </c>
      <c r="D28" s="84" t="s">
        <v>389</v>
      </c>
      <c r="E28" s="140" t="str">
        <f>IF($C28&lt;&gt;0,VLOOKUP($C28,'[1]Course Table'!$A$1:$G$330,2,TRUE),"")</f>
        <v>CompTIA A+ Certification: 220-1102</v>
      </c>
      <c r="F28" s="84"/>
      <c r="G28" s="84">
        <f t="shared" si="1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1301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22</v>
      </c>
      <c r="M28" s="84">
        <f>COUNTIF($J$6:$J28,$J28)</f>
        <v>19</v>
      </c>
      <c r="N28" s="84">
        <f>IF($C28&lt;&gt;"",VLOOKUP($C28,'[1]Course Table'!$A$1:$I$330,8,FALSE),"")</f>
        <v>11</v>
      </c>
      <c r="O28" s="84">
        <f>IF($C28&lt;&gt;"",VLOOKUP($C28,'[1]Course Table'!$A$1:$I$330,9,FALSE),"")</f>
        <v>5</v>
      </c>
      <c r="P28" s="84"/>
      <c r="Q28" s="84"/>
    </row>
    <row r="29" spans="1:18">
      <c r="A29" s="79" t="s">
        <v>0</v>
      </c>
      <c r="B29" s="141"/>
      <c r="C29" s="105" t="s">
        <v>781</v>
      </c>
      <c r="D29" s="84"/>
      <c r="E29" s="140" t="str">
        <f>IF($C29&lt;&gt;0,VLOOKUP($C29,'[1]Course Table'!$A$1:$G$330,2,TRUE),"")</f>
        <v>CompTIA Network+</v>
      </c>
      <c r="F29" s="84"/>
      <c r="G29" s="84">
        <f t="shared" si="1"/>
        <v>60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995</v>
      </c>
      <c r="I29" s="84">
        <f>IF($C29&lt;&gt;"",VLOOKUP($C29,'[1]Course Table'!$A$1:$G$330,5,FALSE),"")</f>
        <v>60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22</v>
      </c>
      <c r="M29" s="84">
        <f>COUNTIF($J$6:$J29,$J29)</f>
        <v>20</v>
      </c>
      <c r="N29" s="84">
        <f>IF($C29&lt;&gt;"",VLOOKUP($C29,'[1]Course Table'!$A$1:$I$330,8,FALSE),"")</f>
        <v>11</v>
      </c>
      <c r="O29" s="84">
        <f>IF($C29&lt;&gt;"",VLOOKUP($C29,'[1]Course Table'!$A$1:$I$330,9,FALSE),"")</f>
        <v>3</v>
      </c>
      <c r="P29" s="84"/>
      <c r="Q29" s="84"/>
    </row>
    <row r="30" spans="1:18">
      <c r="A30" s="79" t="s">
        <v>0</v>
      </c>
      <c r="B30" s="141"/>
      <c r="C30" s="105" t="s">
        <v>772</v>
      </c>
      <c r="D30" s="84"/>
      <c r="E30" s="140" t="str">
        <f>IF($C30&lt;&gt;0,VLOOKUP($C30,'[1]Course Table'!$A$1:$G$330,2,TRUE),"")</f>
        <v>CompTIA Security+</v>
      </c>
      <c r="F30" s="84"/>
      <c r="G30" s="84">
        <f t="shared" si="1"/>
        <v>100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1600</v>
      </c>
      <c r="I30" s="84">
        <f>IF($C30&lt;&gt;"",VLOOKUP($C30,'[1]Course Table'!$A$1:$G$330,5,FALSE),"")</f>
        <v>100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22</v>
      </c>
      <c r="M30" s="84">
        <f>COUNTIF($J$6:$J30,$J30)</f>
        <v>21</v>
      </c>
      <c r="N30" s="84">
        <f>IF($C30&lt;&gt;"",VLOOKUP($C30,'[1]Course Table'!$A$1:$I$330,8,FALSE),"")</f>
        <v>11</v>
      </c>
      <c r="O30" s="84">
        <f>IF($C30&lt;&gt;"",VLOOKUP($C30,'[1]Course Table'!$A$1:$I$330,9,FALSE),"")</f>
        <v>5</v>
      </c>
      <c r="P30" s="84"/>
      <c r="Q30" s="84"/>
    </row>
    <row r="31" spans="1:18">
      <c r="A31" s="79" t="s">
        <v>0</v>
      </c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13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 t="s">
        <v>429</v>
      </c>
      <c r="D32" s="84"/>
      <c r="E32" s="140" t="str">
        <f>IF($C32&lt;&gt;0,VLOOKUP($C32,'[1]Course Table'!$A$1:$G$330,2,TRUE),"")</f>
        <v>Study/Review - PC Support Specialist - BC</v>
      </c>
      <c r="F32" s="84"/>
      <c r="G32" s="84">
        <f t="shared" si="1"/>
        <v>161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625</v>
      </c>
      <c r="I32" s="84">
        <f>IF($C32&lt;&gt;"",VLOOKUP($C32,'[1]Course Table'!$A$1:$G$330,5,FALSE),"")</f>
        <v>161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22</v>
      </c>
      <c r="M32" s="84">
        <f>COUNTIF($J$6:$J32,$J32)</f>
        <v>22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8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13</v>
      </c>
      <c r="M33" s="84">
        <f>COUNTIF($J$6:$J33,$J33)</f>
        <v>6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13</v>
      </c>
      <c r="M34" s="84">
        <f>COUNTIF($J$6:$J34,$J34)</f>
        <v>7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13</v>
      </c>
      <c r="M35" s="84">
        <f>COUNTIF($J$6:$J35,$J35)</f>
        <v>8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13</v>
      </c>
      <c r="M36" s="84">
        <f>COUNTIF($J$6:$J36,$J36)</f>
        <v>9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13</v>
      </c>
      <c r="M37" s="84">
        <f>COUNTIF($J$6:$J37,$J37)</f>
        <v>10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13</v>
      </c>
      <c r="M38" s="84">
        <f>COUNTIF($J$6:$J38,$J38)</f>
        <v>11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13</v>
      </c>
      <c r="M39" s="84">
        <f>COUNTIF($J$6:$J39,$J39)</f>
        <v>12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13</v>
      </c>
      <c r="M40" s="84">
        <f>COUNTIF($J$6:$J40,$J40)</f>
        <v>13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13604</v>
      </c>
      <c r="I41" s="115">
        <f>SUM(I6:I40)</f>
        <v>1003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- 842          Exam &amp; Review Hours - 161          Total Course Hours - 1003</v>
      </c>
      <c r="E42" s="301"/>
      <c r="F42" s="301"/>
      <c r="G42" s="301"/>
      <c r="H42" s="117">
        <f>ROUNDUP(H41/(I41+C43),2)</f>
        <v>13.57</v>
      </c>
    </row>
    <row r="43" spans="1:18" s="90" customFormat="1" ht="12.75">
      <c r="C43" s="90">
        <f>ROUNDDOWN(I41*C42,0)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Hrs/Week:11.6 Months (50 Weeks); at 25 Hrs/Week:9.3 Months (40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161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$13958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49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3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3</v>
      </c>
      <c r="S49" s="78">
        <f>SUMIF($N$6:$N$40,Summary!S4,$O$6:$O$40)</f>
        <v>2.5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3</v>
      </c>
      <c r="W49" s="78">
        <f>SUMIF($N$6:$N$40,Summary!W4,$O$6:$O$40)</f>
        <v>0</v>
      </c>
      <c r="X49" s="78">
        <f>SUMIF($N$6:$N$40,Summary!X4,$O$6:$O$40)</f>
        <v>18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2:G42"/>
    <mergeCell ref="D43:G43"/>
    <mergeCell ref="D4:F4"/>
  </mergeCells>
  <phoneticPr fontId="0" type="noConversion"/>
  <pageMargins left="0.74803149606299213" right="0.55118110236220474" top="0.5" bottom="0.25" header="0.11811023622047245" footer="0"/>
  <pageSetup orientation="portrait" horizontalDpi="360" verticalDpi="360" r:id="rId1"/>
  <headerFooter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55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234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236</v>
      </c>
      <c r="E4" s="303"/>
      <c r="F4" s="303"/>
      <c r="G4" s="92" t="s">
        <v>525</v>
      </c>
      <c r="H4" s="100"/>
      <c r="I4" s="84" t="s">
        <v>7</v>
      </c>
      <c r="P4" s="84"/>
      <c r="Q4" s="84"/>
    </row>
    <row r="5" spans="1:17">
      <c r="A5" s="90" t="s">
        <v>232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7" t="s">
        <v>465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/>
      <c r="D7" s="84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7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/>
      <c r="D8" s="99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7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28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28</v>
      </c>
      <c r="M10" s="84">
        <f>COUNTIF($J$6:$J10,$J10)</f>
        <v>2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0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28</v>
      </c>
      <c r="M11" s="84">
        <f>COUNTIF($J$6:$J11,$J11)</f>
        <v>3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 t="s">
        <v>0</v>
      </c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28</v>
      </c>
      <c r="M12" s="84">
        <f>COUNTIF($J$6:$J12,$J12)</f>
        <v>4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765</v>
      </c>
      <c r="D13" s="84"/>
      <c r="E13" s="140" t="str">
        <f>IF($C13&lt;&gt;0,VLOOKUP($C13,'[1]Course Table'!$A$1:$G$330,2,TRUE),"")</f>
        <v>MS Excel Level 2</v>
      </c>
      <c r="F13" s="84"/>
      <c r="G13" s="84">
        <f t="shared" si="0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28</v>
      </c>
      <c r="M13" s="84">
        <f>COUNTIF($J$6:$J13,$J13)</f>
        <v>5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41"/>
      <c r="C14" s="105" t="s">
        <v>762</v>
      </c>
      <c r="D14" s="84"/>
      <c r="E14" s="140" t="str">
        <f>IF($C14&lt;&gt;0,VLOOKUP($C14,'[1]Course Table'!$A$1:$G$330,2,TRUE),"")</f>
        <v>MS Outlook Level 1</v>
      </c>
      <c r="F14" s="84"/>
      <c r="G14" s="84">
        <f t="shared" si="0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28</v>
      </c>
      <c r="M14" s="84">
        <f>COUNTIF($J$6:$J14,$J14)</f>
        <v>6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28</v>
      </c>
      <c r="M15" s="84">
        <f>COUNTIF($J$6:$J15,$J15)</f>
        <v>7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328</v>
      </c>
      <c r="D16" s="84"/>
      <c r="E16" s="140" t="str">
        <f>IF($C16&lt;&gt;0,VLOOKUP($C16,'[1]Course Table'!$A$1:$G$330,2,TRUE),"")</f>
        <v>Office Procedures Level 1</v>
      </c>
      <c r="F16" s="84"/>
      <c r="G16" s="84">
        <f t="shared" si="0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28</v>
      </c>
      <c r="M16" s="84">
        <f>COUNTIF($J$6:$J16,$J16)</f>
        <v>8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41"/>
      <c r="C17" s="105" t="s">
        <v>329</v>
      </c>
      <c r="D17" s="84"/>
      <c r="E17" s="140" t="str">
        <f>IF($C17&lt;&gt;0,VLOOKUP($C17,'[1]Course Table'!$A$1:$G$330,2,TRUE),"")</f>
        <v>Office Procedures Level 2</v>
      </c>
      <c r="F17" s="84"/>
      <c r="G17" s="84">
        <f t="shared" si="0"/>
        <v>24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399</v>
      </c>
      <c r="I17" s="84">
        <f>IF($C17&lt;&gt;"",VLOOKUP($C17,'[1]Course Table'!$A$1:$G$330,5,FALSE),"")</f>
        <v>24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28</v>
      </c>
      <c r="M17" s="84">
        <f>COUNTIF($J$6:$J17,$J17)</f>
        <v>9</v>
      </c>
      <c r="N17" s="84">
        <f>IF($C17&lt;&gt;"",VLOOKUP($C17,'[1]Course Table'!$A$1:$I$330,8,FALSE),"")</f>
        <v>2</v>
      </c>
      <c r="O17" s="84">
        <f>IF($C17&lt;&gt;"",VLOOKUP($C17,'[1]Course Table'!$A$1:$I$330,9,FALSE),"")</f>
        <v>1</v>
      </c>
      <c r="P17" s="84"/>
      <c r="Q17" s="84"/>
    </row>
    <row r="18" spans="1:18">
      <c r="A18" s="79" t="s">
        <v>0</v>
      </c>
      <c r="B18" s="141"/>
      <c r="C18" s="105" t="s">
        <v>324</v>
      </c>
      <c r="D18" s="84"/>
      <c r="E18" s="140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28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181</v>
      </c>
      <c r="D19" s="84"/>
      <c r="E19" s="140" t="str">
        <f>IF($C19&lt;&gt;0,VLOOKUP($C19,'[1]Course Table'!$A$1:$G$330,2,TRUE),"")</f>
        <v>Grammar Essentials for Business Writing</v>
      </c>
      <c r="F19" s="84"/>
      <c r="G19" s="84">
        <f t="shared" si="0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28</v>
      </c>
      <c r="M19" s="84">
        <f>COUNTIF($J$6:$J19,$J19)</f>
        <v>11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1.5</v>
      </c>
      <c r="P19" s="84"/>
      <c r="Q19" s="84"/>
    </row>
    <row r="20" spans="1:18">
      <c r="A20" s="79" t="s">
        <v>0</v>
      </c>
      <c r="B20" s="141"/>
      <c r="C20" s="105" t="s">
        <v>366</v>
      </c>
      <c r="D20" s="84"/>
      <c r="E20" s="140" t="str">
        <f>IF($C20&lt;&gt;0,VLOOKUP($C20,'[1]Course Table'!$A$1:$G$330,2,TRUE),"")</f>
        <v>Business Correspondence Level 1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28</v>
      </c>
      <c r="M20" s="84">
        <f>COUNTIF($J$6:$J20,$J20)</f>
        <v>12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367</v>
      </c>
      <c r="D21" s="99"/>
      <c r="E21" s="140" t="str">
        <f>IF($C21&lt;&gt;0,VLOOKUP($C21,'[1]Course Table'!$A$1:$G$330,2,TRUE),"")</f>
        <v>Business Correspondence Level 2</v>
      </c>
      <c r="F21" s="84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28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359</v>
      </c>
      <c r="D22" s="99"/>
      <c r="E22" s="140" t="str">
        <f>IF($C22&lt;&gt;0,VLOOKUP($C22,'[1]Course Table'!$A$1:$G$330,2,TRUE),"")</f>
        <v>Business Essentials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729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28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180</v>
      </c>
      <c r="D23" s="99"/>
      <c r="E23" s="140" t="str">
        <f>IF($C23&lt;&gt;0,VLOOKUP($C23,'[1]Course Table'!$A$1:$G$330,2,TRUE),"")</f>
        <v>Business Math</v>
      </c>
      <c r="F23" s="84"/>
      <c r="G23" s="84">
        <f t="shared" si="0"/>
        <v>22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399</v>
      </c>
      <c r="I23" s="84">
        <f>IF($C23&lt;&gt;"",VLOOKUP($C23,'[1]Course Table'!$A$1:$G$330,5,FALSE),"")</f>
        <v>22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28</v>
      </c>
      <c r="M23" s="84">
        <f>COUNTIF($J$6:$J23,$J23)</f>
        <v>15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41"/>
      <c r="C24" s="104" t="s">
        <v>568</v>
      </c>
      <c r="E24" s="140" t="str">
        <f>IF($C24&lt;&gt;0,VLOOKUP($C24,'[1]Course Table'!$A$1:$G$330,2,TRUE),"")</f>
        <v>Project Management Fundamentals - Level 1</v>
      </c>
      <c r="F24" s="84"/>
      <c r="G24" s="84">
        <f t="shared" si="0"/>
        <v>36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995</v>
      </c>
      <c r="I24" s="84">
        <f>IF($C24&lt;&gt;"",VLOOKUP($C24,'[1]Course Table'!$A$1:$G$330,5,FALSE),"")</f>
        <v>36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28</v>
      </c>
      <c r="M24" s="84">
        <f>COUNTIF($J$6:$J24,$J24)</f>
        <v>16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569</v>
      </c>
      <c r="D25" s="84"/>
      <c r="E25" s="140" t="str">
        <f>IF($C25&lt;&gt;0,VLOOKUP($C25,'[1]Course Table'!$A$1:$G$330,2,TRUE),"")</f>
        <v>Project Management Fundamentals - Level 2</v>
      </c>
      <c r="F25" s="84"/>
      <c r="G25" s="84">
        <f t="shared" si="0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695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28</v>
      </c>
      <c r="M25" s="84">
        <f>COUNTIF($J$6:$J25,$J25)</f>
        <v>17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41"/>
      <c r="C26" s="105" t="s">
        <v>791</v>
      </c>
      <c r="D26" s="84"/>
      <c r="E26" s="140" t="str">
        <f>IF($C26&lt;&gt;0,VLOOKUP($C26,'[1]Course Table'!$A$1:$G$330,2,TRUE),"")</f>
        <v>MS Project Level 1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499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28</v>
      </c>
      <c r="M26" s="84">
        <f>COUNTIF($J$6:$J26,$J26)</f>
        <v>18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41"/>
      <c r="C27" s="105" t="s">
        <v>376</v>
      </c>
      <c r="D27" s="84"/>
      <c r="E27" s="140" t="str">
        <f>IF($C27&lt;&gt;0,VLOOKUP($C27,'[1]Course Table'!$A$1:$G$330,2,TRUE),"")</f>
        <v>MS Project Level 2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28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164</v>
      </c>
      <c r="D28" s="84"/>
      <c r="E28" s="140" t="str">
        <f>IF($C28&lt;&gt;0,VLOOKUP($C28,'[1]Course Table'!$A$1:$G$330,2,TRUE),"")</f>
        <v>Business Financial Management</v>
      </c>
      <c r="F28" s="84"/>
      <c r="G28" s="84">
        <f t="shared" si="0"/>
        <v>40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729</v>
      </c>
      <c r="I28" s="84">
        <f>IF($C28&lt;&gt;"",VLOOKUP($C28,'[1]Course Table'!$A$1:$G$330,5,FALSE),"")</f>
        <v>40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28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2</v>
      </c>
      <c r="P28" s="84"/>
      <c r="Q28" s="84"/>
    </row>
    <row r="29" spans="1:18">
      <c r="A29" s="79" t="s">
        <v>0</v>
      </c>
      <c r="B29" s="141"/>
      <c r="C29" s="105" t="s">
        <v>219</v>
      </c>
      <c r="D29" s="84"/>
      <c r="E29" s="140" t="str">
        <f>IF($C29&lt;&gt;0,VLOOKUP($C29,'[1]Course Table'!$A$1:$G$330,2,TRUE),"")</f>
        <v>Business Verbal Communication</v>
      </c>
      <c r="F29" s="84"/>
      <c r="G29" s="84">
        <f t="shared" si="0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28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 t="s">
        <v>0</v>
      </c>
      <c r="B30" s="141"/>
      <c r="C30" s="105" t="s">
        <v>221</v>
      </c>
      <c r="D30" s="84"/>
      <c r="E30" s="140" t="str">
        <f>IF($C30&lt;&gt;0,VLOOKUP($C30,'[1]Course Table'!$A$1:$G$330,2,TRUE),"")</f>
        <v>Business Negotiations and Contracts</v>
      </c>
      <c r="F30" s="84"/>
      <c r="G30" s="84">
        <f t="shared" si="0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28</v>
      </c>
      <c r="M30" s="84">
        <f>COUNTIF($J$6:$J30,$J30)</f>
        <v>22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1.5</v>
      </c>
      <c r="P30" s="84"/>
      <c r="Q30" s="84"/>
    </row>
    <row r="31" spans="1:18">
      <c r="A31" s="79" t="s">
        <v>0</v>
      </c>
      <c r="B31" s="141"/>
      <c r="C31" s="105" t="s">
        <v>361</v>
      </c>
      <c r="D31" s="84"/>
      <c r="E31" s="140" t="str">
        <f>IF($C31&lt;&gt;0,VLOOKUP($C31,'[1]Course Table'!$A$1:$G$330,2,TRUE),"")</f>
        <v>Employment Success Strategies</v>
      </c>
      <c r="F31" s="84"/>
      <c r="G31" s="84">
        <f t="shared" si="0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699</v>
      </c>
      <c r="I31" s="84">
        <f>IF($C31&lt;&gt;"",VLOOKUP($C31,'[1]Course Table'!$A$1:$G$330,5,FALSE),"")</f>
        <v>40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28</v>
      </c>
      <c r="M31" s="84">
        <f>COUNTIF($J$6:$J31,$J31)</f>
        <v>23</v>
      </c>
      <c r="N31" s="84">
        <f>IF($C31&lt;&gt;"",VLOOKUP($C31,'[1]Course Table'!$A$1:$I$330,8,FALSE),"")</f>
        <v>9</v>
      </c>
      <c r="O31" s="84">
        <f>IF($C31&lt;&gt;"",VLOOKUP($C31,'[1]Course Table'!$A$1:$I$330,9,FALSE),"")</f>
        <v>2</v>
      </c>
      <c r="P31" s="84"/>
      <c r="Q31" s="84"/>
    </row>
    <row r="32" spans="1:18">
      <c r="A32" s="79" t="s">
        <v>0</v>
      </c>
      <c r="B32" s="141"/>
      <c r="C32" s="105" t="s">
        <v>174</v>
      </c>
      <c r="D32" s="84"/>
      <c r="E32" s="140" t="str">
        <f>IF($C32&lt;&gt;0,VLOOKUP($C32,'[1]Course Table'!$A$1:$G$330,2,TRUE),"")</f>
        <v>Business Supervisory Skills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28</v>
      </c>
      <c r="M32" s="84">
        <f>COUNTIF($J$6:$J32,$J32)</f>
        <v>24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1</v>
      </c>
      <c r="B33" s="141"/>
      <c r="C33" s="105" t="s">
        <v>172</v>
      </c>
      <c r="D33" s="84"/>
      <c r="E33" s="140" t="str">
        <f>IF($C33&lt;&gt;0,VLOOKUP($C33,'[1]Course Table'!$A$1:$G$330,2,TRUE),"")</f>
        <v>Business Presentations</v>
      </c>
      <c r="F33" s="84"/>
      <c r="G33" s="84">
        <f t="shared" si="0"/>
        <v>30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479</v>
      </c>
      <c r="I33" s="84">
        <f>IF($C33&lt;&gt;"",VLOOKUP($C33,'[1]Course Table'!$A$1:$G$330,5,FALSE),"")</f>
        <v>30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28</v>
      </c>
      <c r="M33" s="84">
        <f>COUNTIF($J$6:$J33,$J33)</f>
        <v>25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1.5</v>
      </c>
      <c r="P33" s="84"/>
      <c r="Q33" s="84"/>
      <c r="R33" s="90"/>
    </row>
    <row r="34" spans="1:18">
      <c r="A34" s="79"/>
      <c r="B34" s="141"/>
      <c r="C34" s="105" t="s">
        <v>23</v>
      </c>
      <c r="D34" s="84"/>
      <c r="E34" s="140" t="str">
        <f>IF($C34&lt;&gt;0,VLOOKUP($C34,'[1]Course Table'!$A$1:$G$330,2,TRUE),"")</f>
        <v>Practical Applications - 2 Units</v>
      </c>
      <c r="F34" s="84"/>
      <c r="G34" s="84">
        <f t="shared" si="0"/>
        <v>40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689</v>
      </c>
      <c r="I34" s="84">
        <f>IF($C34&lt;&gt;"",VLOOKUP($C34,'[1]Course Table'!$A$1:$G$330,5,FALSE),"")</f>
        <v>40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28</v>
      </c>
      <c r="M34" s="84">
        <f>COUNTIF($J$6:$J34,$J34)</f>
        <v>26</v>
      </c>
      <c r="N34" s="84">
        <f>IF($C34&lt;&gt;"",VLOOKUP($C34,'[1]Course Table'!$A$1:$I$330,8,FALSE),"")</f>
        <v>2</v>
      </c>
      <c r="O34" s="84">
        <f>IF($C34&lt;&gt;"",VLOOKUP($C34,'[1]Course Table'!$A$1:$I$330,9,FALSE),"")</f>
        <v>0</v>
      </c>
      <c r="P34" s="84"/>
      <c r="Q34" s="84"/>
      <c r="R34" s="90"/>
    </row>
    <row r="35" spans="1:18">
      <c r="A35" s="79"/>
      <c r="B35" s="141"/>
      <c r="C35" s="105" t="s">
        <v>249</v>
      </c>
      <c r="D35" s="84"/>
      <c r="E35" s="140" t="str">
        <f>IF($C35&lt;&gt;0,VLOOKUP($C35,'[1]Course Table'!$A$1:$G$330,2,TRUE),"")</f>
        <v>Job Search/Resume Writing</v>
      </c>
      <c r="F35" s="84"/>
      <c r="G35" s="84">
        <f t="shared" si="0"/>
        <v>30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579</v>
      </c>
      <c r="I35" s="84">
        <f>IF($C35&lt;&gt;"",VLOOKUP($C35,'[1]Course Table'!$A$1:$G$330,5,FALSE),"")</f>
        <v>30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28</v>
      </c>
      <c r="M35" s="84">
        <f>COUNTIF($J$6:$J35,$J35)</f>
        <v>27</v>
      </c>
      <c r="N35" s="84">
        <f>IF($C35&lt;&gt;"",VLOOKUP($C35,'[1]Course Table'!$A$1:$I$330,8,FALSE),"")</f>
        <v>15</v>
      </c>
      <c r="O35" s="84">
        <f>IF($C35&lt;&gt;"",VLOOKUP($C35,'[1]Course Table'!$A$1:$I$330,9,FALSE),"")</f>
        <v>1.5</v>
      </c>
      <c r="P35" s="84"/>
      <c r="Q35" s="84"/>
      <c r="R35" s="90"/>
    </row>
    <row r="36" spans="1:18">
      <c r="A36" s="79"/>
      <c r="B36" s="141"/>
      <c r="C36" s="105" t="s">
        <v>430</v>
      </c>
      <c r="D36" s="84"/>
      <c r="E36" s="140" t="str">
        <f>IF($C36&lt;&gt;0,VLOOKUP($C36,'[1]Course Table'!$A$1:$G$330,2,TRUE),"")</f>
        <v>Study/Review - Project Adm - BC</v>
      </c>
      <c r="F36" s="84"/>
      <c r="G36" s="84">
        <f t="shared" si="0"/>
        <v>84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0</v>
      </c>
      <c r="I36" s="84">
        <f>IF($C36&lt;&gt;"",VLOOKUP($C36,'[1]Course Table'!$A$1:$G$330,5,FALSE),"")</f>
        <v>84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28</v>
      </c>
      <c r="M36" s="84">
        <f>COUNTIF($J$6:$J36,$J36)</f>
        <v>28</v>
      </c>
      <c r="N36" s="84">
        <f>IF($C36&lt;&gt;"",VLOOKUP($C36,'[1]Course Table'!$A$1:$I$330,8,FALSE),"")</f>
        <v>99</v>
      </c>
      <c r="O36" s="84">
        <f>IF($C36&lt;&gt;"",VLOOKUP($C36,'[1]Course Table'!$A$1:$I$330,9,FALSE),"")</f>
        <v>4</v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7</v>
      </c>
      <c r="M37" s="84">
        <f>COUNTIF($J$6:$J37,$J37)</f>
        <v>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7</v>
      </c>
      <c r="M38" s="84">
        <f>COUNTIF($J$6:$J38,$J38)</f>
        <v>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7</v>
      </c>
      <c r="M39" s="84">
        <f>COUNTIF($J$6:$J39,$J39)</f>
        <v>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7</v>
      </c>
      <c r="M40" s="84">
        <f>COUNTIF($J$6:$J40,$J40)</f>
        <v>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14175</v>
      </c>
      <c r="I41" s="115">
        <f>SUM(I6:I40)</f>
        <v>918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- 834          Exam &amp; Review Hours - 84          Total Course Hours - 918</v>
      </c>
      <c r="E42" s="301"/>
      <c r="F42" s="301"/>
      <c r="G42" s="301"/>
      <c r="H42" s="117">
        <f>ROUNDUP(H41/(I41+C43),2)</f>
        <v>15.45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Hrs/Week:10.6 Months (45 Weeks); at 25 Hrs/Week:8.5 Months (37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$14529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44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4.5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24.5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7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148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182</v>
      </c>
      <c r="E4" s="303"/>
      <c r="F4" s="303"/>
      <c r="G4" s="92"/>
      <c r="H4" s="100"/>
      <c r="I4" s="84" t="s">
        <v>7</v>
      </c>
      <c r="P4" s="84"/>
      <c r="Q4" s="84"/>
    </row>
    <row r="5" spans="1:17">
      <c r="A5" s="90" t="s">
        <v>675</v>
      </c>
      <c r="B5" s="90"/>
      <c r="C5" s="90"/>
      <c r="D5" s="94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 t="shared" ref="G6:G40" si="0"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9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84"/>
      <c r="E7" s="140" t="str">
        <f>IF($C7&lt;&gt;0,VLOOKUP($C7,'[1]Course Table'!$A$1:$G$330,2,TRUE),"")</f>
        <v>Keyboard Skill Building Level 1 (25 WPM)</v>
      </c>
      <c r="F7" s="84"/>
      <c r="G7" s="84">
        <f t="shared" si="0"/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9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391</v>
      </c>
      <c r="D8" s="99"/>
      <c r="E8" s="140" t="str">
        <f>IF($C8&lt;&gt;0,VLOOKUP($C8,'[1]Course Table'!$A$1:$G$330,2,TRUE),"")</f>
        <v>Keyboard Skill Building Level 2 (40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9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9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9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0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9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/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9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762</v>
      </c>
      <c r="D13" s="84"/>
      <c r="E13" s="140" t="str">
        <f>IF($C13&lt;&gt;0,VLOOKUP($C13,'[1]Course Table'!$A$1:$G$330,2,TRUE),"")</f>
        <v>MS Outlook Level 1</v>
      </c>
      <c r="F13" s="84"/>
      <c r="G13" s="84">
        <f>I13</f>
        <v>25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9</v>
      </c>
      <c r="M13" s="84">
        <f>COUNTIF($J$6:$J13,$J13)</f>
        <v>8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1.5</v>
      </c>
      <c r="P13" s="84"/>
      <c r="Q13" s="84"/>
    </row>
    <row r="14" spans="1:17">
      <c r="A14" s="79"/>
      <c r="B14" s="141"/>
      <c r="C14" s="105" t="s">
        <v>328</v>
      </c>
      <c r="D14" s="84"/>
      <c r="E14" s="140" t="str">
        <f>IF($C14&lt;&gt;0,VLOOKUP($C14,'[1]Course Table'!$A$1:$G$330,2,TRUE),"")</f>
        <v>Office Procedures Level 1</v>
      </c>
      <c r="F14" s="84"/>
      <c r="G14" s="84">
        <f t="shared" si="0"/>
        <v>24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24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9</v>
      </c>
      <c r="M14" s="84">
        <f>COUNTIF($J$6:$J14,$J14)</f>
        <v>9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</v>
      </c>
      <c r="P14" s="84"/>
      <c r="Q14" s="84"/>
    </row>
    <row r="15" spans="1:17">
      <c r="A15" s="79"/>
      <c r="B15" s="141"/>
      <c r="C15" s="105"/>
      <c r="D15" s="84"/>
      <c r="E15" s="140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26</v>
      </c>
      <c r="M15" s="84">
        <f>COUNTIF($J$6:$J15,$J15)</f>
        <v>1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41"/>
      <c r="C16" s="105"/>
      <c r="D16" s="84"/>
      <c r="E16" s="140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26</v>
      </c>
      <c r="M16" s="84">
        <f>COUNTIF($J$6:$J16,$J16)</f>
        <v>2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41"/>
      <c r="C17" s="105"/>
      <c r="D17" s="84"/>
      <c r="E17" s="140" t="str">
        <f>IF($C17&lt;&gt;0,VLOOKUP($C17,'[1]Course Table'!$A$1:$G$330,2,TRUE),"")</f>
        <v/>
      </c>
      <c r="F17" s="84"/>
      <c r="G17" s="84" t="str">
        <f t="shared" si="0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26</v>
      </c>
      <c r="M17" s="84">
        <f>COUNTIF($J$6:$J17,$J17)</f>
        <v>3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41"/>
      <c r="C18" s="105"/>
      <c r="D18" s="84"/>
      <c r="E18" s="140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26</v>
      </c>
      <c r="M18" s="84">
        <f>COUNTIF($J$6:$J18,$J18)</f>
        <v>4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26</v>
      </c>
      <c r="M19" s="84">
        <f>COUNTIF($J$6:$J19,$J19)</f>
        <v>5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26</v>
      </c>
      <c r="M20" s="84">
        <f>COUNTIF($J$6:$J20,$J20)</f>
        <v>6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5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26</v>
      </c>
      <c r="M21" s="84">
        <f>COUNTIF($J$6:$J21,$J21)</f>
        <v>7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26</v>
      </c>
      <c r="M22" s="84">
        <f>COUNTIF($J$6:$J22,$J22)</f>
        <v>8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4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26</v>
      </c>
      <c r="M23" s="84">
        <f>COUNTIF($J$6:$J23,$J23)</f>
        <v>9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26</v>
      </c>
      <c r="M24" s="84">
        <f>COUNTIF($J$6:$J24,$J24)</f>
        <v>10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26</v>
      </c>
      <c r="M25" s="84">
        <f>COUNTIF($J$6:$J25,$J25)</f>
        <v>11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26</v>
      </c>
      <c r="M26" s="84">
        <f>COUNTIF($J$6:$J26,$J26)</f>
        <v>12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26</v>
      </c>
      <c r="M27" s="84">
        <f>COUNTIF($J$6:$J27,$J27)</f>
        <v>13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26</v>
      </c>
      <c r="M28" s="84">
        <f>COUNTIF($J$6:$J28,$J28)</f>
        <v>14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26</v>
      </c>
      <c r="M29" s="84">
        <f>COUNTIF($J$6:$J29,$J29)</f>
        <v>15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26</v>
      </c>
      <c r="M30" s="84">
        <f>COUNTIF($J$6:$J30,$J30)</f>
        <v>16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26</v>
      </c>
      <c r="M31" s="84">
        <f>COUNTIF($J$6:$J31,$J31)</f>
        <v>17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26</v>
      </c>
      <c r="M32" s="84">
        <f>COUNTIF($J$6:$J32,$J32)</f>
        <v>18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26</v>
      </c>
      <c r="M33" s="84">
        <f>COUNTIF($J$6:$J33,$J33)</f>
        <v>19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26</v>
      </c>
      <c r="M34" s="84">
        <f>COUNTIF($J$6:$J34,$J34)</f>
        <v>20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26</v>
      </c>
      <c r="M35" s="84">
        <f>COUNTIF($J$6:$J35,$J35)</f>
        <v>21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26</v>
      </c>
      <c r="M36" s="84">
        <f>COUNTIF($J$6:$J36,$J36)</f>
        <v>22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26</v>
      </c>
      <c r="M37" s="84">
        <f>COUNTIF($J$6:$J37,$J37)</f>
        <v>23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26</v>
      </c>
      <c r="M38" s="84">
        <f>COUNTIF($J$6:$J38,$J38)</f>
        <v>24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26</v>
      </c>
      <c r="M39" s="84">
        <f>COUNTIF($J$6:$J39,$J39)</f>
        <v>25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26</v>
      </c>
      <c r="M40" s="84">
        <f>COUNTIF($J$6:$J40,$J40)</f>
        <v>26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3471</v>
      </c>
      <c r="I41" s="115">
        <f>SUM(I6:I40)</f>
        <v>232</v>
      </c>
    </row>
    <row r="42" spans="1:18" s="90" customFormat="1" ht="12.75">
      <c r="C42" s="135">
        <v>0</v>
      </c>
      <c r="D42" s="301" t="str">
        <f>CONCATENATE("Course Hours - ",I41,"          Exam &amp; Review Hours - ",C43,"          Total Course Hours - ",I41+C43)</f>
        <v>Course Hours - 232          Exam &amp; Review Hours - 0          Total Course Hours - 232</v>
      </c>
      <c r="E42" s="301"/>
      <c r="F42" s="301"/>
      <c r="G42" s="301"/>
      <c r="H42" s="117">
        <f>ROUNDUP(H41/(I41+C43),2)</f>
        <v>14.97</v>
      </c>
    </row>
    <row r="43" spans="1:18" s="90" customFormat="1" ht="12.75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Hrs/Week:2.7 Months (11 Weeks); at 25 Hrs/Week:2.2 Months (10 Weeks); +2 weeks holiday</v>
      </c>
      <c r="E43" s="300"/>
      <c r="F43" s="300"/>
      <c r="G43" s="300"/>
      <c r="H43" s="118"/>
    </row>
    <row r="44" spans="1:18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$3825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12.5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4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1.5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6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265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263</v>
      </c>
      <c r="E4" s="303"/>
      <c r="F4" s="303"/>
      <c r="G4" s="92" t="s">
        <v>526</v>
      </c>
      <c r="H4" s="100"/>
      <c r="I4" s="84" t="s">
        <v>7</v>
      </c>
      <c r="P4" s="84"/>
      <c r="Q4" s="84"/>
    </row>
    <row r="5" spans="1:17">
      <c r="A5" s="90" t="s">
        <v>264</v>
      </c>
      <c r="B5" s="90"/>
      <c r="C5" s="90"/>
      <c r="D5" s="94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 t="s">
        <v>0</v>
      </c>
      <c r="B6" s="139"/>
      <c r="C6" s="73" t="s">
        <v>390</v>
      </c>
      <c r="D6" s="99"/>
      <c r="E6" s="140" t="str">
        <f>IF($C6&lt;&gt;0,VLOOKUP($C6,'[1]Course Table'!$A$1:$G$330,2,TRUE),"")</f>
        <v>Keyboard Skill Building Level 1 (25 WPM)</v>
      </c>
      <c r="F6" s="84"/>
      <c r="G6" s="84">
        <f t="shared" ref="G6:G40" si="0">I6</f>
        <v>25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389</v>
      </c>
      <c r="I6" s="84">
        <f>IF($C6&lt;&gt;"",VLOOKUP($C6,'[1]Course Table'!$A$1:$G$330,5,FALSE),"")</f>
        <v>25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13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1.5</v>
      </c>
      <c r="P6" s="84"/>
      <c r="Q6" s="84"/>
    </row>
    <row r="7" spans="1:17">
      <c r="A7" s="79" t="s">
        <v>0</v>
      </c>
      <c r="B7" s="141"/>
      <c r="C7" s="105" t="s">
        <v>323</v>
      </c>
      <c r="D7" s="84"/>
      <c r="E7" s="140" t="str">
        <f>IF($C7&lt;&gt;0,VLOOKUP($C7,'[1]Course Table'!$A$1:$G$330,2,TRUE),"")</f>
        <v>Marketing &amp; Sales</v>
      </c>
      <c r="F7" s="84"/>
      <c r="G7" s="84">
        <f t="shared" si="0"/>
        <v>40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696</v>
      </c>
      <c r="I7" s="84">
        <f>IF($C7&lt;&gt;"",VLOOKUP($C7,'[1]Course Table'!$A$1:$G$330,5,FALSE),"")</f>
        <v>40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13</v>
      </c>
      <c r="M7" s="84">
        <f>COUNTIF($J$6:$J7,$J7)</f>
        <v>2</v>
      </c>
      <c r="N7" s="84">
        <f>IF($C7&lt;&gt;"",VLOOKUP($C7,'[1]Course Table'!$A$1:$I$330,8,FALSE),"")</f>
        <v>9</v>
      </c>
      <c r="O7" s="84">
        <f>IF($C7&lt;&gt;"",VLOOKUP($C7,'[1]Course Table'!$A$1:$I$330,9,FALSE),"")</f>
        <v>2</v>
      </c>
      <c r="P7" s="84"/>
      <c r="Q7" s="84"/>
    </row>
    <row r="8" spans="1:17">
      <c r="A8" s="79" t="s">
        <v>0</v>
      </c>
      <c r="B8" s="141"/>
      <c r="C8" s="105" t="s">
        <v>463</v>
      </c>
      <c r="D8" s="99"/>
      <c r="E8" s="140" t="str">
        <f>IF($C8&lt;&gt;0,VLOOKUP($C8,'[1]Course Table'!$A$1:$G$330,2,TRUE),"")</f>
        <v>Windows 10 Level 1</v>
      </c>
      <c r="F8" s="84"/>
      <c r="G8" s="84">
        <f t="shared" si="0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13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327</v>
      </c>
      <c r="D9" s="84"/>
      <c r="E9" s="140" t="str">
        <f>IF($C9&lt;&gt;0,VLOOKUP($C9,'[1]Course Table'!$A$1:$G$330,2,TRUE),"")</f>
        <v>Customer Service Essentials</v>
      </c>
      <c r="F9" s="84"/>
      <c r="G9" s="84">
        <f t="shared" si="0"/>
        <v>20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341</v>
      </c>
      <c r="I9" s="84">
        <f>IF($C9&lt;&gt;"",VLOOKUP($C9,'[1]Course Table'!$A$1:$G$330,5,FALSE),"")</f>
        <v>20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13</v>
      </c>
      <c r="M9" s="84">
        <f>COUNTIF($J$6:$J9,$J9)</f>
        <v>4</v>
      </c>
      <c r="N9" s="84">
        <f>IF($C9&lt;&gt;"",VLOOKUP($C9,'[1]Course Table'!$A$1:$I$330,8,FALSE),"")</f>
        <v>9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13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363</v>
      </c>
      <c r="D11" s="84"/>
      <c r="E11" s="140" t="str">
        <f>IF($C11&lt;&gt;0,VLOOKUP($C11,'[1]Course Table'!$A$1:$G$330,2,TRUE),"")</f>
        <v>Business in the Digital Age</v>
      </c>
      <c r="F11" s="84"/>
      <c r="G11" s="84">
        <f t="shared" si="0"/>
        <v>30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499</v>
      </c>
      <c r="I11" s="84">
        <f>IF($C11&lt;&gt;"",VLOOKUP($C11,'[1]Course Table'!$A$1:$G$330,5,FALSE),"")</f>
        <v>30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13</v>
      </c>
      <c r="M11" s="84">
        <f>COUNTIF($J$6:$J11,$J11)</f>
        <v>6</v>
      </c>
      <c r="N11" s="84">
        <f>IF($C11&lt;&gt;"",VLOOKUP($C11,'[1]Course Table'!$A$1:$I$330,8,FALSE),"")</f>
        <v>9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180</v>
      </c>
      <c r="D12" s="84"/>
      <c r="E12" s="140" t="str">
        <f>IF($C12&lt;&gt;0,VLOOKUP($C12,'[1]Course Table'!$A$1:$G$330,2,TRUE),"")</f>
        <v>Business Math</v>
      </c>
      <c r="F12" s="84"/>
      <c r="G12" s="84">
        <f t="shared" si="0"/>
        <v>22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399</v>
      </c>
      <c r="I12" s="84">
        <f>IF($C12&lt;&gt;"",VLOOKUP($C12,'[1]Course Table'!$A$1:$G$330,5,FALSE),"")</f>
        <v>22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13</v>
      </c>
      <c r="M12" s="84">
        <f>COUNTIF($J$6:$J12,$J12)</f>
        <v>7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41"/>
      <c r="C13" s="105" t="s">
        <v>221</v>
      </c>
      <c r="D13" s="84"/>
      <c r="E13" s="140" t="str">
        <f>IF($C13&lt;&gt;0,VLOOKUP($C13,'[1]Course Table'!$A$1:$G$330,2,TRUE),"")</f>
        <v>Business Negotiations and Contracts</v>
      </c>
      <c r="F13" s="84"/>
      <c r="G13" s="84">
        <f t="shared" si="0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479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13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266</v>
      </c>
      <c r="D14" s="84"/>
      <c r="E14" s="140" t="str">
        <f>IF($C14&lt;&gt;0,VLOOKUP($C14,'[1]Course Table'!$A$1:$G$330,2,TRUE),"")</f>
        <v>Principles of Selling</v>
      </c>
      <c r="F14" s="84"/>
      <c r="G14" s="84">
        <f t="shared" si="0"/>
        <v>40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698</v>
      </c>
      <c r="I14" s="84">
        <f>IF($C14&lt;&gt;"",VLOOKUP($C14,'[1]Course Table'!$A$1:$G$330,5,FALSE),"")</f>
        <v>40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13</v>
      </c>
      <c r="M14" s="84">
        <f>COUNTIF($J$6:$J14,$J14)</f>
        <v>9</v>
      </c>
      <c r="N14" s="84">
        <f>IF($C14&lt;&gt;"",VLOOKUP($C14,'[1]Course Table'!$A$1:$I$330,8,FALSE),"")</f>
        <v>9</v>
      </c>
      <c r="O14" s="84">
        <f>IF($C14&lt;&gt;"",VLOOKUP($C14,'[1]Course Table'!$A$1:$I$330,9,FALSE),"")</f>
        <v>2</v>
      </c>
      <c r="P14" s="84"/>
      <c r="Q14" s="84"/>
    </row>
    <row r="15" spans="1:17">
      <c r="A15" s="79" t="s">
        <v>0</v>
      </c>
      <c r="B15" s="141"/>
      <c r="C15" s="105" t="s">
        <v>86</v>
      </c>
      <c r="D15" s="84"/>
      <c r="E15" s="140" t="str">
        <f>IF($C15&lt;&gt;0,VLOOKUP($C15,'[1]Course Table'!$A$1:$G$330,2,TRUE),"")</f>
        <v>Practical Applications - 1 Unit</v>
      </c>
      <c r="F15" s="84"/>
      <c r="G15" s="84">
        <f t="shared" si="0"/>
        <v>20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314</v>
      </c>
      <c r="I15" s="84">
        <f>IF($C15&lt;&gt;"",VLOOKUP($C15,'[1]Course Table'!$A$1:$G$330,5,FALSE),"")</f>
        <v>20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13</v>
      </c>
      <c r="M15" s="84">
        <f>COUNTIF($J$6:$J15,$J15)</f>
        <v>10</v>
      </c>
      <c r="N15" s="84">
        <f>IF($C15&lt;&gt;"",VLOOKUP($C15,'[1]Course Table'!$A$1:$I$330,8,FALSE),"")</f>
        <v>2</v>
      </c>
      <c r="O15" s="84">
        <f>IF($C15&lt;&gt;"",VLOOKUP($C15,'[1]Course Table'!$A$1:$I$330,9,FALSE),"")</f>
        <v>0</v>
      </c>
      <c r="P15" s="84"/>
      <c r="Q15" s="84"/>
    </row>
    <row r="16" spans="1:17">
      <c r="A16" s="79" t="s">
        <v>0</v>
      </c>
      <c r="B16" s="141"/>
      <c r="C16" s="105" t="s">
        <v>219</v>
      </c>
      <c r="D16" s="84"/>
      <c r="E16" s="140" t="str">
        <f>IF($C16&lt;&gt;0,VLOOKUP($C16,'[1]Course Table'!$A$1:$G$330,2,TRUE),"")</f>
        <v>Business Verbal Communication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479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13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1</v>
      </c>
      <c r="B17" s="141"/>
      <c r="C17" s="105" t="s">
        <v>249</v>
      </c>
      <c r="D17" s="84"/>
      <c r="E17" s="140" t="str">
        <f>IF($C17&lt;&gt;0,VLOOKUP($C17,'[1]Course Table'!$A$1:$G$330,2,TRUE),"")</f>
        <v>Job Search/Resume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579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13</v>
      </c>
      <c r="M17" s="84">
        <f>COUNTIF($J$6:$J17,$J17)</f>
        <v>12</v>
      </c>
      <c r="N17" s="84">
        <f>IF($C17&lt;&gt;"",VLOOKUP($C17,'[1]Course Table'!$A$1:$I$330,8,FALSE),"")</f>
        <v>15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448</v>
      </c>
      <c r="D18" s="84"/>
      <c r="E18" s="140" t="str">
        <f>IF($C18&lt;&gt;0,VLOOKUP($C18,'[1]Course Table'!$A$1:$G$330,2,TRUE),"")</f>
        <v>Study/Review - Sales Associate Cert - BC</v>
      </c>
      <c r="F18" s="84"/>
      <c r="G18" s="84">
        <f t="shared" si="0"/>
        <v>34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0</v>
      </c>
      <c r="I18" s="84">
        <f>IF($C18&lt;&gt;"",VLOOKUP($C18,'[1]Course Table'!$A$1:$G$330,5,FALSE),"")</f>
        <v>34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13</v>
      </c>
      <c r="M18" s="84">
        <f>COUNTIF($J$6:$J18,$J18)</f>
        <v>13</v>
      </c>
      <c r="N18" s="84">
        <f>IF($C18&lt;&gt;"",VLOOKUP($C18,'[1]Course Table'!$A$1:$I$330,8,FALSE),"")</f>
        <v>99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/>
      <c r="D19" s="84"/>
      <c r="E19" s="140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22</v>
      </c>
      <c r="M19" s="84">
        <f>COUNTIF($J$6:$J19,$J19)</f>
        <v>1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41"/>
      <c r="C20" s="105"/>
      <c r="D20" s="84"/>
      <c r="E20" s="140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22</v>
      </c>
      <c r="M20" s="84">
        <f>COUNTIF($J$6:$J20,$J20)</f>
        <v>2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41"/>
      <c r="C21" s="105"/>
      <c r="D21" s="99"/>
      <c r="E21" s="140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22</v>
      </c>
      <c r="M21" s="84">
        <f>COUNTIF($J$6:$J21,$J21)</f>
        <v>3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41"/>
      <c r="C22" s="105"/>
      <c r="D22" s="99"/>
      <c r="E22" s="140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22</v>
      </c>
      <c r="M22" s="84">
        <f>COUNTIF($J$6:$J22,$J22)</f>
        <v>4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41"/>
      <c r="C23" s="104"/>
      <c r="D23" s="99"/>
      <c r="E23" s="140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22</v>
      </c>
      <c r="M23" s="84">
        <f>COUNTIF($J$6:$J23,$J23)</f>
        <v>5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41"/>
      <c r="C24" s="105"/>
      <c r="E24" s="140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22</v>
      </c>
      <c r="M24" s="84">
        <f>COUNTIF($J$6:$J24,$J24)</f>
        <v>6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41"/>
      <c r="C25" s="105"/>
      <c r="D25" s="84"/>
      <c r="E25" s="140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22</v>
      </c>
      <c r="M25" s="84">
        <f>COUNTIF($J$6:$J25,$J25)</f>
        <v>7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22</v>
      </c>
      <c r="M26" s="84">
        <f>COUNTIF($J$6:$J26,$J26)</f>
        <v>8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22</v>
      </c>
      <c r="M27" s="84">
        <f>COUNTIF($J$6:$J27,$J27)</f>
        <v>9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22</v>
      </c>
      <c r="M28" s="84">
        <f>COUNTIF($J$6:$J28,$J28)</f>
        <v>10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22</v>
      </c>
      <c r="M29" s="84">
        <f>COUNTIF($J$6:$J29,$J29)</f>
        <v>11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22</v>
      </c>
      <c r="M30" s="84">
        <f>COUNTIF($J$6:$J30,$J30)</f>
        <v>12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22</v>
      </c>
      <c r="M31" s="84">
        <f>COUNTIF($J$6:$J31,$J31)</f>
        <v>13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22</v>
      </c>
      <c r="M32" s="84">
        <f>COUNTIF($J$6:$J32,$J32)</f>
        <v>14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22</v>
      </c>
      <c r="M33" s="84">
        <f>COUNTIF($J$6:$J33,$J33)</f>
        <v>15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22</v>
      </c>
      <c r="M34" s="84">
        <f>COUNTIF($J$6:$J34,$J34)</f>
        <v>16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22</v>
      </c>
      <c r="M35" s="84">
        <f>COUNTIF($J$6:$J35,$J35)</f>
        <v>17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22</v>
      </c>
      <c r="M36" s="84">
        <f>COUNTIF($J$6:$J36,$J36)</f>
        <v>18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22</v>
      </c>
      <c r="M37" s="84">
        <f>COUNTIF($J$6:$J37,$J37)</f>
        <v>19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22</v>
      </c>
      <c r="M38" s="84">
        <f>COUNTIF($J$6:$J38,$J38)</f>
        <v>20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22</v>
      </c>
      <c r="M39" s="84">
        <f>COUNTIF($J$6:$J39,$J39)</f>
        <v>21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22</v>
      </c>
      <c r="M40" s="84">
        <f>COUNTIF($J$6:$J40,$J40)</f>
        <v>22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5651</v>
      </c>
      <c r="I41" s="115">
        <f>SUM(I6:I40)</f>
        <v>370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- 336          Exam &amp; Review Hours - 34          Total Course Hours - 370</v>
      </c>
      <c r="E42" s="301"/>
      <c r="F42" s="301"/>
      <c r="G42" s="301"/>
      <c r="H42" s="117">
        <f>ROUNDUP(H41/(I41+C43),2)</f>
        <v>15.28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Weeks)")</f>
        <v>Duration at 20 Hrs/Week:4.3 Months (18 Weeks); at 25 Hrs/Week:3.4 Months (15 Weeks)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34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$6005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17.5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1.5</v>
      </c>
      <c r="O49" s="78">
        <f>SUMIF($N$6:$N$40,Summary!O4,$O$6:$O$40)</f>
        <v>1</v>
      </c>
      <c r="P49" s="78">
        <f>SUMIF($N$6:$N$40,Summary!P4,$O$6:$O$40)</f>
        <v>1.5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9.5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5:G45"/>
    <mergeCell ref="D4:F4"/>
    <mergeCell ref="D42:G42"/>
    <mergeCell ref="D43:G43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235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237</v>
      </c>
      <c r="E4" s="303"/>
      <c r="F4" s="303"/>
      <c r="G4" s="92" t="s">
        <v>527</v>
      </c>
      <c r="H4" s="100"/>
      <c r="I4" s="84" t="s">
        <v>7</v>
      </c>
      <c r="P4" s="84"/>
      <c r="Q4" s="84"/>
    </row>
    <row r="5" spans="1:17">
      <c r="A5" s="90" t="s">
        <v>233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">
        <v>466</v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11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41"/>
      <c r="C7" s="105"/>
      <c r="E7" s="140" t="str">
        <f>IF($C7&lt;&gt;0,VLOOKUP($C7,'[1]Course Table'!$A$1:$G$330,2,TRUE),"")</f>
        <v/>
      </c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11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/>
      <c r="D8" s="99" t="s">
        <v>8</v>
      </c>
      <c r="E8" s="140"/>
      <c r="F8" s="84"/>
      <c r="G8" s="84" t="str">
        <f t="shared" si="0"/>
        <v/>
      </c>
      <c r="H8" s="100" t="str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/>
      </c>
      <c r="I8" s="84" t="str">
        <f>IF($C8&lt;&gt;"",VLOOKUP($C8,'[1]Course Table'!$A$1:$G$330,5,FALSE),"")</f>
        <v/>
      </c>
      <c r="J8" s="101" t="str">
        <f>IF(AND($C8&lt;&gt;"",A8&lt;&gt;"E"),VLOOKUP($C8,'[1]Course Table'!$A$1:$G$330,6,FALSE),"")</f>
        <v/>
      </c>
      <c r="K8" s="101" t="str">
        <f>IF($C8&lt;&gt;"",VLOOKUP($C8,'[1]Course Table'!$A$1:$G$330,7,FALSE),"")</f>
        <v/>
      </c>
      <c r="L8" s="84">
        <f t="shared" si="1"/>
        <v>11</v>
      </c>
      <c r="M8" s="84">
        <f>COUNTIF($J$6:$J8,$J8)</f>
        <v>3</v>
      </c>
      <c r="N8" s="84" t="str">
        <f>IF($C8&lt;&gt;"",VLOOKUP($C8,'[1]Course Table'!$A$1:$I$330,8,FALSE),"")</f>
        <v/>
      </c>
      <c r="O8" s="84" t="str">
        <f>IF($C8&lt;&gt;"",VLOOKUP($C8,'[1]Course Table'!$A$1:$I$330,9,FALSE),"")</f>
        <v/>
      </c>
      <c r="P8" s="84"/>
      <c r="Q8" s="84"/>
    </row>
    <row r="9" spans="1:17">
      <c r="A9" s="79" t="s">
        <v>0</v>
      </c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24</v>
      </c>
      <c r="M9" s="84">
        <f>COUNTIF($J$6:$J9,$J9)</f>
        <v>1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24</v>
      </c>
      <c r="M10" s="84">
        <f>COUNTIF($J$6:$J10,$J10)</f>
        <v>2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763</v>
      </c>
      <c r="D11" s="84"/>
      <c r="E11" s="140" t="str">
        <f>IF($C11&lt;&gt;0,VLOOKUP($C11,'[1]Course Table'!$A$1:$G$330,2,TRUE),"")</f>
        <v>MS Excel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24</v>
      </c>
      <c r="M11" s="84">
        <f>COUNTIF($J$6:$J11,$J11)</f>
        <v>3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41"/>
      <c r="C12" s="105" t="s">
        <v>762</v>
      </c>
      <c r="D12" s="84"/>
      <c r="E12" s="140" t="str">
        <f>IF($C12&lt;&gt;0,VLOOKUP($C12,'[1]Course Table'!$A$1:$G$330,2,TRUE),"")</f>
        <v>MS Outlook Level 1</v>
      </c>
      <c r="F12" s="84"/>
      <c r="G12" s="84">
        <f t="shared" si="0"/>
        <v>25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24</v>
      </c>
      <c r="M12" s="84">
        <f>COUNTIF($J$6:$J12,$J12)</f>
        <v>4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41"/>
      <c r="C13" s="105" t="s">
        <v>760</v>
      </c>
      <c r="D13" s="84"/>
      <c r="E13" s="140" t="str">
        <f>IF($C13&lt;&gt;0,VLOOKUP($C13,'[1]Course Table'!$A$1:$G$330,2,TRUE),"")</f>
        <v>MS Powerpoint Level 1</v>
      </c>
      <c r="F13" s="84"/>
      <c r="G13" s="84">
        <f t="shared" si="0"/>
        <v>24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24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24</v>
      </c>
      <c r="M13" s="84">
        <f>COUNTIF($J$6:$J13,$J13)</f>
        <v>5</v>
      </c>
      <c r="N13" s="84">
        <f>IF($C13&lt;&gt;"",VLOOKUP($C13,'[1]Course Table'!$A$1:$I$330,8,FALSE),"")</f>
        <v>6</v>
      </c>
      <c r="O13" s="84">
        <f>IF($C13&lt;&gt;"",VLOOKUP($C13,'[1]Course Table'!$A$1:$I$330,9,FALSE),"")</f>
        <v>1</v>
      </c>
      <c r="P13" s="84"/>
      <c r="Q13" s="84"/>
    </row>
    <row r="14" spans="1:17">
      <c r="A14" s="79" t="s">
        <v>0</v>
      </c>
      <c r="B14" s="141"/>
      <c r="C14" s="105" t="s">
        <v>767</v>
      </c>
      <c r="D14" s="84"/>
      <c r="E14" s="140" t="str">
        <f>IF($C14&lt;&gt;0,VLOOKUP($C14,'[1]Course Table'!$A$1:$G$330,2,TRUE),"")</f>
        <v>MS Access Level 1</v>
      </c>
      <c r="F14" s="84"/>
      <c r="G14" s="84">
        <f t="shared" si="0"/>
        <v>27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27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24</v>
      </c>
      <c r="M14" s="84">
        <f>COUNTIF($J$6:$J14,$J14)</f>
        <v>6</v>
      </c>
      <c r="N14" s="84">
        <f>IF($C14&lt;&gt;"",VLOOKUP($C14,'[1]Course Table'!$A$1:$I$330,8,FALSE),"")</f>
        <v>5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41"/>
      <c r="C15" s="105" t="s">
        <v>324</v>
      </c>
      <c r="D15" s="84"/>
      <c r="E15" s="140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24</v>
      </c>
      <c r="M15" s="84">
        <f>COUNTIF($J$6:$J15,$J15)</f>
        <v>7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181</v>
      </c>
      <c r="D16" s="84"/>
      <c r="E16" s="140" t="str">
        <f>IF($C16&lt;&gt;0,VLOOKUP($C16,'[1]Course Table'!$A$1:$G$330,2,TRUE),"")</f>
        <v>Grammar Essentials for Business Writing</v>
      </c>
      <c r="F16" s="84"/>
      <c r="G16" s="84">
        <f t="shared" si="0"/>
        <v>30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479</v>
      </c>
      <c r="I16" s="84">
        <f>IF($C16&lt;&gt;"",VLOOKUP($C16,'[1]Course Table'!$A$1:$G$330,5,FALSE),"")</f>
        <v>30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24</v>
      </c>
      <c r="M16" s="84">
        <f>COUNTIF($J$6:$J16,$J16)</f>
        <v>8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 t="s">
        <v>0</v>
      </c>
      <c r="B17" s="141"/>
      <c r="C17" s="105" t="s">
        <v>366</v>
      </c>
      <c r="D17" s="84"/>
      <c r="E17" s="140" t="str">
        <f>IF($C17&lt;&gt;0,VLOOKUP($C17,'[1]Course Table'!$A$1:$G$330,2,TRUE),"")</f>
        <v>Business Correspondence Level 1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24</v>
      </c>
      <c r="M17" s="84">
        <f>COUNTIF($J$6:$J17,$J17)</f>
        <v>9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41"/>
      <c r="C18" s="105" t="s">
        <v>367</v>
      </c>
      <c r="D18" s="84"/>
      <c r="E18" s="140" t="str">
        <f>IF($C18&lt;&gt;0,VLOOKUP($C18,'[1]Course Table'!$A$1:$G$330,2,TRUE),"")</f>
        <v>Business Correspondence Level 2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499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24</v>
      </c>
      <c r="M18" s="84">
        <f>COUNTIF($J$6:$J18,$J18)</f>
        <v>10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359</v>
      </c>
      <c r="D19" s="84"/>
      <c r="E19" s="140" t="str">
        <f>IF($C19&lt;&gt;0,VLOOKUP($C19,'[1]Course Table'!$A$1:$G$330,2,TRUE),"")</f>
        <v>Business Essentials</v>
      </c>
      <c r="F19" s="84"/>
      <c r="G19" s="84">
        <f t="shared" si="0"/>
        <v>40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729</v>
      </c>
      <c r="I19" s="84">
        <f>IF($C19&lt;&gt;"",VLOOKUP($C19,'[1]Course Table'!$A$1:$G$330,5,FALSE),"")</f>
        <v>40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24</v>
      </c>
      <c r="M19" s="84">
        <f>COUNTIF($J$6:$J19,$J19)</f>
        <v>11</v>
      </c>
      <c r="N19" s="84">
        <f>IF($C19&lt;&gt;"",VLOOKUP($C19,'[1]Course Table'!$A$1:$I$330,8,FALSE),"")</f>
        <v>9</v>
      </c>
      <c r="O19" s="84">
        <f>IF($C19&lt;&gt;"",VLOOKUP($C19,'[1]Course Table'!$A$1:$I$330,9,FALSE),"")</f>
        <v>2</v>
      </c>
      <c r="P19" s="84"/>
      <c r="Q19" s="84"/>
    </row>
    <row r="20" spans="1:18">
      <c r="A20" s="79" t="s">
        <v>0</v>
      </c>
      <c r="B20" s="141"/>
      <c r="C20" s="105" t="s">
        <v>180</v>
      </c>
      <c r="D20" s="84"/>
      <c r="E20" s="140" t="str">
        <f>IF($C20&lt;&gt;0,VLOOKUP($C20,'[1]Course Table'!$A$1:$G$330,2,TRUE),"")</f>
        <v>Business Math</v>
      </c>
      <c r="F20" s="84"/>
      <c r="G20" s="84">
        <f t="shared" si="0"/>
        <v>22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22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24</v>
      </c>
      <c r="M20" s="84">
        <f>COUNTIF($J$6:$J20,$J20)</f>
        <v>12</v>
      </c>
      <c r="N20" s="84">
        <f>IF($C20&lt;&gt;"",VLOOKUP($C20,'[1]Course Table'!$A$1:$I$330,8,FALSE),"")</f>
        <v>2</v>
      </c>
      <c r="O20" s="84">
        <f>IF($C20&lt;&gt;"",VLOOKUP($C20,'[1]Course Table'!$A$1:$I$330,9,FALSE),"")</f>
        <v>1</v>
      </c>
      <c r="P20" s="84"/>
      <c r="Q20" s="84"/>
    </row>
    <row r="21" spans="1:18">
      <c r="A21" s="79" t="s">
        <v>0</v>
      </c>
      <c r="B21" s="141"/>
      <c r="C21" s="105" t="s">
        <v>323</v>
      </c>
      <c r="D21" s="99"/>
      <c r="E21" s="140" t="str">
        <f>IF($C21&lt;&gt;0,VLOOKUP($C21,'[1]Course Table'!$A$1:$G$330,2,TRUE),"")</f>
        <v>Marketing &amp; Sales</v>
      </c>
      <c r="F21" s="84"/>
      <c r="G21" s="84">
        <f t="shared" si="0"/>
        <v>40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696</v>
      </c>
      <c r="I21" s="84">
        <f>IF($C21&lt;&gt;"",VLOOKUP($C21,'[1]Course Table'!$A$1:$G$330,5,FALSE),"")</f>
        <v>40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24</v>
      </c>
      <c r="M21" s="84">
        <f>COUNTIF($J$6:$J21,$J21)</f>
        <v>13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2</v>
      </c>
      <c r="P21" s="84"/>
      <c r="Q21" s="84"/>
    </row>
    <row r="22" spans="1:18">
      <c r="A22" s="79" t="s">
        <v>0</v>
      </c>
      <c r="B22" s="141"/>
      <c r="C22" s="105" t="s">
        <v>786</v>
      </c>
      <c r="D22" s="99"/>
      <c r="E22" s="140" t="str">
        <f>IF($C22&lt;&gt;0,VLOOKUP($C22,'[1]Course Table'!$A$1:$G$330,2,TRUE),"")</f>
        <v>Principles of Selling</v>
      </c>
      <c r="F22" s="84"/>
      <c r="G22" s="84">
        <f t="shared" si="0"/>
        <v>40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698</v>
      </c>
      <c r="I22" s="84">
        <f>IF($C22&lt;&gt;"",VLOOKUP($C22,'[1]Course Table'!$A$1:$G$330,5,FALSE),"")</f>
        <v>40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24</v>
      </c>
      <c r="M22" s="84">
        <f>COUNTIF($J$6:$J22,$J22)</f>
        <v>14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2</v>
      </c>
    </row>
    <row r="23" spans="1:18">
      <c r="A23" s="79" t="s">
        <v>0</v>
      </c>
      <c r="B23" s="141"/>
      <c r="C23" s="105" t="s">
        <v>219</v>
      </c>
      <c r="D23" s="99"/>
      <c r="E23" s="140" t="str">
        <f>IF($C23&lt;&gt;0,VLOOKUP($C23,'[1]Course Table'!$A$1:$G$330,2,TRUE),"")</f>
        <v>Business Verbal Communication</v>
      </c>
      <c r="F23" s="84"/>
      <c r="G23" s="84">
        <f t="shared" si="0"/>
        <v>30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479</v>
      </c>
      <c r="I23" s="84">
        <f>IF($C23&lt;&gt;"",VLOOKUP($C23,'[1]Course Table'!$A$1:$G$330,5,FALSE),"")</f>
        <v>30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24</v>
      </c>
      <c r="M23" s="84">
        <f>COUNTIF($J$6:$J23,$J23)</f>
        <v>15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1.5</v>
      </c>
      <c r="P23" s="84"/>
      <c r="Q23" s="84"/>
    </row>
    <row r="24" spans="1:18">
      <c r="A24" s="79" t="s">
        <v>0</v>
      </c>
      <c r="B24" s="141"/>
      <c r="C24" s="105" t="s">
        <v>361</v>
      </c>
      <c r="E24" s="140" t="str">
        <f>IF($C24&lt;&gt;0,VLOOKUP($C24,'[1]Course Table'!$A$1:$G$330,2,TRUE),"")</f>
        <v>Employment Success Strategies</v>
      </c>
      <c r="F24" s="84"/>
      <c r="G24" s="84">
        <f t="shared" si="0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699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24</v>
      </c>
      <c r="M24" s="84">
        <f>COUNTIF($J$6:$J24,$J24)</f>
        <v>16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41"/>
      <c r="C25" s="105" t="s">
        <v>787</v>
      </c>
      <c r="D25" s="84"/>
      <c r="E25" s="140" t="str">
        <f>IF($C25&lt;&gt;0,VLOOKUP($C25,'[1]Course Table'!$A$1:$G$330,2,TRUE),"")</f>
        <v>Professional Selling</v>
      </c>
      <c r="F25" s="84"/>
      <c r="G25" s="84">
        <f t="shared" si="0"/>
        <v>40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698</v>
      </c>
      <c r="I25" s="84">
        <f>IF($C25&lt;&gt;"",VLOOKUP($C25,'[1]Course Table'!$A$1:$G$330,5,FALSE),"")</f>
        <v>40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24</v>
      </c>
      <c r="M25" s="84">
        <f>COUNTIF($J$6:$J25,$J25)</f>
        <v>17</v>
      </c>
      <c r="N25" s="84">
        <f>IF($C25&lt;&gt;"",VLOOKUP($C25,'[1]Course Table'!$A$1:$I$330,8,FALSE),"")</f>
        <v>9</v>
      </c>
      <c r="O25" s="84">
        <f>IF($C25&lt;&gt;"",VLOOKUP($C25,'[1]Course Table'!$A$1:$I$330,9,FALSE),"")</f>
        <v>2</v>
      </c>
      <c r="P25" s="84"/>
      <c r="Q25" s="84"/>
    </row>
    <row r="26" spans="1:18">
      <c r="A26" s="79" t="s">
        <v>0</v>
      </c>
      <c r="B26" s="141"/>
      <c r="C26" s="104" t="s">
        <v>172</v>
      </c>
      <c r="D26" s="84"/>
      <c r="E26" s="140" t="str">
        <f>IF($C26&lt;&gt;0,VLOOKUP($C26,'[1]Course Table'!$A$1:$G$330,2,TRUE),"")</f>
        <v>Business Presentations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479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24</v>
      </c>
      <c r="M26" s="84">
        <f>COUNTIF($J$6:$J26,$J26)</f>
        <v>18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41"/>
      <c r="C27" s="105" t="s">
        <v>363</v>
      </c>
      <c r="D27" s="84"/>
      <c r="E27" s="140" t="str">
        <f>IF($C27&lt;&gt;0,VLOOKUP($C27,'[1]Course Table'!$A$1:$G$330,2,TRUE),"")</f>
        <v>Business in the Digital Age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24</v>
      </c>
      <c r="M27" s="84">
        <f>COUNTIF($J$6:$J27,$J27)</f>
        <v>19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165</v>
      </c>
      <c r="D28" s="84"/>
      <c r="E28" s="140" t="str">
        <f>IF($C28&lt;&gt;0,VLOOKUP($C28,'[1]Course Table'!$A$1:$G$330,2,TRUE),"")</f>
        <v>Business Law &amp; Ethics</v>
      </c>
      <c r="F28" s="84"/>
      <c r="G28" s="84">
        <f t="shared" si="0"/>
        <v>30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479</v>
      </c>
      <c r="I28" s="84">
        <f>IF($C28&lt;&gt;"",VLOOKUP($C28,'[1]Course Table'!$A$1:$G$330,5,FALSE),"")</f>
        <v>30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24</v>
      </c>
      <c r="M28" s="84">
        <f>COUNTIF($J$6:$J28,$J28)</f>
        <v>20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1</v>
      </c>
      <c r="B29" s="141"/>
      <c r="C29" s="105" t="s">
        <v>221</v>
      </c>
      <c r="D29" s="84"/>
      <c r="E29" s="140" t="str">
        <f>IF($C29&lt;&gt;0,VLOOKUP($C29,'[1]Course Table'!$A$1:$G$330,2,TRUE),"")</f>
        <v>Business Negotiations and Contracts</v>
      </c>
      <c r="F29" s="84"/>
      <c r="G29" s="84">
        <f t="shared" si="0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24</v>
      </c>
      <c r="M29" s="84">
        <f>COUNTIF($J$6:$J29,$J29)</f>
        <v>21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/>
      <c r="B30" s="141"/>
      <c r="C30" s="105" t="s">
        <v>86</v>
      </c>
      <c r="D30" s="84"/>
      <c r="E30" s="140" t="str">
        <f>IF($C30&lt;&gt;0,VLOOKUP($C30,'[1]Course Table'!$A$1:$G$330,2,TRUE),"")</f>
        <v>Practical Applications - 1 Unit</v>
      </c>
      <c r="F30" s="84"/>
      <c r="G30" s="84">
        <f t="shared" si="0"/>
        <v>20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314</v>
      </c>
      <c r="I30" s="84">
        <f>IF($C30&lt;&gt;"",VLOOKUP($C30,'[1]Course Table'!$A$1:$G$330,5,FALSE),"")</f>
        <v>20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24</v>
      </c>
      <c r="M30" s="84">
        <f>COUNTIF($J$6:$J30,$J30)</f>
        <v>22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0</v>
      </c>
      <c r="P30" s="84"/>
      <c r="Q30" s="84"/>
    </row>
    <row r="31" spans="1:18">
      <c r="A31" s="79"/>
      <c r="B31" s="141"/>
      <c r="C31" s="105" t="s">
        <v>249</v>
      </c>
      <c r="D31" s="84"/>
      <c r="E31" s="140" t="str">
        <f>IF($C31&lt;&gt;0,VLOOKUP($C31,'[1]Course Table'!$A$1:$G$330,2,TRUE),"")</f>
        <v>Job Search/Resume Writing</v>
      </c>
      <c r="F31" s="84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579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24</v>
      </c>
      <c r="M31" s="84">
        <f>COUNTIF($J$6:$J31,$J31)</f>
        <v>23</v>
      </c>
      <c r="N31" s="84">
        <f>IF($C31&lt;&gt;"",VLOOKUP($C31,'[1]Course Table'!$A$1:$I$330,8,FALSE),"")</f>
        <v>15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41"/>
      <c r="C32" s="105" t="s">
        <v>431</v>
      </c>
      <c r="D32" s="84"/>
      <c r="E32" s="140" t="str">
        <f>IF($C32&lt;&gt;0,VLOOKUP($C32,'[1]Course Table'!$A$1:$G$330,2,TRUE),"")</f>
        <v>Study/Review - Sales Professional - BC</v>
      </c>
      <c r="F32" s="84"/>
      <c r="G32" s="84">
        <f t="shared" si="0"/>
        <v>71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71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24</v>
      </c>
      <c r="M32" s="84">
        <f>COUNTIF($J$6:$J32,$J32)</f>
        <v>24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3.5</v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11</v>
      </c>
      <c r="M33" s="84">
        <f>COUNTIF($J$6:$J33,$J33)</f>
        <v>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11</v>
      </c>
      <c r="M34" s="84">
        <f>COUNTIF($J$6:$J34,$J34)</f>
        <v>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11</v>
      </c>
      <c r="M35" s="84">
        <f>COUNTIF($J$6:$J35,$J35)</f>
        <v>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11</v>
      </c>
      <c r="M36" s="84">
        <f>COUNTIF($J$6:$J36,$J36)</f>
        <v>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11</v>
      </c>
      <c r="M37" s="84">
        <f>COUNTIF($J$6:$J37,$J37)</f>
        <v>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11</v>
      </c>
      <c r="M38" s="84">
        <f>COUNTIF($J$6:$J38,$J38)</f>
        <v>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11</v>
      </c>
      <c r="M39" s="84">
        <f>COUNTIF($J$6:$J39,$J39)</f>
        <v>10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11</v>
      </c>
      <c r="M40" s="84">
        <f>COUNTIF($J$6:$J40,$J40)</f>
        <v>11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11787</v>
      </c>
      <c r="I41" s="115">
        <f>SUM(I6:I40)</f>
        <v>773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- 702          Exam &amp; Review Hours - 71          Total Course Hours - 773</v>
      </c>
      <c r="E42" s="301"/>
      <c r="F42" s="301"/>
      <c r="G42" s="301"/>
      <c r="H42" s="117">
        <f>ROUNDUP(H41/(I41+C43),2)</f>
        <v>15.25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(",ROUND((I41+C43)/20.1,0)," Weeks); at 25 Hrs/Week:",ROUND((I41+C43)/(25*4.33),1)," Months (",ROUND((I41+C43)/25,0)," Weeks)","; +2 weeks holiday")</f>
        <v>Duration at 20 Hrs/Week:8.9 Months (38 Weeks); at 25 Hrs/Week:7.1 Months (31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71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$12141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37.5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2.5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1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23.5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2B2E-1161-47D2-8E08-D1D0A537CE71}">
  <sheetPr codeName="Sheet34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638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615</v>
      </c>
      <c r="E4" s="303"/>
      <c r="F4" s="303"/>
      <c r="G4" s="92" t="s">
        <v>635</v>
      </c>
      <c r="H4" s="100"/>
      <c r="I4" s="84" t="s">
        <v>7</v>
      </c>
      <c r="P4" s="84"/>
      <c r="Q4" s="84"/>
    </row>
    <row r="5" spans="1:17">
      <c r="A5" s="90" t="s">
        <v>616</v>
      </c>
      <c r="B5" s="90"/>
      <c r="C5" s="90"/>
      <c r="D5" s="99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7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 t="s">
        <v>617</v>
      </c>
      <c r="E7" s="140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28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41"/>
      <c r="C8" s="105" t="s">
        <v>618</v>
      </c>
      <c r="D8" s="99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28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28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619</v>
      </c>
      <c r="D10" s="84"/>
      <c r="E10" s="140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28</v>
      </c>
      <c r="M10" s="84">
        <f>COUNTIF($J$6:$J10,$J10)</f>
        <v>4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620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28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467</v>
      </c>
      <c r="D12" s="84"/>
      <c r="E12" s="140" t="str">
        <f>IF($C12&lt;&gt;0,VLOOKUP($C12,'[1]Course Table'!$A$1:$G$330,2,TRUE),"")</f>
        <v>Windows 10 Level 2</v>
      </c>
      <c r="F12" s="84"/>
      <c r="G12" s="84">
        <f t="shared" si="0"/>
        <v>20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28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634</v>
      </c>
      <c r="D13" s="84"/>
      <c r="E13" s="140" t="str">
        <f>IF($C13&lt;&gt;0,VLOOKUP($C13,'[1]Course Table'!$A$1:$G$330,2,TRUE),"")</f>
        <v>Internet Fundamentals</v>
      </c>
      <c r="F13" s="84"/>
      <c r="G13" s="84">
        <f t="shared" si="0"/>
        <v>22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28</v>
      </c>
      <c r="M13" s="84">
        <f>COUNTIF($J$6:$J13,$J13)</f>
        <v>7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/>
      <c r="B14" s="141"/>
      <c r="C14" s="105" t="s">
        <v>621</v>
      </c>
      <c r="D14" s="84"/>
      <c r="E14" s="140" t="str">
        <f>IF($C14&lt;&gt;0,VLOOKUP($C14,'[1]Course Table'!$A$1:$G$330,2,TRUE),"")</f>
        <v>Computer and Technology Basics for Developers</v>
      </c>
      <c r="F14" s="84"/>
      <c r="G14" s="84">
        <f t="shared" si="0"/>
        <v>40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720</v>
      </c>
      <c r="I14" s="84">
        <f>IF($C14&lt;&gt;"",VLOOKUP($C14,'[1]Course Table'!$A$1:$G$330,5,FALSE),"")</f>
        <v>40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28</v>
      </c>
      <c r="M14" s="84">
        <f>COUNTIF($J$6:$J14,$J14)</f>
        <v>8</v>
      </c>
      <c r="N14" s="84">
        <f>IF($C14&lt;&gt;"",VLOOKUP($C14,'[1]Course Table'!$A$1:$I$330,8,FALSE),"")</f>
        <v>17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757</v>
      </c>
      <c r="D15" s="84"/>
      <c r="E15" s="140" t="str">
        <f>IF($C15&lt;&gt;0,VLOOKUP($C15,'[1]Course Table'!$A$1:$G$330,2,TRUE),"")</f>
        <v>MS Word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28</v>
      </c>
      <c r="M15" s="84">
        <f>COUNTIF($J$6:$J15,$J15)</f>
        <v>9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28</v>
      </c>
      <c r="M16" s="84">
        <f>COUNTIF($J$6:$J16,$J16)</f>
        <v>10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760</v>
      </c>
      <c r="D17" s="84"/>
      <c r="E17" s="140" t="str">
        <f>IF($C17&lt;&gt;0,VLOOKUP($C17,'[1]Course Table'!$A$1:$G$330,2,TRUE),"")</f>
        <v>MS Powerpoint Level 1</v>
      </c>
      <c r="F17" s="84"/>
      <c r="G17" s="84">
        <f t="shared" si="0"/>
        <v>24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24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28</v>
      </c>
      <c r="M17" s="84">
        <f>COUNTIF($J$6:$J17,$J17)</f>
        <v>11</v>
      </c>
      <c r="N17" s="84">
        <f>IF($C17&lt;&gt;"",VLOOKUP($C17,'[1]Course Table'!$A$1:$I$330,8,FALSE),"")</f>
        <v>6</v>
      </c>
      <c r="O17" s="84">
        <f>IF($C17&lt;&gt;"",VLOOKUP($C17,'[1]Course Table'!$A$1:$I$330,9,FALSE),"")</f>
        <v>1</v>
      </c>
      <c r="P17" s="84"/>
      <c r="Q17" s="84"/>
    </row>
    <row r="18" spans="1:18">
      <c r="A18" s="79"/>
      <c r="B18" s="141"/>
      <c r="C18" s="105" t="s">
        <v>763</v>
      </c>
      <c r="D18" s="84"/>
      <c r="E18" s="140" t="str">
        <f>IF($C18&lt;&gt;0,VLOOKUP($C18,'[1]Course Table'!$A$1:$G$330,2,TRUE),"")</f>
        <v>MS Excel Level 1</v>
      </c>
      <c r="F18" s="84"/>
      <c r="G18" s="84">
        <f t="shared" si="0"/>
        <v>28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28</v>
      </c>
      <c r="M18" s="84">
        <f>COUNTIF($J$6:$J18,$J18)</f>
        <v>12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622</v>
      </c>
      <c r="D19" s="84"/>
      <c r="E19" s="140" t="str">
        <f>IF($C19&lt;&gt;0,VLOOKUP($C19,'[1]Course Table'!$A$1:$G$330,2,TRUE),"")</f>
        <v>Overview of Software Development</v>
      </c>
      <c r="F19" s="84"/>
      <c r="G19" s="84">
        <f t="shared" si="0"/>
        <v>32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582</v>
      </c>
      <c r="I19" s="84">
        <f>IF($C19&lt;&gt;"",VLOOKUP($C19,'[1]Course Table'!$A$1:$G$330,5,FALSE),"")</f>
        <v>32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28</v>
      </c>
      <c r="M19" s="84">
        <f>COUNTIF($J$6:$J19,$J19)</f>
        <v>13</v>
      </c>
      <c r="N19" s="84">
        <f>IF($C19&lt;&gt;"",VLOOKUP($C19,'[1]Course Table'!$A$1:$I$330,8,FALSE),"")</f>
        <v>17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41"/>
      <c r="C20" s="105" t="s">
        <v>623</v>
      </c>
      <c r="D20" s="84"/>
      <c r="E20" s="140" t="str">
        <f>IF($C20&lt;&gt;0,VLOOKUP($C20,'[1]Course Table'!$A$1:$G$330,2,TRUE),"")</f>
        <v>Version Control</v>
      </c>
      <c r="F20" s="84"/>
      <c r="G20" s="84">
        <f t="shared" si="0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438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28</v>
      </c>
      <c r="M20" s="84">
        <f>COUNTIF($J$6:$J20,$J20)</f>
        <v>14</v>
      </c>
      <c r="N20" s="84">
        <f>IF($C20&lt;&gt;"",VLOOKUP($C20,'[1]Course Table'!$A$1:$I$330,8,FALSE),"")</f>
        <v>17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5" t="s">
        <v>624</v>
      </c>
      <c r="D21" s="99"/>
      <c r="E21" s="140" t="str">
        <f>IF($C21&lt;&gt;0,VLOOKUP($C21,'[1]Course Table'!$A$1:$G$330,2,TRUE),"")</f>
        <v>HTML</v>
      </c>
      <c r="F21" s="84"/>
      <c r="G21" s="84">
        <f t="shared" si="0"/>
        <v>24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438</v>
      </c>
      <c r="I21" s="84">
        <f>IF($C21&lt;&gt;"",VLOOKUP($C21,'[1]Course Table'!$A$1:$G$330,5,FALSE),"")</f>
        <v>24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28</v>
      </c>
      <c r="M21" s="84">
        <f>COUNTIF($J$6:$J21,$J21)</f>
        <v>15</v>
      </c>
      <c r="N21" s="84">
        <f>IF($C21&lt;&gt;"",VLOOKUP($C21,'[1]Course Table'!$A$1:$I$330,8,FALSE),"")</f>
        <v>17</v>
      </c>
      <c r="O21" s="84">
        <f>IF($C21&lt;&gt;"",VLOOKUP($C21,'[1]Course Table'!$A$1:$I$330,9,FALSE),"")</f>
        <v>1</v>
      </c>
      <c r="P21" s="84"/>
      <c r="Q21" s="84"/>
    </row>
    <row r="22" spans="1:18">
      <c r="A22" s="79"/>
      <c r="B22" s="141"/>
      <c r="C22" s="105" t="s">
        <v>625</v>
      </c>
      <c r="D22" s="99"/>
      <c r="E22" s="140" t="str">
        <f>IF($C22&lt;&gt;0,VLOOKUP($C22,'[1]Course Table'!$A$1:$G$330,2,TRUE),"")</f>
        <v>CSS and Bootstrap</v>
      </c>
      <c r="F22" s="84"/>
      <c r="G22" s="84">
        <f t="shared" si="0"/>
        <v>56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1020</v>
      </c>
      <c r="I22" s="84">
        <f>IF($C22&lt;&gt;"",VLOOKUP($C22,'[1]Course Table'!$A$1:$G$330,5,FALSE),"")</f>
        <v>56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28</v>
      </c>
      <c r="M22" s="84">
        <f>COUNTIF($J$6:$J22,$J22)</f>
        <v>16</v>
      </c>
      <c r="N22" s="84">
        <f>IF($C22&lt;&gt;"",VLOOKUP($C22,'[1]Course Table'!$A$1:$I$330,8,FALSE),"")</f>
        <v>17</v>
      </c>
      <c r="O22" s="84">
        <f>IF($C22&lt;&gt;"",VLOOKUP($C22,'[1]Course Table'!$A$1:$I$330,9,FALSE),"")</f>
        <v>3</v>
      </c>
    </row>
    <row r="23" spans="1:18">
      <c r="A23" s="79"/>
      <c r="B23" s="141"/>
      <c r="C23" s="105" t="s">
        <v>626</v>
      </c>
      <c r="D23" s="99"/>
      <c r="E23" s="140" t="str">
        <f>IF($C23&lt;&gt;0,VLOOKUP($C23,'[1]Course Table'!$A$1:$G$330,2,TRUE),"")</f>
        <v>JavaScript</v>
      </c>
      <c r="F23" s="84"/>
      <c r="G23" s="84">
        <f t="shared" si="0"/>
        <v>48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870</v>
      </c>
      <c r="I23" s="84">
        <f>IF($C23&lt;&gt;"",VLOOKUP($C23,'[1]Course Table'!$A$1:$G$330,5,FALSE),"")</f>
        <v>48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28</v>
      </c>
      <c r="M23" s="84">
        <f>COUNTIF($J$6:$J23,$J23)</f>
        <v>17</v>
      </c>
      <c r="N23" s="84">
        <f>IF($C23&lt;&gt;"",VLOOKUP($C23,'[1]Course Table'!$A$1:$I$330,8,FALSE),"")</f>
        <v>17</v>
      </c>
      <c r="O23" s="84">
        <f>IF($C23&lt;&gt;"",VLOOKUP($C23,'[1]Course Table'!$A$1:$I$330,9,FALSE),"")</f>
        <v>2.5</v>
      </c>
      <c r="P23" s="84"/>
      <c r="Q23" s="84"/>
    </row>
    <row r="24" spans="1:18">
      <c r="A24" s="79"/>
      <c r="B24" s="141"/>
      <c r="C24" s="105" t="s">
        <v>767</v>
      </c>
      <c r="E24" s="140" t="str">
        <f>IF($C24&lt;&gt;0,VLOOKUP($C24,'[1]Course Table'!$A$1:$G$330,2,TRUE),"")</f>
        <v>MS Access Level 1</v>
      </c>
      <c r="F24" s="84"/>
      <c r="G24" s="84">
        <f t="shared" si="0"/>
        <v>27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389</v>
      </c>
      <c r="I24" s="84">
        <f>IF($C24&lt;&gt;"",VLOOKUP($C24,'[1]Course Table'!$A$1:$G$330,5,FALSE),"")</f>
        <v>27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28</v>
      </c>
      <c r="M24" s="84">
        <f>COUNTIF($J$6:$J24,$J24)</f>
        <v>18</v>
      </c>
      <c r="N24" s="84">
        <f>IF($C24&lt;&gt;"",VLOOKUP($C24,'[1]Course Table'!$A$1:$I$330,8,FALSE),"")</f>
        <v>5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769</v>
      </c>
      <c r="D25" s="84"/>
      <c r="E25" s="140" t="str">
        <f>IF($C25&lt;&gt;0,VLOOKUP($C25,'[1]Course Table'!$A$1:$G$330,2,TRUE),"")</f>
        <v>MS Access Level 2</v>
      </c>
      <c r="F25" s="84"/>
      <c r="G25" s="84">
        <f t="shared" si="0"/>
        <v>30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389</v>
      </c>
      <c r="I25" s="84">
        <f>IF($C25&lt;&gt;"",VLOOKUP($C25,'[1]Course Table'!$A$1:$G$330,5,FALSE),"")</f>
        <v>30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28</v>
      </c>
      <c r="M25" s="84">
        <f>COUNTIF($J$6:$J25,$J25)</f>
        <v>19</v>
      </c>
      <c r="N25" s="84">
        <f>IF($C25&lt;&gt;"",VLOOKUP($C25,'[1]Course Table'!$A$1:$I$330,8,FALSE),"")</f>
        <v>5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41"/>
      <c r="C26" s="105" t="s">
        <v>627</v>
      </c>
      <c r="D26" s="84"/>
      <c r="E26" s="140" t="str">
        <f>IF($C26&lt;&gt;0,VLOOKUP($C26,'[1]Course Table'!$A$1:$G$330,2,TRUE),"")</f>
        <v>Database and SQL</v>
      </c>
      <c r="F26" s="84"/>
      <c r="G26" s="84">
        <f t="shared" si="0"/>
        <v>64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1158</v>
      </c>
      <c r="I26" s="84">
        <f>IF($C26&lt;&gt;"",VLOOKUP($C26,'[1]Course Table'!$A$1:$G$330,5,FALSE),"")</f>
        <v>64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28</v>
      </c>
      <c r="M26" s="84">
        <f>COUNTIF($J$6:$J26,$J26)</f>
        <v>20</v>
      </c>
      <c r="N26" s="84">
        <f>IF($C26&lt;&gt;"",VLOOKUP($C26,'[1]Course Table'!$A$1:$I$330,8,FALSE),"")</f>
        <v>17</v>
      </c>
      <c r="O26" s="84">
        <f>IF($C26&lt;&gt;"",VLOOKUP($C26,'[1]Course Table'!$A$1:$I$330,9,FALSE),"")</f>
        <v>3</v>
      </c>
      <c r="P26" s="84"/>
      <c r="Q26" s="84"/>
    </row>
    <row r="27" spans="1:18">
      <c r="A27" s="79"/>
      <c r="B27" s="141"/>
      <c r="C27" s="104" t="s">
        <v>628</v>
      </c>
      <c r="D27" s="84"/>
      <c r="E27" s="140" t="str">
        <f>IF($C27&lt;&gt;0,VLOOKUP($C27,'[1]Course Table'!$A$1:$G$330,2,TRUE),"")</f>
        <v>Visual Studio</v>
      </c>
      <c r="F27" s="84"/>
      <c r="G27" s="84">
        <f t="shared" si="0"/>
        <v>8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144</v>
      </c>
      <c r="I27" s="84">
        <f>IF($C27&lt;&gt;"",VLOOKUP($C27,'[1]Course Table'!$A$1:$G$330,5,FALSE),"")</f>
        <v>8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28</v>
      </c>
      <c r="M27" s="84">
        <f>COUNTIF($J$6:$J27,$J27)</f>
        <v>21</v>
      </c>
      <c r="N27" s="84">
        <f>IF($C27&lt;&gt;"",VLOOKUP($C27,'[1]Course Table'!$A$1:$I$330,8,FALSE),"")</f>
        <v>17</v>
      </c>
      <c r="O27" s="84">
        <f>IF($C27&lt;&gt;"",VLOOKUP($C27,'[1]Course Table'!$A$1:$I$330,9,FALSE),"")</f>
        <v>0.5</v>
      </c>
      <c r="P27" s="84"/>
      <c r="Q27" s="84"/>
    </row>
    <row r="28" spans="1:18">
      <c r="A28" s="79"/>
      <c r="B28" s="141"/>
      <c r="C28" s="105" t="s">
        <v>629</v>
      </c>
      <c r="D28" s="84"/>
      <c r="E28" s="140" t="str">
        <f>IF($C28&lt;&gt;0,VLOOKUP($C28,'[1]Course Table'!$A$1:$G$330,2,TRUE),"")</f>
        <v>C# and .NET Framework - Part 1</v>
      </c>
      <c r="F28" s="84"/>
      <c r="G28" s="84">
        <f t="shared" si="0"/>
        <v>100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1818</v>
      </c>
      <c r="I28" s="84">
        <f>IF($C28&lt;&gt;"",VLOOKUP($C28,'[1]Course Table'!$A$1:$G$330,5,FALSE),"")</f>
        <v>100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28</v>
      </c>
      <c r="M28" s="84">
        <f>COUNTIF($J$6:$J28,$J28)</f>
        <v>22</v>
      </c>
      <c r="N28" s="84">
        <f>IF($C28&lt;&gt;"",VLOOKUP($C28,'[1]Course Table'!$A$1:$I$330,8,FALSE),"")</f>
        <v>17</v>
      </c>
      <c r="O28" s="84">
        <f>IF($C28&lt;&gt;"",VLOOKUP($C28,'[1]Course Table'!$A$1:$I$330,9,FALSE),"")</f>
        <v>5</v>
      </c>
      <c r="P28" s="84"/>
      <c r="Q28" s="84"/>
    </row>
    <row r="29" spans="1:18">
      <c r="A29" s="79"/>
      <c r="B29" s="141"/>
      <c r="C29" s="105" t="s">
        <v>630</v>
      </c>
      <c r="D29" s="84"/>
      <c r="E29" s="140" t="str">
        <f>IF($C29&lt;&gt;0,VLOOKUP($C29,'[1]Course Table'!$A$1:$G$330,2,TRUE),"")</f>
        <v>C# and .NET Framework - Part 2</v>
      </c>
      <c r="F29" s="84"/>
      <c r="G29" s="84">
        <f t="shared" si="0"/>
        <v>92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1662</v>
      </c>
      <c r="I29" s="84">
        <f>IF($C29&lt;&gt;"",VLOOKUP($C29,'[1]Course Table'!$A$1:$G$330,5,FALSE),"")</f>
        <v>92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28</v>
      </c>
      <c r="M29" s="84">
        <f>COUNTIF($J$6:$J29,$J29)</f>
        <v>23</v>
      </c>
      <c r="N29" s="84">
        <f>IF($C29&lt;&gt;"",VLOOKUP($C29,'[1]Course Table'!$A$1:$I$330,8,FALSE),"")</f>
        <v>17</v>
      </c>
      <c r="O29" s="84">
        <f>IF($C29&lt;&gt;"",VLOOKUP($C29,'[1]Course Table'!$A$1:$I$330,9,FALSE),"")</f>
        <v>4.5</v>
      </c>
      <c r="P29" s="84"/>
      <c r="Q29" s="84"/>
    </row>
    <row r="30" spans="1:18">
      <c r="A30" s="79"/>
      <c r="B30" s="141"/>
      <c r="C30" s="105" t="s">
        <v>631</v>
      </c>
      <c r="D30" s="84"/>
      <c r="E30" s="140" t="str">
        <f>IF($C30&lt;&gt;0,VLOOKUP($C30,'[1]Course Table'!$A$1:$G$330,2,TRUE),"")</f>
        <v>Project Management Fundamentals - Level 1</v>
      </c>
      <c r="F30" s="84"/>
      <c r="G30" s="84">
        <f t="shared" si="0"/>
        <v>36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995</v>
      </c>
      <c r="I30" s="84">
        <f>IF($C30&lt;&gt;"",VLOOKUP($C30,'[1]Course Table'!$A$1:$G$330,5,FALSE),"")</f>
        <v>36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28</v>
      </c>
      <c r="M30" s="84">
        <f>COUNTIF($J$6:$J30,$J30)</f>
        <v>24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2</v>
      </c>
      <c r="P30" s="84"/>
      <c r="Q30" s="84"/>
    </row>
    <row r="31" spans="1:18">
      <c r="A31" s="79"/>
      <c r="B31" s="141"/>
      <c r="C31" s="105" t="s">
        <v>632</v>
      </c>
      <c r="D31" s="84"/>
      <c r="E31" s="140" t="str">
        <f>IF($C31&lt;&gt;0,VLOOKUP($C31,'[1]Course Table'!$A$1:$G$330,2,TRUE),"")</f>
        <v>Managing Software Development Projects</v>
      </c>
      <c r="F31" s="84"/>
      <c r="G31" s="84">
        <f t="shared" si="0"/>
        <v>8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144</v>
      </c>
      <c r="I31" s="84">
        <f>IF($C31&lt;&gt;"",VLOOKUP($C31,'[1]Course Table'!$A$1:$G$330,5,FALSE),"")</f>
        <v>8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28</v>
      </c>
      <c r="M31" s="84">
        <f>COUNTIF($J$6:$J31,$J31)</f>
        <v>25</v>
      </c>
      <c r="N31" s="84">
        <f>IF($C31&lt;&gt;"",VLOOKUP($C31,'[1]Course Table'!$A$1:$I$330,8,FALSE),"")</f>
        <v>17</v>
      </c>
      <c r="O31" s="84">
        <f>IF($C31&lt;&gt;"",VLOOKUP($C31,'[1]Course Table'!$A$1:$I$330,9,FALSE),"")</f>
        <v>0.5</v>
      </c>
      <c r="P31" s="84"/>
      <c r="Q31" s="84"/>
    </row>
    <row r="32" spans="1:18">
      <c r="A32" s="79"/>
      <c r="B32" s="141"/>
      <c r="C32" s="105" t="s">
        <v>544</v>
      </c>
      <c r="D32" s="84"/>
      <c r="E32" s="140" t="str">
        <f>IF($C32&lt;&gt;0,VLOOKUP($C32,'[1]Course Table'!$A$1:$G$330,2,TRUE),"")</f>
        <v>Customer Service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549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28</v>
      </c>
      <c r="M32" s="84">
        <f>COUNTIF($J$6:$J32,$J32)</f>
        <v>26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/>
      <c r="B33" s="141"/>
      <c r="C33" s="105" t="s">
        <v>543</v>
      </c>
      <c r="D33" s="84"/>
      <c r="E33" s="140" t="str">
        <f>IF($C33&lt;&gt;0,VLOOKUP($C33,'[1]Course Table'!$A$1:$G$330,2,TRUE),"")</f>
        <v>Business Essentials</v>
      </c>
      <c r="F33" s="84"/>
      <c r="G33" s="84">
        <f t="shared" si="0"/>
        <v>40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729</v>
      </c>
      <c r="I33" s="84">
        <f>IF($C33&lt;&gt;"",VLOOKUP($C33,'[1]Course Table'!$A$1:$G$330,5,FALSE),"")</f>
        <v>40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28</v>
      </c>
      <c r="M33" s="84">
        <f>COUNTIF($J$6:$J33,$J33)</f>
        <v>27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2</v>
      </c>
      <c r="P33" s="84"/>
      <c r="Q33" s="84"/>
      <c r="R33" s="90"/>
    </row>
    <row r="34" spans="1:18">
      <c r="A34" s="79"/>
      <c r="B34" s="141"/>
      <c r="C34" s="105" t="s">
        <v>633</v>
      </c>
      <c r="D34" s="84"/>
      <c r="E34" s="140" t="str">
        <f>IF($C34&lt;&gt;0,VLOOKUP($C34,'[1]Course Table'!$A$1:$G$330,2,TRUE),"")</f>
        <v>Job Search/Resume Writing</v>
      </c>
      <c r="F34" s="84"/>
      <c r="G34" s="84">
        <f t="shared" si="0"/>
        <v>30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579</v>
      </c>
      <c r="I34" s="84">
        <f>IF($C34&lt;&gt;"",VLOOKUP($C34,'[1]Course Table'!$A$1:$G$330,5,FALSE),"")</f>
        <v>30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28</v>
      </c>
      <c r="M34" s="84">
        <f>COUNTIF($J$6:$J34,$J34)</f>
        <v>28</v>
      </c>
      <c r="N34" s="84">
        <f>IF($C34&lt;&gt;"",VLOOKUP($C34,'[1]Course Table'!$A$1:$I$330,8,FALSE),"")</f>
        <v>15</v>
      </c>
      <c r="O34" s="84">
        <f>IF($C34&lt;&gt;"",VLOOKUP($C34,'[1]Course Table'!$A$1:$I$330,9,FALSE),"")</f>
        <v>1.5</v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7</v>
      </c>
      <c r="M35" s="84">
        <f>COUNTIF($J$6:$J35,$J35)</f>
        <v>2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7</v>
      </c>
      <c r="M36" s="84">
        <f>COUNTIF($J$6:$J36,$J36)</f>
        <v>3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7</v>
      </c>
      <c r="M37" s="84">
        <f>COUNTIF($J$6:$J37,$J37)</f>
        <v>4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7</v>
      </c>
      <c r="M38" s="84">
        <f>COUNTIF($J$6:$J38,$J38)</f>
        <v>5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7</v>
      </c>
      <c r="M39" s="84">
        <f>COUNTIF($J$6:$J39,$J39)</f>
        <v>6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7</v>
      </c>
      <c r="M40" s="84">
        <f>COUNTIF($J$6:$J40,$J40)</f>
        <v>7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17063</v>
      </c>
      <c r="I41" s="115">
        <f>SUM(I6:I40)</f>
        <v>949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- 949          Exam &amp; Review Hours - 0          Total Course Hours - 949</v>
      </c>
      <c r="E42" s="301"/>
      <c r="F42" s="301"/>
      <c r="G42" s="301"/>
      <c r="H42" s="117">
        <f>ROUNDUP(H41/(I41+C43),2)</f>
        <v>17.98</v>
      </c>
    </row>
    <row r="43" spans="1:18" s="90" customFormat="1" ht="12.75">
      <c r="C43" s="90">
        <f>ROUNDUP(I41*C42,0)</f>
        <v>0</v>
      </c>
      <c r="D43" s="300" t="str">
        <f>CONCATENATE("Duration at 20 Hrs/Week:",ROUNDUP((I41+C43)/(20*4.33),1)," Months (",ROUNDDOWN((I41+C43)/20,0)," Weeks); at 25 Hrs/Week:",ROUNDUP((I41+C43)/(25*4.33),1)," Months (",ROUNDUP((I41+C43)/25,0)," Weeks)","; +2 weeks holiday")</f>
        <v>Duration at 20 Hrs/Week:11 Months (47 Weeks); at 25 Hrs/Week:8.8 Months (38 Weeks); +2 weeks holiday</v>
      </c>
      <c r="E43" s="300"/>
      <c r="F43" s="300"/>
      <c r="G43" s="300"/>
      <c r="H43" s="118"/>
    </row>
    <row r="44" spans="1:18" s="84" customFormat="1" ht="13.5">
      <c r="C44" s="90">
        <f>_xlfn.IFNA(VLOOKUP("SR"&amp;"*",$C$6:$G$40,5,FALSE),0)</f>
        <v>0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$17417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47.5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3</v>
      </c>
      <c r="S49" s="78">
        <f>SUMIF($N$6:$N$40,Summary!S4,$O$6:$O$40)</f>
        <v>1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5.5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24.5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:F4"/>
    <mergeCell ref="D42:G42"/>
    <mergeCell ref="D43:G43"/>
    <mergeCell ref="D45:G45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5" style="78" customWidth="1"/>
    <col min="6" max="6" width="7.5" style="78" customWidth="1"/>
    <col min="7" max="7" width="15.83203125" style="78" customWidth="1"/>
    <col min="8" max="8" width="7.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90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243</v>
      </c>
      <c r="E4" s="299"/>
      <c r="F4" s="299"/>
      <c r="G4" s="92" t="s">
        <v>499</v>
      </c>
      <c r="I4" s="84" t="s">
        <v>7</v>
      </c>
      <c r="P4" s="84"/>
      <c r="Q4" s="84"/>
    </row>
    <row r="5" spans="1:17">
      <c r="A5" s="90" t="s">
        <v>660</v>
      </c>
      <c r="B5" s="90"/>
      <c r="C5" s="90"/>
      <c r="D5" s="94" t="s">
        <v>8</v>
      </c>
      <c r="E5" s="90"/>
      <c r="F5" s="90"/>
      <c r="G5" s="95" t="s">
        <v>9</v>
      </c>
      <c r="H5" s="118" t="s">
        <v>10</v>
      </c>
      <c r="I5" s="90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>COUNTIF($J$6:$J$40,$J6)</f>
        <v>27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0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ref="L7:L40" si="1">COUNTIF($J$6:$J$40,$J7)</f>
        <v>27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785</v>
      </c>
      <c r="D8" s="84"/>
      <c r="E8" s="99" t="str">
        <f>IF($C8&lt;&gt;0,VLOOKUP($C8,'[1]Course Table'!$A$1:$G$330,2,TRUE),"")</f>
        <v>Thought Patterns for a Successful Career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27</v>
      </c>
      <c r="M8" s="84">
        <f>COUNTIF($J$6:$J8,$J8)</f>
        <v>3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27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0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27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757</v>
      </c>
      <c r="D11" s="84"/>
      <c r="E11" s="99" t="str">
        <f>IF($C11&lt;&gt;0,VLOOKUP($C11,'[1]Course Table'!$A$1:$G$330,2,TRUE),"")</f>
        <v>MS Word Level 1</v>
      </c>
      <c r="F11" s="84"/>
      <c r="G11" s="84">
        <f t="shared" si="0"/>
        <v>28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28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27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1.5</v>
      </c>
      <c r="P11" s="84"/>
      <c r="Q11" s="84"/>
    </row>
    <row r="12" spans="1:17">
      <c r="A12" s="79" t="s">
        <v>0</v>
      </c>
      <c r="B12" s="103"/>
      <c r="C12" s="105" t="s">
        <v>763</v>
      </c>
      <c r="D12" s="84"/>
      <c r="E12" s="99" t="str">
        <f>IF($C12&lt;&gt;0,VLOOKUP($C12,'[1]Course Table'!$A$1:$G$330,2,TRUE),"")</f>
        <v>MS Excel Level 1</v>
      </c>
      <c r="F12" s="84"/>
      <c r="G12" s="84">
        <f t="shared" si="0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27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03"/>
      <c r="C13" s="105" t="s">
        <v>765</v>
      </c>
      <c r="D13" s="84"/>
      <c r="E13" s="99" t="str">
        <f>IF($C13&lt;&gt;0,VLOOKUP($C13,'[1]Course Table'!$A$1:$G$330,2,TRUE),"")</f>
        <v>MS Excel Level 2</v>
      </c>
      <c r="F13" s="84"/>
      <c r="G13" s="84">
        <f t="shared" si="0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27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2</v>
      </c>
      <c r="P13" s="84"/>
      <c r="Q13" s="84"/>
    </row>
    <row r="14" spans="1:17">
      <c r="A14" s="79" t="s">
        <v>0</v>
      </c>
      <c r="B14" s="103"/>
      <c r="C14" s="105" t="s">
        <v>766</v>
      </c>
      <c r="D14" s="84"/>
      <c r="E14" s="99" t="str">
        <f>IF($C14&lt;&gt;0,VLOOKUP($C14,'[1]Course Table'!$A$1:$G$330,2,TRUE),"")</f>
        <v>MS Excel Level 3</v>
      </c>
      <c r="F14" s="84"/>
      <c r="G14" s="84">
        <f t="shared" si="0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27</v>
      </c>
      <c r="M14" s="84">
        <f>COUNTIF($J$6:$J14,$J14)</f>
        <v>9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 t="s">
        <v>0</v>
      </c>
      <c r="B15" s="103"/>
      <c r="C15" s="105" t="s">
        <v>767</v>
      </c>
      <c r="D15" s="84"/>
      <c r="E15" s="99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27</v>
      </c>
      <c r="M15" s="84">
        <f>COUNTIF($J$6:$J15,$J15)</f>
        <v>10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328</v>
      </c>
      <c r="D16" s="84"/>
      <c r="E16" s="99" t="str">
        <f>IF($C16&lt;&gt;0,VLOOKUP($C16,'[1]Course Table'!$A$1:$G$330,2,TRUE),"")</f>
        <v>Office Procedures Level 1</v>
      </c>
      <c r="F16" s="84"/>
      <c r="G16" s="84">
        <f t="shared" si="0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27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03"/>
      <c r="C17" s="105" t="s">
        <v>181</v>
      </c>
      <c r="D17" s="84"/>
      <c r="E17" s="99" t="str">
        <f>IF($C17&lt;&gt;0,VLOOKUP($C17,'[1]Course Table'!$A$1:$G$330,2,TRUE),"")</f>
        <v>Grammar Essentials for Business Writing</v>
      </c>
      <c r="F17" s="84"/>
      <c r="G17" s="84">
        <f t="shared" si="0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479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27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 t="s">
        <v>0</v>
      </c>
      <c r="B18" s="103"/>
      <c r="C18" s="105" t="s">
        <v>324</v>
      </c>
      <c r="D18" s="84"/>
      <c r="E18" s="99" t="str">
        <f>IF($C18&lt;&gt;0,VLOOKUP($C18,'[1]Course Table'!$A$1:$G$330,2,TRUE),"")</f>
        <v>Customer Service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549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27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 t="s">
        <v>180</v>
      </c>
      <c r="D19" s="84"/>
      <c r="E19" s="99" t="str">
        <f>IF($C19&lt;&gt;0,VLOOKUP($C19,'[1]Course Table'!$A$1:$G$330,2,TRUE),"")</f>
        <v>Business Math</v>
      </c>
      <c r="F19" s="84"/>
      <c r="G19" s="84">
        <f t="shared" si="0"/>
        <v>22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399</v>
      </c>
      <c r="I19" s="84">
        <f>IF($C19&lt;&gt;"",VLOOKUP($C19,'[1]Course Table'!$A$1:$G$330,5,FALSE),"")</f>
        <v>22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27</v>
      </c>
      <c r="M19" s="84">
        <f>COUNTIF($J$6:$J19,$J19)</f>
        <v>14</v>
      </c>
      <c r="N19" s="84">
        <f>IF($C19&lt;&gt;"",VLOOKUP($C19,'[1]Course Table'!$A$1:$I$330,8,FALSE),"")</f>
        <v>2</v>
      </c>
      <c r="O19" s="84">
        <f>IF($C19&lt;&gt;"",VLOOKUP($C19,'[1]Course Table'!$A$1:$I$330,9,FALSE),"")</f>
        <v>1</v>
      </c>
      <c r="P19" s="84"/>
      <c r="Q19" s="84"/>
    </row>
    <row r="20" spans="1:18">
      <c r="A20" s="79" t="s">
        <v>0</v>
      </c>
      <c r="B20" s="103"/>
      <c r="C20" s="105" t="s">
        <v>123</v>
      </c>
      <c r="D20" s="84"/>
      <c r="E20" s="99" t="str">
        <f>IF($C20&lt;&gt;0,VLOOKUP($C20,'[1]Course Table'!$A$1:$G$330,2,TRUE),"")</f>
        <v>Basic Bookkeeping Level 1</v>
      </c>
      <c r="F20" s="84"/>
      <c r="G20" s="84">
        <f t="shared" si="0"/>
        <v>30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30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27</v>
      </c>
      <c r="M20" s="84">
        <f>COUNTIF($J$6:$J20,$J20)</f>
        <v>15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03"/>
      <c r="C21" s="105" t="s">
        <v>124</v>
      </c>
      <c r="D21" s="84"/>
      <c r="E21" s="99" t="str">
        <f>IF($C21&lt;&gt;0,VLOOKUP($C21,'[1]Course Table'!$A$1:$G$330,2,TRUE),"")</f>
        <v>Basic Bookkeeping Level 2</v>
      </c>
      <c r="F21" s="84"/>
      <c r="G21" s="84">
        <f t="shared" si="0"/>
        <v>20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449</v>
      </c>
      <c r="I21" s="84">
        <f>IF($C21&lt;&gt;"",VLOOKUP($C21,'[1]Course Table'!$A$1:$G$330,5,FALSE),"")</f>
        <v>20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27</v>
      </c>
      <c r="M21" s="84">
        <f>COUNTIF($J$6:$J21,$J21)</f>
        <v>16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493</v>
      </c>
      <c r="D22" s="84"/>
      <c r="E22" s="99" t="str">
        <f>IF($C22&lt;&gt;0,VLOOKUP($C22,'[1]Course Table'!$A$1:$G$330,2,TRUE),"")</f>
        <v>Sage 300 2018 General Ledger</v>
      </c>
      <c r="F22" s="84"/>
      <c r="G22" s="84">
        <f t="shared" si="0"/>
        <v>32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495</v>
      </c>
      <c r="I22" s="84">
        <f>IF($C22&lt;&gt;"",VLOOKUP($C22,'[1]Course Table'!$A$1:$G$330,5,FALSE),"")</f>
        <v>32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27</v>
      </c>
      <c r="M22" s="84">
        <f>COUNTIF($J$6:$J22,$J22)</f>
        <v>17</v>
      </c>
      <c r="N22" s="84">
        <f>IF($C22&lt;&gt;"",VLOOKUP($C22,'[1]Course Table'!$A$1:$I$330,8,FALSE),"")</f>
        <v>7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03"/>
      <c r="C23" s="105" t="s">
        <v>494</v>
      </c>
      <c r="D23" s="84"/>
      <c r="E23" s="99" t="str">
        <f>IF($C23&lt;&gt;0,VLOOKUP($C23,'[1]Course Table'!$A$1:$G$330,2,TRUE),"")</f>
        <v>Sage 300 2018 Accounts Receivable</v>
      </c>
      <c r="F23" s="84"/>
      <c r="G23" s="84">
        <f t="shared" si="0"/>
        <v>21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495</v>
      </c>
      <c r="I23" s="84">
        <f>IF($C23&lt;&gt;"",VLOOKUP($C23,'[1]Course Table'!$A$1:$G$330,5,FALSE),"")</f>
        <v>21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27</v>
      </c>
      <c r="M23" s="84">
        <f>COUNTIF($J$6:$J23,$J23)</f>
        <v>18</v>
      </c>
      <c r="N23" s="84">
        <f>IF($C23&lt;&gt;"",VLOOKUP($C23,'[1]Course Table'!$A$1:$I$330,8,FALSE),"")</f>
        <v>7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03"/>
      <c r="C24" s="105" t="s">
        <v>495</v>
      </c>
      <c r="D24" s="84"/>
      <c r="E24" s="99" t="str">
        <f>IF($C24&lt;&gt;0,VLOOKUP($C24,'[1]Course Table'!$A$1:$G$330,2,TRUE),"")</f>
        <v>Sage 300 2018 Accounts Payable</v>
      </c>
      <c r="F24" s="84"/>
      <c r="G24" s="84">
        <f t="shared" si="0"/>
        <v>21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495</v>
      </c>
      <c r="I24" s="84">
        <f>IF($C24&lt;&gt;"",VLOOKUP($C24,'[1]Course Table'!$A$1:$G$330,5,FALSE),"")</f>
        <v>21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27</v>
      </c>
      <c r="M24" s="84">
        <f>COUNTIF($J$6:$J24,$J24)</f>
        <v>19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1</v>
      </c>
      <c r="P24" s="84"/>
      <c r="Q24" s="84"/>
    </row>
    <row r="25" spans="1:18">
      <c r="A25" s="79" t="s">
        <v>0</v>
      </c>
      <c r="B25" s="103"/>
      <c r="C25" s="105" t="s">
        <v>560</v>
      </c>
      <c r="D25" s="84"/>
      <c r="E25" s="99" t="str">
        <f>IF($C25&lt;&gt;0,VLOOKUP($C25,'[1]Course Table'!$A$1:$G$330,2,TRUE),"")</f>
        <v>Sage 300 2018 Inventory Control and Order Entry</v>
      </c>
      <c r="F25" s="84"/>
      <c r="G25" s="84">
        <f t="shared" si="0"/>
        <v>27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495</v>
      </c>
      <c r="I25" s="84">
        <f>IF($C25&lt;&gt;"",VLOOKUP($C25,'[1]Course Table'!$A$1:$G$330,5,FALSE),"")</f>
        <v>27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27</v>
      </c>
      <c r="M25" s="84">
        <f>COUNTIF($J$6:$J25,$J25)</f>
        <v>20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03"/>
      <c r="C26" s="105" t="s">
        <v>322</v>
      </c>
      <c r="D26" s="84"/>
      <c r="E26" s="99" t="str">
        <f>IF($C26&lt;&gt;0,VLOOKUP($C26,'[1]Course Table'!$A$1:$G$330,2,TRUE),"")</f>
        <v>Sage 50 Premium Accounting 2013</v>
      </c>
      <c r="F26" s="84"/>
      <c r="G26" s="84">
        <f t="shared" si="0"/>
        <v>46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799</v>
      </c>
      <c r="I26" s="84">
        <f>IF($C26&lt;&gt;"",VLOOKUP($C26,'[1]Course Table'!$A$1:$G$330,5,FALSE),"")</f>
        <v>46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27</v>
      </c>
      <c r="M26" s="84">
        <f>COUNTIF($J$6:$J26,$J26)</f>
        <v>21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2.5</v>
      </c>
      <c r="P26" s="84"/>
      <c r="Q26" s="84"/>
    </row>
    <row r="27" spans="1:18">
      <c r="A27" s="79" t="s">
        <v>0</v>
      </c>
      <c r="B27" s="103"/>
      <c r="C27" s="105" t="s">
        <v>570</v>
      </c>
      <c r="D27" s="84"/>
      <c r="E27" s="99" t="str">
        <f>IF($C27&lt;&gt;0,VLOOKUP($C27,'[1]Course Table'!$A$1:$G$330,2,TRUE),"")</f>
        <v>QuickBooks Premier 2019</v>
      </c>
      <c r="F27" s="84"/>
      <c r="G27" s="84">
        <f t="shared" si="0"/>
        <v>29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495</v>
      </c>
      <c r="I27" s="84">
        <f>IF($C27&lt;&gt;"",VLOOKUP($C27,'[1]Course Table'!$A$1:$G$330,5,FALSE),"")</f>
        <v>29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27</v>
      </c>
      <c r="M27" s="84">
        <f>COUNTIF($J$6:$J27,$J27)</f>
        <v>22</v>
      </c>
      <c r="N27" s="84">
        <f>IF($C27&lt;&gt;"",VLOOKUP($C27,'[1]Course Table'!$A$1:$I$330,8,FALSE),"")</f>
        <v>7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03"/>
      <c r="C28" s="105" t="s">
        <v>762</v>
      </c>
      <c r="D28" s="84"/>
      <c r="E28" s="99" t="str">
        <f>IF($C28&lt;&gt;0,VLOOKUP($C28,'[1]Course Table'!$A$1:$G$330,2,TRUE),"")</f>
        <v>MS Outlook Level 1</v>
      </c>
      <c r="F28" s="84"/>
      <c r="G28" s="84">
        <f t="shared" si="0"/>
        <v>25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389</v>
      </c>
      <c r="I28" s="84">
        <f>IF($C28&lt;&gt;"",VLOOKUP($C28,'[1]Course Table'!$A$1:$G$330,5,FALSE),"")</f>
        <v>25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27</v>
      </c>
      <c r="M28" s="84">
        <f>COUNTIF($J$6:$J28,$J28)</f>
        <v>23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1.5</v>
      </c>
      <c r="P28" s="84"/>
      <c r="Q28" s="84"/>
    </row>
    <row r="29" spans="1:18">
      <c r="A29" s="79" t="s">
        <v>0</v>
      </c>
      <c r="B29" s="103"/>
      <c r="C29" s="105" t="s">
        <v>183</v>
      </c>
      <c r="D29" s="84"/>
      <c r="E29" s="99" t="str">
        <f>IF($C29&lt;&gt;0,VLOOKUP($C29,'[1]Course Table'!$A$1:$G$330,2,TRUE),"")</f>
        <v>Management Fundamentals</v>
      </c>
      <c r="F29" s="84"/>
      <c r="G29" s="84">
        <f t="shared" si="0"/>
        <v>36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688</v>
      </c>
      <c r="I29" s="84">
        <f>IF($C29&lt;&gt;"",VLOOKUP($C29,'[1]Course Table'!$A$1:$G$330,5,FALSE),"")</f>
        <v>36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27</v>
      </c>
      <c r="M29" s="84">
        <f>COUNTIF($J$6:$J29,$J29)</f>
        <v>24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2</v>
      </c>
      <c r="P29" s="84"/>
      <c r="Q29" s="84"/>
    </row>
    <row r="30" spans="1:18">
      <c r="A30" s="79" t="s">
        <v>1</v>
      </c>
      <c r="B30" s="103"/>
      <c r="C30" s="105" t="s">
        <v>16</v>
      </c>
      <c r="D30" s="84"/>
      <c r="E30" s="99" t="str">
        <f>IF($C30&lt;&gt;0,VLOOKUP($C30,'[1]Course Table'!$A$1:$G$330,2,TRUE),"")</f>
        <v>Practical Applications - 3 Units</v>
      </c>
      <c r="F30" s="84"/>
      <c r="G30" s="84">
        <f t="shared" si="0"/>
        <v>60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965</v>
      </c>
      <c r="I30" s="84">
        <f>IF($C30&lt;&gt;"",VLOOKUP($C30,'[1]Course Table'!$A$1:$G$330,5,FALSE),"")</f>
        <v>60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27</v>
      </c>
      <c r="M30" s="84">
        <f>COUNTIF($J$6:$J30,$J30)</f>
        <v>25</v>
      </c>
      <c r="N30" s="84">
        <f>IF($C30&lt;&gt;"",VLOOKUP($C30,'[1]Course Table'!$A$1:$I$330,8,FALSE),"")</f>
        <v>2</v>
      </c>
      <c r="O30" s="84">
        <f>IF($C30&lt;&gt;"",VLOOKUP($C30,'[1]Course Table'!$A$1:$I$330,9,FALSE),"")</f>
        <v>0</v>
      </c>
      <c r="P30" s="84"/>
      <c r="Q30" s="84"/>
    </row>
    <row r="31" spans="1:18">
      <c r="A31" s="79" t="s">
        <v>0</v>
      </c>
      <c r="B31" s="103"/>
      <c r="C31" s="105" t="s">
        <v>249</v>
      </c>
      <c r="D31" s="84"/>
      <c r="E31" s="99" t="str">
        <f>IF($C31&lt;&gt;0,VLOOKUP($C31,'[1]Course Table'!$A$1:$G$330,2,TRUE),"")</f>
        <v>Job Search/Resume Writing</v>
      </c>
      <c r="F31" s="84"/>
      <c r="G31" s="84">
        <f t="shared" si="0"/>
        <v>30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579</v>
      </c>
      <c r="I31" s="84">
        <f>IF($C31&lt;&gt;"",VLOOKUP($C31,'[1]Course Table'!$A$1:$G$330,5,FALSE),"")</f>
        <v>30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27</v>
      </c>
      <c r="M31" s="84">
        <f>COUNTIF($J$6:$J31,$J31)</f>
        <v>26</v>
      </c>
      <c r="N31" s="84">
        <f>IF($C31&lt;&gt;"",VLOOKUP($C31,'[1]Course Table'!$A$1:$I$330,8,FALSE),"")</f>
        <v>15</v>
      </c>
      <c r="O31" s="84">
        <f>IF($C31&lt;&gt;"",VLOOKUP($C31,'[1]Course Table'!$A$1:$I$330,9,FALSE),"")</f>
        <v>1.5</v>
      </c>
      <c r="P31" s="84"/>
      <c r="Q31" s="84"/>
    </row>
    <row r="32" spans="1:18">
      <c r="A32" s="79"/>
      <c r="B32" s="103"/>
      <c r="C32" s="105" t="s">
        <v>412</v>
      </c>
      <c r="D32" s="84"/>
      <c r="E32" s="99" t="str">
        <f>IF($C32&lt;&gt;0,VLOOKUP($C32,'[1]Course Table'!$A$1:$G$330,2,TRUE),"")</f>
        <v>Study/Review - Accounting and Bus Technology - BC</v>
      </c>
      <c r="F32" s="84"/>
      <c r="G32" s="84">
        <f t="shared" si="0"/>
        <v>75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0</v>
      </c>
      <c r="I32" s="84">
        <f>IF($C32&lt;&gt;"",VLOOKUP($C32,'[1]Course Table'!$A$1:$G$330,5,FALSE),"")</f>
        <v>75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27</v>
      </c>
      <c r="M32" s="84">
        <f>COUNTIF($J$6:$J32,$J32)</f>
        <v>27</v>
      </c>
      <c r="N32" s="84">
        <f>IF($C32&lt;&gt;"",VLOOKUP($C32,'[1]Course Table'!$A$1:$I$330,8,FALSE),"")</f>
        <v>99</v>
      </c>
      <c r="O32" s="84">
        <f>IF($C32&lt;&gt;"",VLOOKUP($C32,'[1]Course Table'!$A$1:$I$330,9,FALSE),"")</f>
        <v>4</v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8</v>
      </c>
      <c r="M33" s="84">
        <f>COUNTIF($J$6:$J33,$J33)</f>
        <v>1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8</v>
      </c>
      <c r="M34" s="84">
        <f>COUNTIF($J$6:$J34,$J34)</f>
        <v>2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8</v>
      </c>
      <c r="M35" s="84">
        <f>COUNTIF($J$6:$J35,$J35)</f>
        <v>3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8</v>
      </c>
      <c r="M36" s="84">
        <f>COUNTIF($J$6:$J36,$J36)</f>
        <v>4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8</v>
      </c>
      <c r="M37" s="84">
        <f>COUNTIF($J$6:$J37,$J37)</f>
        <v>5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8</v>
      </c>
      <c r="M38" s="84">
        <f>COUNTIF($J$6:$J38,$J38)</f>
        <v>6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8</v>
      </c>
      <c r="M39" s="84">
        <f>COUNTIF($J$6:$J39,$J39)</f>
        <v>7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8</v>
      </c>
      <c r="M40" s="84">
        <f>COUNTIF($J$6:$J40,$J40)</f>
        <v>8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ht="13.5" customHeight="1" thickBot="1">
      <c r="A41" s="90"/>
      <c r="B41" s="90"/>
      <c r="C41" s="90" t="s">
        <v>17</v>
      </c>
      <c r="D41" s="113" t="s">
        <v>22</v>
      </c>
      <c r="E41" s="86"/>
      <c r="F41" s="86"/>
      <c r="G41" s="86"/>
      <c r="H41" s="114">
        <f>SUM(H6:H40)</f>
        <v>12729</v>
      </c>
      <c r="I41" s="115">
        <f>SUM(I6:I40)</f>
        <v>824</v>
      </c>
      <c r="J41" s="84"/>
      <c r="K41" s="84"/>
      <c r="L41" s="84"/>
      <c r="M41" s="84"/>
      <c r="N41" s="90"/>
      <c r="O41" s="90"/>
      <c r="P41" s="90"/>
      <c r="Q41" s="90"/>
      <c r="R41" s="90"/>
      <c r="S41" s="90"/>
      <c r="T41" s="90"/>
      <c r="U41" s="90"/>
      <c r="V41" s="90"/>
      <c r="W41" s="90"/>
    </row>
    <row r="42" spans="1:23" ht="12" customHeight="1">
      <c r="A42" s="90"/>
      <c r="B42" s="90"/>
      <c r="C42" s="116">
        <v>0</v>
      </c>
      <c r="D42" s="301" t="str">
        <f>CONCATENATE("Course Hours - ",I41-C44,"          Exam &amp; Review Hours - ",C44,"          Total Course Hours - ",I41)</f>
        <v>Course Hours - 749          Exam &amp; Review Hours - 75          Total Course Hours - 824</v>
      </c>
      <c r="E42" s="301"/>
      <c r="F42" s="301"/>
      <c r="G42" s="301"/>
      <c r="H42" s="117">
        <f>ROUNDUP(H41/(I41+C43),2)</f>
        <v>15.45</v>
      </c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</row>
    <row r="43" spans="1:23" s="84" customFormat="1" ht="12" customHeight="1">
      <c r="A43" s="90"/>
      <c r="B43" s="90"/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Hrs/Week:9.5 Months (41 Weeks); at 25 Hrs/Week:7.6 Months (33 Weeks); +2 weeks holiday</v>
      </c>
      <c r="E43" s="300"/>
      <c r="F43" s="300"/>
      <c r="G43" s="300"/>
      <c r="H43" s="118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</row>
    <row r="44" spans="1:23" s="84" customFormat="1" ht="12" customHeight="1">
      <c r="C44" s="90">
        <f>VLOOKUP("SR"&amp;"*",$C$6:$G$40,5,FALSE)</f>
        <v>75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$13083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84" customFormat="1" ht="12" customHeight="1">
      <c r="A46" s="90"/>
      <c r="B46" s="90"/>
      <c r="C46" s="90"/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39.5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4.5</v>
      </c>
      <c r="P49" s="78">
        <f>SUMIF($N$6:$N$40,Summary!P4,$O$6:$O$40)</f>
        <v>1.5</v>
      </c>
      <c r="Q49" s="78">
        <f>SUMIF($N$6:$N$40,Summary!Q4,$O$6:$O$40)</f>
        <v>5.5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9</v>
      </c>
      <c r="U49" s="78">
        <f>SUMIF($N$6:$N$40,Summary!U4,$O$6:$O$40)</f>
        <v>1</v>
      </c>
      <c r="V49" s="78">
        <f>SUMIF($N$6:$N$40,Summary!V4,$O$6:$O$40)</f>
        <v>7.5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.27559055118110237" header="0" footer="0"/>
  <pageSetup orientation="portrait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71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Info'!B6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155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154</v>
      </c>
      <c r="E4" s="303"/>
      <c r="F4" s="303"/>
      <c r="G4" s="92" t="s">
        <v>528</v>
      </c>
      <c r="I4" s="84" t="s">
        <v>7</v>
      </c>
      <c r="P4" s="84"/>
      <c r="Q4" s="84"/>
    </row>
    <row r="5" spans="1:17">
      <c r="A5" s="90" t="s">
        <v>215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73"/>
      <c r="D6" s="84" t="s">
        <v>145</v>
      </c>
      <c r="E6" s="99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5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 t="s">
        <v>0</v>
      </c>
      <c r="B7" s="103"/>
      <c r="C7" s="105" t="s">
        <v>388</v>
      </c>
      <c r="D7" s="84"/>
      <c r="E7" s="99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30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 t="s">
        <v>0</v>
      </c>
      <c r="B8" s="103"/>
      <c r="C8" s="105" t="s">
        <v>390</v>
      </c>
      <c r="D8" s="84"/>
      <c r="E8" s="99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30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 t="s">
        <v>0</v>
      </c>
      <c r="B9" s="103"/>
      <c r="C9" s="105" t="s">
        <v>785</v>
      </c>
      <c r="D9" s="84"/>
      <c r="E9" s="99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30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03"/>
      <c r="C10" s="105" t="s">
        <v>580</v>
      </c>
      <c r="D10" s="84"/>
      <c r="E10" s="99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30</v>
      </c>
      <c r="M10" s="84">
        <f>COUNTIF($J$6:$J10,$J10)</f>
        <v>4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 t="s">
        <v>0</v>
      </c>
      <c r="B11" s="103"/>
      <c r="C11" s="105" t="s">
        <v>463</v>
      </c>
      <c r="D11" s="84"/>
      <c r="E11" s="99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30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 t="s">
        <v>0</v>
      </c>
      <c r="B12" s="103"/>
      <c r="C12" s="105" t="s">
        <v>462</v>
      </c>
      <c r="D12" s="84"/>
      <c r="E12" s="99" t="str">
        <f>IF($C12&lt;&gt;0,VLOOKUP($C12,'[1]Course Table'!$A$1:$G$330,2,TRUE),"")</f>
        <v>Internet Fundamentals</v>
      </c>
      <c r="F12" s="84"/>
      <c r="G12" s="84">
        <f t="shared" si="0"/>
        <v>22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22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30</v>
      </c>
      <c r="M12" s="84">
        <f>COUNTIF($J$6:$J12,$J12)</f>
        <v>6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</v>
      </c>
      <c r="P12" s="84"/>
      <c r="Q12" s="84"/>
    </row>
    <row r="13" spans="1:17">
      <c r="A13" s="79" t="s">
        <v>0</v>
      </c>
      <c r="B13" s="103"/>
      <c r="C13" s="105" t="s">
        <v>757</v>
      </c>
      <c r="D13" s="84"/>
      <c r="E13" s="99" t="str">
        <f>IF($C13&lt;&gt;0,VLOOKUP($C13,'[1]Course Table'!$A$1:$G$330,2,TRUE),"")</f>
        <v>MS Word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30</v>
      </c>
      <c r="M13" s="84">
        <f>COUNTIF($J$6:$J13,$J13)</f>
        <v>7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762</v>
      </c>
      <c r="D14" s="84"/>
      <c r="E14" s="99" t="str">
        <f>IF($C14&lt;&gt;0,VLOOKUP($C14,'[1]Course Table'!$A$1:$G$330,2,TRUE),"")</f>
        <v>MS Outlook Level 1</v>
      </c>
      <c r="F14" s="84"/>
      <c r="G14" s="84">
        <f t="shared" si="0"/>
        <v>25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30</v>
      </c>
      <c r="M14" s="84">
        <f>COUNTIF($J$6:$J14,$J14)</f>
        <v>8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1.5</v>
      </c>
      <c r="P14" s="84"/>
      <c r="Q14" s="84"/>
    </row>
    <row r="15" spans="1:17">
      <c r="A15" s="79" t="s">
        <v>0</v>
      </c>
      <c r="B15" s="103"/>
      <c r="C15" s="105" t="s">
        <v>324</v>
      </c>
      <c r="D15" s="84"/>
      <c r="E15" s="99" t="str">
        <f>IF($C15&lt;&gt;0,VLOOKUP($C15,'[1]Course Table'!$A$1:$G$330,2,TRUE),"")</f>
        <v>Customer Service</v>
      </c>
      <c r="F15" s="84"/>
      <c r="G15" s="84">
        <f t="shared" si="0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549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30</v>
      </c>
      <c r="M15" s="84">
        <f>COUNTIF($J$6:$J15,$J15)</f>
        <v>9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1</v>
      </c>
      <c r="B16" s="103"/>
      <c r="C16" s="105" t="s">
        <v>323</v>
      </c>
      <c r="D16" s="84"/>
      <c r="E16" s="99" t="str">
        <f>IF($C16&lt;&gt;0,VLOOKUP($C16,'[1]Course Table'!$A$1:$G$330,2,TRUE),"")</f>
        <v>Marketing &amp; Sales</v>
      </c>
      <c r="F16" s="84"/>
      <c r="G16" s="84">
        <f t="shared" si="0"/>
        <v>40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696</v>
      </c>
      <c r="I16" s="84">
        <f>IF($C16&lt;&gt;"",VLOOKUP($C16,'[1]Course Table'!$A$1:$G$330,5,FALSE),"")</f>
        <v>40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30</v>
      </c>
      <c r="M16" s="84">
        <f>COUNTIF($J$6:$J16,$J16)</f>
        <v>10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2</v>
      </c>
      <c r="P16" s="84"/>
      <c r="Q16" s="84"/>
    </row>
    <row r="17" spans="1:18">
      <c r="A17" s="79" t="s">
        <v>0</v>
      </c>
      <c r="B17" s="103"/>
      <c r="C17" s="105" t="s">
        <v>226</v>
      </c>
      <c r="D17" s="84"/>
      <c r="E17" s="99" t="str">
        <f>IF($C17&lt;&gt;0,VLOOKUP($C17,'[1]Course Table'!$A$1:$G$330,2,TRUE),"")</f>
        <v>Workplace Success/Intrapreneurship</v>
      </c>
      <c r="F17" s="84"/>
      <c r="G17" s="84">
        <f t="shared" si="0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688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30</v>
      </c>
      <c r="M17" s="84">
        <f>COUNTIF($J$6:$J17,$J17)</f>
        <v>11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03"/>
      <c r="C18" s="105" t="s">
        <v>249</v>
      </c>
      <c r="D18" s="84"/>
      <c r="E18" s="99" t="str">
        <f>IF($C18&lt;&gt;0,VLOOKUP($C18,'[1]Course Table'!$A$1:$G$330,2,TRUE),"")</f>
        <v>Job Search/Resume Writing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579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30</v>
      </c>
      <c r="M18" s="84">
        <f>COUNTIF($J$6:$J18,$J18)</f>
        <v>12</v>
      </c>
      <c r="N18" s="84">
        <f>IF($C18&lt;&gt;"",VLOOKUP($C18,'[1]Course Table'!$A$1:$I$330,8,FALSE),"")</f>
        <v>15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5</v>
      </c>
      <c r="M19" s="84">
        <f>COUNTIF($J$6:$J19,$J19)</f>
        <v>2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 t="s">
        <v>0</v>
      </c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5</v>
      </c>
      <c r="M20" s="84">
        <f>COUNTIF($J$6:$J20,$J20)</f>
        <v>3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 t="s">
        <v>340</v>
      </c>
      <c r="D21" s="84"/>
      <c r="E21" s="99" t="str">
        <f>IF($C21&lt;&gt;0,VLOOKUP($C21,'[1]Course Table'!$A$1:$G$330,2,TRUE),"")</f>
        <v>Introduction to Web Design</v>
      </c>
      <c r="F21" s="84"/>
      <c r="G21" s="84">
        <f t="shared" si="0"/>
        <v>20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268</v>
      </c>
      <c r="I21" s="84">
        <f>IF($C21&lt;&gt;"",VLOOKUP($C21,'[1]Course Table'!$A$1:$G$330,5,FALSE),"")</f>
        <v>20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30</v>
      </c>
      <c r="M21" s="84">
        <f>COUNTIF($J$6:$J21,$J21)</f>
        <v>13</v>
      </c>
      <c r="N21" s="84">
        <f>IF($C21&lt;&gt;"",VLOOKUP($C21,'[1]Course Table'!$A$1:$I$330,8,FALSE),"")</f>
        <v>19</v>
      </c>
      <c r="O21" s="84">
        <f>IF($C21&lt;&gt;"",VLOOKUP($C21,'[1]Course Table'!$A$1:$I$330,9,FALSE),"")</f>
        <v>1</v>
      </c>
      <c r="P21" s="84"/>
      <c r="Q21" s="84"/>
    </row>
    <row r="22" spans="1:18">
      <c r="A22" s="79" t="s">
        <v>0</v>
      </c>
      <c r="B22" s="103"/>
      <c r="C22" s="105" t="s">
        <v>341</v>
      </c>
      <c r="D22" s="84"/>
      <c r="E22" s="99" t="str">
        <f>IF($C22&lt;&gt;0,VLOOKUP($C22,'[1]Course Table'!$A$1:$G$330,2,TRUE),"")</f>
        <v>Web 101</v>
      </c>
      <c r="F22" s="84"/>
      <c r="G22" s="84">
        <f t="shared" si="0"/>
        <v>25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419</v>
      </c>
      <c r="I22" s="84">
        <f>IF($C22&lt;&gt;"",VLOOKUP($C22,'[1]Course Table'!$A$1:$G$330,5,FALSE),"")</f>
        <v>25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30</v>
      </c>
      <c r="M22" s="84">
        <f>COUNTIF($J$6:$J22,$J22)</f>
        <v>14</v>
      </c>
      <c r="N22" s="84">
        <f>IF($C22&lt;&gt;"",VLOOKUP($C22,'[1]Course Table'!$A$1:$I$330,8,FALSE),"")</f>
        <v>19</v>
      </c>
      <c r="O22" s="84">
        <f>IF($C22&lt;&gt;"",VLOOKUP($C22,'[1]Course Table'!$A$1:$I$330,9,FALSE),"")</f>
        <v>1.5</v>
      </c>
    </row>
    <row r="23" spans="1:18">
      <c r="A23" s="79"/>
      <c r="B23" s="103"/>
      <c r="C23" s="105" t="s">
        <v>342</v>
      </c>
      <c r="D23" s="84"/>
      <c r="E23" s="99" t="str">
        <f>IF($C23&lt;&gt;0,VLOOKUP($C23,'[1]Course Table'!$A$1:$G$330,2,TRUE),"")</f>
        <v>Photoshop Basics</v>
      </c>
      <c r="F23" s="84"/>
      <c r="G23" s="84">
        <f t="shared" si="0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829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30</v>
      </c>
      <c r="M23" s="84">
        <f>COUNTIF($J$6:$J23,$J23)</f>
        <v>15</v>
      </c>
      <c r="N23" s="84">
        <f>IF($C23&lt;&gt;"",VLOOKUP($C23,'[1]Course Table'!$A$1:$I$330,8,FALSE),"")</f>
        <v>19</v>
      </c>
      <c r="O23" s="84">
        <f>IF($C23&lt;&gt;"",VLOOKUP($C23,'[1]Course Table'!$A$1:$I$330,9,FALSE),"")</f>
        <v>2</v>
      </c>
      <c r="P23" s="84"/>
      <c r="Q23" s="84"/>
    </row>
    <row r="24" spans="1:18">
      <c r="A24" s="79"/>
      <c r="B24" s="103"/>
      <c r="C24" s="105" t="s">
        <v>343</v>
      </c>
      <c r="D24" s="84"/>
      <c r="E24" s="99" t="str">
        <f>IF($C24&lt;&gt;0,VLOOKUP($C24,'[1]Course Table'!$A$1:$G$330,2,TRUE),"")</f>
        <v>Illustrator Basics</v>
      </c>
      <c r="F24" s="84"/>
      <c r="G24" s="84">
        <f t="shared" si="0"/>
        <v>40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829</v>
      </c>
      <c r="I24" s="84">
        <f>IF($C24&lt;&gt;"",VLOOKUP($C24,'[1]Course Table'!$A$1:$G$330,5,FALSE),"")</f>
        <v>40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30</v>
      </c>
      <c r="M24" s="84">
        <f>COUNTIF($J$6:$J24,$J24)</f>
        <v>16</v>
      </c>
      <c r="N24" s="84">
        <f>IF($C24&lt;&gt;"",VLOOKUP($C24,'[1]Course Table'!$A$1:$I$330,8,FALSE),"")</f>
        <v>19</v>
      </c>
      <c r="O24" s="84">
        <f>IF($C24&lt;&gt;"",VLOOKUP($C24,'[1]Course Table'!$A$1:$I$330,9,FALSE),"")</f>
        <v>2</v>
      </c>
      <c r="P24" s="84"/>
      <c r="Q24" s="84"/>
    </row>
    <row r="25" spans="1:18">
      <c r="A25" s="79" t="s">
        <v>0</v>
      </c>
      <c r="B25" s="103"/>
      <c r="C25" s="105" t="s">
        <v>344</v>
      </c>
      <c r="D25" s="84"/>
      <c r="E25" s="99" t="str">
        <f>IF($C25&lt;&gt;0,VLOOKUP($C25,'[1]Course Table'!$A$1:$G$330,2,TRUE),"")</f>
        <v>HTML and CSS Essentials</v>
      </c>
      <c r="F25" s="84"/>
      <c r="G25" s="84">
        <f t="shared" si="0"/>
        <v>60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829</v>
      </c>
      <c r="I25" s="84">
        <f>IF($C25&lt;&gt;"",VLOOKUP($C25,'[1]Course Table'!$A$1:$G$330,5,FALSE),"")</f>
        <v>60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30</v>
      </c>
      <c r="M25" s="84">
        <f>COUNTIF($J$6:$J25,$J25)</f>
        <v>17</v>
      </c>
      <c r="N25" s="84">
        <f>IF($C25&lt;&gt;"",VLOOKUP($C25,'[1]Course Table'!$A$1:$I$330,8,FALSE),"")</f>
        <v>19</v>
      </c>
      <c r="O25" s="84">
        <f>IF($C25&lt;&gt;"",VLOOKUP($C25,'[1]Course Table'!$A$1:$I$330,9,FALSE),"")</f>
        <v>3</v>
      </c>
      <c r="P25" s="84"/>
      <c r="Q25" s="84"/>
    </row>
    <row r="26" spans="1:18">
      <c r="A26" s="79" t="s">
        <v>0</v>
      </c>
      <c r="B26" s="103"/>
      <c r="C26" s="105" t="s">
        <v>345</v>
      </c>
      <c r="D26" s="84"/>
      <c r="E26" s="99" t="str">
        <f>IF($C26&lt;&gt;0,VLOOKUP($C26,'[1]Course Table'!$A$1:$G$330,2,TRUE),"")</f>
        <v>Colour Theory</v>
      </c>
      <c r="F26" s="84"/>
      <c r="G26" s="84">
        <f t="shared" si="0"/>
        <v>25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419</v>
      </c>
      <c r="I26" s="84">
        <f>IF($C26&lt;&gt;"",VLOOKUP($C26,'[1]Course Table'!$A$1:$G$330,5,FALSE),"")</f>
        <v>25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30</v>
      </c>
      <c r="M26" s="84">
        <f>COUNTIF($J$6:$J26,$J26)</f>
        <v>18</v>
      </c>
      <c r="N26" s="84">
        <f>IF($C26&lt;&gt;"",VLOOKUP($C26,'[1]Course Table'!$A$1:$I$330,8,FALSE),"")</f>
        <v>19</v>
      </c>
      <c r="O26" s="84">
        <f>IF($C26&lt;&gt;"",VLOOKUP($C26,'[1]Course Table'!$A$1:$I$330,9,FALSE),"")</f>
        <v>1.5</v>
      </c>
      <c r="P26" s="84"/>
      <c r="Q26" s="84"/>
    </row>
    <row r="27" spans="1:18">
      <c r="A27" s="79" t="s">
        <v>0</v>
      </c>
      <c r="B27" s="103"/>
      <c r="C27" s="105" t="s">
        <v>346</v>
      </c>
      <c r="D27" s="84"/>
      <c r="E27" s="99" t="str">
        <f>IF($C27&lt;&gt;0,VLOOKUP($C27,'[1]Course Table'!$A$1:$G$330,2,TRUE),"")</f>
        <v>Fundamentals of Typography</v>
      </c>
      <c r="F27" s="84"/>
      <c r="G27" s="84">
        <f t="shared" si="0"/>
        <v>20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419</v>
      </c>
      <c r="I27" s="84">
        <f>IF($C27&lt;&gt;"",VLOOKUP($C27,'[1]Course Table'!$A$1:$G$330,5,FALSE),"")</f>
        <v>20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30</v>
      </c>
      <c r="M27" s="84">
        <f>COUNTIF($J$6:$J27,$J27)</f>
        <v>19</v>
      </c>
      <c r="N27" s="84">
        <f>IF($C27&lt;&gt;"",VLOOKUP($C27,'[1]Course Table'!$A$1:$I$330,8,FALSE),"")</f>
        <v>19</v>
      </c>
      <c r="O27" s="84">
        <f>IF($C27&lt;&gt;"",VLOOKUP($C27,'[1]Course Table'!$A$1:$I$330,9,FALSE),"")</f>
        <v>1</v>
      </c>
      <c r="P27" s="84"/>
      <c r="Q27" s="84"/>
    </row>
    <row r="28" spans="1:18">
      <c r="A28" s="79" t="s">
        <v>0</v>
      </c>
      <c r="B28" s="103"/>
      <c r="C28" s="105" t="s">
        <v>347</v>
      </c>
      <c r="D28" s="84"/>
      <c r="E28" s="99" t="str">
        <f>IF($C28&lt;&gt;0,VLOOKUP($C28,'[1]Course Table'!$A$1:$G$330,2,TRUE),"")</f>
        <v>Bootstrap using Dreamweaver 1</v>
      </c>
      <c r="F28" s="84"/>
      <c r="G28" s="84">
        <f t="shared" si="0"/>
        <v>50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829</v>
      </c>
      <c r="I28" s="84">
        <f>IF($C28&lt;&gt;"",VLOOKUP($C28,'[1]Course Table'!$A$1:$G$330,5,FALSE),"")</f>
        <v>50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30</v>
      </c>
      <c r="M28" s="84">
        <f>COUNTIF($J$6:$J28,$J28)</f>
        <v>20</v>
      </c>
      <c r="N28" s="84">
        <f>IF($C28&lt;&gt;"",VLOOKUP($C28,'[1]Course Table'!$A$1:$I$330,8,FALSE),"")</f>
        <v>19</v>
      </c>
      <c r="O28" s="84">
        <f>IF($C28&lt;&gt;"",VLOOKUP($C28,'[1]Course Table'!$A$1:$I$330,9,FALSE),"")</f>
        <v>2.5</v>
      </c>
      <c r="P28" s="84"/>
      <c r="Q28" s="84"/>
    </row>
    <row r="29" spans="1:18">
      <c r="A29" s="79" t="s">
        <v>0</v>
      </c>
      <c r="B29" s="103"/>
      <c r="C29" s="105" t="s">
        <v>348</v>
      </c>
      <c r="D29" s="84"/>
      <c r="E29" s="99" t="str">
        <f>IF($C29&lt;&gt;0,VLOOKUP($C29,'[1]Course Table'!$A$1:$G$330,2,TRUE),"")</f>
        <v>Information Design</v>
      </c>
      <c r="F29" s="84"/>
      <c r="G29" s="84">
        <f t="shared" si="0"/>
        <v>20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419</v>
      </c>
      <c r="I29" s="84">
        <f>IF($C29&lt;&gt;"",VLOOKUP($C29,'[1]Course Table'!$A$1:$G$330,5,FALSE),"")</f>
        <v>20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30</v>
      </c>
      <c r="M29" s="84">
        <f>COUNTIF($J$6:$J29,$J29)</f>
        <v>21</v>
      </c>
      <c r="N29" s="84">
        <f>IF($C29&lt;&gt;"",VLOOKUP($C29,'[1]Course Table'!$A$1:$I$330,8,FALSE),"")</f>
        <v>19</v>
      </c>
      <c r="O29" s="84">
        <f>IF($C29&lt;&gt;"",VLOOKUP($C29,'[1]Course Table'!$A$1:$I$330,9,FALSE),"")</f>
        <v>1</v>
      </c>
      <c r="P29" s="84"/>
      <c r="Q29" s="84"/>
    </row>
    <row r="30" spans="1:18">
      <c r="A30" s="79" t="s">
        <v>0</v>
      </c>
      <c r="B30" s="103"/>
      <c r="C30" s="105" t="s">
        <v>349</v>
      </c>
      <c r="D30" s="84"/>
      <c r="E30" s="99" t="str">
        <f>IF($C30&lt;&gt;0,VLOOKUP($C30,'[1]Course Table'!$A$1:$G$330,2,TRUE),"")</f>
        <v>Animate I</v>
      </c>
      <c r="F30" s="84"/>
      <c r="G30" s="84">
        <f t="shared" si="0"/>
        <v>40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829</v>
      </c>
      <c r="I30" s="84">
        <f>IF($C30&lt;&gt;"",VLOOKUP($C30,'[1]Course Table'!$A$1:$G$330,5,FALSE),"")</f>
        <v>40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30</v>
      </c>
      <c r="M30" s="84">
        <f>COUNTIF($J$6:$J30,$J30)</f>
        <v>22</v>
      </c>
      <c r="N30" s="84">
        <f>IF($C30&lt;&gt;"",VLOOKUP($C30,'[1]Course Table'!$A$1:$I$330,8,FALSE),"")</f>
        <v>19</v>
      </c>
      <c r="O30" s="84">
        <f>IF($C30&lt;&gt;"",VLOOKUP($C30,'[1]Course Table'!$A$1:$I$330,9,FALSE),"")</f>
        <v>2</v>
      </c>
      <c r="P30" s="84"/>
      <c r="Q30" s="84"/>
    </row>
    <row r="31" spans="1:18">
      <c r="A31" s="79" t="s">
        <v>0</v>
      </c>
      <c r="B31" s="103"/>
      <c r="C31" s="105" t="s">
        <v>350</v>
      </c>
      <c r="D31" s="84"/>
      <c r="E31" s="99" t="str">
        <f>IF($C31&lt;&gt;0,VLOOKUP($C31,'[1]Course Table'!$A$1:$G$330,2,TRUE),"")</f>
        <v>JavaScript for Designers</v>
      </c>
      <c r="F31" s="84"/>
      <c r="G31" s="84">
        <f t="shared" si="0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829</v>
      </c>
      <c r="I31" s="84">
        <f>IF($C31&lt;&gt;"",VLOOKUP($C31,'[1]Course Table'!$A$1:$G$330,5,FALSE),"")</f>
        <v>40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30</v>
      </c>
      <c r="M31" s="84">
        <f>COUNTIF($J$6:$J31,$J31)</f>
        <v>23</v>
      </c>
      <c r="N31" s="84">
        <f>IF($C31&lt;&gt;"",VLOOKUP($C31,'[1]Course Table'!$A$1:$I$330,8,FALSE),"")</f>
        <v>19</v>
      </c>
      <c r="O31" s="84">
        <f>IF($C31&lt;&gt;"",VLOOKUP($C31,'[1]Course Table'!$A$1:$I$330,9,FALSE),"")</f>
        <v>2</v>
      </c>
      <c r="P31" s="84"/>
      <c r="Q31" s="84"/>
    </row>
    <row r="32" spans="1:18">
      <c r="A32" s="79" t="s">
        <v>0</v>
      </c>
      <c r="B32" s="103"/>
      <c r="C32" s="105" t="s">
        <v>351</v>
      </c>
      <c r="D32" s="84"/>
      <c r="E32" s="99" t="str">
        <f>IF($C32&lt;&gt;0,VLOOKUP($C32,'[1]Course Table'!$A$1:$G$330,2,TRUE),"")</f>
        <v>Web Design 1</v>
      </c>
      <c r="F32" s="84"/>
      <c r="G32" s="84">
        <f t="shared" si="0"/>
        <v>50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829</v>
      </c>
      <c r="I32" s="84">
        <f>IF($C32&lt;&gt;"",VLOOKUP($C32,'[1]Course Table'!$A$1:$G$330,5,FALSE),"")</f>
        <v>50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30</v>
      </c>
      <c r="M32" s="84">
        <f>COUNTIF($J$6:$J32,$J32)</f>
        <v>24</v>
      </c>
      <c r="N32" s="84">
        <f>IF($C32&lt;&gt;"",VLOOKUP($C32,'[1]Course Table'!$A$1:$I$330,8,FALSE),"")</f>
        <v>19</v>
      </c>
      <c r="O32" s="84">
        <f>IF($C32&lt;&gt;"",VLOOKUP($C32,'[1]Course Table'!$A$1:$I$330,9,FALSE),"")</f>
        <v>2.5</v>
      </c>
      <c r="P32" s="84"/>
      <c r="Q32" s="84"/>
      <c r="R32" s="90"/>
    </row>
    <row r="33" spans="1:23">
      <c r="A33" s="79" t="s">
        <v>0</v>
      </c>
      <c r="B33" s="103"/>
      <c r="C33" s="105" t="s">
        <v>352</v>
      </c>
      <c r="D33" s="84"/>
      <c r="E33" s="99" t="str">
        <f>IF($C33&lt;&gt;0,VLOOKUP($C33,'[1]Course Table'!$A$1:$G$330,2,TRUE),"")</f>
        <v>Dreamweaver 2</v>
      </c>
      <c r="F33" s="84"/>
      <c r="G33" s="84">
        <f t="shared" si="0"/>
        <v>40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829</v>
      </c>
      <c r="I33" s="84">
        <f>IF($C33&lt;&gt;"",VLOOKUP($C33,'[1]Course Table'!$A$1:$G$330,5,FALSE),"")</f>
        <v>40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30</v>
      </c>
      <c r="M33" s="84">
        <f>COUNTIF($J$6:$J33,$J33)</f>
        <v>25</v>
      </c>
      <c r="N33" s="84">
        <f>IF($C33&lt;&gt;"",VLOOKUP($C33,'[1]Course Table'!$A$1:$I$330,8,FALSE),"")</f>
        <v>19</v>
      </c>
      <c r="O33" s="84">
        <f>IF($C33&lt;&gt;"",VLOOKUP($C33,'[1]Course Table'!$A$1:$I$330,9,FALSE),"")</f>
        <v>2</v>
      </c>
      <c r="P33" s="84"/>
      <c r="Q33" s="84"/>
      <c r="R33" s="90"/>
    </row>
    <row r="34" spans="1:23">
      <c r="A34" s="79" t="s">
        <v>0</v>
      </c>
      <c r="B34" s="103"/>
      <c r="C34" s="105" t="s">
        <v>353</v>
      </c>
      <c r="D34" s="84"/>
      <c r="E34" s="99" t="str">
        <f>IF($C34&lt;&gt;0,VLOOKUP($C34,'[1]Course Table'!$A$1:$G$330,2,TRUE),"")</f>
        <v>Dynamic Web Development with PHP</v>
      </c>
      <c r="F34" s="84"/>
      <c r="G34" s="84">
        <f t="shared" si="0"/>
        <v>60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829</v>
      </c>
      <c r="I34" s="84">
        <f>IF($C34&lt;&gt;"",VLOOKUP($C34,'[1]Course Table'!$A$1:$G$330,5,FALSE),"")</f>
        <v>60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1"/>
        <v>30</v>
      </c>
      <c r="M34" s="84">
        <f>COUNTIF($J$6:$J34,$J34)</f>
        <v>26</v>
      </c>
      <c r="N34" s="84">
        <f>IF($C34&lt;&gt;"",VLOOKUP($C34,'[1]Course Table'!$A$1:$I$330,8,FALSE),"")</f>
        <v>19</v>
      </c>
      <c r="O34" s="84">
        <f>IF($C34&lt;&gt;"",VLOOKUP($C34,'[1]Course Table'!$A$1:$I$330,9,FALSE),"")</f>
        <v>3</v>
      </c>
      <c r="P34" s="84"/>
      <c r="Q34" s="84"/>
      <c r="R34" s="90"/>
    </row>
    <row r="35" spans="1:23">
      <c r="A35" s="79" t="s">
        <v>0</v>
      </c>
      <c r="B35" s="103"/>
      <c r="C35" s="105" t="s">
        <v>355</v>
      </c>
      <c r="D35" s="84"/>
      <c r="E35" s="99" t="str">
        <f>IF($C35&lt;&gt;0,VLOOKUP($C35,'[1]Course Table'!$A$1:$G$330,2,TRUE),"")</f>
        <v>WordPress For Designers</v>
      </c>
      <c r="F35" s="84"/>
      <c r="G35" s="84">
        <f t="shared" si="0"/>
        <v>50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829</v>
      </c>
      <c r="I35" s="84">
        <f>IF($C35&lt;&gt;"",VLOOKUP($C35,'[1]Course Table'!$A$1:$G$330,5,FALSE),"")</f>
        <v>50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1"/>
        <v>30</v>
      </c>
      <c r="M35" s="84">
        <f>COUNTIF($J$6:$J35,$J35)</f>
        <v>27</v>
      </c>
      <c r="N35" s="84">
        <f>IF($C35&lt;&gt;"",VLOOKUP($C35,'[1]Course Table'!$A$1:$I$330,8,FALSE),"")</f>
        <v>19</v>
      </c>
      <c r="O35" s="84">
        <f>IF($C35&lt;&gt;"",VLOOKUP($C35,'[1]Course Table'!$A$1:$I$330,9,FALSE),"")</f>
        <v>2</v>
      </c>
      <c r="P35" s="84"/>
      <c r="Q35" s="84"/>
      <c r="R35" s="90"/>
    </row>
    <row r="36" spans="1:23">
      <c r="A36" s="79" t="s">
        <v>0</v>
      </c>
      <c r="B36" s="103"/>
      <c r="C36" s="105" t="s">
        <v>777</v>
      </c>
      <c r="D36" s="84"/>
      <c r="E36" s="99" t="str">
        <f>IF($C36&lt;&gt;0,VLOOKUP($C36,'[1]Course Table'!$A$1:$G$330,2,TRUE),"")</f>
        <v>Web Practical Simulation</v>
      </c>
      <c r="F36" s="84"/>
      <c r="G36" s="84">
        <f t="shared" si="0"/>
        <v>60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677</v>
      </c>
      <c r="I36" s="84">
        <f>IF($C36&lt;&gt;"",VLOOKUP($C36,'[1]Course Table'!$A$1:$G$330,5,FALSE),"")</f>
        <v>60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1"/>
        <v>30</v>
      </c>
      <c r="M36" s="84">
        <f>COUNTIF($J$6:$J36,$J36)</f>
        <v>28</v>
      </c>
      <c r="N36" s="84">
        <f>IF($C36&lt;&gt;"",VLOOKUP($C36,'[1]Course Table'!$A$1:$I$330,8,FALSE),"")</f>
        <v>19</v>
      </c>
      <c r="O36" s="84">
        <f>IF($C36&lt;&gt;"",VLOOKUP($C36,'[1]Course Table'!$A$1:$I$330,9,FALSE),"")</f>
        <v>3</v>
      </c>
      <c r="P36" s="84"/>
      <c r="Q36" s="84"/>
      <c r="R36" s="90"/>
    </row>
    <row r="37" spans="1:23">
      <c r="A37" s="79" t="s">
        <v>0</v>
      </c>
      <c r="B37" s="103"/>
      <c r="C37" s="105" t="s">
        <v>354</v>
      </c>
      <c r="D37" s="84"/>
      <c r="E37" s="99" t="str">
        <f>IF($C37&lt;&gt;0,VLOOKUP($C37,'[1]Course Table'!$A$1:$G$330,2,TRUE),"")</f>
        <v>Web Portfolio Design</v>
      </c>
      <c r="F37" s="84"/>
      <c r="G37" s="84">
        <f t="shared" si="0"/>
        <v>25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419</v>
      </c>
      <c r="I37" s="84">
        <f>IF($C37&lt;&gt;"",VLOOKUP($C37,'[1]Course Table'!$A$1:$G$330,5,FALSE),"")</f>
        <v>25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1"/>
        <v>30</v>
      </c>
      <c r="M37" s="84">
        <f>COUNTIF($J$6:$J37,$J37)</f>
        <v>29</v>
      </c>
      <c r="N37" s="84">
        <f>IF($C37&lt;&gt;"",VLOOKUP($C37,'[1]Course Table'!$A$1:$I$330,8,FALSE),"")</f>
        <v>19</v>
      </c>
      <c r="O37" s="84">
        <f>IF($C37&lt;&gt;"",VLOOKUP($C37,'[1]Course Table'!$A$1:$I$330,9,FALSE),"")</f>
        <v>1.5</v>
      </c>
      <c r="P37" s="84"/>
      <c r="Q37" s="84"/>
      <c r="R37" s="90"/>
    </row>
    <row r="38" spans="1:23">
      <c r="A38" s="79"/>
      <c r="B38" s="103"/>
      <c r="C38" s="105" t="s">
        <v>432</v>
      </c>
      <c r="D38" s="84"/>
      <c r="E38" s="99" t="str">
        <f>IF($C38&lt;&gt;0,VLOOKUP($C38,'[1]Course Table'!$A$1:$G$330,2,TRUE),"")</f>
        <v>Study/Review (WD-BC)</v>
      </c>
      <c r="F38" s="84"/>
      <c r="G38" s="84">
        <f t="shared" si="0"/>
        <v>99</v>
      </c>
      <c r="H38" s="100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>0</v>
      </c>
      <c r="I38" s="84">
        <f>IF($C38&lt;&gt;"",VLOOKUP($C38,'[1]Course Table'!$A$1:$G$330,5,FALSE),"")</f>
        <v>99</v>
      </c>
      <c r="J38" s="101">
        <f>IF(AND($C38&lt;&gt;"",A38&lt;&gt;"E"),VLOOKUP($C38,'[1]Course Table'!$A$1:$G$330,6,FALSE),"")</f>
        <v>0</v>
      </c>
      <c r="K38" s="101">
        <f>IF($C38&lt;&gt;"",VLOOKUP($C38,'[1]Course Table'!$A$1:$G$330,7,FALSE),"")</f>
        <v>0</v>
      </c>
      <c r="L38" s="84">
        <f t="shared" si="1"/>
        <v>30</v>
      </c>
      <c r="M38" s="84">
        <f>COUNTIF($J$6:$J38,$J38)</f>
        <v>30</v>
      </c>
      <c r="N38" s="84">
        <f>IF($C38&lt;&gt;"",VLOOKUP($C38,'[1]Course Table'!$A$1:$I$330,8,FALSE),"")</f>
        <v>99</v>
      </c>
      <c r="O38" s="84">
        <f>IF($C38&lt;&gt;"",VLOOKUP($C38,'[1]Course Table'!$A$1:$I$330,9,FALSE),"")</f>
        <v>5</v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5</v>
      </c>
      <c r="M39" s="84">
        <f>COUNTIF($J$6:$J39,$J39)</f>
        <v>4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5</v>
      </c>
      <c r="M40" s="84">
        <f>COUNTIF($J$6:$J40,$J40)</f>
        <v>5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17114</v>
      </c>
      <c r="I41" s="115">
        <f>SUM(I6:I40)</f>
        <v>1084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- 985          Exam &amp; Review Hours - 99          Total Course Hours - 1084</v>
      </c>
      <c r="E42" s="301"/>
      <c r="F42" s="301"/>
      <c r="G42" s="301"/>
      <c r="H42" s="117">
        <f>ROUNDUP(H41/(I41+C43),2)</f>
        <v>15.79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(",ROUND((I41+C43)/21.1,0)," Weeks); at 25 Hrs/Week:",ROUND((I41+C43)/(25*4.33),1)," Months (",ROUND((I41+C43)/25,0)," Weeks)","; +1 week holiday")</f>
        <v>Duration at 20 Hrs/Week:12.5 Months (51 Weeks); at 25 Hrs/Week:10 Months (43 Weeks); +1 week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99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$17468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54.5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1</v>
      </c>
      <c r="V49" s="78">
        <f>SUMIF($N$6:$N$40,Summary!V4,$O$6:$O$40)</f>
        <v>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33.5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F2:G2"/>
    <mergeCell ref="D45:G45"/>
    <mergeCell ref="D4:F4"/>
    <mergeCell ref="D42:G42"/>
    <mergeCell ref="D43:G43"/>
  </mergeCells>
  <phoneticPr fontId="36" type="noConversion"/>
  <pageMargins left="0.74803149606299213" right="0.70866141732283472" top="0.6" bottom="0" header="0.11811023622047245" footer="0"/>
  <pageSetup orientation="portrait" horizontalDpi="300" verticalDpi="300" r:id="rId1"/>
  <headerFooter alignWithMargins="0"/>
  <rowBreaks count="1" manualBreakCount="1">
    <brk id="45" max="65535" man="1"/>
  </row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95E5-5981-4054-B0D3-FD39828C32B6}">
  <sheetPr codeName="Sheet36">
    <tabColor indexed="10"/>
    <pageSetUpPr fitToPage="1"/>
  </sheetPr>
  <dimension ref="A1:AG52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637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636</v>
      </c>
      <c r="E4" s="303"/>
      <c r="F4" s="303"/>
      <c r="G4" s="92" t="s">
        <v>635</v>
      </c>
      <c r="H4" s="100"/>
      <c r="I4" s="84" t="s">
        <v>7</v>
      </c>
      <c r="P4" s="84"/>
      <c r="Q4" s="84"/>
    </row>
    <row r="5" spans="1:17">
      <c r="A5" s="90" t="s">
        <v>676</v>
      </c>
      <c r="B5" s="90"/>
      <c r="C5" s="90"/>
      <c r="D5" s="99" t="s">
        <v>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0" t="str">
        <f>IF($C6&lt;&gt;0,VLOOKUP($C6,'[1]Course Table'!$A$1:$G$330,2,TRUE),"")</f>
        <v/>
      </c>
      <c r="F6" s="84"/>
      <c r="G6" s="84" t="str">
        <f t="shared" ref="G6:G40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14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 t="s">
        <v>617</v>
      </c>
      <c r="E7" s="140" t="str">
        <f>IF($C7&lt;&gt;0,VLOOKUP($C7,'[1]Course Table'!$A$1:$G$330,2,TRUE),"")</f>
        <v>Introduction to Keyboarding</v>
      </c>
      <c r="F7" s="84"/>
      <c r="G7" s="84">
        <f t="shared" si="0"/>
        <v>19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349</v>
      </c>
      <c r="I7" s="84">
        <f>IF($C7&lt;&gt;"",VLOOKUP($C7,'[1]Course Table'!$A$1:$G$330,5,FALSE),"")</f>
        <v>19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21</v>
      </c>
      <c r="M7" s="84">
        <f>COUNTIF($J$6:$J7,$J7)</f>
        <v>1</v>
      </c>
      <c r="N7" s="84">
        <f>IF($C7&lt;&gt;"",VLOOKUP($C7,'[1]Course Table'!$A$1:$I$330,8,FALSE),"")</f>
        <v>1</v>
      </c>
      <c r="O7" s="84">
        <f>IF($C7&lt;&gt;"",VLOOKUP($C7,'[1]Course Table'!$A$1:$I$330,9,FALSE),"")</f>
        <v>1</v>
      </c>
      <c r="P7" s="84"/>
      <c r="Q7" s="84"/>
    </row>
    <row r="8" spans="1:17">
      <c r="A8" s="79"/>
      <c r="B8" s="141"/>
      <c r="C8" s="105" t="s">
        <v>618</v>
      </c>
      <c r="D8" s="99"/>
      <c r="E8" s="140" t="str">
        <f>IF($C8&lt;&gt;0,VLOOKUP($C8,'[1]Course Table'!$A$1:$G$330,2,TRUE),"")</f>
        <v>Keyboard Skill Building Level 1 (25 WPM)</v>
      </c>
      <c r="F8" s="84"/>
      <c r="G8" s="84">
        <f t="shared" si="0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21</v>
      </c>
      <c r="M8" s="84">
        <f>COUNTIF($J$6:$J8,$J8)</f>
        <v>2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41"/>
      <c r="C9" s="105" t="s">
        <v>785</v>
      </c>
      <c r="D9" s="84"/>
      <c r="E9" s="140" t="str">
        <f>IF($C9&lt;&gt;0,VLOOKUP($C9,'[1]Course Table'!$A$1:$G$330,2,TRUE),"")</f>
        <v>Thought Patterns for a Successful Career</v>
      </c>
      <c r="F9" s="84"/>
      <c r="G9" s="84">
        <f t="shared" si="0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589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21</v>
      </c>
      <c r="M9" s="84">
        <f>COUNTIF($J$6:$J9,$J9)</f>
        <v>3</v>
      </c>
      <c r="N9" s="84">
        <f>IF($C9&lt;&gt;"",VLOOKUP($C9,'[1]Course Table'!$A$1:$I$330,8,FALSE),"")</f>
        <v>15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619</v>
      </c>
      <c r="D10" s="84"/>
      <c r="E10" s="140" t="str">
        <f>IF($C10&lt;&gt;0,VLOOKUP($C10,'[1]Course Table'!$A$1:$G$330,2,TRUE),"")</f>
        <v>Personal Computer Fundamentals</v>
      </c>
      <c r="F10" s="84"/>
      <c r="G10" s="84">
        <f t="shared" si="0"/>
        <v>24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24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21</v>
      </c>
      <c r="M10" s="84">
        <f>COUNTIF($J$6:$J10,$J10)</f>
        <v>4</v>
      </c>
      <c r="N10" s="84">
        <f>IF($C10&lt;&gt;"",VLOOKUP($C10,'[1]Course Table'!$A$1:$I$330,8,FALSE),"")</f>
        <v>2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41"/>
      <c r="C11" s="105" t="s">
        <v>620</v>
      </c>
      <c r="D11" s="84"/>
      <c r="E11" s="140" t="str">
        <f>IF($C11&lt;&gt;0,VLOOKUP($C11,'[1]Course Table'!$A$1:$G$330,2,TRUE),"")</f>
        <v>Windows 10 Level 1</v>
      </c>
      <c r="F11" s="84"/>
      <c r="G11" s="84">
        <f t="shared" si="0"/>
        <v>21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21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21</v>
      </c>
      <c r="M11" s="84">
        <f>COUNTIF($J$6:$J11,$J11)</f>
        <v>5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41"/>
      <c r="C12" s="105" t="s">
        <v>467</v>
      </c>
      <c r="D12" s="84"/>
      <c r="E12" s="140" t="str">
        <f>IF($C12&lt;&gt;0,VLOOKUP($C12,'[1]Course Table'!$A$1:$G$330,2,TRUE),"")</f>
        <v>Windows 10 Level 2</v>
      </c>
      <c r="F12" s="84"/>
      <c r="G12" s="84">
        <f t="shared" si="0"/>
        <v>20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21</v>
      </c>
      <c r="M12" s="84">
        <f>COUNTIF($J$6:$J12,$J12)</f>
        <v>6</v>
      </c>
      <c r="N12" s="84">
        <f>IF($C12&lt;&gt;"",VLOOKUP($C12,'[1]Course Table'!$A$1:$I$330,8,FALSE),"")</f>
        <v>8</v>
      </c>
      <c r="O12" s="84">
        <f>IF($C12&lt;&gt;"",VLOOKUP($C12,'[1]Course Table'!$A$1:$I$330,9,FALSE),"")</f>
        <v>1</v>
      </c>
      <c r="P12" s="84"/>
      <c r="Q12" s="84"/>
    </row>
    <row r="13" spans="1:17">
      <c r="A13" s="79"/>
      <c r="B13" s="141"/>
      <c r="C13" s="105" t="s">
        <v>634</v>
      </c>
      <c r="D13" s="84"/>
      <c r="E13" s="140" t="str">
        <f>IF($C13&lt;&gt;0,VLOOKUP($C13,'[1]Course Table'!$A$1:$G$330,2,TRUE),"")</f>
        <v>Internet Fundamentals</v>
      </c>
      <c r="F13" s="84"/>
      <c r="G13" s="84">
        <f t="shared" si="0"/>
        <v>22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22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21</v>
      </c>
      <c r="M13" s="84">
        <f>COUNTIF($J$6:$J13,$J13)</f>
        <v>7</v>
      </c>
      <c r="N13" s="84">
        <f>IF($C13&lt;&gt;"",VLOOKUP($C13,'[1]Course Table'!$A$1:$I$330,8,FALSE),"")</f>
        <v>2</v>
      </c>
      <c r="O13" s="84">
        <f>IF($C13&lt;&gt;"",VLOOKUP($C13,'[1]Course Table'!$A$1:$I$330,9,FALSE),"")</f>
        <v>1</v>
      </c>
      <c r="P13" s="84"/>
      <c r="Q13" s="84"/>
    </row>
    <row r="14" spans="1:17">
      <c r="A14" s="79"/>
      <c r="B14" s="141"/>
      <c r="C14" s="105" t="s">
        <v>621</v>
      </c>
      <c r="D14" s="84"/>
      <c r="E14" s="140" t="str">
        <f>IF($C14&lt;&gt;0,VLOOKUP($C14,'[1]Course Table'!$A$1:$G$330,2,TRUE),"")</f>
        <v>Computer and Technology Basics for Developers</v>
      </c>
      <c r="F14" s="84"/>
      <c r="G14" s="84">
        <f t="shared" si="0"/>
        <v>40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720</v>
      </c>
      <c r="I14" s="84">
        <f>IF($C14&lt;&gt;"",VLOOKUP($C14,'[1]Course Table'!$A$1:$G$330,5,FALSE),"")</f>
        <v>40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21</v>
      </c>
      <c r="M14" s="84">
        <f>COUNTIF($J$6:$J14,$J14)</f>
        <v>8</v>
      </c>
      <c r="N14" s="84">
        <f>IF($C14&lt;&gt;"",VLOOKUP($C14,'[1]Course Table'!$A$1:$I$330,8,FALSE),"")</f>
        <v>17</v>
      </c>
      <c r="O14" s="84">
        <f>IF($C14&lt;&gt;"",VLOOKUP($C14,'[1]Course Table'!$A$1:$I$330,9,FALSE),"")</f>
        <v>2</v>
      </c>
      <c r="P14" s="84"/>
      <c r="Q14" s="84"/>
    </row>
    <row r="15" spans="1:17">
      <c r="A15" s="79"/>
      <c r="B15" s="141"/>
      <c r="C15" s="105" t="s">
        <v>757</v>
      </c>
      <c r="D15" s="84"/>
      <c r="E15" s="140" t="str">
        <f>IF($C15&lt;&gt;0,VLOOKUP($C15,'[1]Course Table'!$A$1:$G$330,2,TRUE),"")</f>
        <v>MS Word Level 1</v>
      </c>
      <c r="F15" s="84"/>
      <c r="G15" s="84">
        <f t="shared" si="0"/>
        <v>28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28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21</v>
      </c>
      <c r="M15" s="84">
        <f>COUNTIF($J$6:$J15,$J15)</f>
        <v>9</v>
      </c>
      <c r="N15" s="84">
        <f>IF($C15&lt;&gt;"",VLOOKUP($C15,'[1]Course Table'!$A$1:$I$330,8,FALSE),"")</f>
        <v>3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762</v>
      </c>
      <c r="D16" s="84"/>
      <c r="E16" s="140" t="str">
        <f>IF($C16&lt;&gt;0,VLOOKUP($C16,'[1]Course Table'!$A$1:$G$330,2,TRUE),"")</f>
        <v>MS Outlook Level 1</v>
      </c>
      <c r="F16" s="84"/>
      <c r="G16" s="84">
        <f t="shared" si="0"/>
        <v>25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389</v>
      </c>
      <c r="I16" s="84">
        <f>IF($C16&lt;&gt;"",VLOOKUP($C16,'[1]Course Table'!$A$1:$G$330,5,FALSE),"")</f>
        <v>25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21</v>
      </c>
      <c r="M16" s="84">
        <f>COUNTIF($J$6:$J16,$J16)</f>
        <v>10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41"/>
      <c r="C17" s="105" t="s">
        <v>763</v>
      </c>
      <c r="D17" s="84"/>
      <c r="E17" s="140" t="str">
        <f>IF($C17&lt;&gt;0,VLOOKUP($C17,'[1]Course Table'!$A$1:$G$330,2,TRUE),"")</f>
        <v>MS Excel Level 1</v>
      </c>
      <c r="F17" s="84"/>
      <c r="G17" s="84">
        <f t="shared" si="0"/>
        <v>28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389</v>
      </c>
      <c r="I17" s="84">
        <f>IF($C17&lt;&gt;"",VLOOKUP($C17,'[1]Course Table'!$A$1:$G$330,5,FALSE),"")</f>
        <v>28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21</v>
      </c>
      <c r="M17" s="84">
        <f>COUNTIF($J$6:$J17,$J17)</f>
        <v>11</v>
      </c>
      <c r="N17" s="84">
        <f>IF($C17&lt;&gt;"",VLOOKUP($C17,'[1]Course Table'!$A$1:$I$330,8,FALSE),"")</f>
        <v>4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622</v>
      </c>
      <c r="D18" s="84"/>
      <c r="E18" s="140" t="str">
        <f>IF($C18&lt;&gt;0,VLOOKUP($C18,'[1]Course Table'!$A$1:$G$330,2,TRUE),"")</f>
        <v>Overview of Software Development</v>
      </c>
      <c r="F18" s="84"/>
      <c r="G18" s="84">
        <f t="shared" si="0"/>
        <v>32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582</v>
      </c>
      <c r="I18" s="84">
        <f>IF($C18&lt;&gt;"",VLOOKUP($C18,'[1]Course Table'!$A$1:$G$330,5,FALSE),"")</f>
        <v>32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21</v>
      </c>
      <c r="M18" s="84">
        <f>COUNTIF($J$6:$J18,$J18)</f>
        <v>12</v>
      </c>
      <c r="N18" s="84">
        <f>IF($C18&lt;&gt;"",VLOOKUP($C18,'[1]Course Table'!$A$1:$I$330,8,FALSE),"")</f>
        <v>17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41"/>
      <c r="C19" s="105" t="s">
        <v>623</v>
      </c>
      <c r="D19" s="84"/>
      <c r="E19" s="140" t="str">
        <f>IF($C19&lt;&gt;0,VLOOKUP($C19,'[1]Course Table'!$A$1:$G$330,2,TRUE),"")</f>
        <v>Version Control</v>
      </c>
      <c r="F19" s="84"/>
      <c r="G19" s="84">
        <f t="shared" si="0"/>
        <v>24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438</v>
      </c>
      <c r="I19" s="84">
        <f>IF($C19&lt;&gt;"",VLOOKUP($C19,'[1]Course Table'!$A$1:$G$330,5,FALSE),"")</f>
        <v>24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21</v>
      </c>
      <c r="M19" s="84">
        <f>COUNTIF($J$6:$J19,$J19)</f>
        <v>13</v>
      </c>
      <c r="N19" s="84">
        <f>IF($C19&lt;&gt;"",VLOOKUP($C19,'[1]Course Table'!$A$1:$I$330,8,FALSE),"")</f>
        <v>17</v>
      </c>
      <c r="O19" s="84">
        <f>IF($C19&lt;&gt;"",VLOOKUP($C19,'[1]Course Table'!$A$1:$I$330,9,FALSE),"")</f>
        <v>1</v>
      </c>
      <c r="P19" s="84"/>
      <c r="Q19" s="84"/>
    </row>
    <row r="20" spans="1:18">
      <c r="A20" s="79"/>
      <c r="B20" s="141"/>
      <c r="C20" s="105" t="s">
        <v>624</v>
      </c>
      <c r="D20" s="84"/>
      <c r="E20" s="140" t="str">
        <f>IF($C20&lt;&gt;0,VLOOKUP($C20,'[1]Course Table'!$A$1:$G$330,2,TRUE),"")</f>
        <v>HTML</v>
      </c>
      <c r="F20" s="84"/>
      <c r="G20" s="84">
        <f t="shared" si="0"/>
        <v>24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438</v>
      </c>
      <c r="I20" s="84">
        <f>IF($C20&lt;&gt;"",VLOOKUP($C20,'[1]Course Table'!$A$1:$G$330,5,FALSE),"")</f>
        <v>24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21</v>
      </c>
      <c r="M20" s="84">
        <f>COUNTIF($J$6:$J20,$J20)</f>
        <v>14</v>
      </c>
      <c r="N20" s="84">
        <f>IF($C20&lt;&gt;"",VLOOKUP($C20,'[1]Course Table'!$A$1:$I$330,8,FALSE),"")</f>
        <v>17</v>
      </c>
      <c r="O20" s="84">
        <f>IF($C20&lt;&gt;"",VLOOKUP($C20,'[1]Course Table'!$A$1:$I$330,9,FALSE),"")</f>
        <v>1</v>
      </c>
      <c r="P20" s="84"/>
      <c r="Q20" s="84"/>
    </row>
    <row r="21" spans="1:18">
      <c r="A21" s="79"/>
      <c r="B21" s="141"/>
      <c r="C21" s="105" t="s">
        <v>625</v>
      </c>
      <c r="D21" s="99"/>
      <c r="E21" s="140" t="str">
        <f>IF($C21&lt;&gt;0,VLOOKUP($C21,'[1]Course Table'!$A$1:$G$330,2,TRUE),"")</f>
        <v>CSS and Bootstrap</v>
      </c>
      <c r="F21" s="84"/>
      <c r="G21" s="84">
        <f t="shared" si="0"/>
        <v>56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1020</v>
      </c>
      <c r="I21" s="84">
        <f>IF($C21&lt;&gt;"",VLOOKUP($C21,'[1]Course Table'!$A$1:$G$330,5,FALSE),"")</f>
        <v>56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21</v>
      </c>
      <c r="M21" s="84">
        <f>COUNTIF($J$6:$J21,$J21)</f>
        <v>15</v>
      </c>
      <c r="N21" s="84">
        <f>IF($C21&lt;&gt;"",VLOOKUP($C21,'[1]Course Table'!$A$1:$I$330,8,FALSE),"")</f>
        <v>17</v>
      </c>
      <c r="O21" s="84">
        <f>IF($C21&lt;&gt;"",VLOOKUP($C21,'[1]Course Table'!$A$1:$I$330,9,FALSE),"")</f>
        <v>3</v>
      </c>
      <c r="P21" s="84"/>
      <c r="Q21" s="84"/>
    </row>
    <row r="22" spans="1:18">
      <c r="A22" s="79"/>
      <c r="B22" s="141"/>
      <c r="C22" s="105" t="s">
        <v>626</v>
      </c>
      <c r="D22" s="99"/>
      <c r="E22" s="140" t="str">
        <f>IF($C22&lt;&gt;0,VLOOKUP($C22,'[1]Course Table'!$A$1:$G$330,2,TRUE),"")</f>
        <v>JavaScript</v>
      </c>
      <c r="F22" s="84"/>
      <c r="G22" s="84">
        <f t="shared" si="0"/>
        <v>48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870</v>
      </c>
      <c r="I22" s="84">
        <f>IF($C22&lt;&gt;"",VLOOKUP($C22,'[1]Course Table'!$A$1:$G$330,5,FALSE),"")</f>
        <v>48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21</v>
      </c>
      <c r="M22" s="84">
        <f>COUNTIF($J$6:$J22,$J22)</f>
        <v>16</v>
      </c>
      <c r="N22" s="84">
        <f>IF($C22&lt;&gt;"",VLOOKUP($C22,'[1]Course Table'!$A$1:$I$330,8,FALSE),"")</f>
        <v>17</v>
      </c>
      <c r="O22" s="84">
        <f>IF($C22&lt;&gt;"",VLOOKUP($C22,'[1]Course Table'!$A$1:$I$330,9,FALSE),"")</f>
        <v>2.5</v>
      </c>
    </row>
    <row r="23" spans="1:18">
      <c r="A23" s="79"/>
      <c r="B23" s="141"/>
      <c r="C23" s="105" t="s">
        <v>767</v>
      </c>
      <c r="D23" s="99"/>
      <c r="E23" s="140" t="str">
        <f>IF($C23&lt;&gt;0,VLOOKUP($C23,'[1]Course Table'!$A$1:$G$330,2,TRUE),"")</f>
        <v>MS Access Level 1</v>
      </c>
      <c r="F23" s="84"/>
      <c r="G23" s="84">
        <f t="shared" si="0"/>
        <v>27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27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21</v>
      </c>
      <c r="M23" s="84">
        <f>COUNTIF($J$6:$J23,$J23)</f>
        <v>17</v>
      </c>
      <c r="N23" s="84">
        <f>IF($C23&lt;&gt;"",VLOOKUP($C23,'[1]Course Table'!$A$1:$I$330,8,FALSE),"")</f>
        <v>5</v>
      </c>
      <c r="O23" s="84">
        <f>IF($C23&lt;&gt;"",VLOOKUP($C23,'[1]Course Table'!$A$1:$I$330,9,FALSE),"")</f>
        <v>1.5</v>
      </c>
      <c r="P23" s="84"/>
      <c r="Q23" s="84"/>
    </row>
    <row r="24" spans="1:18">
      <c r="A24" s="79"/>
      <c r="B24" s="141"/>
      <c r="C24" s="105" t="s">
        <v>631</v>
      </c>
      <c r="E24" s="140" t="str">
        <f>IF($C24&lt;&gt;0,VLOOKUP($C24,'[1]Course Table'!$A$1:$G$330,2,TRUE),"")</f>
        <v>Project Management Fundamentals - Level 1</v>
      </c>
      <c r="F24" s="84"/>
      <c r="G24" s="84">
        <f t="shared" si="0"/>
        <v>36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995</v>
      </c>
      <c r="I24" s="84">
        <f>IF($C24&lt;&gt;"",VLOOKUP($C24,'[1]Course Table'!$A$1:$G$330,5,FALSE),"")</f>
        <v>36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21</v>
      </c>
      <c r="M24" s="84">
        <f>COUNTIF($J$6:$J24,$J24)</f>
        <v>18</v>
      </c>
      <c r="N24" s="84">
        <f>IF($C24&lt;&gt;"",VLOOKUP($C24,'[1]Course Table'!$A$1:$I$330,8,FALSE),"")</f>
        <v>9</v>
      </c>
      <c r="O24" s="84">
        <f>IF($C24&lt;&gt;"",VLOOKUP($C24,'[1]Course Table'!$A$1:$I$330,9,FALSE),"")</f>
        <v>2</v>
      </c>
      <c r="P24" s="84"/>
      <c r="Q24" s="84"/>
    </row>
    <row r="25" spans="1:18">
      <c r="A25" s="79"/>
      <c r="B25" s="141"/>
      <c r="C25" s="105" t="s">
        <v>632</v>
      </c>
      <c r="D25" s="84"/>
      <c r="E25" s="140" t="str">
        <f>IF($C25&lt;&gt;0,VLOOKUP($C25,'[1]Course Table'!$A$1:$G$330,2,TRUE),"")</f>
        <v>Managing Software Development Projects</v>
      </c>
      <c r="F25" s="84"/>
      <c r="G25" s="84">
        <f t="shared" si="0"/>
        <v>8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144</v>
      </c>
      <c r="I25" s="84">
        <f>IF($C25&lt;&gt;"",VLOOKUP($C25,'[1]Course Table'!$A$1:$G$330,5,FALSE),"")</f>
        <v>8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21</v>
      </c>
      <c r="M25" s="84">
        <f>COUNTIF($J$6:$J25,$J25)</f>
        <v>19</v>
      </c>
      <c r="N25" s="84">
        <f>IF($C25&lt;&gt;"",VLOOKUP($C25,'[1]Course Table'!$A$1:$I$330,8,FALSE),"")</f>
        <v>17</v>
      </c>
      <c r="O25" s="84">
        <f>IF($C25&lt;&gt;"",VLOOKUP($C25,'[1]Course Table'!$A$1:$I$330,9,FALSE),"")</f>
        <v>0.5</v>
      </c>
      <c r="P25" s="84"/>
      <c r="Q25" s="84"/>
    </row>
    <row r="26" spans="1:18">
      <c r="A26" s="79"/>
      <c r="B26" s="141"/>
      <c r="C26" s="105" t="s">
        <v>544</v>
      </c>
      <c r="D26" s="84"/>
      <c r="E26" s="140" t="str">
        <f>IF($C26&lt;&gt;0,VLOOKUP($C26,'[1]Course Table'!$A$1:$G$330,2,TRUE),"")</f>
        <v>Customer Service</v>
      </c>
      <c r="F26" s="84"/>
      <c r="G26" s="84">
        <f t="shared" si="0"/>
        <v>30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549</v>
      </c>
      <c r="I26" s="84">
        <f>IF($C26&lt;&gt;"",VLOOKUP($C26,'[1]Course Table'!$A$1:$G$330,5,FALSE),"")</f>
        <v>30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21</v>
      </c>
      <c r="M26" s="84">
        <f>COUNTIF($J$6:$J26,$J26)</f>
        <v>20</v>
      </c>
      <c r="N26" s="84">
        <f>IF($C26&lt;&gt;"",VLOOKUP($C26,'[1]Course Table'!$A$1:$I$330,8,FALSE),"")</f>
        <v>9</v>
      </c>
      <c r="O26" s="84">
        <f>IF($C26&lt;&gt;"",VLOOKUP($C26,'[1]Course Table'!$A$1:$I$330,9,FALSE),"")</f>
        <v>1.5</v>
      </c>
      <c r="P26" s="84"/>
      <c r="Q26" s="84"/>
    </row>
    <row r="27" spans="1:18">
      <c r="A27" s="79"/>
      <c r="B27" s="141"/>
      <c r="C27" s="105" t="s">
        <v>633</v>
      </c>
      <c r="D27" s="84"/>
      <c r="E27" s="140" t="str">
        <f>IF($C27&lt;&gt;0,VLOOKUP($C27,'[1]Course Table'!$A$1:$G$330,2,TRUE),"")</f>
        <v>Job Search/Resume Writing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579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21</v>
      </c>
      <c r="M27" s="84">
        <f>COUNTIF($J$6:$J27,$J27)</f>
        <v>21</v>
      </c>
      <c r="N27" s="84">
        <f>IF($C27&lt;&gt;"",VLOOKUP($C27,'[1]Course Table'!$A$1:$I$330,8,FALSE),"")</f>
        <v>15</v>
      </c>
      <c r="O27" s="84">
        <f>IF($C27&lt;&gt;"",VLOOKUP($C27,'[1]Course Table'!$A$1:$I$330,9,FALSE),"")</f>
        <v>1.5</v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14</v>
      </c>
      <c r="M28" s="84">
        <f>COUNTIF($J$6:$J28,$J28)</f>
        <v>2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14</v>
      </c>
      <c r="M29" s="84">
        <f>COUNTIF($J$6:$J29,$J29)</f>
        <v>3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14</v>
      </c>
      <c r="M30" s="84">
        <f>COUNTIF($J$6:$J30,$J30)</f>
        <v>4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14</v>
      </c>
      <c r="M31" s="84">
        <f>COUNTIF($J$6:$J31,$J31)</f>
        <v>5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14</v>
      </c>
      <c r="M32" s="84">
        <f>COUNTIF($J$6:$J32,$J32)</f>
        <v>6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14</v>
      </c>
      <c r="M33" s="84">
        <f>COUNTIF($J$6:$J33,$J33)</f>
        <v>7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14</v>
      </c>
      <c r="M34" s="84">
        <f>COUNTIF($J$6:$J34,$J34)</f>
        <v>8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14</v>
      </c>
      <c r="M35" s="84">
        <f>COUNTIF($J$6:$J35,$J35)</f>
        <v>9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14</v>
      </c>
      <c r="M36" s="84">
        <f>COUNTIF($J$6:$J36,$J36)</f>
        <v>10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14</v>
      </c>
      <c r="M37" s="84">
        <f>COUNTIF($J$6:$J37,$J37)</f>
        <v>11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14</v>
      </c>
      <c r="M38" s="84">
        <f>COUNTIF($J$6:$J38,$J38)</f>
        <v>12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14</v>
      </c>
      <c r="M39" s="84">
        <f>COUNTIF($J$6:$J39,$J39)</f>
        <v>13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14</v>
      </c>
      <c r="M40" s="84">
        <f>COUNTIF($J$6:$J40,$J40)</f>
        <v>14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10774</v>
      </c>
      <c r="I41" s="115">
        <f>SUM(I6:I40)</f>
        <v>591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- 591          Exam &amp; Review Hours - 0          Total Course Hours - 591</v>
      </c>
      <c r="E42" s="301"/>
      <c r="F42" s="301"/>
      <c r="G42" s="301"/>
      <c r="H42" s="117">
        <f>ROUNDUP(H41/(I41+C43),2)</f>
        <v>18.240000000000002</v>
      </c>
    </row>
    <row r="43" spans="1:18" s="90" customFormat="1" ht="12.75">
      <c r="C43" s="90">
        <f>ROUNDUP(I41*C42,0)</f>
        <v>0</v>
      </c>
      <c r="D43" s="300" t="str">
        <f>CONCATENATE("Duration at 20 Hrs/Week:",ROUND((I41+C43)/(20*4.33),1)," Months (",ROUND((I41+C43)/20.5,0)," Weeks); at 25 Hrs/Week:",ROUND((I41+C43)/(25*4.33),1)," Months (",ROUND((I41+C43)/25,0)," Weeks)","; +2 weeks holiday")</f>
        <v>Duration at 20 Hrs/Week:6.8 Months (29 Weeks); at 25 Hrs/Week:5.5 Months (24 Weeks); +2 weeks holiday</v>
      </c>
      <c r="E43" s="300"/>
      <c r="F43" s="300"/>
      <c r="G43" s="300"/>
      <c r="H43" s="118"/>
    </row>
    <row r="44" spans="1:18" s="84" customFormat="1" ht="13.5">
      <c r="C44" s="90">
        <f>_xlfn.IFNA(VLOOKUP("SR"&amp;"*",$C$6:$G$40,5,FALSE),0)</f>
        <v>0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$11128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30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2.5</v>
      </c>
      <c r="O49" s="78">
        <f>SUMIF($N$6:$N$40,Summary!O4,$O$6:$O$40)</f>
        <v>3.5</v>
      </c>
      <c r="P49" s="78">
        <f>SUMIF($N$6:$N$40,Summary!P4,$O$6:$O$40)</f>
        <v>1.5</v>
      </c>
      <c r="Q49" s="78">
        <f>SUMIF($N$6:$N$40,Summary!Q4,$O$6:$O$40)</f>
        <v>1.5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2</v>
      </c>
      <c r="V49" s="78">
        <f>SUMIF($N$6:$N$40,Summary!V4,$O$6:$O$40)</f>
        <v>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11.5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F2:G2"/>
    <mergeCell ref="D4:F4"/>
    <mergeCell ref="D42:G42"/>
    <mergeCell ref="D43:G43"/>
    <mergeCell ref="D45:G45"/>
  </mergeCells>
  <phoneticPr fontId="36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27">
    <tabColor indexed="10"/>
    <pageSetUpPr fitToPage="1"/>
  </sheetPr>
  <dimension ref="A1:AG51"/>
  <sheetViews>
    <sheetView zoomScaleNormal="100" workbookViewId="0">
      <selection activeCell="D5" sqref="D5"/>
    </sheetView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AdminAsstDip!F2:G2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135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159</v>
      </c>
      <c r="E4" s="299"/>
      <c r="F4" s="299"/>
      <c r="G4" s="92"/>
      <c r="I4" s="84" t="s">
        <v>7</v>
      </c>
      <c r="P4" s="84"/>
      <c r="Q4" s="84"/>
    </row>
    <row r="5" spans="1:17">
      <c r="A5" s="90" t="s">
        <v>217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32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32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03"/>
      <c r="C8" s="105" t="s">
        <v>391</v>
      </c>
      <c r="D8" s="84"/>
      <c r="E8" s="99" t="str">
        <f>IF($C8&lt;&gt;0,VLOOKUP($C8,'[1]Course Table'!$A$1:$G$330,2,TRUE),"")</f>
        <v>Keyboard Skill Building Level 2 (40 WPM)</v>
      </c>
      <c r="F8" s="84"/>
      <c r="G8" s="84">
        <f t="shared" si="1"/>
        <v>25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25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32</v>
      </c>
      <c r="M8" s="84">
        <f>COUNTIF($J$6:$J8,$J8)</f>
        <v>3</v>
      </c>
      <c r="N8" s="84">
        <f>IF($C8&lt;&gt;"",VLOOKUP($C8,'[1]Course Table'!$A$1:$I$330,8,FALSE),"")</f>
        <v>1</v>
      </c>
      <c r="O8" s="84">
        <f>IF($C8&lt;&gt;"",VLOOKUP($C8,'[1]Course Table'!$A$1:$I$330,9,FALSE),"")</f>
        <v>1.5</v>
      </c>
      <c r="P8" s="84"/>
      <c r="Q8" s="84"/>
    </row>
    <row r="9" spans="1:17">
      <c r="A9" s="79"/>
      <c r="B9" s="103"/>
      <c r="C9" s="105" t="s">
        <v>580</v>
      </c>
      <c r="D9" s="84"/>
      <c r="E9" s="99" t="str">
        <f>IF($C9&lt;&gt;0,VLOOKUP($C9,'[1]Course Table'!$A$1:$G$330,2,TRUE),"")</f>
        <v>Personal Computer Fundamentals</v>
      </c>
      <c r="F9" s="84"/>
      <c r="G9" s="84">
        <f t="shared" si="1"/>
        <v>24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24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32</v>
      </c>
      <c r="M9" s="84">
        <f>COUNTIF($J$6:$J9,$J9)</f>
        <v>4</v>
      </c>
      <c r="N9" s="84">
        <f>IF($C9&lt;&gt;"",VLOOKUP($C9,'[1]Course Table'!$A$1:$I$330,8,FALSE),"")</f>
        <v>2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03"/>
      <c r="C10" s="105" t="s">
        <v>463</v>
      </c>
      <c r="D10" s="84"/>
      <c r="E10" s="99" t="str">
        <f>IF($C10&lt;&gt;0,VLOOKUP($C10,'[1]Course Table'!$A$1:$G$330,2,TRUE),"")</f>
        <v>Windows 10 Level 1</v>
      </c>
      <c r="F10" s="84"/>
      <c r="G10" s="84">
        <f t="shared" si="1"/>
        <v>21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21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32</v>
      </c>
      <c r="M10" s="84">
        <f>COUNTIF($J$6:$J10,$J10)</f>
        <v>5</v>
      </c>
      <c r="N10" s="84">
        <f>IF($C10&lt;&gt;"",VLOOKUP($C10,'[1]Course Table'!$A$1:$I$330,8,FALSE),"")</f>
        <v>8</v>
      </c>
      <c r="O10" s="84">
        <f>IF($C10&lt;&gt;"",VLOOKUP($C10,'[1]Course Table'!$A$1:$I$330,9,FALSE),"")</f>
        <v>1</v>
      </c>
      <c r="P10" s="84"/>
      <c r="Q10" s="84"/>
    </row>
    <row r="11" spans="1:17">
      <c r="A11" s="79"/>
      <c r="B11" s="103"/>
      <c r="C11" s="105" t="s">
        <v>467</v>
      </c>
      <c r="D11" s="84"/>
      <c r="E11" s="99" t="str">
        <f>IF($C11&lt;&gt;0,VLOOKUP($C11,'[1]Course Table'!$A$1:$G$330,2,TRUE),"")</f>
        <v>Windows 10 Level 2</v>
      </c>
      <c r="F11" s="84"/>
      <c r="G11" s="84">
        <f t="shared" si="1"/>
        <v>20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20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32</v>
      </c>
      <c r="M11" s="84">
        <f>COUNTIF($J$6:$J11,$J11)</f>
        <v>6</v>
      </c>
      <c r="N11" s="84">
        <f>IF($C11&lt;&gt;"",VLOOKUP($C11,'[1]Course Table'!$A$1:$I$330,8,FALSE),"")</f>
        <v>8</v>
      </c>
      <c r="O11" s="84">
        <f>IF($C11&lt;&gt;"",VLOOKUP($C11,'[1]Course Table'!$A$1:$I$330,9,FALSE),"")</f>
        <v>1</v>
      </c>
      <c r="P11" s="84"/>
      <c r="Q11" s="84"/>
    </row>
    <row r="12" spans="1:17">
      <c r="A12" s="79"/>
      <c r="B12" s="103"/>
      <c r="C12" s="105" t="s">
        <v>757</v>
      </c>
      <c r="D12" s="84"/>
      <c r="E12" s="99" t="str">
        <f>IF($C12&lt;&gt;0,VLOOKUP($C12,'[1]Course Table'!$A$1:$G$330,2,TRUE),"")</f>
        <v>MS Word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32</v>
      </c>
      <c r="M12" s="84">
        <f>COUNTIF($J$6:$J12,$J12)</f>
        <v>7</v>
      </c>
      <c r="N12" s="84">
        <f>IF($C12&lt;&gt;"",VLOOKUP($C12,'[1]Course Table'!$A$1:$I$330,8,FALSE),"")</f>
        <v>3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03"/>
      <c r="C13" s="105" t="s">
        <v>758</v>
      </c>
      <c r="D13" s="84"/>
      <c r="E13" s="99" t="str">
        <f>IF($C13&lt;&gt;0,VLOOKUP($C13,'[1]Course Table'!$A$1:$G$330,2,TRUE),"")</f>
        <v>MS Word Level 2</v>
      </c>
      <c r="F13" s="84"/>
      <c r="G13" s="84">
        <f t="shared" si="1"/>
        <v>37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37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32</v>
      </c>
      <c r="M13" s="84">
        <f>COUNTIF($J$6:$J13,$J13)</f>
        <v>8</v>
      </c>
      <c r="N13" s="84">
        <f>IF($C13&lt;&gt;"",VLOOKUP($C13,'[1]Course Table'!$A$1:$I$330,8,FALSE),"")</f>
        <v>3</v>
      </c>
      <c r="O13" s="84">
        <f>IF($C13&lt;&gt;"",VLOOKUP($C13,'[1]Course Table'!$A$1:$I$330,9,FALSE),"")</f>
        <v>2</v>
      </c>
      <c r="P13" s="84"/>
      <c r="Q13" s="84"/>
    </row>
    <row r="14" spans="1:17">
      <c r="A14" s="79"/>
      <c r="B14" s="103"/>
      <c r="C14" s="105" t="s">
        <v>759</v>
      </c>
      <c r="D14" s="84"/>
      <c r="E14" s="99" t="str">
        <f>IF($C14&lt;&gt;0,VLOOKUP($C14,'[1]Course Table'!$A$1:$G$330,2,TRUE),"")</f>
        <v>MS Word Level 3</v>
      </c>
      <c r="F14" s="84"/>
      <c r="G14" s="84">
        <f t="shared" si="1"/>
        <v>34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34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32</v>
      </c>
      <c r="M14" s="84">
        <f>COUNTIF($J$6:$J14,$J14)</f>
        <v>9</v>
      </c>
      <c r="N14" s="84">
        <f>IF($C14&lt;&gt;"",VLOOKUP($C14,'[1]Course Table'!$A$1:$I$330,8,FALSE),"")</f>
        <v>3</v>
      </c>
      <c r="O14" s="84">
        <f>IF($C14&lt;&gt;"",VLOOKUP($C14,'[1]Course Table'!$A$1:$I$330,9,FALSE),"")</f>
        <v>1.5</v>
      </c>
      <c r="P14" s="84"/>
      <c r="Q14" s="84"/>
    </row>
    <row r="15" spans="1:17">
      <c r="A15" s="79"/>
      <c r="B15" s="103"/>
      <c r="C15" s="105" t="s">
        <v>181</v>
      </c>
      <c r="D15" s="84"/>
      <c r="E15" s="99" t="str">
        <f>IF($C15&lt;&gt;0,VLOOKUP($C15,'[1]Course Table'!$A$1:$G$330,2,TRUE),"")</f>
        <v>Grammar Essentials for Business Writing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479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32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03"/>
      <c r="C16" s="105" t="s">
        <v>366</v>
      </c>
      <c r="D16" s="84"/>
      <c r="E16" s="99" t="str">
        <f>IF($C16&lt;&gt;0,VLOOKUP($C16,'[1]Course Table'!$A$1:$G$330,2,TRUE),"")</f>
        <v>Business Correspondence Level 1</v>
      </c>
      <c r="F16" s="84"/>
      <c r="G16" s="84">
        <f t="shared" si="1"/>
        <v>32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499</v>
      </c>
      <c r="I16" s="84">
        <f>IF($C16&lt;&gt;"",VLOOKUP($C16,'[1]Course Table'!$A$1:$G$330,5,FALSE),"")</f>
        <v>32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32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1.5</v>
      </c>
      <c r="P16" s="84"/>
      <c r="Q16" s="84"/>
    </row>
    <row r="17" spans="1:18">
      <c r="A17" s="79"/>
      <c r="B17" s="103"/>
      <c r="C17" s="105" t="s">
        <v>367</v>
      </c>
      <c r="D17" s="84"/>
      <c r="E17" s="99" t="str">
        <f>IF($C17&lt;&gt;0,VLOOKUP($C17,'[1]Course Table'!$A$1:$G$330,2,TRUE),"")</f>
        <v>Business Correspondence Level 2</v>
      </c>
      <c r="F17" s="84"/>
      <c r="G17" s="84">
        <f t="shared" si="1"/>
        <v>32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32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32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03"/>
      <c r="C18" s="105" t="s">
        <v>763</v>
      </c>
      <c r="D18" s="84"/>
      <c r="E18" s="99" t="str">
        <f>IF($C18&lt;&gt;0,VLOOKUP($C18,'[1]Course Table'!$A$1:$G$330,2,TRUE),"")</f>
        <v>MS Excel Level 1</v>
      </c>
      <c r="F18" s="84"/>
      <c r="G18" s="84">
        <f t="shared" si="1"/>
        <v>28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389</v>
      </c>
      <c r="I18" s="84">
        <f>IF($C18&lt;&gt;"",VLOOKUP($C18,'[1]Course Table'!$A$1:$G$330,5,FALSE),"")</f>
        <v>28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32</v>
      </c>
      <c r="M18" s="84">
        <f>COUNTIF($J$6:$J18,$J18)</f>
        <v>13</v>
      </c>
      <c r="N18" s="84">
        <f>IF($C18&lt;&gt;"",VLOOKUP($C18,'[1]Course Table'!$A$1:$I$330,8,FALSE),"")</f>
        <v>4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03"/>
      <c r="C19" s="105" t="s">
        <v>765</v>
      </c>
      <c r="D19" s="84"/>
      <c r="E19" s="99" t="str">
        <f>IF($C19&lt;&gt;0,VLOOKUP($C19,'[1]Course Table'!$A$1:$G$330,2,TRUE),"")</f>
        <v>MS Excel Level 2</v>
      </c>
      <c r="F19" s="84"/>
      <c r="G19" s="84">
        <f t="shared" si="1"/>
        <v>35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389</v>
      </c>
      <c r="I19" s="84">
        <f>IF($C19&lt;&gt;"",VLOOKUP($C19,'[1]Course Table'!$A$1:$G$330,5,FALSE),"")</f>
        <v>35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32</v>
      </c>
      <c r="M19" s="84">
        <f>COUNTIF($J$6:$J19,$J19)</f>
        <v>14</v>
      </c>
      <c r="N19" s="84">
        <f>IF($C19&lt;&gt;"",VLOOKUP($C19,'[1]Course Table'!$A$1:$I$330,8,FALSE),"")</f>
        <v>4</v>
      </c>
      <c r="O19" s="84">
        <f>IF($C19&lt;&gt;"",VLOOKUP($C19,'[1]Course Table'!$A$1:$I$330,9,FALSE),"")</f>
        <v>2</v>
      </c>
      <c r="P19" s="84"/>
      <c r="Q19" s="84"/>
    </row>
    <row r="20" spans="1:18">
      <c r="A20" s="79"/>
      <c r="B20" s="103"/>
      <c r="C20" s="105" t="s">
        <v>766</v>
      </c>
      <c r="D20" s="84"/>
      <c r="E20" s="99" t="str">
        <f>IF($C20&lt;&gt;0,VLOOKUP($C20,'[1]Course Table'!$A$1:$G$330,2,TRUE),"")</f>
        <v>MS Excel Level 3</v>
      </c>
      <c r="F20" s="84"/>
      <c r="G20" s="84">
        <f t="shared" si="1"/>
        <v>35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399</v>
      </c>
      <c r="I20" s="84">
        <f>IF($C20&lt;&gt;"",VLOOKUP($C20,'[1]Course Table'!$A$1:$G$330,5,FALSE),"")</f>
        <v>35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32</v>
      </c>
      <c r="M20" s="84">
        <f>COUNTIF($J$6:$J20,$J20)</f>
        <v>15</v>
      </c>
      <c r="N20" s="84">
        <f>IF($C20&lt;&gt;"",VLOOKUP($C20,'[1]Course Table'!$A$1:$I$330,8,FALSE),"")</f>
        <v>4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03"/>
      <c r="C21" s="105" t="s">
        <v>767</v>
      </c>
      <c r="D21" s="84"/>
      <c r="E21" s="99" t="str">
        <f>IF($C21&lt;&gt;0,VLOOKUP($C21,'[1]Course Table'!$A$1:$G$330,2,TRUE),"")</f>
        <v>MS Access Level 1</v>
      </c>
      <c r="F21" s="84"/>
      <c r="G21" s="84">
        <f t="shared" si="1"/>
        <v>27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389</v>
      </c>
      <c r="I21" s="84">
        <f>IF($C21&lt;&gt;"",VLOOKUP($C21,'[1]Course Table'!$A$1:$G$330,5,FALSE),"")</f>
        <v>27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32</v>
      </c>
      <c r="M21" s="84">
        <f>COUNTIF($J$6:$J21,$J21)</f>
        <v>16</v>
      </c>
      <c r="N21" s="84">
        <f>IF($C21&lt;&gt;"",VLOOKUP($C21,'[1]Course Table'!$A$1:$I$330,8,FALSE),"")</f>
        <v>5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03"/>
      <c r="C22" s="105" t="s">
        <v>769</v>
      </c>
      <c r="D22" s="84"/>
      <c r="E22" s="99" t="str">
        <f>IF($C22&lt;&gt;0,VLOOKUP($C22,'[1]Course Table'!$A$1:$G$330,2,TRUE),"")</f>
        <v>MS Access Level 2</v>
      </c>
      <c r="F22" s="84"/>
      <c r="G22" s="84">
        <f t="shared" si="1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389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32</v>
      </c>
      <c r="M22" s="84">
        <f>COUNTIF($J$6:$J22,$J22)</f>
        <v>17</v>
      </c>
      <c r="N22" s="84">
        <f>IF($C22&lt;&gt;"",VLOOKUP($C22,'[1]Course Table'!$A$1:$I$330,8,FALSE),"")</f>
        <v>5</v>
      </c>
      <c r="O22" s="84">
        <f>IF($C22&lt;&gt;"",VLOOKUP($C22,'[1]Course Table'!$A$1:$I$330,9,FALSE),"")</f>
        <v>1.5</v>
      </c>
    </row>
    <row r="23" spans="1:18">
      <c r="A23" s="79"/>
      <c r="B23" s="103"/>
      <c r="C23" s="105" t="s">
        <v>760</v>
      </c>
      <c r="D23" s="84"/>
      <c r="E23" s="99" t="str">
        <f>IF($C23&lt;&gt;0,VLOOKUP($C23,'[1]Course Table'!$A$1:$G$330,2,TRUE),"")</f>
        <v>MS Powerpoint Level 1</v>
      </c>
      <c r="F23" s="84"/>
      <c r="G23" s="84">
        <f t="shared" si="1"/>
        <v>24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389</v>
      </c>
      <c r="I23" s="84">
        <f>IF($C23&lt;&gt;"",VLOOKUP($C23,'[1]Course Table'!$A$1:$G$330,5,FALSE),"")</f>
        <v>24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32</v>
      </c>
      <c r="M23" s="84">
        <f>COUNTIF($J$6:$J23,$J23)</f>
        <v>18</v>
      </c>
      <c r="N23" s="84">
        <f>IF($C23&lt;&gt;"",VLOOKUP($C23,'[1]Course Table'!$A$1:$I$330,8,FALSE),"")</f>
        <v>6</v>
      </c>
      <c r="O23" s="84">
        <f>IF($C23&lt;&gt;"",VLOOKUP($C23,'[1]Course Table'!$A$1:$I$330,9,FALSE),"")</f>
        <v>1</v>
      </c>
      <c r="P23" s="84"/>
      <c r="Q23" s="84"/>
    </row>
    <row r="24" spans="1:18">
      <c r="A24" s="79"/>
      <c r="B24" s="103"/>
      <c r="C24" s="105" t="s">
        <v>761</v>
      </c>
      <c r="D24" s="84"/>
      <c r="E24" s="99" t="str">
        <f>IF($C24&lt;&gt;0,VLOOKUP($C24,'[1]Course Table'!$A$1:$G$330,2,TRUE),"")</f>
        <v>MS Powerpoint Level 2</v>
      </c>
      <c r="F24" s="84"/>
      <c r="G24" s="84">
        <f t="shared" si="1"/>
        <v>26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399</v>
      </c>
      <c r="I24" s="84">
        <f>IF($C24&lt;&gt;"",VLOOKUP($C24,'[1]Course Table'!$A$1:$G$330,5,FALSE),"")</f>
        <v>26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32</v>
      </c>
      <c r="M24" s="84">
        <f>COUNTIF($J$6:$J24,$J24)</f>
        <v>19</v>
      </c>
      <c r="N24" s="84">
        <f>IF($C24&lt;&gt;"",VLOOKUP($C24,'[1]Course Table'!$A$1:$I$330,8,FALSE),"")</f>
        <v>6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03"/>
      <c r="C25" s="105" t="s">
        <v>780</v>
      </c>
      <c r="D25" s="84"/>
      <c r="E25" s="99" t="str">
        <f>IF($C25&lt;&gt;0,VLOOKUP($C25,'[1]Course Table'!$A$1:$G$330,2,TRUE),"")</f>
        <v>MS Publisher Level 1</v>
      </c>
      <c r="F25" s="84"/>
      <c r="G25" s="84">
        <f t="shared" si="1"/>
        <v>26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428</v>
      </c>
      <c r="I25" s="84">
        <f>IF($C25&lt;&gt;"",VLOOKUP($C25,'[1]Course Table'!$A$1:$G$330,5,FALSE),"")</f>
        <v>26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32</v>
      </c>
      <c r="M25" s="84">
        <f>COUNTIF($J$6:$J25,$J25)</f>
        <v>20</v>
      </c>
      <c r="N25" s="84">
        <f>IF($C25&lt;&gt;"",VLOOKUP($C25,'[1]Course Table'!$A$1:$I$330,8,FALSE),"")</f>
        <v>6</v>
      </c>
      <c r="O25" s="84">
        <f>IF($C25&lt;&gt;"",VLOOKUP($C25,'[1]Course Table'!$A$1:$I$330,9,FALSE),"")</f>
        <v>1.5</v>
      </c>
      <c r="P25" s="84"/>
      <c r="Q25" s="84"/>
    </row>
    <row r="26" spans="1:18">
      <c r="A26" s="79"/>
      <c r="B26" s="103"/>
      <c r="C26" s="105" t="s">
        <v>328</v>
      </c>
      <c r="D26" s="84"/>
      <c r="E26" s="99" t="str">
        <f>IF($C26&lt;&gt;0,VLOOKUP($C26,'[1]Course Table'!$A$1:$G$330,2,TRUE),"")</f>
        <v>Office Procedures Level 1</v>
      </c>
      <c r="F26" s="84"/>
      <c r="G26" s="84">
        <f t="shared" si="1"/>
        <v>24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399</v>
      </c>
      <c r="I26" s="84">
        <f>IF($C26&lt;&gt;"",VLOOKUP($C26,'[1]Course Table'!$A$1:$G$330,5,FALSE),"")</f>
        <v>24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0"/>
        <v>32</v>
      </c>
      <c r="M26" s="84">
        <f>COUNTIF($J$6:$J26,$J26)</f>
        <v>21</v>
      </c>
      <c r="N26" s="84">
        <f>IF($C26&lt;&gt;"",VLOOKUP($C26,'[1]Course Table'!$A$1:$I$330,8,FALSE),"")</f>
        <v>2</v>
      </c>
      <c r="O26" s="84">
        <f>IF($C26&lt;&gt;"",VLOOKUP($C26,'[1]Course Table'!$A$1:$I$330,9,FALSE),"")</f>
        <v>1</v>
      </c>
      <c r="P26" s="84"/>
      <c r="Q26" s="84"/>
    </row>
    <row r="27" spans="1:18">
      <c r="A27" s="79"/>
      <c r="B27" s="103"/>
      <c r="C27" s="105" t="s">
        <v>329</v>
      </c>
      <c r="D27" s="84"/>
      <c r="E27" s="99" t="str">
        <f>IF($C27&lt;&gt;0,VLOOKUP($C27,'[1]Course Table'!$A$1:$G$330,2,TRUE),"")</f>
        <v>Office Procedures Level 2</v>
      </c>
      <c r="F27" s="84"/>
      <c r="G27" s="84">
        <f t="shared" si="1"/>
        <v>24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399</v>
      </c>
      <c r="I27" s="84">
        <f>IF($C27&lt;&gt;"",VLOOKUP($C27,'[1]Course Table'!$A$1:$G$330,5,FALSE),"")</f>
        <v>24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0"/>
        <v>32</v>
      </c>
      <c r="M27" s="84">
        <f>COUNTIF($J$6:$J27,$J27)</f>
        <v>22</v>
      </c>
      <c r="N27" s="84">
        <f>IF($C27&lt;&gt;"",VLOOKUP($C27,'[1]Course Table'!$A$1:$I$330,8,FALSE),"")</f>
        <v>2</v>
      </c>
      <c r="O27" s="84">
        <f>IF($C27&lt;&gt;"",VLOOKUP($C27,'[1]Course Table'!$A$1:$I$330,9,FALSE),"")</f>
        <v>1</v>
      </c>
      <c r="P27" s="84"/>
      <c r="Q27" s="84"/>
    </row>
    <row r="28" spans="1:18">
      <c r="A28" s="79"/>
      <c r="B28" s="103"/>
      <c r="C28" s="105" t="s">
        <v>327</v>
      </c>
      <c r="D28" s="84"/>
      <c r="E28" s="99" t="str">
        <f>IF($C28&lt;&gt;0,VLOOKUP($C28,'[1]Course Table'!$A$1:$G$330,2,TRUE),"")</f>
        <v>Customer Service Essentials</v>
      </c>
      <c r="F28" s="84"/>
      <c r="G28" s="84">
        <f t="shared" si="1"/>
        <v>20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341</v>
      </c>
      <c r="I28" s="84">
        <f>IF($C28&lt;&gt;"",VLOOKUP($C28,'[1]Course Table'!$A$1:$G$330,5,FALSE),"")</f>
        <v>20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0"/>
        <v>32</v>
      </c>
      <c r="M28" s="84">
        <f>COUNTIF($J$6:$J28,$J28)</f>
        <v>23</v>
      </c>
      <c r="N28" s="84">
        <f>IF($C28&lt;&gt;"",VLOOKUP($C28,'[1]Course Table'!$A$1:$I$330,8,FALSE),"")</f>
        <v>9</v>
      </c>
      <c r="O28" s="84">
        <f>IF($C28&lt;&gt;"",VLOOKUP($C28,'[1]Course Table'!$A$1:$I$330,9,FALSE),"")</f>
        <v>1</v>
      </c>
      <c r="P28" s="84"/>
      <c r="Q28" s="84"/>
    </row>
    <row r="29" spans="1:18">
      <c r="A29" s="79"/>
      <c r="B29" s="103"/>
      <c r="C29" s="105" t="s">
        <v>365</v>
      </c>
      <c r="D29" s="84"/>
      <c r="E29" s="99" t="str">
        <f>IF($C29&lt;&gt;0,VLOOKUP($C29,'[1]Course Table'!$A$1:$G$330,2,TRUE),"")</f>
        <v>Business Planning</v>
      </c>
      <c r="F29" s="84"/>
      <c r="G29" s="84">
        <f t="shared" si="1"/>
        <v>16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375</v>
      </c>
      <c r="I29" s="84">
        <f>IF($C29&lt;&gt;"",VLOOKUP($C29,'[1]Course Table'!$A$1:$G$330,5,FALSE),"")</f>
        <v>16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0"/>
        <v>32</v>
      </c>
      <c r="M29" s="84">
        <f>COUNTIF($J$6:$J29,$J29)</f>
        <v>24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</v>
      </c>
      <c r="P29" s="84"/>
      <c r="Q29" s="84"/>
    </row>
    <row r="30" spans="1:18">
      <c r="A30" s="79"/>
      <c r="B30" s="103"/>
      <c r="C30" s="105" t="s">
        <v>183</v>
      </c>
      <c r="D30" s="84"/>
      <c r="E30" s="99" t="str">
        <f>IF($C30&lt;&gt;0,VLOOKUP($C30,'[1]Course Table'!$A$1:$G$330,2,TRUE),"")</f>
        <v>Management Fundamentals</v>
      </c>
      <c r="F30" s="84"/>
      <c r="G30" s="84">
        <f t="shared" si="1"/>
        <v>36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688</v>
      </c>
      <c r="I30" s="84">
        <f>IF($C30&lt;&gt;"",VLOOKUP($C30,'[1]Course Table'!$A$1:$G$330,5,FALSE),"")</f>
        <v>36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0"/>
        <v>32</v>
      </c>
      <c r="M30" s="84">
        <f>COUNTIF($J$6:$J30,$J30)</f>
        <v>25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2</v>
      </c>
      <c r="P30" s="84"/>
      <c r="Q30" s="84"/>
    </row>
    <row r="31" spans="1:18">
      <c r="A31" s="79"/>
      <c r="B31" s="103"/>
      <c r="C31" s="105" t="s">
        <v>180</v>
      </c>
      <c r="D31" s="84"/>
      <c r="E31" s="99" t="str">
        <f>IF($C31&lt;&gt;0,VLOOKUP($C31,'[1]Course Table'!$A$1:$G$330,2,TRUE),"")</f>
        <v>Business Math</v>
      </c>
      <c r="F31" s="84"/>
      <c r="G31" s="84">
        <f t="shared" si="1"/>
        <v>22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399</v>
      </c>
      <c r="I31" s="84">
        <f>IF($C31&lt;&gt;"",VLOOKUP($C31,'[1]Course Table'!$A$1:$G$330,5,FALSE),"")</f>
        <v>22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0"/>
        <v>32</v>
      </c>
      <c r="M31" s="84">
        <f>COUNTIF($J$6:$J31,$J31)</f>
        <v>26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1</v>
      </c>
      <c r="P31" s="84"/>
      <c r="Q31" s="84"/>
    </row>
    <row r="32" spans="1:18">
      <c r="A32" s="79"/>
      <c r="B32" s="103"/>
      <c r="C32" s="105" t="s">
        <v>123</v>
      </c>
      <c r="D32" s="84"/>
      <c r="E32" s="99" t="str">
        <f>IF($C32&lt;&gt;0,VLOOKUP($C32,'[1]Course Table'!$A$1:$G$330,2,TRUE),"")</f>
        <v>Basic Bookkeeping Level 1</v>
      </c>
      <c r="F32" s="84"/>
      <c r="G32" s="84">
        <f t="shared" si="1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499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0"/>
        <v>32</v>
      </c>
      <c r="M32" s="84">
        <f>COUNTIF($J$6:$J32,$J32)</f>
        <v>27</v>
      </c>
      <c r="N32" s="84">
        <f>IF($C32&lt;&gt;"",VLOOKUP($C32,'[1]Course Table'!$A$1:$I$330,8,FALSE),"")</f>
        <v>9</v>
      </c>
      <c r="O32" s="84">
        <f>IF($C32&lt;&gt;"",VLOOKUP($C32,'[1]Course Table'!$A$1:$I$330,9,FALSE),"")</f>
        <v>1.5</v>
      </c>
      <c r="P32" s="84"/>
      <c r="Q32" s="84"/>
      <c r="R32" s="90"/>
    </row>
    <row r="33" spans="1:23">
      <c r="A33" s="79"/>
      <c r="B33" s="103"/>
      <c r="C33" s="105" t="s">
        <v>124</v>
      </c>
      <c r="D33" s="84"/>
      <c r="E33" s="99" t="str">
        <f>IF($C33&lt;&gt;0,VLOOKUP($C33,'[1]Course Table'!$A$1:$G$330,2,TRUE),"")</f>
        <v>Basic Bookkeeping Level 2</v>
      </c>
      <c r="F33" s="84"/>
      <c r="G33" s="84">
        <f t="shared" si="1"/>
        <v>20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449</v>
      </c>
      <c r="I33" s="84">
        <f>IF($C33&lt;&gt;"",VLOOKUP($C33,'[1]Course Table'!$A$1:$G$330,5,FALSE),"")</f>
        <v>20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0"/>
        <v>32</v>
      </c>
      <c r="M33" s="84">
        <f>COUNTIF($J$6:$J33,$J33)</f>
        <v>28</v>
      </c>
      <c r="N33" s="84">
        <f>IF($C33&lt;&gt;"",VLOOKUP($C33,'[1]Course Table'!$A$1:$I$330,8,FALSE),"")</f>
        <v>9</v>
      </c>
      <c r="O33" s="84">
        <f>IF($C33&lt;&gt;"",VLOOKUP($C33,'[1]Course Table'!$A$1:$I$330,9,FALSE),"")</f>
        <v>1</v>
      </c>
      <c r="P33" s="84"/>
      <c r="Q33" s="84"/>
      <c r="R33" s="90"/>
    </row>
    <row r="34" spans="1:23">
      <c r="A34" s="79"/>
      <c r="B34" s="103"/>
      <c r="C34" s="105" t="s">
        <v>322</v>
      </c>
      <c r="D34" s="84"/>
      <c r="E34" s="99" t="str">
        <f>IF($C34&lt;&gt;0,VLOOKUP($C34,'[1]Course Table'!$A$1:$G$330,2,TRUE),"")</f>
        <v>Sage 50 Premium Accounting 2013</v>
      </c>
      <c r="F34" s="84"/>
      <c r="G34" s="84">
        <f t="shared" si="1"/>
        <v>46</v>
      </c>
      <c r="H34" s="100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>799</v>
      </c>
      <c r="I34" s="84">
        <f>IF($C34&lt;&gt;"",VLOOKUP($C34,'[1]Course Table'!$A$1:$G$330,5,FALSE),"")</f>
        <v>46</v>
      </c>
      <c r="J34" s="101">
        <f>IF(AND($C34&lt;&gt;"",A34&lt;&gt;"E"),VLOOKUP($C34,'[1]Course Table'!$A$1:$G$330,6,FALSE),"")</f>
        <v>0</v>
      </c>
      <c r="K34" s="101">
        <f>IF($C34&lt;&gt;"",VLOOKUP($C34,'[1]Course Table'!$A$1:$G$330,7,FALSE),"")</f>
        <v>0</v>
      </c>
      <c r="L34" s="84">
        <f t="shared" si="0"/>
        <v>32</v>
      </c>
      <c r="M34" s="84">
        <f>COUNTIF($J$6:$J34,$J34)</f>
        <v>29</v>
      </c>
      <c r="N34" s="84">
        <f>IF($C34&lt;&gt;"",VLOOKUP($C34,'[1]Course Table'!$A$1:$I$330,8,FALSE),"")</f>
        <v>7</v>
      </c>
      <c r="O34" s="84">
        <f>IF($C34&lt;&gt;"",VLOOKUP($C34,'[1]Course Table'!$A$1:$I$330,9,FALSE),"")</f>
        <v>2.5</v>
      </c>
      <c r="P34" s="84"/>
      <c r="Q34" s="84"/>
      <c r="R34" s="90"/>
    </row>
    <row r="35" spans="1:23">
      <c r="A35" s="79"/>
      <c r="B35" s="103"/>
      <c r="C35" s="105" t="s">
        <v>16</v>
      </c>
      <c r="D35" s="84"/>
      <c r="E35" s="99" t="str">
        <f>IF($C35&lt;&gt;0,VLOOKUP($C35,'[1]Course Table'!$A$1:$G$330,2,TRUE),"")</f>
        <v>Practical Applications - 3 Units</v>
      </c>
      <c r="F35" s="84"/>
      <c r="G35" s="84">
        <f t="shared" si="1"/>
        <v>60</v>
      </c>
      <c r="H35" s="100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>965</v>
      </c>
      <c r="I35" s="84">
        <f>IF($C35&lt;&gt;"",VLOOKUP($C35,'[1]Course Table'!$A$1:$G$330,5,FALSE),"")</f>
        <v>60</v>
      </c>
      <c r="J35" s="101">
        <f>IF(AND($C35&lt;&gt;"",A35&lt;&gt;"E"),VLOOKUP($C35,'[1]Course Table'!$A$1:$G$330,6,FALSE),"")</f>
        <v>0</v>
      </c>
      <c r="K35" s="101">
        <f>IF($C35&lt;&gt;"",VLOOKUP($C35,'[1]Course Table'!$A$1:$G$330,7,FALSE),"")</f>
        <v>0</v>
      </c>
      <c r="L35" s="84">
        <f t="shared" si="0"/>
        <v>32</v>
      </c>
      <c r="M35" s="84">
        <f>COUNTIF($J$6:$J35,$J35)</f>
        <v>30</v>
      </c>
      <c r="N35" s="84">
        <f>IF($C35&lt;&gt;"",VLOOKUP($C35,'[1]Course Table'!$A$1:$I$330,8,FALSE),"")</f>
        <v>2</v>
      </c>
      <c r="O35" s="84">
        <f>IF($C35&lt;&gt;"",VLOOKUP($C35,'[1]Course Table'!$A$1:$I$330,9,FALSE),"")</f>
        <v>0</v>
      </c>
      <c r="P35" s="84"/>
      <c r="Q35" s="84"/>
      <c r="R35" s="90"/>
    </row>
    <row r="36" spans="1:23">
      <c r="A36" s="79"/>
      <c r="B36" s="103"/>
      <c r="C36" s="105" t="s">
        <v>462</v>
      </c>
      <c r="D36" s="84"/>
      <c r="E36" s="99" t="str">
        <f>IF($C36&lt;&gt;0,VLOOKUP($C36,'[1]Course Table'!$A$1:$G$330,2,TRUE),"")</f>
        <v>Internet Fundamentals</v>
      </c>
      <c r="F36" s="84"/>
      <c r="G36" s="84">
        <f t="shared" si="1"/>
        <v>22</v>
      </c>
      <c r="H36" s="100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>389</v>
      </c>
      <c r="I36" s="84">
        <f>IF($C36&lt;&gt;"",VLOOKUP($C36,'[1]Course Table'!$A$1:$G$330,5,FALSE),"")</f>
        <v>22</v>
      </c>
      <c r="J36" s="101">
        <f>IF(AND($C36&lt;&gt;"",A36&lt;&gt;"E"),VLOOKUP($C36,'[1]Course Table'!$A$1:$G$330,6,FALSE),"")</f>
        <v>0</v>
      </c>
      <c r="K36" s="101">
        <f>IF($C36&lt;&gt;"",VLOOKUP($C36,'[1]Course Table'!$A$1:$G$330,7,FALSE),"")</f>
        <v>0</v>
      </c>
      <c r="L36" s="84">
        <f t="shared" si="0"/>
        <v>32</v>
      </c>
      <c r="M36" s="84">
        <f>COUNTIF($J$6:$J36,$J36)</f>
        <v>31</v>
      </c>
      <c r="N36" s="84">
        <f>IF($C36&lt;&gt;"",VLOOKUP($C36,'[1]Course Table'!$A$1:$I$330,8,FALSE),"")</f>
        <v>2</v>
      </c>
      <c r="O36" s="84">
        <f>IF($C36&lt;&gt;"",VLOOKUP($C36,'[1]Course Table'!$A$1:$I$330,9,FALSE),"")</f>
        <v>1</v>
      </c>
      <c r="P36" s="84"/>
      <c r="Q36" s="84"/>
      <c r="R36" s="90"/>
    </row>
    <row r="37" spans="1:23">
      <c r="A37" s="79"/>
      <c r="B37" s="103"/>
      <c r="C37" s="105" t="s">
        <v>762</v>
      </c>
      <c r="D37" s="84"/>
      <c r="E37" s="99" t="str">
        <f>IF($C37&lt;&gt;0,VLOOKUP($C37,'[1]Course Table'!$A$1:$G$330,2,TRUE),"")</f>
        <v>MS Outlook Level 1</v>
      </c>
      <c r="F37" s="84"/>
      <c r="G37" s="84">
        <f t="shared" si="1"/>
        <v>25</v>
      </c>
      <c r="H37" s="100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>389</v>
      </c>
      <c r="I37" s="84">
        <f>IF($C37&lt;&gt;"",VLOOKUP($C37,'[1]Course Table'!$A$1:$G$330,5,FALSE),"")</f>
        <v>25</v>
      </c>
      <c r="J37" s="101">
        <f>IF(AND($C37&lt;&gt;"",A37&lt;&gt;"E"),VLOOKUP($C37,'[1]Course Table'!$A$1:$G$330,6,FALSE),"")</f>
        <v>0</v>
      </c>
      <c r="K37" s="101">
        <f>IF($C37&lt;&gt;"",VLOOKUP($C37,'[1]Course Table'!$A$1:$G$330,7,FALSE),"")</f>
        <v>0</v>
      </c>
      <c r="L37" s="84">
        <f t="shared" si="0"/>
        <v>32</v>
      </c>
      <c r="M37" s="84">
        <f>COUNTIF($J$6:$J37,$J37)</f>
        <v>32</v>
      </c>
      <c r="N37" s="84">
        <f>IF($C37&lt;&gt;"",VLOOKUP($C37,'[1]Course Table'!$A$1:$I$330,8,FALSE),"")</f>
        <v>2</v>
      </c>
      <c r="O37" s="84">
        <f>IF($C37&lt;&gt;"",VLOOKUP($C37,'[1]Course Table'!$A$1:$I$330,9,FALSE),"")</f>
        <v>1.5</v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3</v>
      </c>
      <c r="M38" s="84">
        <f>COUNTIF($J$6:$J38,$J38)</f>
        <v>1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3</v>
      </c>
      <c r="M39" s="84">
        <f>COUNTIF($J$6:$J39,$J39)</f>
        <v>2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3</v>
      </c>
      <c r="M40" s="84">
        <f>COUNTIF($J$6:$J40,$J40)</f>
        <v>3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14210</v>
      </c>
      <c r="I41" s="115">
        <f>SUM(I6:I40)</f>
        <v>903</v>
      </c>
    </row>
    <row r="42" spans="1:23" s="90" customFormat="1" ht="12.75">
      <c r="C42" s="116">
        <v>0</v>
      </c>
      <c r="D42" s="301" t="str">
        <f>CONCATENATE("Course Hours - ",I41,"          Exam &amp; Review Hours - ",C43,"          Total Course Hours - ",I41+C43)</f>
        <v>Course Hours - 903          Exam &amp; Review Hours - 0          Total Course Hours - 903</v>
      </c>
      <c r="E42" s="301"/>
      <c r="F42" s="301"/>
      <c r="G42" s="301"/>
      <c r="H42" s="117">
        <f>ROUNDUP(H41/(I41+C43),2)</f>
        <v>15.74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Hrs/Week:",ROUNDUP((I41+C43)/(20*4.33),1)," Months (",ROUNDDOWN((I41+C43)/20.9,0)," Weeks); at 25 Hrs/Week:",ROUNDUP((I41+C43)/(25*4.33),1)," Months (",ROUNDUP((I41+C43)/25,0)," Weeks)")</f>
        <v>Duration at 20 Hrs/Week:10.5 Months (43 Weeks); at 25 Hrs/Week:8.4 Months (37 Weeks)</v>
      </c>
      <c r="E43" s="300"/>
      <c r="F43" s="300"/>
      <c r="G43" s="300"/>
      <c r="H43" s="118"/>
    </row>
    <row r="44" spans="1:23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$14564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43.5</v>
      </c>
    </row>
    <row r="49" spans="14:33" ht="13.5" customHeight="1">
      <c r="N49" s="78">
        <f>SUMIF($N$6:$N$40,Summary!N4,$O$6:$O$40)</f>
        <v>4</v>
      </c>
      <c r="O49" s="78">
        <f>SUMIF($N$6:$N$40,Summary!O4,$O$6:$O$40)</f>
        <v>6.5</v>
      </c>
      <c r="P49" s="78">
        <f>SUMIF($N$6:$N$40,Summary!P4,$O$6:$O$40)</f>
        <v>5</v>
      </c>
      <c r="Q49" s="78">
        <f>SUMIF($N$6:$N$40,Summary!Q4,$O$6:$O$40)</f>
        <v>5.5</v>
      </c>
      <c r="R49" s="78">
        <f>SUMIF($N$6:$N$40,Summary!R4,$O$6:$O$40)</f>
        <v>3</v>
      </c>
      <c r="S49" s="78">
        <f>SUMIF($N$6:$N$40,Summary!S4,$O$6:$O$40)</f>
        <v>4</v>
      </c>
      <c r="T49" s="78">
        <f>SUMIF($N$6:$N$40,Summary!T4,$O$6:$O$40)</f>
        <v>2.5</v>
      </c>
      <c r="U49" s="78">
        <f>SUMIF($N$6:$N$40,Summary!U4,$O$6:$O$40)</f>
        <v>2</v>
      </c>
      <c r="V49" s="78">
        <f>SUMIF($N$6:$N$40,Summary!V4,$O$6:$O$40)</f>
        <v>11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D45:G45"/>
    <mergeCell ref="F2:G2"/>
    <mergeCell ref="D4:F4"/>
    <mergeCell ref="D42:G42"/>
    <mergeCell ref="D43:G43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32">
    <tabColor indexed="10"/>
    <pageSetUpPr fitToPage="1"/>
  </sheetPr>
  <dimension ref="A1:AG51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AdminAsstDip!F2:G2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135</v>
      </c>
      <c r="E3" s="136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486</v>
      </c>
      <c r="E4" s="299"/>
      <c r="F4" s="299"/>
      <c r="G4" s="92" t="s">
        <v>491</v>
      </c>
      <c r="I4" s="84" t="s">
        <v>7</v>
      </c>
      <c r="P4" s="84"/>
      <c r="Q4" s="84"/>
    </row>
    <row r="5" spans="1:17">
      <c r="A5" s="90" t="s">
        <v>677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105" t="s">
        <v>482</v>
      </c>
      <c r="D6" s="84"/>
      <c r="E6" s="99" t="str">
        <f>IF($C6&lt;&gt;0,VLOOKUP($C6,'[1]Course Table'!$A$1:$G$330,2,TRUE),"")</f>
        <v>English as Second Language (4w/4h)</v>
      </c>
      <c r="F6" s="84"/>
      <c r="G6" s="84">
        <f>I6</f>
        <v>80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835</v>
      </c>
      <c r="I6" s="84">
        <f>IF($C6&lt;&gt;"",VLOOKUP($C6,'[1]Course Table'!$A$1:$G$330,5,FALSE),"")</f>
        <v>80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6</v>
      </c>
      <c r="M6" s="84">
        <f>COUNTIF($J$6:$J6,$J6)</f>
        <v>1</v>
      </c>
      <c r="N6" s="84">
        <f>IF($C6&lt;&gt;"",VLOOKUP($C6,'[1]Course Table'!$A$1:$I$330,8,FALSE),"")</f>
        <v>10</v>
      </c>
      <c r="O6" s="84">
        <f>IF($C6&lt;&gt;"",VLOOKUP($C6,'[1]Course Table'!$A$1:$I$330,9,FALSE),"")</f>
        <v>0</v>
      </c>
      <c r="P6" s="84"/>
      <c r="Q6" s="84"/>
    </row>
    <row r="7" spans="1:17">
      <c r="A7" s="79"/>
      <c r="B7" s="103"/>
      <c r="C7" s="105" t="s">
        <v>483</v>
      </c>
      <c r="D7" s="84"/>
      <c r="E7" s="99" t="str">
        <f>IF($C7&lt;&gt;0,VLOOKUP($C7,'[1]Course Table'!$A$1:$G$330,2,TRUE),"")</f>
        <v>ESL Lab Fees</v>
      </c>
      <c r="F7" s="84"/>
      <c r="G7" s="84">
        <f t="shared" ref="G7:G40" si="1">I7</f>
        <v>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40</v>
      </c>
      <c r="I7" s="84">
        <f>IF($C7&lt;&gt;"",VLOOKUP($C7,'[1]Course Table'!$A$1:$G$330,5,FALSE),"")</f>
        <v>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6</v>
      </c>
      <c r="M7" s="84">
        <f>COUNTIF($J$6:$J7,$J7)</f>
        <v>2</v>
      </c>
      <c r="N7" s="84">
        <f>IF($C7&lt;&gt;"",VLOOKUP($C7,'[1]Course Table'!$A$1:$I$330,8,FALSE),"")</f>
        <v>98</v>
      </c>
      <c r="O7" s="84">
        <f>IF($C7&lt;&gt;"",VLOOKUP($C7,'[1]Course Table'!$A$1:$I$330,9,FALSE),"")</f>
        <v>0</v>
      </c>
      <c r="P7" s="84"/>
      <c r="Q7" s="84"/>
    </row>
    <row r="8" spans="1:17">
      <c r="A8" s="79"/>
      <c r="B8" s="103"/>
      <c r="C8" s="105" t="s">
        <v>487</v>
      </c>
      <c r="D8" s="84"/>
      <c r="E8" s="99" t="str">
        <f>IF($C8&lt;&gt;0,VLOOKUP($C8,'[1]Course Table'!$A$1:$G$330,2,TRUE),"")</f>
        <v>ESL Material Fees</v>
      </c>
      <c r="F8" s="84"/>
      <c r="G8" s="84">
        <f t="shared" si="1"/>
        <v>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20</v>
      </c>
      <c r="I8" s="84">
        <f>IF($C8&lt;&gt;"",VLOOKUP($C8,'[1]Course Table'!$A$1:$G$330,5,FALSE),"")</f>
        <v>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6</v>
      </c>
      <c r="M8" s="84">
        <f>COUNTIF($J$6:$J8,$J8)</f>
        <v>3</v>
      </c>
      <c r="N8" s="84">
        <f>IF($C8&lt;&gt;"",VLOOKUP($C8,'[1]Course Table'!$A$1:$I$330,8,FALSE),"")</f>
        <v>98</v>
      </c>
      <c r="O8" s="84">
        <f>IF($C8&lt;&gt;"",VLOOKUP($C8,'[1]Course Table'!$A$1:$I$330,9,FALSE),"")</f>
        <v>0</v>
      </c>
      <c r="P8" s="84"/>
      <c r="Q8" s="84"/>
    </row>
    <row r="9" spans="1:17">
      <c r="A9" s="79"/>
      <c r="B9" s="103"/>
      <c r="C9" s="105" t="s">
        <v>484</v>
      </c>
      <c r="D9" s="84"/>
      <c r="E9" s="99" t="str">
        <f>IF($C9&lt;&gt;0,VLOOKUP($C9,'[1]Course Table'!$A$1:$G$330,2,TRUE),"")</f>
        <v>English as Second Language (12w/4h)</v>
      </c>
      <c r="F9" s="84"/>
      <c r="G9" s="84">
        <f t="shared" si="1"/>
        <v>240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2390</v>
      </c>
      <c r="I9" s="84">
        <f>IF($C9&lt;&gt;"",VLOOKUP($C9,'[1]Course Table'!$A$1:$G$330,5,FALSE),"")</f>
        <v>240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6</v>
      </c>
      <c r="M9" s="84">
        <f>COUNTIF($J$6:$J9,$J9)</f>
        <v>4</v>
      </c>
      <c r="N9" s="84">
        <f>IF($C9&lt;&gt;"",VLOOKUP($C9,'[1]Course Table'!$A$1:$I$330,8,FALSE),"")</f>
        <v>10</v>
      </c>
      <c r="O9" s="84">
        <f>IF($C9&lt;&gt;"",VLOOKUP($C9,'[1]Course Table'!$A$1:$I$330,9,FALSE),"")</f>
        <v>0</v>
      </c>
      <c r="P9" s="84"/>
      <c r="Q9" s="84"/>
    </row>
    <row r="10" spans="1:17">
      <c r="A10" s="79"/>
      <c r="B10" s="103"/>
      <c r="C10" s="105" t="s">
        <v>485</v>
      </c>
      <c r="D10" s="84"/>
      <c r="E10" s="99" t="str">
        <f>IF($C10&lt;&gt;0,VLOOKUP($C10,'[1]Course Table'!$A$1:$G$330,2,TRUE),"")</f>
        <v>ESL Lab Fees</v>
      </c>
      <c r="F10" s="84"/>
      <c r="G10" s="84">
        <f t="shared" si="1"/>
        <v>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65</v>
      </c>
      <c r="I10" s="84">
        <f>IF($C10&lt;&gt;"",VLOOKUP($C10,'[1]Course Table'!$A$1:$G$330,5,FALSE),"")</f>
        <v>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6</v>
      </c>
      <c r="M10" s="84">
        <f>COUNTIF($J$6:$J10,$J10)</f>
        <v>5</v>
      </c>
      <c r="N10" s="84">
        <f>IF($C10&lt;&gt;"",VLOOKUP($C10,'[1]Course Table'!$A$1:$I$330,8,FALSE),"")</f>
        <v>98</v>
      </c>
      <c r="O10" s="84">
        <f>IF($C10&lt;&gt;"",VLOOKUP($C10,'[1]Course Table'!$A$1:$I$330,9,FALSE),"")</f>
        <v>0</v>
      </c>
      <c r="P10" s="84"/>
      <c r="Q10" s="84"/>
    </row>
    <row r="11" spans="1:17">
      <c r="A11" s="79"/>
      <c r="B11" s="103"/>
      <c r="C11" s="105" t="s">
        <v>488</v>
      </c>
      <c r="D11" s="84"/>
      <c r="E11" s="99" t="str">
        <f>IF($C11&lt;&gt;0,VLOOKUP($C11,'[1]Course Table'!$A$1:$G$330,2,TRUE),"")</f>
        <v>ESL Material Fees</v>
      </c>
      <c r="F11" s="84"/>
      <c r="G11" s="84">
        <f t="shared" si="1"/>
        <v>0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40</v>
      </c>
      <c r="I11" s="84">
        <f>IF($C11&lt;&gt;"",VLOOKUP($C11,'[1]Course Table'!$A$1:$G$330,5,FALSE),"")</f>
        <v>0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6</v>
      </c>
      <c r="M11" s="84">
        <f>COUNTIF($J$6:$J11,$J11)</f>
        <v>6</v>
      </c>
      <c r="N11" s="84">
        <f>IF($C11&lt;&gt;"",VLOOKUP($C11,'[1]Course Table'!$A$1:$I$330,8,FALSE),"")</f>
        <v>98</v>
      </c>
      <c r="O11" s="84">
        <f>IF($C11&lt;&gt;"",VLOOKUP($C11,'[1]Course Table'!$A$1:$I$330,9,FALSE),"")</f>
        <v>0</v>
      </c>
      <c r="P11" s="84"/>
      <c r="Q11" s="84"/>
    </row>
    <row r="12" spans="1:17">
      <c r="A12" s="79"/>
      <c r="B12" s="103"/>
      <c r="C12" s="105"/>
      <c r="D12" s="84"/>
      <c r="E12" s="99" t="str">
        <f>IF($C12&lt;&gt;0,VLOOKUP($C12,'[1]Course Table'!$A$1:$G$330,2,TRUE),"")</f>
        <v/>
      </c>
      <c r="F12" s="84"/>
      <c r="G12" s="84" t="str">
        <f t="shared" si="1"/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0"/>
        <v>29</v>
      </c>
      <c r="M12" s="84">
        <f>COUNTIF($J$6:$J12,$J12)</f>
        <v>1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03"/>
      <c r="C13" s="105"/>
      <c r="D13" s="84"/>
      <c r="E13" s="99" t="str">
        <f>IF($C13&lt;&gt;0,VLOOKUP($C13,'[1]Course Table'!$A$1:$G$330,2,TRUE),"")</f>
        <v/>
      </c>
      <c r="F13" s="84"/>
      <c r="G13" s="84" t="str">
        <f t="shared" si="1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0"/>
        <v>29</v>
      </c>
      <c r="M13" s="84">
        <f>COUNTIF($J$6:$J13,$J13)</f>
        <v>2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79"/>
      <c r="B14" s="103"/>
      <c r="C14" s="105"/>
      <c r="D14" s="84"/>
      <c r="E14" s="99" t="str">
        <f>IF($C14&lt;&gt;0,VLOOKUP($C14,'[1]Course Table'!$A$1:$G$330,2,TRUE),"")</f>
        <v/>
      </c>
      <c r="F14" s="84"/>
      <c r="G14" s="84" t="str">
        <f t="shared" si="1"/>
        <v/>
      </c>
      <c r="H14" s="100" t="str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/>
      </c>
      <c r="I14" s="84" t="str">
        <f>IF($C14&lt;&gt;"",VLOOKUP($C14,'[1]Course Table'!$A$1:$G$330,5,FALSE),"")</f>
        <v/>
      </c>
      <c r="J14" s="101" t="str">
        <f>IF(AND($C14&lt;&gt;"",A14&lt;&gt;"E"),VLOOKUP($C14,'[1]Course Table'!$A$1:$G$330,6,FALSE),"")</f>
        <v/>
      </c>
      <c r="K14" s="101" t="str">
        <f>IF($C14&lt;&gt;"",VLOOKUP($C14,'[1]Course Table'!$A$1:$G$330,7,FALSE),"")</f>
        <v/>
      </c>
      <c r="L14" s="84">
        <f t="shared" si="0"/>
        <v>29</v>
      </c>
      <c r="M14" s="84">
        <f>COUNTIF($J$6:$J14,$J14)</f>
        <v>3</v>
      </c>
      <c r="N14" s="84" t="str">
        <f>IF($C14&lt;&gt;"",VLOOKUP($C14,'[1]Course Table'!$A$1:$I$330,8,FALSE),"")</f>
        <v/>
      </c>
      <c r="O14" s="84" t="str">
        <f>IF($C14&lt;&gt;"",VLOOKUP($C14,'[1]Course Table'!$A$1:$I$330,9,FALSE),"")</f>
        <v/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1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0"/>
        <v>29</v>
      </c>
      <c r="M15" s="84">
        <f>COUNTIF($J$6:$J15,$J15)</f>
        <v>4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/>
      <c r="D16" s="84"/>
      <c r="E16" s="99" t="str">
        <f>IF($C16&lt;&gt;0,VLOOKUP($C16,'[1]Course Table'!$A$1:$G$330,2,TRUE),"")</f>
        <v/>
      </c>
      <c r="F16" s="84"/>
      <c r="G16" s="84" t="str">
        <f t="shared" si="1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0"/>
        <v>29</v>
      </c>
      <c r="M16" s="84">
        <f>COUNTIF($J$6:$J16,$J16)</f>
        <v>5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1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0"/>
        <v>29</v>
      </c>
      <c r="M17" s="84">
        <f>COUNTIF($J$6:$J17,$J17)</f>
        <v>6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03"/>
      <c r="C18" s="105"/>
      <c r="D18" s="84"/>
      <c r="E18" s="99" t="str">
        <f>IF($C18&lt;&gt;0,VLOOKUP($C18,'[1]Course Table'!$A$1:$G$330,2,TRUE),"")</f>
        <v/>
      </c>
      <c r="F18" s="84"/>
      <c r="G18" s="84" t="str">
        <f t="shared" si="1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0"/>
        <v>29</v>
      </c>
      <c r="M18" s="84">
        <f>COUNTIF($J$6:$J18,$J18)</f>
        <v>7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1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0"/>
        <v>29</v>
      </c>
      <c r="M19" s="84">
        <f>COUNTIF($J$6:$J19,$J19)</f>
        <v>8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1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0"/>
        <v>29</v>
      </c>
      <c r="M20" s="84">
        <f>COUNTIF($J$6:$J20,$J20)</f>
        <v>9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29</v>
      </c>
      <c r="M21" s="84">
        <f>COUNTIF($J$6:$J21,$J21)</f>
        <v>10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29</v>
      </c>
      <c r="M22" s="84">
        <f>COUNTIF($J$6:$J22,$J22)</f>
        <v>11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29</v>
      </c>
      <c r="M23" s="84">
        <f>COUNTIF($J$6:$J23,$J23)</f>
        <v>12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29</v>
      </c>
      <c r="M24" s="84">
        <f>COUNTIF($J$6:$J24,$J24)</f>
        <v>13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29</v>
      </c>
      <c r="M25" s="84">
        <f>COUNTIF($J$6:$J25,$J25)</f>
        <v>14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29</v>
      </c>
      <c r="M26" s="84">
        <f>COUNTIF($J$6:$J26,$J26)</f>
        <v>15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29</v>
      </c>
      <c r="M27" s="84">
        <f>COUNTIF($J$6:$J27,$J27)</f>
        <v>16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29</v>
      </c>
      <c r="M28" s="84">
        <f>COUNTIF($J$6:$J28,$J28)</f>
        <v>17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29</v>
      </c>
      <c r="M29" s="84">
        <f>COUNTIF($J$6:$J29,$J29)</f>
        <v>18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29</v>
      </c>
      <c r="M30" s="84">
        <f>COUNTIF($J$6:$J30,$J30)</f>
        <v>19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29</v>
      </c>
      <c r="M31" s="84">
        <f>COUNTIF($J$6:$J31,$J31)</f>
        <v>20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29</v>
      </c>
      <c r="M32" s="84">
        <f>COUNTIF($J$6:$J32,$J32)</f>
        <v>21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29</v>
      </c>
      <c r="M33" s="84">
        <f>COUNTIF($J$6:$J33,$J33)</f>
        <v>22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29</v>
      </c>
      <c r="M34" s="84">
        <f>COUNTIF($J$6:$J34,$J34)</f>
        <v>23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29</v>
      </c>
      <c r="M35" s="84">
        <f>COUNTIF($J$6:$J35,$J35)</f>
        <v>24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29</v>
      </c>
      <c r="M36" s="84">
        <f>COUNTIF($J$6:$J36,$J36)</f>
        <v>25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29</v>
      </c>
      <c r="M37" s="84">
        <f>COUNTIF($J$6:$J37,$J37)</f>
        <v>26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29</v>
      </c>
      <c r="M38" s="84">
        <f>COUNTIF($J$6:$J38,$J38)</f>
        <v>27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29</v>
      </c>
      <c r="M39" s="84">
        <f>COUNTIF($J$6:$J39,$J39)</f>
        <v>28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29</v>
      </c>
      <c r="M40" s="84">
        <f>COUNTIF($J$6:$J40,$J40)</f>
        <v>29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/>
      <c r="E41" s="89"/>
      <c r="F41" s="89"/>
      <c r="G41" s="89"/>
      <c r="H41" s="114">
        <f>SUM(H6:H40)</f>
        <v>3390</v>
      </c>
      <c r="I41" s="115">
        <f>SUM(I6:I40)</f>
        <v>320</v>
      </c>
    </row>
    <row r="42" spans="1:23" s="90" customFormat="1" ht="12.75">
      <c r="C42" s="116"/>
      <c r="D42" s="301" t="str">
        <f>CONCATENATE("Course Hours - ",I41,"          Exam &amp; Review Hours - ",C43,"          Total Course Hours - ",I41+C43)</f>
        <v>Course Hours - 320          Exam &amp; Review Hours - 0          Total Course Hours - 320</v>
      </c>
      <c r="E42" s="301"/>
      <c r="F42" s="301"/>
      <c r="G42" s="301"/>
      <c r="H42" s="117">
        <f>ROUNDUP(H41/(I41+C43),2)</f>
        <v>10.6</v>
      </c>
    </row>
    <row r="43" spans="1:23" s="90" customFormat="1" ht="13.5" customHeight="1">
      <c r="C43" s="90">
        <f>ROUNDUP(I41*C42,0)</f>
        <v>0</v>
      </c>
      <c r="D43" s="300" t="str">
        <f>CONCATENATE("Duration at 10 Hrs/Week:",ROUNDUP((I41+C43)/(10*4.33),1)," Months (",ROUNDDOWN((I41+C43)/10,0)," Weeks); at 20 Hrs/Week:",ROUNDUP((I41+C43)/(20*4.33),1)," Months (",ROUNDUP((I41+C43)/20.9,0)," Weeks)","")</f>
        <v>Duration at 10 Hrs/Week:7.4 Months (32 Weeks); at 20 Hrs/Week:3.7 Months (16 Weeks)</v>
      </c>
      <c r="E43" s="300"/>
      <c r="F43" s="300"/>
      <c r="G43" s="300"/>
      <c r="H43" s="118"/>
    </row>
    <row r="44" spans="1:23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$3744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0</v>
      </c>
    </row>
    <row r="49" spans="14:33" ht="13.5" customHeight="1">
      <c r="N49" s="78">
        <f>SUMIF($N$6:$N$40,Summary!N4,$O$6:$O$40)</f>
        <v>0</v>
      </c>
      <c r="O49" s="78">
        <f>SUMIF($N$6:$N$40,Summary!O4,$O$6:$O$40)</f>
        <v>0</v>
      </c>
      <c r="P49" s="78">
        <f>SUMIF($N$6:$N$40,Summary!P4,$O$6:$O$40)</f>
        <v>0</v>
      </c>
      <c r="Q49" s="78">
        <f>SUMIF($N$6:$N$40,Summary!Q4,$O$6:$O$40)</f>
        <v>0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0</v>
      </c>
      <c r="U49" s="78">
        <f>SUMIF($N$6:$N$40,Summary!U4,$O$6:$O$40)</f>
        <v>0</v>
      </c>
      <c r="V49" s="78">
        <f>SUMIF($N$6:$N$40,Summary!V4,$O$6:$O$40)</f>
        <v>0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0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D45:G45"/>
    <mergeCell ref="F1:G1"/>
    <mergeCell ref="F2:G2"/>
    <mergeCell ref="D4:F4"/>
    <mergeCell ref="D42:G42"/>
    <mergeCell ref="D43:G43"/>
  </mergeCells>
  <phoneticPr fontId="37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23">
    <pageSetUpPr fitToPage="1"/>
  </sheetPr>
  <dimension ref="A1:AH69"/>
  <sheetViews>
    <sheetView tabSelected="1" workbookViewId="0">
      <selection activeCell="D15" sqref="D15"/>
    </sheetView>
  </sheetViews>
  <sheetFormatPr defaultRowHeight="12.75"/>
  <cols>
    <col min="1" max="1" width="77.33203125" bestFit="1" customWidth="1"/>
    <col min="2" max="2" width="9.83203125" bestFit="1" customWidth="1"/>
    <col min="3" max="3" width="6" bestFit="1" customWidth="1"/>
    <col min="4" max="4" width="7" style="1" bestFit="1" customWidth="1"/>
    <col min="5" max="5" width="6.1640625" bestFit="1" customWidth="1"/>
    <col min="6" max="6" width="5.83203125" bestFit="1" customWidth="1"/>
    <col min="7" max="7" width="6.1640625" bestFit="1" customWidth="1"/>
    <col min="8" max="9" width="9.83203125" bestFit="1" customWidth="1"/>
    <col min="10" max="13" width="10.5" customWidth="1"/>
    <col min="14" max="15" width="3.5" customWidth="1"/>
    <col min="16" max="16" width="3.83203125" customWidth="1"/>
    <col min="17" max="19" width="3.5" customWidth="1"/>
    <col min="20" max="20" width="3.83203125" bestFit="1" customWidth="1"/>
    <col min="21" max="21" width="3.5" customWidth="1"/>
    <col min="22" max="22" width="3.83203125" bestFit="1" customWidth="1"/>
    <col min="23" max="23" width="3.83203125" customWidth="1"/>
    <col min="24" max="24" width="3.83203125" bestFit="1" customWidth="1"/>
    <col min="25" max="25" width="3.5" customWidth="1"/>
    <col min="26" max="26" width="3.83203125" customWidth="1"/>
    <col min="27" max="28" width="3.5" customWidth="1"/>
    <col min="29" max="32" width="3.83203125" bestFit="1" customWidth="1"/>
    <col min="33" max="33" width="3.5" customWidth="1"/>
    <col min="34" max="34" width="7.1640625" style="2" bestFit="1" customWidth="1"/>
  </cols>
  <sheetData>
    <row r="1" spans="1:34" ht="13.5" thickBot="1">
      <c r="A1" s="57"/>
      <c r="B1" s="15"/>
      <c r="C1" s="15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272"/>
    </row>
    <row r="2" spans="1:34">
      <c r="A2" s="64" t="str">
        <f>AdminAsstDip!F2</f>
        <v>(o/b 0833917 B.C. Ltd.)</v>
      </c>
      <c r="B2" s="247" t="s">
        <v>655</v>
      </c>
      <c r="C2" s="70"/>
      <c r="D2" s="14"/>
      <c r="E2" s="15" t="s">
        <v>26</v>
      </c>
      <c r="F2" s="15" t="s">
        <v>26</v>
      </c>
      <c r="G2" s="26"/>
      <c r="H2" s="15" t="s">
        <v>32</v>
      </c>
      <c r="I2" s="15" t="s">
        <v>27</v>
      </c>
      <c r="J2" s="15" t="s">
        <v>28</v>
      </c>
      <c r="K2" s="15" t="s">
        <v>29</v>
      </c>
      <c r="L2" s="15" t="s">
        <v>28</v>
      </c>
      <c r="M2" s="15" t="s">
        <v>29</v>
      </c>
      <c r="N2" s="28" t="s">
        <v>30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272"/>
    </row>
    <row r="3" spans="1:34">
      <c r="A3" s="24"/>
      <c r="B3" s="12" t="s">
        <v>222</v>
      </c>
      <c r="C3" t="s">
        <v>224</v>
      </c>
      <c r="D3" s="1" t="s">
        <v>7</v>
      </c>
      <c r="E3" s="17" t="s">
        <v>31</v>
      </c>
      <c r="F3" s="17" t="s">
        <v>31</v>
      </c>
      <c r="G3" s="12" t="s">
        <v>32</v>
      </c>
      <c r="H3" t="s">
        <v>142</v>
      </c>
      <c r="I3" t="s">
        <v>33</v>
      </c>
      <c r="J3" s="17" t="s">
        <v>34</v>
      </c>
      <c r="K3" s="17" t="s">
        <v>34</v>
      </c>
      <c r="L3" s="17" t="s">
        <v>228</v>
      </c>
      <c r="M3" s="17" t="s">
        <v>228</v>
      </c>
      <c r="N3" s="58" t="s">
        <v>35</v>
      </c>
      <c r="O3" s="59" t="s">
        <v>35</v>
      </c>
      <c r="P3" s="59" t="s">
        <v>35</v>
      </c>
      <c r="Q3" s="59" t="s">
        <v>35</v>
      </c>
      <c r="R3" s="59" t="s">
        <v>35</v>
      </c>
      <c r="S3" s="59" t="s">
        <v>35</v>
      </c>
      <c r="T3" s="59" t="s">
        <v>35</v>
      </c>
      <c r="U3" s="59" t="s">
        <v>35</v>
      </c>
      <c r="V3" s="59" t="s">
        <v>35</v>
      </c>
      <c r="W3" s="59" t="s">
        <v>35</v>
      </c>
      <c r="X3" s="59" t="s">
        <v>35</v>
      </c>
      <c r="Y3" s="59" t="s">
        <v>35</v>
      </c>
      <c r="Z3" s="59" t="s">
        <v>35</v>
      </c>
      <c r="AA3" s="59" t="s">
        <v>35</v>
      </c>
      <c r="AB3" s="59" t="s">
        <v>35</v>
      </c>
      <c r="AC3" s="59" t="s">
        <v>35</v>
      </c>
      <c r="AD3" s="59" t="s">
        <v>35</v>
      </c>
      <c r="AE3" s="59" t="s">
        <v>35</v>
      </c>
      <c r="AF3" s="59" t="s">
        <v>35</v>
      </c>
      <c r="AG3" s="59" t="s">
        <v>35</v>
      </c>
      <c r="AH3" s="18" t="s">
        <v>32</v>
      </c>
    </row>
    <row r="4" spans="1:34" ht="13.5" thickBot="1">
      <c r="A4" s="25" t="s">
        <v>36</v>
      </c>
      <c r="B4" s="27" t="s">
        <v>223</v>
      </c>
      <c r="C4" s="20" t="s">
        <v>223</v>
      </c>
      <c r="D4" s="19" t="s">
        <v>9</v>
      </c>
      <c r="E4" s="20" t="s">
        <v>9</v>
      </c>
      <c r="F4" s="20" t="s">
        <v>37</v>
      </c>
      <c r="G4" s="27" t="s">
        <v>9</v>
      </c>
      <c r="H4" s="20" t="s">
        <v>143</v>
      </c>
      <c r="I4" s="20" t="s">
        <v>38</v>
      </c>
      <c r="J4" s="21" t="s">
        <v>39</v>
      </c>
      <c r="K4" s="21" t="s">
        <v>39</v>
      </c>
      <c r="L4" s="21" t="s">
        <v>39</v>
      </c>
      <c r="M4" s="21" t="s">
        <v>39</v>
      </c>
      <c r="N4" s="60">
        <v>1</v>
      </c>
      <c r="O4" s="61">
        <v>2</v>
      </c>
      <c r="P4" s="61">
        <v>3</v>
      </c>
      <c r="Q4" s="61">
        <v>4</v>
      </c>
      <c r="R4" s="61">
        <v>5</v>
      </c>
      <c r="S4" s="61">
        <v>6</v>
      </c>
      <c r="T4" s="61">
        <v>7</v>
      </c>
      <c r="U4" s="61">
        <v>8</v>
      </c>
      <c r="V4" s="61">
        <v>9</v>
      </c>
      <c r="W4" s="61">
        <v>10</v>
      </c>
      <c r="X4" s="61">
        <v>11</v>
      </c>
      <c r="Y4" s="61">
        <v>12</v>
      </c>
      <c r="Z4" s="61">
        <v>13</v>
      </c>
      <c r="AA4" s="61">
        <v>14</v>
      </c>
      <c r="AB4" s="61">
        <v>15</v>
      </c>
      <c r="AC4" s="61">
        <v>16</v>
      </c>
      <c r="AD4" s="61">
        <v>17</v>
      </c>
      <c r="AE4" s="61">
        <v>18</v>
      </c>
      <c r="AF4" s="61">
        <v>19</v>
      </c>
      <c r="AG4" s="61">
        <v>20</v>
      </c>
      <c r="AH4" s="23" t="s">
        <v>15</v>
      </c>
    </row>
    <row r="5" spans="1:34" s="261" customFormat="1" ht="16.5" thickBot="1">
      <c r="A5" s="259" t="str">
        <f>Navigation!$A5</f>
        <v>A+ NETWORK+ AND MCSA DESKTOP CERT. PREP</v>
      </c>
      <c r="B5" s="260" t="str">
        <f ca="1">INDIRECT("'"&amp;(VLOOKUP('CSL Inst Appx'!$A3,Reference!$A:$B,2))&amp;"'!D3")</f>
        <v>UHG8</v>
      </c>
      <c r="C5" s="260" t="str">
        <f ca="1">RIGHT(INDIRECT("'"&amp;(VLOOKUP('CSL Inst Appx'!$A3,Reference!$A:$B,2))&amp;"'!G4"),4)</f>
        <v>2281</v>
      </c>
      <c r="D5" s="260">
        <f ca="1">INDIRECT("'"&amp;(VLOOKUP('CSL Inst Appx'!$A3,Reference!$A:$B,2))&amp;"'!I41")</f>
        <v>605</v>
      </c>
      <c r="E5" s="260">
        <f ca="1">INDIRECT("'"&amp;(VLOOKUP('CSL Inst Appx'!$A3,Reference!$A:$B,2))&amp;"'!C44")</f>
        <v>145</v>
      </c>
      <c r="F5" s="30">
        <f ca="1">INDIRECT("'"&amp;(VLOOKUP('CSL Inst Appx'!$A3,Reference!$A:$B,2))&amp;"'!C42")</f>
        <v>0</v>
      </c>
      <c r="G5" s="31">
        <f ca="1">D5+E5</f>
        <v>750</v>
      </c>
      <c r="H5" s="32">
        <f ca="1">INDIRECT("'"&amp;(VLOOKUP('CSL Inst Appx'!$A3,Reference!$A:$B,2))&amp;"'!H41")</f>
        <v>8510</v>
      </c>
      <c r="I5" s="33">
        <f ca="1">ROUNDUP(H5/G5,2)</f>
        <v>11.35</v>
      </c>
      <c r="J5" s="34">
        <f ca="1">ROUNDUP(G5/(20*4.33),1)</f>
        <v>8.6999999999999993</v>
      </c>
      <c r="K5" s="29">
        <f ca="1">ROUNDUP(G5/20,0)</f>
        <v>38</v>
      </c>
      <c r="L5" s="34">
        <f ca="1">ROUNDUP(G5/(25*4.33),1)</f>
        <v>7</v>
      </c>
      <c r="M5" s="29">
        <f ca="1">ROUNDUP(G5/25,0)</f>
        <v>30</v>
      </c>
      <c r="N5" s="257">
        <f ca="1">INDIRECT("'"&amp;(VLOOKUP('CSL Inst Appx'!$A3,Reference!$A:$B,2))&amp;"'!N49")</f>
        <v>0</v>
      </c>
      <c r="O5" s="258">
        <f ca="1">INDIRECT("'"&amp;(VLOOKUP('CSL Inst Appx'!$A3,Reference!$A:$B,2))&amp;"'!O49")</f>
        <v>0</v>
      </c>
      <c r="P5" s="258">
        <f ca="1">INDIRECT("'"&amp;(VLOOKUP('CSL Inst Appx'!$A3,Reference!$A:$B,2))&amp;"'!P49")</f>
        <v>0</v>
      </c>
      <c r="Q5" s="258">
        <f ca="1">INDIRECT("'"&amp;(VLOOKUP('CSL Inst Appx'!$A3,Reference!$A:$B,2))&amp;"'!Q49")</f>
        <v>0</v>
      </c>
      <c r="R5" s="258">
        <f ca="1">INDIRECT("'"&amp;(VLOOKUP('CSL Inst Appx'!$A3,Reference!$A:$B,2))&amp;"'!R49")</f>
        <v>0</v>
      </c>
      <c r="S5" s="258">
        <f ca="1">INDIRECT("'"&amp;(VLOOKUP('CSL Inst Appx'!$A3,Reference!$A:$B,2))&amp;"'!S49")</f>
        <v>0</v>
      </c>
      <c r="T5" s="258">
        <f ca="1">INDIRECT("'"&amp;(VLOOKUP('CSL Inst Appx'!$A3,Reference!$A:$B,2))&amp;"'!T49")</f>
        <v>0</v>
      </c>
      <c r="U5" s="258">
        <f ca="1">INDIRECT("'"&amp;(VLOOKUP('CSL Inst Appx'!$A3,Reference!$A:$B,2))&amp;"'!U49")</f>
        <v>0</v>
      </c>
      <c r="V5" s="258">
        <f ca="1">INDIRECT("'"&amp;(VLOOKUP('CSL Inst Appx'!$A3,Reference!$A:$B,2))&amp;"'!V49")</f>
        <v>0</v>
      </c>
      <c r="W5" s="258">
        <f ca="1">INDIRECT("'"&amp;(VLOOKUP('CSL Inst Appx'!$A3,Reference!$A:$B,2))&amp;"'!W49")</f>
        <v>0</v>
      </c>
      <c r="X5" s="258">
        <f ca="1">INDIRECT("'"&amp;(VLOOKUP('CSL Inst Appx'!$A3,Reference!$A:$B,2))&amp;"'!X49")</f>
        <v>13</v>
      </c>
      <c r="Y5" s="258">
        <f ca="1">INDIRECT("'"&amp;(VLOOKUP('CSL Inst Appx'!$A3,Reference!$A:$B,2))&amp;"'!Y49")</f>
        <v>0</v>
      </c>
      <c r="Z5" s="258">
        <f ca="1">INDIRECT("'"&amp;(VLOOKUP('CSL Inst Appx'!$A3,Reference!$A:$B,2))&amp;"'!Z49")</f>
        <v>0</v>
      </c>
      <c r="AA5" s="258">
        <f ca="1">INDIRECT("'"&amp;(VLOOKUP('CSL Inst Appx'!$A3,Reference!$A:$B,2))&amp;"'!AA49")</f>
        <v>0</v>
      </c>
      <c r="AB5" s="258">
        <f ca="1">INDIRECT("'"&amp;(VLOOKUP('CSL Inst Appx'!$A3,Reference!$A:$B,2))&amp;"'!AB49")</f>
        <v>0</v>
      </c>
      <c r="AC5" s="258">
        <f ca="1">INDIRECT("'"&amp;(VLOOKUP('CSL Inst Appx'!$A3,Reference!$A:$B,2))&amp;"'!AC49")</f>
        <v>10</v>
      </c>
      <c r="AD5" s="258">
        <f ca="1">INDIRECT("'"&amp;(VLOOKUP('CSL Inst Appx'!$A3,Reference!$A:$B,2))&amp;"'!AD49")</f>
        <v>0</v>
      </c>
      <c r="AE5" s="258">
        <f ca="1">INDIRECT("'"&amp;(VLOOKUP('CSL Inst Appx'!$A3,Reference!$A:$B,2))&amp;"'!AE49")</f>
        <v>0</v>
      </c>
      <c r="AF5" s="258">
        <f ca="1">INDIRECT("'"&amp;(VLOOKUP('CSL Inst Appx'!$A3,Reference!$A:$B,2))&amp;"'!AF49")</f>
        <v>0</v>
      </c>
      <c r="AG5" s="258">
        <f ca="1">INDIRECT("'"&amp;(VLOOKUP('CSL Inst Appx'!$A3,Reference!$A:$B,2))&amp;"'!AG49")</f>
        <v>0</v>
      </c>
      <c r="AH5" s="273">
        <f ca="1">SUM(N5:AG5)</f>
        <v>23</v>
      </c>
    </row>
    <row r="6" spans="1:34" s="261" customFormat="1" ht="16.5" thickBot="1">
      <c r="A6" s="259" t="str">
        <f>Navigation!$A6</f>
        <v>ACCOUNTING ADMINISTRATOR DIPLOMA with SAGE</v>
      </c>
      <c r="B6" s="260" t="str">
        <f ca="1">INDIRECT("'"&amp;(VLOOKUP('CSL Inst Appx'!$A4,Reference!$A:$B,2))&amp;"'!D3")</f>
        <v>ZAJ7</v>
      </c>
      <c r="C6" s="260" t="str">
        <f ca="1">RIGHT(INDIRECT("'"&amp;(VLOOKUP('CSL Inst Appx'!$A4,Reference!$A:$B,2))&amp;"'!G4"),4)</f>
        <v>1431</v>
      </c>
      <c r="D6" s="260">
        <f ca="1">INDIRECT("'"&amp;(VLOOKUP('CSL Inst Appx'!$A4,Reference!$A:$B,2))&amp;"'!I41")</f>
        <v>725</v>
      </c>
      <c r="E6" s="260">
        <f ca="1">INDIRECT("'"&amp;(VLOOKUP('CSL Inst Appx'!$A4,Reference!$A:$B,2))&amp;"'!C44")</f>
        <v>64</v>
      </c>
      <c r="F6" s="30">
        <f ca="1">INDIRECT("'"&amp;(VLOOKUP('CSL Inst Appx'!$A4,Reference!$A:$B,2))&amp;"'!C42")</f>
        <v>0</v>
      </c>
      <c r="G6" s="31">
        <f t="shared" ref="G6:G54" ca="1" si="0">D6+E6</f>
        <v>789</v>
      </c>
      <c r="H6" s="32">
        <f ca="1">INDIRECT("'"&amp;(VLOOKUP('CSL Inst Appx'!$A4,Reference!$A:$B,2))&amp;"'!H41")</f>
        <v>11559</v>
      </c>
      <c r="I6" s="33">
        <f t="shared" ref="I6:I54" ca="1" si="1">ROUNDUP(H6/G6,2)</f>
        <v>14.66</v>
      </c>
      <c r="J6" s="34">
        <f t="shared" ref="J6:J54" ca="1" si="2">ROUNDUP(G6/(20*4.33),1)</f>
        <v>9.1999999999999993</v>
      </c>
      <c r="K6" s="29">
        <f t="shared" ref="K6:K54" ca="1" si="3">ROUNDUP(G6/20,0)</f>
        <v>40</v>
      </c>
      <c r="L6" s="34">
        <f t="shared" ref="L6:L54" ca="1" si="4">ROUNDUP(G6/(25*4.33),1)</f>
        <v>7.3</v>
      </c>
      <c r="M6" s="29">
        <f t="shared" ref="M6:M54" ca="1" si="5">ROUNDUP(G6/25,0)</f>
        <v>32</v>
      </c>
      <c r="N6" s="257">
        <f ca="1">INDIRECT("'"&amp;(VLOOKUP('CSL Inst Appx'!$A4,Reference!$A:$B,2))&amp;"'!N49")</f>
        <v>2.5</v>
      </c>
      <c r="O6" s="258">
        <f ca="1">INDIRECT("'"&amp;(VLOOKUP('CSL Inst Appx'!$A4,Reference!$A:$B,2))&amp;"'!O49")</f>
        <v>4.5</v>
      </c>
      <c r="P6" s="258">
        <f ca="1">INDIRECT("'"&amp;(VLOOKUP('CSL Inst Appx'!$A4,Reference!$A:$B,2))&amp;"'!P49")</f>
        <v>1.5</v>
      </c>
      <c r="Q6" s="258">
        <f ca="1">INDIRECT("'"&amp;(VLOOKUP('CSL Inst Appx'!$A4,Reference!$A:$B,2))&amp;"'!Q49")</f>
        <v>3.5</v>
      </c>
      <c r="R6" s="258">
        <f ca="1">INDIRECT("'"&amp;(VLOOKUP('CSL Inst Appx'!$A4,Reference!$A:$B,2))&amp;"'!R49")</f>
        <v>1.5</v>
      </c>
      <c r="S6" s="258">
        <f ca="1">INDIRECT("'"&amp;(VLOOKUP('CSL Inst Appx'!$A4,Reference!$A:$B,2))&amp;"'!S49")</f>
        <v>0</v>
      </c>
      <c r="T6" s="258">
        <f ca="1">INDIRECT("'"&amp;(VLOOKUP('CSL Inst Appx'!$A4,Reference!$A:$B,2))&amp;"'!T49")</f>
        <v>7.5</v>
      </c>
      <c r="U6" s="258">
        <f ca="1">INDIRECT("'"&amp;(VLOOKUP('CSL Inst Appx'!$A4,Reference!$A:$B,2))&amp;"'!U49")</f>
        <v>1</v>
      </c>
      <c r="V6" s="258">
        <f ca="1">INDIRECT("'"&amp;(VLOOKUP('CSL Inst Appx'!$A4,Reference!$A:$B,2))&amp;"'!V49")</f>
        <v>7</v>
      </c>
      <c r="W6" s="258">
        <f ca="1">INDIRECT("'"&amp;(VLOOKUP('CSL Inst Appx'!$A4,Reference!$A:$B,2))&amp;"'!W49")</f>
        <v>0</v>
      </c>
      <c r="X6" s="258">
        <f ca="1">INDIRECT("'"&amp;(VLOOKUP('CSL Inst Appx'!$A4,Reference!$A:$B,2))&amp;"'!X49")</f>
        <v>0</v>
      </c>
      <c r="Y6" s="258">
        <f ca="1">INDIRECT("'"&amp;(VLOOKUP('CSL Inst Appx'!$A4,Reference!$A:$B,2))&amp;"'!Y49")</f>
        <v>0</v>
      </c>
      <c r="Z6" s="258">
        <f ca="1">INDIRECT("'"&amp;(VLOOKUP('CSL Inst Appx'!$A4,Reference!$A:$B,2))&amp;"'!Z49")</f>
        <v>0</v>
      </c>
      <c r="AA6" s="258">
        <f ca="1">INDIRECT("'"&amp;(VLOOKUP('CSL Inst Appx'!$A4,Reference!$A:$B,2))&amp;"'!AA49")</f>
        <v>0</v>
      </c>
      <c r="AB6" s="258">
        <f ca="1">INDIRECT("'"&amp;(VLOOKUP('CSL Inst Appx'!$A4,Reference!$A:$B,2))&amp;"'!AB49")</f>
        <v>2.5</v>
      </c>
      <c r="AC6" s="258">
        <f ca="1">INDIRECT("'"&amp;(VLOOKUP('CSL Inst Appx'!$A4,Reference!$A:$B,2))&amp;"'!AC49")</f>
        <v>0</v>
      </c>
      <c r="AD6" s="258">
        <f ca="1">INDIRECT("'"&amp;(VLOOKUP('CSL Inst Appx'!$A4,Reference!$A:$B,2))&amp;"'!AD49")</f>
        <v>0</v>
      </c>
      <c r="AE6" s="258">
        <f ca="1">INDIRECT("'"&amp;(VLOOKUP('CSL Inst Appx'!$A4,Reference!$A:$B,2))&amp;"'!AE49")</f>
        <v>0</v>
      </c>
      <c r="AF6" s="258">
        <f ca="1">INDIRECT("'"&amp;(VLOOKUP('CSL Inst Appx'!$A4,Reference!$A:$B,2))&amp;"'!AF49")</f>
        <v>0</v>
      </c>
      <c r="AG6" s="258">
        <f ca="1">INDIRECT("'"&amp;(VLOOKUP('CSL Inst Appx'!$A4,Reference!$A:$B,2))&amp;"'!AG49")</f>
        <v>0</v>
      </c>
      <c r="AH6" s="273">
        <f t="shared" ref="AH6:AH54" ca="1" si="6">SUM(N6:AG6)</f>
        <v>31.5</v>
      </c>
    </row>
    <row r="7" spans="1:34" s="261" customFormat="1" ht="16.5" thickBot="1">
      <c r="A7" s="259" t="str">
        <f>Navigation!$A7</f>
        <v>ACCOUNTING AND BUSINESS TECHNOLOGY DIPLOMA</v>
      </c>
      <c r="B7" s="260" t="str">
        <f ca="1">INDIRECT("'"&amp;(VLOOKUP('CSL Inst Appx'!$A5,Reference!$A:$B,2))&amp;"'!D3")</f>
        <v>ZIZ7</v>
      </c>
      <c r="C7" s="260" t="str">
        <f ca="1">RIGHT(INDIRECT("'"&amp;(VLOOKUP('CSL Inst Appx'!$A5,Reference!$A:$B,2))&amp;"'!G4"),4)</f>
        <v>1431</v>
      </c>
      <c r="D7" s="260">
        <f ca="1">INDIRECT("'"&amp;(VLOOKUP('CSL Inst Appx'!$A5,Reference!$A:$B,2))&amp;"'!I41")</f>
        <v>824</v>
      </c>
      <c r="E7" s="260">
        <f ca="1">INDIRECT("'"&amp;(VLOOKUP('CSL Inst Appx'!$A5,Reference!$A:$B,2))&amp;"'!C44")</f>
        <v>75</v>
      </c>
      <c r="F7" s="30">
        <f ca="1">INDIRECT("'"&amp;(VLOOKUP('CSL Inst Appx'!$A5,Reference!$A:$B,2))&amp;"'!C42")</f>
        <v>0</v>
      </c>
      <c r="G7" s="31">
        <f t="shared" ca="1" si="0"/>
        <v>899</v>
      </c>
      <c r="H7" s="32">
        <f ca="1">INDIRECT("'"&amp;(VLOOKUP('CSL Inst Appx'!$A5,Reference!$A:$B,2))&amp;"'!H41")</f>
        <v>12729</v>
      </c>
      <c r="I7" s="33">
        <f t="shared" ca="1" si="1"/>
        <v>14.16</v>
      </c>
      <c r="J7" s="34">
        <f t="shared" ca="1" si="2"/>
        <v>10.4</v>
      </c>
      <c r="K7" s="29">
        <f t="shared" ca="1" si="3"/>
        <v>45</v>
      </c>
      <c r="L7" s="34">
        <f t="shared" ca="1" si="4"/>
        <v>8.4</v>
      </c>
      <c r="M7" s="29">
        <f t="shared" ca="1" si="5"/>
        <v>36</v>
      </c>
      <c r="N7" s="257">
        <f ca="1">INDIRECT("'"&amp;(VLOOKUP('CSL Inst Appx'!$A5,Reference!$A:$B,2))&amp;"'!N49")</f>
        <v>2.5</v>
      </c>
      <c r="O7" s="258">
        <f ca="1">INDIRECT("'"&amp;(VLOOKUP('CSL Inst Appx'!$A5,Reference!$A:$B,2))&amp;"'!O49")</f>
        <v>4.5</v>
      </c>
      <c r="P7" s="258">
        <f ca="1">INDIRECT("'"&amp;(VLOOKUP('CSL Inst Appx'!$A5,Reference!$A:$B,2))&amp;"'!P49")</f>
        <v>1.5</v>
      </c>
      <c r="Q7" s="258">
        <f ca="1">INDIRECT("'"&amp;(VLOOKUP('CSL Inst Appx'!$A5,Reference!$A:$B,2))&amp;"'!Q49")</f>
        <v>5.5</v>
      </c>
      <c r="R7" s="258">
        <f ca="1">INDIRECT("'"&amp;(VLOOKUP('CSL Inst Appx'!$A5,Reference!$A:$B,2))&amp;"'!R49")</f>
        <v>1.5</v>
      </c>
      <c r="S7" s="258">
        <f ca="1">INDIRECT("'"&amp;(VLOOKUP('CSL Inst Appx'!$A5,Reference!$A:$B,2))&amp;"'!S49")</f>
        <v>0</v>
      </c>
      <c r="T7" s="258">
        <f ca="1">INDIRECT("'"&amp;(VLOOKUP('CSL Inst Appx'!$A5,Reference!$A:$B,2))&amp;"'!T49")</f>
        <v>9</v>
      </c>
      <c r="U7" s="258">
        <f ca="1">INDIRECT("'"&amp;(VLOOKUP('CSL Inst Appx'!$A5,Reference!$A:$B,2))&amp;"'!U49")</f>
        <v>1</v>
      </c>
      <c r="V7" s="258">
        <f ca="1">INDIRECT("'"&amp;(VLOOKUP('CSL Inst Appx'!$A5,Reference!$A:$B,2))&amp;"'!V49")</f>
        <v>7.5</v>
      </c>
      <c r="W7" s="258">
        <f ca="1">INDIRECT("'"&amp;(VLOOKUP('CSL Inst Appx'!$A5,Reference!$A:$B,2))&amp;"'!W49")</f>
        <v>0</v>
      </c>
      <c r="X7" s="258">
        <f ca="1">INDIRECT("'"&amp;(VLOOKUP('CSL Inst Appx'!$A5,Reference!$A:$B,2))&amp;"'!X49")</f>
        <v>0</v>
      </c>
      <c r="Y7" s="258">
        <f ca="1">INDIRECT("'"&amp;(VLOOKUP('CSL Inst Appx'!$A5,Reference!$A:$B,2))&amp;"'!Y49")</f>
        <v>0</v>
      </c>
      <c r="Z7" s="258">
        <f ca="1">INDIRECT("'"&amp;(VLOOKUP('CSL Inst Appx'!$A5,Reference!$A:$B,2))&amp;"'!Z49")</f>
        <v>0</v>
      </c>
      <c r="AA7" s="258">
        <f ca="1">INDIRECT("'"&amp;(VLOOKUP('CSL Inst Appx'!$A5,Reference!$A:$B,2))&amp;"'!AA49")</f>
        <v>0</v>
      </c>
      <c r="AB7" s="258">
        <f ca="1">INDIRECT("'"&amp;(VLOOKUP('CSL Inst Appx'!$A5,Reference!$A:$B,2))&amp;"'!AB49")</f>
        <v>2.5</v>
      </c>
      <c r="AC7" s="258">
        <f ca="1">INDIRECT("'"&amp;(VLOOKUP('CSL Inst Appx'!$A5,Reference!$A:$B,2))&amp;"'!AC49")</f>
        <v>0</v>
      </c>
      <c r="AD7" s="258">
        <f ca="1">INDIRECT("'"&amp;(VLOOKUP('CSL Inst Appx'!$A5,Reference!$A:$B,2))&amp;"'!AD49")</f>
        <v>0</v>
      </c>
      <c r="AE7" s="258">
        <f ca="1">INDIRECT("'"&amp;(VLOOKUP('CSL Inst Appx'!$A5,Reference!$A:$B,2))&amp;"'!AE49")</f>
        <v>0</v>
      </c>
      <c r="AF7" s="258">
        <f ca="1">INDIRECT("'"&amp;(VLOOKUP('CSL Inst Appx'!$A5,Reference!$A:$B,2))&amp;"'!AF49")</f>
        <v>0</v>
      </c>
      <c r="AG7" s="258">
        <f ca="1">INDIRECT("'"&amp;(VLOOKUP('CSL Inst Appx'!$A5,Reference!$A:$B,2))&amp;"'!AG49")</f>
        <v>0</v>
      </c>
      <c r="AH7" s="273">
        <f t="shared" ca="1" si="6"/>
        <v>35.5</v>
      </c>
    </row>
    <row r="8" spans="1:34" s="261" customFormat="1" ht="16.5" thickBot="1">
      <c r="A8" s="259" t="str">
        <f>Navigation!$A8</f>
        <v>ACCOUNTING AND PAYROLL ADMINISTRATOR DIPLOMA</v>
      </c>
      <c r="B8" s="260" t="str">
        <f ca="1">INDIRECT("'"&amp;(VLOOKUP('CSL Inst Appx'!$A6,Reference!$A:$B,2))&amp;"'!D3")</f>
        <v>ZNV7</v>
      </c>
      <c r="C8" s="260" t="str">
        <f ca="1">RIGHT(INDIRECT("'"&amp;(VLOOKUP('CSL Inst Appx'!$A6,Reference!$A:$B,2))&amp;"'!G4"),4)</f>
        <v>1212</v>
      </c>
      <c r="D8" s="260">
        <f ca="1">INDIRECT("'"&amp;(VLOOKUP('CSL Inst Appx'!$A6,Reference!$A:$B,2))&amp;"'!I41")</f>
        <v>996</v>
      </c>
      <c r="E8" s="260">
        <f ca="1">INDIRECT("'"&amp;(VLOOKUP('CSL Inst Appx'!$A6,Reference!$A:$B,2))&amp;"'!C44")</f>
        <v>88</v>
      </c>
      <c r="F8" s="30">
        <f ca="1">INDIRECT("'"&amp;(VLOOKUP('CSL Inst Appx'!$A6,Reference!$A:$B,2))&amp;"'!C42")</f>
        <v>0</v>
      </c>
      <c r="G8" s="31">
        <f t="shared" ca="1" si="0"/>
        <v>1084</v>
      </c>
      <c r="H8" s="32">
        <f ca="1">INDIRECT("'"&amp;(VLOOKUP('CSL Inst Appx'!$A6,Reference!$A:$B,2))&amp;"'!H41")</f>
        <v>15180</v>
      </c>
      <c r="I8" s="33">
        <f t="shared" ca="1" si="1"/>
        <v>14.01</v>
      </c>
      <c r="J8" s="34">
        <f t="shared" ca="1" si="2"/>
        <v>12.6</v>
      </c>
      <c r="K8" s="29">
        <f t="shared" ca="1" si="3"/>
        <v>55</v>
      </c>
      <c r="L8" s="34">
        <f t="shared" ca="1" si="4"/>
        <v>10.1</v>
      </c>
      <c r="M8" s="29">
        <f t="shared" ca="1" si="5"/>
        <v>44</v>
      </c>
      <c r="N8" s="257">
        <f ca="1">INDIRECT("'"&amp;(VLOOKUP('CSL Inst Appx'!$A6,Reference!$A:$B,2))&amp;"'!N49")</f>
        <v>0</v>
      </c>
      <c r="O8" s="258">
        <f ca="1">INDIRECT("'"&amp;(VLOOKUP('CSL Inst Appx'!$A6,Reference!$A:$B,2))&amp;"'!O49")</f>
        <v>2.5</v>
      </c>
      <c r="P8" s="258">
        <f ca="1">INDIRECT("'"&amp;(VLOOKUP('CSL Inst Appx'!$A6,Reference!$A:$B,2))&amp;"'!P49")</f>
        <v>3.5</v>
      </c>
      <c r="Q8" s="258">
        <f ca="1">INDIRECT("'"&amp;(VLOOKUP('CSL Inst Appx'!$A6,Reference!$A:$B,2))&amp;"'!Q49")</f>
        <v>3.5</v>
      </c>
      <c r="R8" s="258">
        <f ca="1">INDIRECT("'"&amp;(VLOOKUP('CSL Inst Appx'!$A6,Reference!$A:$B,2))&amp;"'!R49")</f>
        <v>1.5</v>
      </c>
      <c r="S8" s="258">
        <f ca="1">INDIRECT("'"&amp;(VLOOKUP('CSL Inst Appx'!$A6,Reference!$A:$B,2))&amp;"'!S49")</f>
        <v>0</v>
      </c>
      <c r="T8" s="258">
        <f ca="1">INDIRECT("'"&amp;(VLOOKUP('CSL Inst Appx'!$A6,Reference!$A:$B,2))&amp;"'!T49")</f>
        <v>16</v>
      </c>
      <c r="U8" s="258">
        <f ca="1">INDIRECT("'"&amp;(VLOOKUP('CSL Inst Appx'!$A6,Reference!$A:$B,2))&amp;"'!U49")</f>
        <v>1</v>
      </c>
      <c r="V8" s="258">
        <f ca="1">INDIRECT("'"&amp;(VLOOKUP('CSL Inst Appx'!$A6,Reference!$A:$B,2))&amp;"'!V49")</f>
        <v>13.5</v>
      </c>
      <c r="W8" s="258">
        <f ca="1">INDIRECT("'"&amp;(VLOOKUP('CSL Inst Appx'!$A6,Reference!$A:$B,2))&amp;"'!W49")</f>
        <v>0</v>
      </c>
      <c r="X8" s="258">
        <f ca="1">INDIRECT("'"&amp;(VLOOKUP('CSL Inst Appx'!$A6,Reference!$A:$B,2))&amp;"'!X49")</f>
        <v>0</v>
      </c>
      <c r="Y8" s="258">
        <f ca="1">INDIRECT("'"&amp;(VLOOKUP('CSL Inst Appx'!$A6,Reference!$A:$B,2))&amp;"'!Y49")</f>
        <v>0</v>
      </c>
      <c r="Z8" s="258">
        <f ca="1">INDIRECT("'"&amp;(VLOOKUP('CSL Inst Appx'!$A6,Reference!$A:$B,2))&amp;"'!Z49")</f>
        <v>0</v>
      </c>
      <c r="AA8" s="258">
        <f ca="1">INDIRECT("'"&amp;(VLOOKUP('CSL Inst Appx'!$A6,Reference!$A:$B,2))&amp;"'!AA49")</f>
        <v>0</v>
      </c>
      <c r="AB8" s="258">
        <f ca="1">INDIRECT("'"&amp;(VLOOKUP('CSL Inst Appx'!$A6,Reference!$A:$B,2))&amp;"'!AB49")</f>
        <v>2.5</v>
      </c>
      <c r="AC8" s="258">
        <f ca="1">INDIRECT("'"&amp;(VLOOKUP('CSL Inst Appx'!$A6,Reference!$A:$B,2))&amp;"'!AC49")</f>
        <v>0</v>
      </c>
      <c r="AD8" s="258">
        <f ca="1">INDIRECT("'"&amp;(VLOOKUP('CSL Inst Appx'!$A6,Reference!$A:$B,2))&amp;"'!AD49")</f>
        <v>0</v>
      </c>
      <c r="AE8" s="258">
        <f ca="1">INDIRECT("'"&amp;(VLOOKUP('CSL Inst Appx'!$A6,Reference!$A:$B,2))&amp;"'!AE49")</f>
        <v>0</v>
      </c>
      <c r="AF8" s="258">
        <f ca="1">INDIRECT("'"&amp;(VLOOKUP('CSL Inst Appx'!$A6,Reference!$A:$B,2))&amp;"'!AF49")</f>
        <v>0</v>
      </c>
      <c r="AG8" s="258">
        <f ca="1">INDIRECT("'"&amp;(VLOOKUP('CSL Inst Appx'!$A6,Reference!$A:$B,2))&amp;"'!AG49")</f>
        <v>0</v>
      </c>
      <c r="AH8" s="273">
        <f t="shared" ca="1" si="6"/>
        <v>44</v>
      </c>
    </row>
    <row r="9" spans="1:34" s="261" customFormat="1" ht="16.5" thickBot="1">
      <c r="A9" s="259" t="str">
        <f>Navigation!$A9</f>
        <v>ACCOUNTING BOOKKEEPER CERTIFICATE</v>
      </c>
      <c r="B9" s="260" t="str">
        <f ca="1">INDIRECT("'"&amp;(VLOOKUP('CSL Inst Appx'!$A7,Reference!$A:$B,2))&amp;"'!D3")</f>
        <v>ZLJ8</v>
      </c>
      <c r="C9" s="260" t="str">
        <f ca="1">RIGHT(INDIRECT("'"&amp;(VLOOKUP('CSL Inst Appx'!$A7,Reference!$A:$B,2))&amp;"'!G4"),4)</f>
        <v>1431</v>
      </c>
      <c r="D9" s="260">
        <f ca="1">INDIRECT("'"&amp;(VLOOKUP('CSL Inst Appx'!$A7,Reference!$A:$B,2))&amp;"'!I41")</f>
        <v>589</v>
      </c>
      <c r="E9" s="260">
        <f ca="1">INDIRECT("'"&amp;(VLOOKUP('CSL Inst Appx'!$A7,Reference!$A:$B,2))&amp;"'!C44")</f>
        <v>54</v>
      </c>
      <c r="F9" s="30">
        <f ca="1">INDIRECT("'"&amp;(VLOOKUP('CSL Inst Appx'!$A7,Reference!$A:$B,2))&amp;"'!C42")</f>
        <v>0</v>
      </c>
      <c r="G9" s="31">
        <f t="shared" ca="1" si="0"/>
        <v>643</v>
      </c>
      <c r="H9" s="32">
        <f ca="1">INDIRECT("'"&amp;(VLOOKUP('CSL Inst Appx'!$A7,Reference!$A:$B,2))&amp;"'!H41")</f>
        <v>8707</v>
      </c>
      <c r="I9" s="33">
        <f t="shared" ca="1" si="1"/>
        <v>13.549999999999999</v>
      </c>
      <c r="J9" s="34">
        <f t="shared" ca="1" si="2"/>
        <v>7.5</v>
      </c>
      <c r="K9" s="29">
        <f t="shared" ca="1" si="3"/>
        <v>33</v>
      </c>
      <c r="L9" s="34">
        <f t="shared" ca="1" si="4"/>
        <v>6</v>
      </c>
      <c r="M9" s="29">
        <f t="shared" ca="1" si="5"/>
        <v>26</v>
      </c>
      <c r="N9" s="257">
        <f ca="1">INDIRECT("'"&amp;(VLOOKUP('CSL Inst Appx'!$A7,Reference!$A:$B,2))&amp;"'!N49")</f>
        <v>2.5</v>
      </c>
      <c r="O9" s="258">
        <f ca="1">INDIRECT("'"&amp;(VLOOKUP('CSL Inst Appx'!$A7,Reference!$A:$B,2))&amp;"'!O49")</f>
        <v>5.5</v>
      </c>
      <c r="P9" s="258">
        <f ca="1">INDIRECT("'"&amp;(VLOOKUP('CSL Inst Appx'!$A7,Reference!$A:$B,2))&amp;"'!P49")</f>
        <v>3.5</v>
      </c>
      <c r="Q9" s="258">
        <f ca="1">INDIRECT("'"&amp;(VLOOKUP('CSL Inst Appx'!$A7,Reference!$A:$B,2))&amp;"'!Q49")</f>
        <v>3.5</v>
      </c>
      <c r="R9" s="258">
        <f ca="1">INDIRECT("'"&amp;(VLOOKUP('CSL Inst Appx'!$A7,Reference!$A:$B,2))&amp;"'!R49")</f>
        <v>0</v>
      </c>
      <c r="S9" s="258">
        <f ca="1">INDIRECT("'"&amp;(VLOOKUP('CSL Inst Appx'!$A7,Reference!$A:$B,2))&amp;"'!S49")</f>
        <v>0</v>
      </c>
      <c r="T9" s="258">
        <f ca="1">INDIRECT("'"&amp;(VLOOKUP('CSL Inst Appx'!$A7,Reference!$A:$B,2))&amp;"'!T49")</f>
        <v>4</v>
      </c>
      <c r="U9" s="258">
        <f ca="1">INDIRECT("'"&amp;(VLOOKUP('CSL Inst Appx'!$A7,Reference!$A:$B,2))&amp;"'!U49")</f>
        <v>1</v>
      </c>
      <c r="V9" s="258">
        <f ca="1">INDIRECT("'"&amp;(VLOOKUP('CSL Inst Appx'!$A7,Reference!$A:$B,2))&amp;"'!V49")</f>
        <v>4</v>
      </c>
      <c r="W9" s="258">
        <f ca="1">INDIRECT("'"&amp;(VLOOKUP('CSL Inst Appx'!$A7,Reference!$A:$B,2))&amp;"'!W49")</f>
        <v>0</v>
      </c>
      <c r="X9" s="258">
        <f ca="1">INDIRECT("'"&amp;(VLOOKUP('CSL Inst Appx'!$A7,Reference!$A:$B,2))&amp;"'!X49")</f>
        <v>0</v>
      </c>
      <c r="Y9" s="258">
        <f ca="1">INDIRECT("'"&amp;(VLOOKUP('CSL Inst Appx'!$A7,Reference!$A:$B,2))&amp;"'!Y49")</f>
        <v>0</v>
      </c>
      <c r="Z9" s="258">
        <f ca="1">INDIRECT("'"&amp;(VLOOKUP('CSL Inst Appx'!$A7,Reference!$A:$B,2))&amp;"'!Z49")</f>
        <v>0</v>
      </c>
      <c r="AA9" s="258">
        <f ca="1">INDIRECT("'"&amp;(VLOOKUP('CSL Inst Appx'!$A7,Reference!$A:$B,2))&amp;"'!AA49")</f>
        <v>0</v>
      </c>
      <c r="AB9" s="258">
        <f ca="1">INDIRECT("'"&amp;(VLOOKUP('CSL Inst Appx'!$A7,Reference!$A:$B,2))&amp;"'!AB49")</f>
        <v>1.5</v>
      </c>
      <c r="AC9" s="258">
        <f ca="1">INDIRECT("'"&amp;(VLOOKUP('CSL Inst Appx'!$A7,Reference!$A:$B,2))&amp;"'!AC49")</f>
        <v>0</v>
      </c>
      <c r="AD9" s="258">
        <f ca="1">INDIRECT("'"&amp;(VLOOKUP('CSL Inst Appx'!$A7,Reference!$A:$B,2))&amp;"'!AD49")</f>
        <v>0</v>
      </c>
      <c r="AE9" s="258">
        <f ca="1">INDIRECT("'"&amp;(VLOOKUP('CSL Inst Appx'!$A7,Reference!$A:$B,2))&amp;"'!AE49")</f>
        <v>0</v>
      </c>
      <c r="AF9" s="258">
        <f ca="1">INDIRECT("'"&amp;(VLOOKUP('CSL Inst Appx'!$A7,Reference!$A:$B,2))&amp;"'!AF49")</f>
        <v>0</v>
      </c>
      <c r="AG9" s="258">
        <f ca="1">INDIRECT("'"&amp;(VLOOKUP('CSL Inst Appx'!$A7,Reference!$A:$B,2))&amp;"'!AG49")</f>
        <v>0</v>
      </c>
      <c r="AH9" s="273">
        <f t="shared" ca="1" si="6"/>
        <v>25.5</v>
      </c>
    </row>
    <row r="10" spans="1:34" s="261" customFormat="1" ht="16.5" thickBot="1">
      <c r="A10" s="259" t="str">
        <f>Navigation!$A10</f>
        <v>ACCOUNTING CLERK CERTIFICATE</v>
      </c>
      <c r="B10" s="260" t="str">
        <f ca="1">INDIRECT("'"&amp;(VLOOKUP('CSL Inst Appx'!$A8,Reference!$A:$B,2))&amp;"'!D3")</f>
        <v>ZLK8</v>
      </c>
      <c r="C10" s="260" t="str">
        <f ca="1">RIGHT(INDIRECT("'"&amp;(VLOOKUP('CSL Inst Appx'!$A8,Reference!$A:$B,2))&amp;"'!G4"),4)</f>
        <v>1431</v>
      </c>
      <c r="D10" s="260">
        <f ca="1">INDIRECT("'"&amp;(VLOOKUP('CSL Inst Appx'!$A8,Reference!$A:$B,2))&amp;"'!I41")</f>
        <v>424</v>
      </c>
      <c r="E10" s="260">
        <f ca="1">INDIRECT("'"&amp;(VLOOKUP('CSL Inst Appx'!$A8,Reference!$A:$B,2))&amp;"'!C44")</f>
        <v>36</v>
      </c>
      <c r="F10" s="30">
        <f ca="1">INDIRECT("'"&amp;(VLOOKUP('CSL Inst Appx'!$A8,Reference!$A:$B,2))&amp;"'!C42")</f>
        <v>0</v>
      </c>
      <c r="G10" s="31">
        <f t="shared" ca="1" si="0"/>
        <v>460</v>
      </c>
      <c r="H10" s="32">
        <f ca="1">INDIRECT("'"&amp;(VLOOKUP('CSL Inst Appx'!$A8,Reference!$A:$B,2))&amp;"'!H41")</f>
        <v>6452</v>
      </c>
      <c r="I10" s="33">
        <f t="shared" ca="1" si="1"/>
        <v>14.03</v>
      </c>
      <c r="J10" s="34">
        <f t="shared" ca="1" si="2"/>
        <v>5.3999999999999995</v>
      </c>
      <c r="K10" s="29">
        <f t="shared" ca="1" si="3"/>
        <v>23</v>
      </c>
      <c r="L10" s="34">
        <f t="shared" ca="1" si="4"/>
        <v>4.3</v>
      </c>
      <c r="M10" s="29">
        <f t="shared" ca="1" si="5"/>
        <v>19</v>
      </c>
      <c r="N10" s="257">
        <f ca="1">INDIRECT("'"&amp;(VLOOKUP('CSL Inst Appx'!$A8,Reference!$A:$B,2))&amp;"'!N49")</f>
        <v>2.5</v>
      </c>
      <c r="O10" s="258">
        <f ca="1">INDIRECT("'"&amp;(VLOOKUP('CSL Inst Appx'!$A8,Reference!$A:$B,2))&amp;"'!O49")</f>
        <v>2.5</v>
      </c>
      <c r="P10" s="258">
        <f ca="1">INDIRECT("'"&amp;(VLOOKUP('CSL Inst Appx'!$A8,Reference!$A:$B,2))&amp;"'!P49")</f>
        <v>1.5</v>
      </c>
      <c r="Q10" s="258">
        <f ca="1">INDIRECT("'"&amp;(VLOOKUP('CSL Inst Appx'!$A8,Reference!$A:$B,2))&amp;"'!Q49")</f>
        <v>3.5</v>
      </c>
      <c r="R10" s="258">
        <f ca="1">INDIRECT("'"&amp;(VLOOKUP('CSL Inst Appx'!$A8,Reference!$A:$B,2))&amp;"'!R49")</f>
        <v>0</v>
      </c>
      <c r="S10" s="258">
        <f ca="1">INDIRECT("'"&amp;(VLOOKUP('CSL Inst Appx'!$A8,Reference!$A:$B,2))&amp;"'!S49")</f>
        <v>0</v>
      </c>
      <c r="T10" s="258">
        <f ca="1">INDIRECT("'"&amp;(VLOOKUP('CSL Inst Appx'!$A8,Reference!$A:$B,2))&amp;"'!T49")</f>
        <v>4</v>
      </c>
      <c r="U10" s="258">
        <f ca="1">INDIRECT("'"&amp;(VLOOKUP('CSL Inst Appx'!$A8,Reference!$A:$B,2))&amp;"'!U49")</f>
        <v>1</v>
      </c>
      <c r="V10" s="258">
        <f ca="1">INDIRECT("'"&amp;(VLOOKUP('CSL Inst Appx'!$A8,Reference!$A:$B,2))&amp;"'!V49")</f>
        <v>4</v>
      </c>
      <c r="W10" s="258">
        <f ca="1">INDIRECT("'"&amp;(VLOOKUP('CSL Inst Appx'!$A8,Reference!$A:$B,2))&amp;"'!W49")</f>
        <v>0</v>
      </c>
      <c r="X10" s="258">
        <f ca="1">INDIRECT("'"&amp;(VLOOKUP('CSL Inst Appx'!$A8,Reference!$A:$B,2))&amp;"'!X49")</f>
        <v>0</v>
      </c>
      <c r="Y10" s="258">
        <f ca="1">INDIRECT("'"&amp;(VLOOKUP('CSL Inst Appx'!$A8,Reference!$A:$B,2))&amp;"'!Y49")</f>
        <v>0</v>
      </c>
      <c r="Z10" s="258">
        <f ca="1">INDIRECT("'"&amp;(VLOOKUP('CSL Inst Appx'!$A8,Reference!$A:$B,2))&amp;"'!Z49")</f>
        <v>0</v>
      </c>
      <c r="AA10" s="258">
        <f ca="1">INDIRECT("'"&amp;(VLOOKUP('CSL Inst Appx'!$A8,Reference!$A:$B,2))&amp;"'!AA49")</f>
        <v>0</v>
      </c>
      <c r="AB10" s="258">
        <f ca="1">INDIRECT("'"&amp;(VLOOKUP('CSL Inst Appx'!$A8,Reference!$A:$B,2))&amp;"'!AB49")</f>
        <v>1.5</v>
      </c>
      <c r="AC10" s="258">
        <f ca="1">INDIRECT("'"&amp;(VLOOKUP('CSL Inst Appx'!$A8,Reference!$A:$B,2))&amp;"'!AC49")</f>
        <v>0</v>
      </c>
      <c r="AD10" s="258">
        <f ca="1">INDIRECT("'"&amp;(VLOOKUP('CSL Inst Appx'!$A8,Reference!$A:$B,2))&amp;"'!AD49")</f>
        <v>0</v>
      </c>
      <c r="AE10" s="258">
        <f ca="1">INDIRECT("'"&amp;(VLOOKUP('CSL Inst Appx'!$A8,Reference!$A:$B,2))&amp;"'!AE49")</f>
        <v>0</v>
      </c>
      <c r="AF10" s="258">
        <f ca="1">INDIRECT("'"&amp;(VLOOKUP('CSL Inst Appx'!$A8,Reference!$A:$B,2))&amp;"'!AF49")</f>
        <v>0</v>
      </c>
      <c r="AG10" s="258">
        <f ca="1">INDIRECT("'"&amp;(VLOOKUP('CSL Inst Appx'!$A8,Reference!$A:$B,2))&amp;"'!AG49")</f>
        <v>0</v>
      </c>
      <c r="AH10" s="273">
        <f t="shared" ca="1" si="6"/>
        <v>20.5</v>
      </c>
    </row>
    <row r="11" spans="1:34" s="261" customFormat="1" ht="16.5" thickBot="1">
      <c r="A11" s="259" t="str">
        <f>Navigation!$A11</f>
        <v>ADDICTIONS WORKER CERTIFICATE</v>
      </c>
      <c r="B11" s="260" t="str">
        <f ca="1">INDIRECT("'"&amp;(VLOOKUP('CSL Inst Appx'!$A9,Reference!$A:$B,2))&amp;"'!D3")</f>
        <v>WAA8</v>
      </c>
      <c r="C11" s="260" t="str">
        <f ca="1">RIGHT(INDIRECT("'"&amp;(VLOOKUP('CSL Inst Appx'!$A9,Reference!$A:$B,2))&amp;"'!G4"),4)</f>
        <v>4212</v>
      </c>
      <c r="D11" s="260">
        <f ca="1">INDIRECT("'"&amp;(VLOOKUP('CSL Inst Appx'!$A9,Reference!$A:$B,2))&amp;"'!I41")</f>
        <v>300</v>
      </c>
      <c r="E11" s="260">
        <f ca="1">INDIRECT("'"&amp;(VLOOKUP('CSL Inst Appx'!$A9,Reference!$A:$B,2))&amp;"'!C44")</f>
        <v>0</v>
      </c>
      <c r="F11" s="30">
        <f ca="1">INDIRECT("'"&amp;(VLOOKUP('CSL Inst Appx'!$A9,Reference!$A:$B,2))&amp;"'!C42")</f>
        <v>0</v>
      </c>
      <c r="G11" s="31">
        <f t="shared" ca="1" si="0"/>
        <v>300</v>
      </c>
      <c r="H11" s="32">
        <f ca="1">INDIRECT("'"&amp;(VLOOKUP('CSL Inst Appx'!$A9,Reference!$A:$B,2))&amp;"'!H41")</f>
        <v>3079</v>
      </c>
      <c r="I11" s="33">
        <f t="shared" ca="1" si="1"/>
        <v>10.27</v>
      </c>
      <c r="J11" s="34">
        <f t="shared" ca="1" si="2"/>
        <v>3.5</v>
      </c>
      <c r="K11" s="29">
        <f t="shared" ca="1" si="3"/>
        <v>15</v>
      </c>
      <c r="L11" s="34">
        <f t="shared" ca="1" si="4"/>
        <v>2.8000000000000003</v>
      </c>
      <c r="M11" s="29">
        <f t="shared" ca="1" si="5"/>
        <v>12</v>
      </c>
      <c r="N11" s="257">
        <f ca="1">INDIRECT("'"&amp;(VLOOKUP('CSL Inst Appx'!$A9,Reference!$A:$B,2))&amp;"'!N49")</f>
        <v>0</v>
      </c>
      <c r="O11" s="258">
        <f ca="1">INDIRECT("'"&amp;(VLOOKUP('CSL Inst Appx'!$A9,Reference!$A:$B,2))&amp;"'!O49")</f>
        <v>0</v>
      </c>
      <c r="P11" s="258">
        <f ca="1">INDIRECT("'"&amp;(VLOOKUP('CSL Inst Appx'!$A9,Reference!$A:$B,2))&amp;"'!P49")</f>
        <v>0</v>
      </c>
      <c r="Q11" s="258">
        <f ca="1">INDIRECT("'"&amp;(VLOOKUP('CSL Inst Appx'!$A9,Reference!$A:$B,2))&amp;"'!Q49")</f>
        <v>0</v>
      </c>
      <c r="R11" s="258">
        <f ca="1">INDIRECT("'"&amp;(VLOOKUP('CSL Inst Appx'!$A9,Reference!$A:$B,2))&amp;"'!R49")</f>
        <v>0</v>
      </c>
      <c r="S11" s="258">
        <f ca="1">INDIRECT("'"&amp;(VLOOKUP('CSL Inst Appx'!$A9,Reference!$A:$B,2))&amp;"'!S49")</f>
        <v>0</v>
      </c>
      <c r="T11" s="258">
        <f ca="1">INDIRECT("'"&amp;(VLOOKUP('CSL Inst Appx'!$A9,Reference!$A:$B,2))&amp;"'!T49")</f>
        <v>0</v>
      </c>
      <c r="U11" s="258">
        <f ca="1">INDIRECT("'"&amp;(VLOOKUP('CSL Inst Appx'!$A9,Reference!$A:$B,2))&amp;"'!U49")</f>
        <v>0</v>
      </c>
      <c r="V11" s="258">
        <f ca="1">INDIRECT("'"&amp;(VLOOKUP('CSL Inst Appx'!$A9,Reference!$A:$B,2))&amp;"'!V49")</f>
        <v>0</v>
      </c>
      <c r="W11" s="258">
        <f ca="1">INDIRECT("'"&amp;(VLOOKUP('CSL Inst Appx'!$A9,Reference!$A:$B,2))&amp;"'!W49")</f>
        <v>0</v>
      </c>
      <c r="X11" s="258">
        <f ca="1">INDIRECT("'"&amp;(VLOOKUP('CSL Inst Appx'!$A9,Reference!$A:$B,2))&amp;"'!X49")</f>
        <v>0</v>
      </c>
      <c r="Y11" s="258">
        <f ca="1">INDIRECT("'"&amp;(VLOOKUP('CSL Inst Appx'!$A9,Reference!$A:$B,2))&amp;"'!Y49")</f>
        <v>0</v>
      </c>
      <c r="Z11" s="258">
        <f ca="1">INDIRECT("'"&amp;(VLOOKUP('CSL Inst Appx'!$A9,Reference!$A:$B,2))&amp;"'!Z49")</f>
        <v>0</v>
      </c>
      <c r="AA11" s="258">
        <f ca="1">INDIRECT("'"&amp;(VLOOKUP('CSL Inst Appx'!$A9,Reference!$A:$B,2))&amp;"'!AA49")</f>
        <v>0</v>
      </c>
      <c r="AB11" s="258">
        <f ca="1">INDIRECT("'"&amp;(VLOOKUP('CSL Inst Appx'!$A9,Reference!$A:$B,2))&amp;"'!AB49")</f>
        <v>0</v>
      </c>
      <c r="AC11" s="258">
        <f ca="1">INDIRECT("'"&amp;(VLOOKUP('CSL Inst Appx'!$A9,Reference!$A:$B,2))&amp;"'!AC49")</f>
        <v>0</v>
      </c>
      <c r="AD11" s="258">
        <f ca="1">INDIRECT("'"&amp;(VLOOKUP('CSL Inst Appx'!$A9,Reference!$A:$B,2))&amp;"'!AD49")</f>
        <v>0</v>
      </c>
      <c r="AE11" s="258">
        <f ca="1">INDIRECT("'"&amp;(VLOOKUP('CSL Inst Appx'!$A9,Reference!$A:$B,2))&amp;"'!AE49")</f>
        <v>0</v>
      </c>
      <c r="AF11" s="258">
        <f ca="1">INDIRECT("'"&amp;(VLOOKUP('CSL Inst Appx'!$A9,Reference!$A:$B,2))&amp;"'!AF49")</f>
        <v>0</v>
      </c>
      <c r="AG11" s="258">
        <f ca="1">INDIRECT("'"&amp;(VLOOKUP('CSL Inst Appx'!$A9,Reference!$A:$B,2))&amp;"'!AG49")</f>
        <v>0</v>
      </c>
      <c r="AH11" s="273">
        <f t="shared" ca="1" si="6"/>
        <v>0</v>
      </c>
    </row>
    <row r="12" spans="1:34" s="261" customFormat="1" ht="16.5" thickBot="1">
      <c r="A12" s="259" t="str">
        <f>Navigation!$A12</f>
        <v>ADMINISTRATIVE ASSISTANT DIPLOMA</v>
      </c>
      <c r="B12" s="260" t="str">
        <f ca="1">INDIRECT("'"&amp;(VLOOKUP('CSL Inst Appx'!$A10,Reference!$A:$B,2))&amp;"'!D3")</f>
        <v>ZKT7</v>
      </c>
      <c r="C12" s="260" t="str">
        <f ca="1">RIGHT(INDIRECT("'"&amp;(VLOOKUP('CSL Inst Appx'!$A10,Reference!$A:$B,2))&amp;"'!G4"),4)</f>
        <v>1241</v>
      </c>
      <c r="D12" s="260">
        <f ca="1">INDIRECT("'"&amp;(VLOOKUP('CSL Inst Appx'!$A10,Reference!$A:$B,2))&amp;"'!I41")</f>
        <v>704</v>
      </c>
      <c r="E12" s="260">
        <f ca="1">INDIRECT("'"&amp;(VLOOKUP('CSL Inst Appx'!$A10,Reference!$A:$B,2))&amp;"'!C44")</f>
        <v>64</v>
      </c>
      <c r="F12" s="30">
        <f ca="1">INDIRECT("'"&amp;(VLOOKUP('CSL Inst Appx'!$A10,Reference!$A:$B,2))&amp;"'!C42")</f>
        <v>0</v>
      </c>
      <c r="G12" s="31">
        <f t="shared" ca="1" si="0"/>
        <v>768</v>
      </c>
      <c r="H12" s="32">
        <f ca="1">INDIRECT("'"&amp;(VLOOKUP('CSL Inst Appx'!$A10,Reference!$A:$B,2))&amp;"'!H41")</f>
        <v>10097</v>
      </c>
      <c r="I12" s="33">
        <f t="shared" ca="1" si="1"/>
        <v>13.15</v>
      </c>
      <c r="J12" s="34">
        <f t="shared" ca="1" si="2"/>
        <v>8.9</v>
      </c>
      <c r="K12" s="29">
        <f t="shared" ca="1" si="3"/>
        <v>39</v>
      </c>
      <c r="L12" s="34">
        <f t="shared" ca="1" si="4"/>
        <v>7.1</v>
      </c>
      <c r="M12" s="29">
        <f t="shared" ca="1" si="5"/>
        <v>31</v>
      </c>
      <c r="N12" s="257">
        <f ca="1">INDIRECT("'"&amp;(VLOOKUP('CSL Inst Appx'!$A10,Reference!$A:$B,2))&amp;"'!N49")</f>
        <v>0</v>
      </c>
      <c r="O12" s="258">
        <f ca="1">INDIRECT("'"&amp;(VLOOKUP('CSL Inst Appx'!$A10,Reference!$A:$B,2))&amp;"'!O49")</f>
        <v>0</v>
      </c>
      <c r="P12" s="258">
        <f ca="1">INDIRECT("'"&amp;(VLOOKUP('CSL Inst Appx'!$A10,Reference!$A:$B,2))&amp;"'!P49")</f>
        <v>0</v>
      </c>
      <c r="Q12" s="258">
        <f ca="1">INDIRECT("'"&amp;(VLOOKUP('CSL Inst Appx'!$A10,Reference!$A:$B,2))&amp;"'!Q49")</f>
        <v>0</v>
      </c>
      <c r="R12" s="258">
        <f ca="1">INDIRECT("'"&amp;(VLOOKUP('CSL Inst Appx'!$A10,Reference!$A:$B,2))&amp;"'!R49")</f>
        <v>0</v>
      </c>
      <c r="S12" s="258">
        <f ca="1">INDIRECT("'"&amp;(VLOOKUP('CSL Inst Appx'!$A10,Reference!$A:$B,2))&amp;"'!S49")</f>
        <v>0</v>
      </c>
      <c r="T12" s="258">
        <f ca="1">INDIRECT("'"&amp;(VLOOKUP('CSL Inst Appx'!$A10,Reference!$A:$B,2))&amp;"'!T49")</f>
        <v>0</v>
      </c>
      <c r="U12" s="258">
        <f ca="1">INDIRECT("'"&amp;(VLOOKUP('CSL Inst Appx'!$A10,Reference!$A:$B,2))&amp;"'!U49")</f>
        <v>0</v>
      </c>
      <c r="V12" s="258">
        <f ca="1">INDIRECT("'"&amp;(VLOOKUP('CSL Inst Appx'!$A10,Reference!$A:$B,2))&amp;"'!V49")</f>
        <v>0</v>
      </c>
      <c r="W12" s="258">
        <f ca="1">INDIRECT("'"&amp;(VLOOKUP('CSL Inst Appx'!$A10,Reference!$A:$B,2))&amp;"'!W49")</f>
        <v>0</v>
      </c>
      <c r="X12" s="258">
        <f ca="1">INDIRECT("'"&amp;(VLOOKUP('CSL Inst Appx'!$A10,Reference!$A:$B,2))&amp;"'!X49")</f>
        <v>0</v>
      </c>
      <c r="Y12" s="258">
        <f ca="1">INDIRECT("'"&amp;(VLOOKUP('CSL Inst Appx'!$A10,Reference!$A:$B,2))&amp;"'!Y49")</f>
        <v>0</v>
      </c>
      <c r="Z12" s="258">
        <f ca="1">INDIRECT("'"&amp;(VLOOKUP('CSL Inst Appx'!$A10,Reference!$A:$B,2))&amp;"'!Z49")</f>
        <v>0</v>
      </c>
      <c r="AA12" s="258">
        <f ca="1">INDIRECT("'"&amp;(VLOOKUP('CSL Inst Appx'!$A10,Reference!$A:$B,2))&amp;"'!AA49")</f>
        <v>0</v>
      </c>
      <c r="AB12" s="258">
        <f ca="1">INDIRECT("'"&amp;(VLOOKUP('CSL Inst Appx'!$A10,Reference!$A:$B,2))&amp;"'!AB49")</f>
        <v>0</v>
      </c>
      <c r="AC12" s="258">
        <f ca="1">INDIRECT("'"&amp;(VLOOKUP('CSL Inst Appx'!$A10,Reference!$A:$B,2))&amp;"'!AC49")</f>
        <v>0</v>
      </c>
      <c r="AD12" s="258">
        <f ca="1">INDIRECT("'"&amp;(VLOOKUP('CSL Inst Appx'!$A10,Reference!$A:$B,2))&amp;"'!AD49")</f>
        <v>0</v>
      </c>
      <c r="AE12" s="258">
        <f ca="1">INDIRECT("'"&amp;(VLOOKUP('CSL Inst Appx'!$A10,Reference!$A:$B,2))&amp;"'!AE49")</f>
        <v>0</v>
      </c>
      <c r="AF12" s="258">
        <f ca="1">INDIRECT("'"&amp;(VLOOKUP('CSL Inst Appx'!$A10,Reference!$A:$B,2))&amp;"'!AF49")</f>
        <v>0</v>
      </c>
      <c r="AG12" s="258">
        <f ca="1">INDIRECT("'"&amp;(VLOOKUP('CSL Inst Appx'!$A10,Reference!$A:$B,2))&amp;"'!AG49")</f>
        <v>0</v>
      </c>
      <c r="AH12" s="273">
        <f t="shared" ca="1" si="6"/>
        <v>0</v>
      </c>
    </row>
    <row r="13" spans="1:34" s="261" customFormat="1" ht="16.5" thickBot="1">
      <c r="A13" s="259" t="str">
        <f>Navigation!$A13</f>
        <v>BUSINESS ADMINISTRATION CO-OP DIPLOMA</v>
      </c>
      <c r="B13" s="260" t="str">
        <f ca="1">INDIRECT("'"&amp;(VLOOKUP('CSL Inst Appx'!$A11,Reference!$A:$B,2))&amp;"'!D3")</f>
        <v>ZAS7</v>
      </c>
      <c r="C13" s="260" t="str">
        <f ca="1">RIGHT(INDIRECT("'"&amp;(VLOOKUP('CSL Inst Appx'!$A11,Reference!$A:$B,2))&amp;"'!G4"),4)</f>
        <v>1221</v>
      </c>
      <c r="D13" s="260">
        <f ca="1">INDIRECT("'"&amp;(VLOOKUP('CSL Inst Appx'!$A11,Reference!$A:$B,2))&amp;"'!I45")</f>
        <v>2036</v>
      </c>
      <c r="E13" s="260">
        <f ca="1">INDIRECT("'"&amp;(VLOOKUP('CSL Inst Appx'!$A11,Reference!$A:$B,2))&amp;"'!C48")</f>
        <v>101</v>
      </c>
      <c r="F13" s="30">
        <f ca="1">INDIRECT("'"&amp;(VLOOKUP('CSL Inst Appx'!$A11,Reference!$A:$B,2))&amp;"'!C46")</f>
        <v>0</v>
      </c>
      <c r="G13" s="31">
        <f t="shared" ca="1" si="0"/>
        <v>2137</v>
      </c>
      <c r="H13" s="32">
        <f ca="1">INDIRECT("'"&amp;(VLOOKUP('CSL Inst Appx'!$A11,Reference!$A:$B,2))&amp;"'!H45")</f>
        <v>22293</v>
      </c>
      <c r="I13" s="33">
        <f t="shared" ca="1" si="1"/>
        <v>10.44</v>
      </c>
      <c r="J13" s="34">
        <f t="shared" ca="1" si="2"/>
        <v>24.700000000000003</v>
      </c>
      <c r="K13" s="29">
        <f t="shared" ca="1" si="3"/>
        <v>107</v>
      </c>
      <c r="L13" s="34">
        <f t="shared" ca="1" si="4"/>
        <v>19.8</v>
      </c>
      <c r="M13" s="29">
        <f t="shared" ca="1" si="5"/>
        <v>86</v>
      </c>
      <c r="N13" s="257">
        <f ca="1">INDIRECT("'"&amp;(VLOOKUP('CSL Inst Appx'!$A11,Reference!$A:$B,2))&amp;"'!N49")</f>
        <v>0</v>
      </c>
      <c r="O13" s="258">
        <f ca="1">INDIRECT("'"&amp;(VLOOKUP('CSL Inst Appx'!$A11,Reference!$A:$B,2))&amp;"'!O49")</f>
        <v>0</v>
      </c>
      <c r="P13" s="258">
        <f ca="1">INDIRECT("'"&amp;(VLOOKUP('CSL Inst Appx'!$A11,Reference!$A:$B,2))&amp;"'!P49")</f>
        <v>0</v>
      </c>
      <c r="Q13" s="258">
        <f ca="1">INDIRECT("'"&amp;(VLOOKUP('CSL Inst Appx'!$A11,Reference!$A:$B,2))&amp;"'!Q49")</f>
        <v>0</v>
      </c>
      <c r="R13" s="258">
        <f ca="1">INDIRECT("'"&amp;(VLOOKUP('CSL Inst Appx'!$A11,Reference!$A:$B,2))&amp;"'!R49")</f>
        <v>0</v>
      </c>
      <c r="S13" s="258">
        <f ca="1">INDIRECT("'"&amp;(VLOOKUP('CSL Inst Appx'!$A11,Reference!$A:$B,2))&amp;"'!S49")</f>
        <v>0</v>
      </c>
      <c r="T13" s="258">
        <f ca="1">INDIRECT("'"&amp;(VLOOKUP('CSL Inst Appx'!$A11,Reference!$A:$B,2))&amp;"'!T49")</f>
        <v>0</v>
      </c>
      <c r="U13" s="258">
        <f ca="1">INDIRECT("'"&amp;(VLOOKUP('CSL Inst Appx'!$A11,Reference!$A:$B,2))&amp;"'!U49")</f>
        <v>0</v>
      </c>
      <c r="V13" s="258">
        <f ca="1">INDIRECT("'"&amp;(VLOOKUP('CSL Inst Appx'!$A11,Reference!$A:$B,2))&amp;"'!V49")</f>
        <v>0</v>
      </c>
      <c r="W13" s="258">
        <f ca="1">INDIRECT("'"&amp;(VLOOKUP('CSL Inst Appx'!$A11,Reference!$A:$B,2))&amp;"'!W49")</f>
        <v>0</v>
      </c>
      <c r="X13" s="258">
        <f ca="1">INDIRECT("'"&amp;(VLOOKUP('CSL Inst Appx'!$A11,Reference!$A:$B,2))&amp;"'!X49")</f>
        <v>0</v>
      </c>
      <c r="Y13" s="258">
        <f ca="1">INDIRECT("'"&amp;(VLOOKUP('CSL Inst Appx'!$A11,Reference!$A:$B,2))&amp;"'!Y49")</f>
        <v>0</v>
      </c>
      <c r="Z13" s="258">
        <f ca="1">INDIRECT("'"&amp;(VLOOKUP('CSL Inst Appx'!$A11,Reference!$A:$B,2))&amp;"'!Z49")</f>
        <v>0</v>
      </c>
      <c r="AA13" s="258">
        <f ca="1">INDIRECT("'"&amp;(VLOOKUP('CSL Inst Appx'!$A11,Reference!$A:$B,2))&amp;"'!AA49")</f>
        <v>0</v>
      </c>
      <c r="AB13" s="258">
        <f ca="1">INDIRECT("'"&amp;(VLOOKUP('CSL Inst Appx'!$A11,Reference!$A:$B,2))&amp;"'!AB49")</f>
        <v>0</v>
      </c>
      <c r="AC13" s="258">
        <f ca="1">INDIRECT("'"&amp;(VLOOKUP('CSL Inst Appx'!$A11,Reference!$A:$B,2))&amp;"'!AC49")</f>
        <v>0</v>
      </c>
      <c r="AD13" s="258">
        <f ca="1">INDIRECT("'"&amp;(VLOOKUP('CSL Inst Appx'!$A11,Reference!$A:$B,2))&amp;"'!AD49")</f>
        <v>0</v>
      </c>
      <c r="AE13" s="258">
        <f ca="1">INDIRECT("'"&amp;(VLOOKUP('CSL Inst Appx'!$A11,Reference!$A:$B,2))&amp;"'!AE49")</f>
        <v>0</v>
      </c>
      <c r="AF13" s="258">
        <f ca="1">INDIRECT("'"&amp;(VLOOKUP('CSL Inst Appx'!$A11,Reference!$A:$B,2))&amp;"'!AF49")</f>
        <v>0</v>
      </c>
      <c r="AG13" s="258">
        <f ca="1">INDIRECT("'"&amp;(VLOOKUP('CSL Inst Appx'!$A11,Reference!$A:$B,2))&amp;"'!AG49")</f>
        <v>0</v>
      </c>
      <c r="AH13" s="273">
        <f t="shared" ca="1" si="6"/>
        <v>0</v>
      </c>
    </row>
    <row r="14" spans="1:34" s="261" customFormat="1" ht="16.5" thickBot="1">
      <c r="A14" s="259" t="str">
        <f>Navigation!$A14</f>
        <v>BUSINESS ADMINISTRATION DIPLOMA</v>
      </c>
      <c r="B14" s="260" t="str">
        <f ca="1">INDIRECT("'"&amp;(VLOOKUP('CSL Inst Appx'!$A12,Reference!$A:$B,2))&amp;"'!D3")</f>
        <v>ZAS7</v>
      </c>
      <c r="C14" s="260" t="str">
        <f ca="1">RIGHT(INDIRECT("'"&amp;(VLOOKUP('CSL Inst Appx'!$A12,Reference!$A:$B,2))&amp;"'!G4"),4)</f>
        <v>1211</v>
      </c>
      <c r="D14" s="260">
        <f ca="1">INDIRECT("'"&amp;(VLOOKUP('CSL Inst Appx'!$A12,Reference!$A:$B,2))&amp;"'!I45")</f>
        <v>1161</v>
      </c>
      <c r="E14" s="260">
        <f ca="1">INDIRECT("'"&amp;(VLOOKUP('CSL Inst Appx'!$A12,Reference!$A:$B,2))&amp;"'!C48")</f>
        <v>106</v>
      </c>
      <c r="F14" s="30">
        <f ca="1">INDIRECT("'"&amp;(VLOOKUP('CSL Inst Appx'!$A12,Reference!$A:$B,2))&amp;"'!C46")</f>
        <v>0</v>
      </c>
      <c r="G14" s="31">
        <f t="shared" ca="1" si="0"/>
        <v>1267</v>
      </c>
      <c r="H14" s="32">
        <f ca="1">INDIRECT("'"&amp;(VLOOKUP('CSL Inst Appx'!$A12,Reference!$A:$B,2))&amp;"'!H45")</f>
        <v>17893</v>
      </c>
      <c r="I14" s="33">
        <f t="shared" ca="1" si="1"/>
        <v>14.129999999999999</v>
      </c>
      <c r="J14" s="34">
        <f t="shared" ca="1" si="2"/>
        <v>14.7</v>
      </c>
      <c r="K14" s="29">
        <f t="shared" ca="1" si="3"/>
        <v>64</v>
      </c>
      <c r="L14" s="34">
        <f t="shared" ca="1" si="4"/>
        <v>11.799999999999999</v>
      </c>
      <c r="M14" s="29">
        <f t="shared" ca="1" si="5"/>
        <v>51</v>
      </c>
      <c r="N14" s="257">
        <f ca="1">INDIRECT("'"&amp;(VLOOKUP('CSL Inst Appx'!$A12,Reference!$A:$B,2))&amp;"'!N49")</f>
        <v>0</v>
      </c>
      <c r="O14" s="258">
        <f ca="1">INDIRECT("'"&amp;(VLOOKUP('CSL Inst Appx'!$A12,Reference!$A:$B,2))&amp;"'!O49")</f>
        <v>0</v>
      </c>
      <c r="P14" s="258">
        <f ca="1">INDIRECT("'"&amp;(VLOOKUP('CSL Inst Appx'!$A12,Reference!$A:$B,2))&amp;"'!P49")</f>
        <v>0</v>
      </c>
      <c r="Q14" s="258">
        <f ca="1">INDIRECT("'"&amp;(VLOOKUP('CSL Inst Appx'!$A12,Reference!$A:$B,2))&amp;"'!Q49")</f>
        <v>0</v>
      </c>
      <c r="R14" s="258">
        <f ca="1">INDIRECT("'"&amp;(VLOOKUP('CSL Inst Appx'!$A12,Reference!$A:$B,2))&amp;"'!R49")</f>
        <v>0</v>
      </c>
      <c r="S14" s="258">
        <f ca="1">INDIRECT("'"&amp;(VLOOKUP('CSL Inst Appx'!$A12,Reference!$A:$B,2))&amp;"'!S49")</f>
        <v>0</v>
      </c>
      <c r="T14" s="258">
        <f ca="1">INDIRECT("'"&amp;(VLOOKUP('CSL Inst Appx'!$A12,Reference!$A:$B,2))&amp;"'!T49")</f>
        <v>0</v>
      </c>
      <c r="U14" s="258">
        <f ca="1">INDIRECT("'"&amp;(VLOOKUP('CSL Inst Appx'!$A12,Reference!$A:$B,2))&amp;"'!U49")</f>
        <v>0</v>
      </c>
      <c r="V14" s="258">
        <f ca="1">INDIRECT("'"&amp;(VLOOKUP('CSL Inst Appx'!$A12,Reference!$A:$B,2))&amp;"'!V49")</f>
        <v>0</v>
      </c>
      <c r="W14" s="258">
        <f ca="1">INDIRECT("'"&amp;(VLOOKUP('CSL Inst Appx'!$A12,Reference!$A:$B,2))&amp;"'!W49")</f>
        <v>0</v>
      </c>
      <c r="X14" s="258">
        <f ca="1">INDIRECT("'"&amp;(VLOOKUP('CSL Inst Appx'!$A12,Reference!$A:$B,2))&amp;"'!X49")</f>
        <v>0</v>
      </c>
      <c r="Y14" s="258">
        <f ca="1">INDIRECT("'"&amp;(VLOOKUP('CSL Inst Appx'!$A12,Reference!$A:$B,2))&amp;"'!Y49")</f>
        <v>0</v>
      </c>
      <c r="Z14" s="258">
        <f ca="1">INDIRECT("'"&amp;(VLOOKUP('CSL Inst Appx'!$A12,Reference!$A:$B,2))&amp;"'!Z49")</f>
        <v>0</v>
      </c>
      <c r="AA14" s="258">
        <f ca="1">INDIRECT("'"&amp;(VLOOKUP('CSL Inst Appx'!$A12,Reference!$A:$B,2))&amp;"'!AA49")</f>
        <v>0</v>
      </c>
      <c r="AB14" s="258">
        <f ca="1">INDIRECT("'"&amp;(VLOOKUP('CSL Inst Appx'!$A12,Reference!$A:$B,2))&amp;"'!AB49")</f>
        <v>0</v>
      </c>
      <c r="AC14" s="258">
        <f ca="1">INDIRECT("'"&amp;(VLOOKUP('CSL Inst Appx'!$A12,Reference!$A:$B,2))&amp;"'!AC49")</f>
        <v>0</v>
      </c>
      <c r="AD14" s="258">
        <f ca="1">INDIRECT("'"&amp;(VLOOKUP('CSL Inst Appx'!$A12,Reference!$A:$B,2))&amp;"'!AD49")</f>
        <v>0</v>
      </c>
      <c r="AE14" s="258">
        <f ca="1">INDIRECT("'"&amp;(VLOOKUP('CSL Inst Appx'!$A12,Reference!$A:$B,2))&amp;"'!AE49")</f>
        <v>0</v>
      </c>
      <c r="AF14" s="258">
        <f ca="1">INDIRECT("'"&amp;(VLOOKUP('CSL Inst Appx'!$A12,Reference!$A:$B,2))&amp;"'!AF49")</f>
        <v>0</v>
      </c>
      <c r="AG14" s="258">
        <f ca="1">INDIRECT("'"&amp;(VLOOKUP('CSL Inst Appx'!$A12,Reference!$A:$B,2))&amp;"'!AG49")</f>
        <v>0</v>
      </c>
      <c r="AH14" s="273">
        <f t="shared" ca="1" si="6"/>
        <v>0</v>
      </c>
    </row>
    <row r="15" spans="1:34" s="261" customFormat="1" ht="16.5" thickBot="1">
      <c r="A15" s="259" t="str">
        <f>Navigation!$A15</f>
        <v>BUSINESS MANAGEMENT CERTIFICATE</v>
      </c>
      <c r="B15" s="260" t="str">
        <f ca="1">INDIRECT("'"&amp;(VLOOKUP('CSL Inst Appx'!$A13,Reference!$A:$B,2))&amp;"'!D3")</f>
        <v>ZBD8</v>
      </c>
      <c r="C15" s="260" t="str">
        <f ca="1">RIGHT(INDIRECT("'"&amp;(VLOOKUP('CSL Inst Appx'!$A13,Reference!$A:$B,2))&amp;"'!G4"),4)</f>
        <v>1211</v>
      </c>
      <c r="D15" s="260">
        <f ca="1">INDIRECT("'"&amp;(VLOOKUP('CSL Inst Appx'!$A13,Reference!$A:$B,2))&amp;"'!I41")</f>
        <v>566</v>
      </c>
      <c r="E15" s="260">
        <f ca="1">INDIRECT("'"&amp;(VLOOKUP('CSL Inst Appx'!$A13,Reference!$A:$B,2))&amp;"'!C44")</f>
        <v>51</v>
      </c>
      <c r="F15" s="30">
        <f ca="1">INDIRECT("'"&amp;(VLOOKUP('CSL Inst Appx'!$A13,Reference!$A:$B,2))&amp;"'!C42")</f>
        <v>0</v>
      </c>
      <c r="G15" s="31">
        <f t="shared" ca="1" si="0"/>
        <v>617</v>
      </c>
      <c r="H15" s="32">
        <f ca="1">INDIRECT("'"&amp;(VLOOKUP('CSL Inst Appx'!$A13,Reference!$A:$B,2))&amp;"'!H41")</f>
        <v>9329</v>
      </c>
      <c r="I15" s="33">
        <f t="shared" ca="1" si="1"/>
        <v>15.12</v>
      </c>
      <c r="J15" s="34">
        <f t="shared" ca="1" si="2"/>
        <v>7.1999999999999993</v>
      </c>
      <c r="K15" s="29">
        <f t="shared" ca="1" si="3"/>
        <v>31</v>
      </c>
      <c r="L15" s="34">
        <f t="shared" ca="1" si="4"/>
        <v>5.6999999999999993</v>
      </c>
      <c r="M15" s="29">
        <f t="shared" ca="1" si="5"/>
        <v>25</v>
      </c>
      <c r="N15" s="257">
        <f ca="1">INDIRECT("'"&amp;(VLOOKUP('CSL Inst Appx'!$A13,Reference!$A:$B,2))&amp;"'!N49")</f>
        <v>0</v>
      </c>
      <c r="O15" s="258">
        <f ca="1">INDIRECT("'"&amp;(VLOOKUP('CSL Inst Appx'!$A13,Reference!$A:$B,2))&amp;"'!O49")</f>
        <v>0</v>
      </c>
      <c r="P15" s="258">
        <f ca="1">INDIRECT("'"&amp;(VLOOKUP('CSL Inst Appx'!$A13,Reference!$A:$B,2))&amp;"'!P49")</f>
        <v>0</v>
      </c>
      <c r="Q15" s="258">
        <f ca="1">INDIRECT("'"&amp;(VLOOKUP('CSL Inst Appx'!$A13,Reference!$A:$B,2))&amp;"'!Q49")</f>
        <v>0</v>
      </c>
      <c r="R15" s="258">
        <f ca="1">INDIRECT("'"&amp;(VLOOKUP('CSL Inst Appx'!$A13,Reference!$A:$B,2))&amp;"'!R49")</f>
        <v>0</v>
      </c>
      <c r="S15" s="258">
        <f ca="1">INDIRECT("'"&amp;(VLOOKUP('CSL Inst Appx'!$A13,Reference!$A:$B,2))&amp;"'!S49")</f>
        <v>0</v>
      </c>
      <c r="T15" s="258">
        <f ca="1">INDIRECT("'"&amp;(VLOOKUP('CSL Inst Appx'!$A13,Reference!$A:$B,2))&amp;"'!T49")</f>
        <v>1.5</v>
      </c>
      <c r="U15" s="258">
        <f ca="1">INDIRECT("'"&amp;(VLOOKUP('CSL Inst Appx'!$A13,Reference!$A:$B,2))&amp;"'!U49")</f>
        <v>0</v>
      </c>
      <c r="V15" s="258">
        <f ca="1">INDIRECT("'"&amp;(VLOOKUP('CSL Inst Appx'!$A13,Reference!$A:$B,2))&amp;"'!V49")</f>
        <v>23.5</v>
      </c>
      <c r="W15" s="258">
        <f ca="1">INDIRECT("'"&amp;(VLOOKUP('CSL Inst Appx'!$A13,Reference!$A:$B,2))&amp;"'!W49")</f>
        <v>0</v>
      </c>
      <c r="X15" s="258">
        <f ca="1">INDIRECT("'"&amp;(VLOOKUP('CSL Inst Appx'!$A13,Reference!$A:$B,2))&amp;"'!X49")</f>
        <v>0</v>
      </c>
      <c r="Y15" s="258">
        <f ca="1">INDIRECT("'"&amp;(VLOOKUP('CSL Inst Appx'!$A13,Reference!$A:$B,2))&amp;"'!Y49")</f>
        <v>0</v>
      </c>
      <c r="Z15" s="258">
        <f ca="1">INDIRECT("'"&amp;(VLOOKUP('CSL Inst Appx'!$A13,Reference!$A:$B,2))&amp;"'!Z49")</f>
        <v>0</v>
      </c>
      <c r="AA15" s="258">
        <f ca="1">INDIRECT("'"&amp;(VLOOKUP('CSL Inst Appx'!$A13,Reference!$A:$B,2))&amp;"'!AA49")</f>
        <v>0</v>
      </c>
      <c r="AB15" s="258">
        <f ca="1">INDIRECT("'"&amp;(VLOOKUP('CSL Inst Appx'!$A13,Reference!$A:$B,2))&amp;"'!AB49")</f>
        <v>1</v>
      </c>
      <c r="AC15" s="258">
        <f ca="1">INDIRECT("'"&amp;(VLOOKUP('CSL Inst Appx'!$A13,Reference!$A:$B,2))&amp;"'!AC49")</f>
        <v>0</v>
      </c>
      <c r="AD15" s="258">
        <f ca="1">INDIRECT("'"&amp;(VLOOKUP('CSL Inst Appx'!$A13,Reference!$A:$B,2))&amp;"'!AD49")</f>
        <v>0</v>
      </c>
      <c r="AE15" s="258">
        <f ca="1">INDIRECT("'"&amp;(VLOOKUP('CSL Inst Appx'!$A13,Reference!$A:$B,2))&amp;"'!AE49")</f>
        <v>0</v>
      </c>
      <c r="AF15" s="258">
        <f ca="1">INDIRECT("'"&amp;(VLOOKUP('CSL Inst Appx'!$A13,Reference!$A:$B,2))&amp;"'!AF49")</f>
        <v>0</v>
      </c>
      <c r="AG15" s="258">
        <f ca="1">INDIRECT("'"&amp;(VLOOKUP('CSL Inst Appx'!$A13,Reference!$A:$B,2))&amp;"'!AG49")</f>
        <v>0</v>
      </c>
      <c r="AH15" s="273">
        <f t="shared" ca="1" si="6"/>
        <v>26</v>
      </c>
    </row>
    <row r="16" spans="1:34" s="261" customFormat="1" ht="16.5" thickBot="1">
      <c r="A16" s="259" t="str">
        <f>Navigation!$A16</f>
        <v>BUSINESS OFFICE SKILLS DIPLOMA</v>
      </c>
      <c r="B16" s="260" t="str">
        <f ca="1">INDIRECT("'"&amp;(VLOOKUP('CSL Inst Appx'!$A14,Reference!$A:$B,2))&amp;"'!D3")</f>
        <v>ZKJ7</v>
      </c>
      <c r="C16" s="260" t="str">
        <f ca="1">RIGHT(INDIRECT("'"&amp;(VLOOKUP('CSL Inst Appx'!$A14,Reference!$A:$B,2))&amp;"'!G4"),4)</f>
        <v>1411</v>
      </c>
      <c r="D16" s="260">
        <f ca="1">INDIRECT("'"&amp;(VLOOKUP('CSL Inst Appx'!$A14,Reference!$A:$B,2))&amp;"'!I41")</f>
        <v>772</v>
      </c>
      <c r="E16" s="260">
        <f ca="1">INDIRECT("'"&amp;(VLOOKUP('CSL Inst Appx'!$A14,Reference!$A:$B,2))&amp;"'!C44")</f>
        <v>71</v>
      </c>
      <c r="F16" s="30">
        <f ca="1">INDIRECT("'"&amp;(VLOOKUP('CSL Inst Appx'!$A14,Reference!$A:$B,2))&amp;"'!C42")</f>
        <v>0</v>
      </c>
      <c r="G16" s="31">
        <f t="shared" ca="1" si="0"/>
        <v>843</v>
      </c>
      <c r="H16" s="32">
        <f ca="1">INDIRECT("'"&amp;(VLOOKUP('CSL Inst Appx'!$A14,Reference!$A:$B,2))&amp;"'!H41")</f>
        <v>11409</v>
      </c>
      <c r="I16" s="33">
        <f t="shared" ca="1" si="1"/>
        <v>13.54</v>
      </c>
      <c r="J16" s="34">
        <f t="shared" ca="1" si="2"/>
        <v>9.7999999999999989</v>
      </c>
      <c r="K16" s="29">
        <f t="shared" ca="1" si="3"/>
        <v>43</v>
      </c>
      <c r="L16" s="34">
        <f t="shared" ca="1" si="4"/>
        <v>7.8</v>
      </c>
      <c r="M16" s="29">
        <f t="shared" ca="1" si="5"/>
        <v>34</v>
      </c>
      <c r="N16" s="257">
        <f ca="1">INDIRECT("'"&amp;(VLOOKUP('CSL Inst Appx'!$A14,Reference!$A:$B,2))&amp;"'!N49")</f>
        <v>4</v>
      </c>
      <c r="O16" s="258">
        <f ca="1">INDIRECT("'"&amp;(VLOOKUP('CSL Inst Appx'!$A14,Reference!$A:$B,2))&amp;"'!O49")</f>
        <v>6.5</v>
      </c>
      <c r="P16" s="258">
        <f ca="1">INDIRECT("'"&amp;(VLOOKUP('CSL Inst Appx'!$A14,Reference!$A:$B,2))&amp;"'!P49")</f>
        <v>3.5</v>
      </c>
      <c r="Q16" s="258">
        <f ca="1">INDIRECT("'"&amp;(VLOOKUP('CSL Inst Appx'!$A14,Reference!$A:$B,2))&amp;"'!Q49")</f>
        <v>3.5</v>
      </c>
      <c r="R16" s="258">
        <f ca="1">INDIRECT("'"&amp;(VLOOKUP('CSL Inst Appx'!$A14,Reference!$A:$B,2))&amp;"'!R49")</f>
        <v>1.5</v>
      </c>
      <c r="S16" s="258">
        <f ca="1">INDIRECT("'"&amp;(VLOOKUP('CSL Inst Appx'!$A14,Reference!$A:$B,2))&amp;"'!S49")</f>
        <v>2.5</v>
      </c>
      <c r="T16" s="258">
        <f ca="1">INDIRECT("'"&amp;(VLOOKUP('CSL Inst Appx'!$A14,Reference!$A:$B,2))&amp;"'!T49")</f>
        <v>1.5</v>
      </c>
      <c r="U16" s="258">
        <f ca="1">INDIRECT("'"&amp;(VLOOKUP('CSL Inst Appx'!$A14,Reference!$A:$B,2))&amp;"'!U49")</f>
        <v>2</v>
      </c>
      <c r="V16" s="258">
        <f ca="1">INDIRECT("'"&amp;(VLOOKUP('CSL Inst Appx'!$A14,Reference!$A:$B,2))&amp;"'!V49")</f>
        <v>6</v>
      </c>
      <c r="W16" s="258">
        <f ca="1">INDIRECT("'"&amp;(VLOOKUP('CSL Inst Appx'!$A14,Reference!$A:$B,2))&amp;"'!W49")</f>
        <v>0</v>
      </c>
      <c r="X16" s="258">
        <f ca="1">INDIRECT("'"&amp;(VLOOKUP('CSL Inst Appx'!$A14,Reference!$A:$B,2))&amp;"'!X49")</f>
        <v>0</v>
      </c>
      <c r="Y16" s="258">
        <f ca="1">INDIRECT("'"&amp;(VLOOKUP('CSL Inst Appx'!$A14,Reference!$A:$B,2))&amp;"'!Y49")</f>
        <v>0</v>
      </c>
      <c r="Z16" s="258">
        <f ca="1">INDIRECT("'"&amp;(VLOOKUP('CSL Inst Appx'!$A14,Reference!$A:$B,2))&amp;"'!Z49")</f>
        <v>0</v>
      </c>
      <c r="AA16" s="258">
        <f ca="1">INDIRECT("'"&amp;(VLOOKUP('CSL Inst Appx'!$A14,Reference!$A:$B,2))&amp;"'!AA49")</f>
        <v>0</v>
      </c>
      <c r="AB16" s="258">
        <f ca="1">INDIRECT("'"&amp;(VLOOKUP('CSL Inst Appx'!$A14,Reference!$A:$B,2))&amp;"'!AB49")</f>
        <v>2.5</v>
      </c>
      <c r="AC16" s="258">
        <f ca="1">INDIRECT("'"&amp;(VLOOKUP('CSL Inst Appx'!$A14,Reference!$A:$B,2))&amp;"'!AC49")</f>
        <v>0</v>
      </c>
      <c r="AD16" s="258">
        <f ca="1">INDIRECT("'"&amp;(VLOOKUP('CSL Inst Appx'!$A14,Reference!$A:$B,2))&amp;"'!AD49")</f>
        <v>0</v>
      </c>
      <c r="AE16" s="258">
        <f ca="1">INDIRECT("'"&amp;(VLOOKUP('CSL Inst Appx'!$A14,Reference!$A:$B,2))&amp;"'!AE49")</f>
        <v>0</v>
      </c>
      <c r="AF16" s="258">
        <f ca="1">INDIRECT("'"&amp;(VLOOKUP('CSL Inst Appx'!$A14,Reference!$A:$B,2))&amp;"'!AF49")</f>
        <v>0</v>
      </c>
      <c r="AG16" s="258">
        <f ca="1">INDIRECT("'"&amp;(VLOOKUP('CSL Inst Appx'!$A14,Reference!$A:$B,2))&amp;"'!AG49")</f>
        <v>0</v>
      </c>
      <c r="AH16" s="273">
        <f t="shared" ca="1" si="6"/>
        <v>33.5</v>
      </c>
    </row>
    <row r="17" spans="1:34" s="261" customFormat="1" ht="16.5" thickBot="1">
      <c r="A17" s="259" t="str">
        <f>Navigation!$A17</f>
        <v>BUSINESS RECEPTIONIST CERTIFICATE</v>
      </c>
      <c r="B17" s="260" t="str">
        <f ca="1">INDIRECT("'"&amp;(VLOOKUP('CSL Inst Appx'!$A15,Reference!$A:$B,2))&amp;"'!D3")</f>
        <v>ZKZ8</v>
      </c>
      <c r="C17" s="260" t="str">
        <f ca="1">RIGHT(INDIRECT("'"&amp;(VLOOKUP('CSL Inst Appx'!$A15,Reference!$A:$B,2))&amp;"'!G4"),4)</f>
        <v>1411</v>
      </c>
      <c r="D17" s="260">
        <f ca="1">INDIRECT("'"&amp;(VLOOKUP('CSL Inst Appx'!$A15,Reference!$A:$B,2))&amp;"'!I41")</f>
        <v>496</v>
      </c>
      <c r="E17" s="260">
        <f ca="1">INDIRECT("'"&amp;(VLOOKUP('CSL Inst Appx'!$A15,Reference!$A:$B,2))&amp;"'!C44")</f>
        <v>45</v>
      </c>
      <c r="F17" s="30">
        <f ca="1">INDIRECT("'"&amp;(VLOOKUP('CSL Inst Appx'!$A15,Reference!$A:$B,2))&amp;"'!C42")</f>
        <v>0</v>
      </c>
      <c r="G17" s="31">
        <f t="shared" ca="1" si="0"/>
        <v>541</v>
      </c>
      <c r="H17" s="32">
        <f ca="1">INDIRECT("'"&amp;(VLOOKUP('CSL Inst Appx'!$A15,Reference!$A:$B,2))&amp;"'!H41")</f>
        <v>7135</v>
      </c>
      <c r="I17" s="33">
        <f t="shared" ca="1" si="1"/>
        <v>13.19</v>
      </c>
      <c r="J17" s="34">
        <f t="shared" ca="1" si="2"/>
        <v>6.3</v>
      </c>
      <c r="K17" s="29">
        <f t="shared" ca="1" si="3"/>
        <v>28</v>
      </c>
      <c r="L17" s="34">
        <f t="shared" ca="1" si="4"/>
        <v>5</v>
      </c>
      <c r="M17" s="29">
        <f t="shared" ca="1" si="5"/>
        <v>22</v>
      </c>
      <c r="N17" s="257">
        <f ca="1">INDIRECT("'"&amp;(VLOOKUP('CSL Inst Appx'!$A15,Reference!$A:$B,2))&amp;"'!N49")</f>
        <v>4</v>
      </c>
      <c r="O17" s="258">
        <f ca="1">INDIRECT("'"&amp;(VLOOKUP('CSL Inst Appx'!$A15,Reference!$A:$B,2))&amp;"'!O49")</f>
        <v>4.5</v>
      </c>
      <c r="P17" s="258">
        <f ca="1">INDIRECT("'"&amp;(VLOOKUP('CSL Inst Appx'!$A15,Reference!$A:$B,2))&amp;"'!P49")</f>
        <v>3.5</v>
      </c>
      <c r="Q17" s="258">
        <f ca="1">INDIRECT("'"&amp;(VLOOKUP('CSL Inst Appx'!$A15,Reference!$A:$B,2))&amp;"'!Q49")</f>
        <v>1.5</v>
      </c>
      <c r="R17" s="258">
        <f ca="1">INDIRECT("'"&amp;(VLOOKUP('CSL Inst Appx'!$A15,Reference!$A:$B,2))&amp;"'!R49")</f>
        <v>1.5</v>
      </c>
      <c r="S17" s="258">
        <f ca="1">INDIRECT("'"&amp;(VLOOKUP('CSL Inst Appx'!$A15,Reference!$A:$B,2))&amp;"'!S49")</f>
        <v>1</v>
      </c>
      <c r="T17" s="258">
        <f ca="1">INDIRECT("'"&amp;(VLOOKUP('CSL Inst Appx'!$A15,Reference!$A:$B,2))&amp;"'!T49")</f>
        <v>0</v>
      </c>
      <c r="U17" s="258">
        <f ca="1">INDIRECT("'"&amp;(VLOOKUP('CSL Inst Appx'!$A15,Reference!$A:$B,2))&amp;"'!U49")</f>
        <v>1</v>
      </c>
      <c r="V17" s="258">
        <f ca="1">INDIRECT("'"&amp;(VLOOKUP('CSL Inst Appx'!$A15,Reference!$A:$B,2))&amp;"'!V49")</f>
        <v>2.5</v>
      </c>
      <c r="W17" s="258">
        <f ca="1">INDIRECT("'"&amp;(VLOOKUP('CSL Inst Appx'!$A15,Reference!$A:$B,2))&amp;"'!W49")</f>
        <v>0</v>
      </c>
      <c r="X17" s="258">
        <f ca="1">INDIRECT("'"&amp;(VLOOKUP('CSL Inst Appx'!$A15,Reference!$A:$B,2))&amp;"'!X49")</f>
        <v>0</v>
      </c>
      <c r="Y17" s="258">
        <f ca="1">INDIRECT("'"&amp;(VLOOKUP('CSL Inst Appx'!$A15,Reference!$A:$B,2))&amp;"'!Y49")</f>
        <v>0</v>
      </c>
      <c r="Z17" s="258">
        <f ca="1">INDIRECT("'"&amp;(VLOOKUP('CSL Inst Appx'!$A15,Reference!$A:$B,2))&amp;"'!Z49")</f>
        <v>0</v>
      </c>
      <c r="AA17" s="258">
        <f ca="1">INDIRECT("'"&amp;(VLOOKUP('CSL Inst Appx'!$A15,Reference!$A:$B,2))&amp;"'!AA49")</f>
        <v>0</v>
      </c>
      <c r="AB17" s="258">
        <f ca="1">INDIRECT("'"&amp;(VLOOKUP('CSL Inst Appx'!$A15,Reference!$A:$B,2))&amp;"'!AB49")</f>
        <v>1.5</v>
      </c>
      <c r="AC17" s="258">
        <f ca="1">INDIRECT("'"&amp;(VLOOKUP('CSL Inst Appx'!$A15,Reference!$A:$B,2))&amp;"'!AC49")</f>
        <v>0</v>
      </c>
      <c r="AD17" s="258">
        <f ca="1">INDIRECT("'"&amp;(VLOOKUP('CSL Inst Appx'!$A15,Reference!$A:$B,2))&amp;"'!AD49")</f>
        <v>0</v>
      </c>
      <c r="AE17" s="258">
        <f ca="1">INDIRECT("'"&amp;(VLOOKUP('CSL Inst Appx'!$A15,Reference!$A:$B,2))&amp;"'!AE49")</f>
        <v>0</v>
      </c>
      <c r="AF17" s="258">
        <f ca="1">INDIRECT("'"&amp;(VLOOKUP('CSL Inst Appx'!$A15,Reference!$A:$B,2))&amp;"'!AF49")</f>
        <v>0</v>
      </c>
      <c r="AG17" s="258">
        <f ca="1">INDIRECT("'"&amp;(VLOOKUP('CSL Inst Appx'!$A15,Reference!$A:$B,2))&amp;"'!AG49")</f>
        <v>0</v>
      </c>
      <c r="AH17" s="273">
        <f t="shared" ca="1" si="6"/>
        <v>21</v>
      </c>
    </row>
    <row r="18" spans="1:34" s="261" customFormat="1" ht="16.5" thickBot="1">
      <c r="A18" s="259" t="str">
        <f>Navigation!$A18</f>
        <v>BUSINESS SERVICE ESSENTIALS CO-OP DIPLOMA</v>
      </c>
      <c r="B18" s="260" t="str">
        <f ca="1">INDIRECT("'"&amp;(VLOOKUP('CSL Inst Appx'!$A16,Reference!$A:$B,2))&amp;"'!D3")</f>
        <v>ZNP7</v>
      </c>
      <c r="C18" s="260" t="str">
        <f ca="1">RIGHT(INDIRECT("'"&amp;(VLOOKUP('CSL Inst Appx'!$A16,Reference!$A:$B,2))&amp;"'!G4"),4)</f>
        <v>4212</v>
      </c>
      <c r="D18" s="260">
        <f ca="1">INDIRECT("'"&amp;(VLOOKUP('CSL Inst Appx'!$A16,Reference!$A:$B,2))&amp;"'!I41")</f>
        <v>1040</v>
      </c>
      <c r="E18" s="260">
        <f ca="1">INDIRECT("'"&amp;(VLOOKUP('CSL Inst Appx'!$A16,Reference!$A:$B,2))&amp;"'!C44")</f>
        <v>36</v>
      </c>
      <c r="F18" s="30">
        <f ca="1">INDIRECT("'"&amp;(VLOOKUP('CSL Inst Appx'!$A16,Reference!$A:$B,2))&amp;"'!C42")</f>
        <v>0</v>
      </c>
      <c r="G18" s="31">
        <f t="shared" ca="1" si="0"/>
        <v>1076</v>
      </c>
      <c r="H18" s="32">
        <f ca="1">INDIRECT("'"&amp;(VLOOKUP('CSL Inst Appx'!$A16,Reference!$A:$B,2))&amp;"'!H41")</f>
        <v>10752</v>
      </c>
      <c r="I18" s="33">
        <f t="shared" ca="1" si="1"/>
        <v>10</v>
      </c>
      <c r="J18" s="34">
        <f t="shared" ca="1" si="2"/>
        <v>12.5</v>
      </c>
      <c r="K18" s="29">
        <f t="shared" ca="1" si="3"/>
        <v>54</v>
      </c>
      <c r="L18" s="34">
        <f t="shared" ca="1" si="4"/>
        <v>10</v>
      </c>
      <c r="M18" s="29">
        <f t="shared" ca="1" si="5"/>
        <v>44</v>
      </c>
      <c r="N18" s="257">
        <f ca="1">INDIRECT("'"&amp;(VLOOKUP('CSL Inst Appx'!$A16,Reference!$A:$B,2))&amp;"'!N49")</f>
        <v>2.5</v>
      </c>
      <c r="O18" s="258">
        <f ca="1">INDIRECT("'"&amp;(VLOOKUP('CSL Inst Appx'!$A16,Reference!$A:$B,2))&amp;"'!O49")</f>
        <v>3.5</v>
      </c>
      <c r="P18" s="258">
        <f ca="1">INDIRECT("'"&amp;(VLOOKUP('CSL Inst Appx'!$A16,Reference!$A:$B,2))&amp;"'!P49")</f>
        <v>1.5</v>
      </c>
      <c r="Q18" s="258">
        <f ca="1">INDIRECT("'"&amp;(VLOOKUP('CSL Inst Appx'!$A16,Reference!$A:$B,2))&amp;"'!Q49")</f>
        <v>1.5</v>
      </c>
      <c r="R18" s="258">
        <f ca="1">INDIRECT("'"&amp;(VLOOKUP('CSL Inst Appx'!$A16,Reference!$A:$B,2))&amp;"'!R49")</f>
        <v>1.5</v>
      </c>
      <c r="S18" s="258">
        <f ca="1">INDIRECT("'"&amp;(VLOOKUP('CSL Inst Appx'!$A16,Reference!$A:$B,2))&amp;"'!S49")</f>
        <v>0</v>
      </c>
      <c r="T18" s="258">
        <f ca="1">INDIRECT("'"&amp;(VLOOKUP('CSL Inst Appx'!$A16,Reference!$A:$B,2))&amp;"'!T49")</f>
        <v>0</v>
      </c>
      <c r="U18" s="258">
        <f ca="1">INDIRECT("'"&amp;(VLOOKUP('CSL Inst Appx'!$A16,Reference!$A:$B,2))&amp;"'!U49")</f>
        <v>1</v>
      </c>
      <c r="V18" s="258">
        <f ca="1">INDIRECT("'"&amp;(VLOOKUP('CSL Inst Appx'!$A16,Reference!$A:$B,2))&amp;"'!V49")</f>
        <v>8.5</v>
      </c>
      <c r="W18" s="258">
        <f ca="1">INDIRECT("'"&amp;(VLOOKUP('CSL Inst Appx'!$A16,Reference!$A:$B,2))&amp;"'!W49")</f>
        <v>0</v>
      </c>
      <c r="X18" s="258">
        <f ca="1">INDIRECT("'"&amp;(VLOOKUP('CSL Inst Appx'!$A16,Reference!$A:$B,2))&amp;"'!X49")</f>
        <v>0</v>
      </c>
      <c r="Y18" s="258">
        <f ca="1">INDIRECT("'"&amp;(VLOOKUP('CSL Inst Appx'!$A16,Reference!$A:$B,2))&amp;"'!Y49")</f>
        <v>0</v>
      </c>
      <c r="Z18" s="258">
        <f ca="1">INDIRECT("'"&amp;(VLOOKUP('CSL Inst Appx'!$A16,Reference!$A:$B,2))&amp;"'!Z49")</f>
        <v>5</v>
      </c>
      <c r="AA18" s="258">
        <f ca="1">INDIRECT("'"&amp;(VLOOKUP('CSL Inst Appx'!$A16,Reference!$A:$B,2))&amp;"'!AA49")</f>
        <v>0</v>
      </c>
      <c r="AB18" s="258">
        <f ca="1">INDIRECT("'"&amp;(VLOOKUP('CSL Inst Appx'!$A16,Reference!$A:$B,2))&amp;"'!AB49")</f>
        <v>0</v>
      </c>
      <c r="AC18" s="258">
        <f ca="1">INDIRECT("'"&amp;(VLOOKUP('CSL Inst Appx'!$A16,Reference!$A:$B,2))&amp;"'!AC49")</f>
        <v>0</v>
      </c>
      <c r="AD18" s="258">
        <f ca="1">INDIRECT("'"&amp;(VLOOKUP('CSL Inst Appx'!$A16,Reference!$A:$B,2))&amp;"'!AD49")</f>
        <v>0</v>
      </c>
      <c r="AE18" s="258">
        <f ca="1">INDIRECT("'"&amp;(VLOOKUP('CSL Inst Appx'!$A16,Reference!$A:$B,2))&amp;"'!AE49")</f>
        <v>0</v>
      </c>
      <c r="AF18" s="258">
        <f ca="1">INDIRECT("'"&amp;(VLOOKUP('CSL Inst Appx'!$A16,Reference!$A:$B,2))&amp;"'!AF49")</f>
        <v>0</v>
      </c>
      <c r="AG18" s="258">
        <f ca="1">INDIRECT("'"&amp;(VLOOKUP('CSL Inst Appx'!$A16,Reference!$A:$B,2))&amp;"'!AG49")</f>
        <v>0</v>
      </c>
      <c r="AH18" s="273">
        <f t="shared" ca="1" si="6"/>
        <v>25</v>
      </c>
    </row>
    <row r="19" spans="1:34" s="261" customFormat="1" ht="16.5" thickBot="1">
      <c r="A19" s="259" t="str">
        <f>Navigation!$A19</f>
        <v>CALL CENTRE CUSTOMER REPRESENTATIVE DIPLOMA</v>
      </c>
      <c r="B19" s="260" t="str">
        <f ca="1">INDIRECT("'"&amp;(VLOOKUP('CSL Inst Appx'!$A17,Reference!$A:$B,2))&amp;"'!D3")</f>
        <v>ZMQ7</v>
      </c>
      <c r="C19" s="260" t="str">
        <f ca="1">RIGHT(INDIRECT("'"&amp;(VLOOKUP('CSL Inst Appx'!$A17,Reference!$A:$B,2))&amp;"'!G4"),4)</f>
        <v>6552</v>
      </c>
      <c r="D19" s="260">
        <f ca="1">INDIRECT("'"&amp;(VLOOKUP('CSL Inst Appx'!$A17,Reference!$A:$B,2))&amp;"'!I41")</f>
        <v>628</v>
      </c>
      <c r="E19" s="260">
        <f ca="1">INDIRECT("'"&amp;(VLOOKUP('CSL Inst Appx'!$A17,Reference!$A:$B,2))&amp;"'!C44")</f>
        <v>58</v>
      </c>
      <c r="F19" s="30">
        <f ca="1">INDIRECT("'"&amp;(VLOOKUP('CSL Inst Appx'!$A17,Reference!$A:$B,2))&amp;"'!C42")</f>
        <v>0</v>
      </c>
      <c r="G19" s="31">
        <f t="shared" ca="1" si="0"/>
        <v>686</v>
      </c>
      <c r="H19" s="32">
        <f ca="1">INDIRECT("'"&amp;(VLOOKUP('CSL Inst Appx'!$A17,Reference!$A:$B,2))&amp;"'!H41")</f>
        <v>9627</v>
      </c>
      <c r="I19" s="33">
        <f t="shared" ca="1" si="1"/>
        <v>14.04</v>
      </c>
      <c r="J19" s="34">
        <f t="shared" ca="1" si="2"/>
        <v>8</v>
      </c>
      <c r="K19" s="29">
        <f t="shared" ca="1" si="3"/>
        <v>35</v>
      </c>
      <c r="L19" s="34">
        <f t="shared" ca="1" si="4"/>
        <v>6.3999999999999995</v>
      </c>
      <c r="M19" s="29">
        <f t="shared" ca="1" si="5"/>
        <v>28</v>
      </c>
      <c r="N19" s="257">
        <f ca="1">INDIRECT("'"&amp;(VLOOKUP('CSL Inst Appx'!$A17,Reference!$A:$B,2))&amp;"'!N49")</f>
        <v>2.5</v>
      </c>
      <c r="O19" s="258">
        <f ca="1">INDIRECT("'"&amp;(VLOOKUP('CSL Inst Appx'!$A17,Reference!$A:$B,2))&amp;"'!O49")</f>
        <v>3.5</v>
      </c>
      <c r="P19" s="258">
        <f ca="1">INDIRECT("'"&amp;(VLOOKUP('CSL Inst Appx'!$A17,Reference!$A:$B,2))&amp;"'!P49")</f>
        <v>3.5</v>
      </c>
      <c r="Q19" s="258">
        <f ca="1">INDIRECT("'"&amp;(VLOOKUP('CSL Inst Appx'!$A17,Reference!$A:$B,2))&amp;"'!Q49")</f>
        <v>1.5</v>
      </c>
      <c r="R19" s="258">
        <f ca="1">INDIRECT("'"&amp;(VLOOKUP('CSL Inst Appx'!$A17,Reference!$A:$B,2))&amp;"'!R49")</f>
        <v>1.5</v>
      </c>
      <c r="S19" s="258">
        <f ca="1">INDIRECT("'"&amp;(VLOOKUP('CSL Inst Appx'!$A17,Reference!$A:$B,2))&amp;"'!S49")</f>
        <v>0</v>
      </c>
      <c r="T19" s="258">
        <f ca="1">INDIRECT("'"&amp;(VLOOKUP('CSL Inst Appx'!$A17,Reference!$A:$B,2))&amp;"'!T49")</f>
        <v>0</v>
      </c>
      <c r="U19" s="258">
        <f ca="1">INDIRECT("'"&amp;(VLOOKUP('CSL Inst Appx'!$A17,Reference!$A:$B,2))&amp;"'!U49")</f>
        <v>1</v>
      </c>
      <c r="V19" s="258">
        <f ca="1">INDIRECT("'"&amp;(VLOOKUP('CSL Inst Appx'!$A17,Reference!$A:$B,2))&amp;"'!V49")</f>
        <v>6</v>
      </c>
      <c r="W19" s="258">
        <f ca="1">INDIRECT("'"&amp;(VLOOKUP('CSL Inst Appx'!$A17,Reference!$A:$B,2))&amp;"'!W49")</f>
        <v>0</v>
      </c>
      <c r="X19" s="258">
        <f ca="1">INDIRECT("'"&amp;(VLOOKUP('CSL Inst Appx'!$A17,Reference!$A:$B,2))&amp;"'!X49")</f>
        <v>0</v>
      </c>
      <c r="Y19" s="258">
        <f ca="1">INDIRECT("'"&amp;(VLOOKUP('CSL Inst Appx'!$A17,Reference!$A:$B,2))&amp;"'!Y49")</f>
        <v>0</v>
      </c>
      <c r="Z19" s="258">
        <f ca="1">INDIRECT("'"&amp;(VLOOKUP('CSL Inst Appx'!$A17,Reference!$A:$B,2))&amp;"'!Z49")</f>
        <v>6</v>
      </c>
      <c r="AA19" s="258">
        <f ca="1">INDIRECT("'"&amp;(VLOOKUP('CSL Inst Appx'!$A17,Reference!$A:$B,2))&amp;"'!AA49")</f>
        <v>0</v>
      </c>
      <c r="AB19" s="258">
        <f ca="1">INDIRECT("'"&amp;(VLOOKUP('CSL Inst Appx'!$A17,Reference!$A:$B,2))&amp;"'!AB49")</f>
        <v>2.5</v>
      </c>
      <c r="AC19" s="258">
        <f ca="1">INDIRECT("'"&amp;(VLOOKUP('CSL Inst Appx'!$A17,Reference!$A:$B,2))&amp;"'!AC49")</f>
        <v>0</v>
      </c>
      <c r="AD19" s="258">
        <f ca="1">INDIRECT("'"&amp;(VLOOKUP('CSL Inst Appx'!$A17,Reference!$A:$B,2))&amp;"'!AD49")</f>
        <v>0</v>
      </c>
      <c r="AE19" s="258">
        <f ca="1">INDIRECT("'"&amp;(VLOOKUP('CSL Inst Appx'!$A17,Reference!$A:$B,2))&amp;"'!AE49")</f>
        <v>0</v>
      </c>
      <c r="AF19" s="258">
        <f ca="1">INDIRECT("'"&amp;(VLOOKUP('CSL Inst Appx'!$A17,Reference!$A:$B,2))&amp;"'!AF49")</f>
        <v>0</v>
      </c>
      <c r="AG19" s="258">
        <f ca="1">INDIRECT("'"&amp;(VLOOKUP('CSL Inst Appx'!$A17,Reference!$A:$B,2))&amp;"'!AG49")</f>
        <v>0</v>
      </c>
      <c r="AH19" s="273">
        <f t="shared" ca="1" si="6"/>
        <v>28</v>
      </c>
    </row>
    <row r="20" spans="1:34" s="261" customFormat="1" ht="16.5" thickBot="1">
      <c r="A20" s="259" t="str">
        <f>Navigation!$A20</f>
        <v>COMMUNITY SERVICE WORKER AND ADDICTIONS WORKER DIPLOMA</v>
      </c>
      <c r="B20" s="260" t="str">
        <f ca="1">INDIRECT("'"&amp;(VLOOKUP('CSL Inst Appx'!$A18,Reference!$A:$B,2))&amp;"'!D3")</f>
        <v>WAD7</v>
      </c>
      <c r="C20" s="260" t="str">
        <f ca="1">RIGHT(INDIRECT("'"&amp;(VLOOKUP('CSL Inst Appx'!$A18,Reference!$A:$B,2))&amp;"'!G4"),4)</f>
        <v>4212</v>
      </c>
      <c r="D20" s="260">
        <f ca="1">INDIRECT("'"&amp;(VLOOKUP('CSL Inst Appx'!$A18,Reference!$A:$B,2))&amp;"'!I41")</f>
        <v>1157</v>
      </c>
      <c r="E20" s="260">
        <f ca="1">INDIRECT("'"&amp;(VLOOKUP('CSL Inst Appx'!$A18,Reference!$A:$B,2))&amp;"'!C44")</f>
        <v>0</v>
      </c>
      <c r="F20" s="30">
        <f ca="1">INDIRECT("'"&amp;(VLOOKUP('CSL Inst Appx'!$A18,Reference!$A:$B,2))&amp;"'!C42")</f>
        <v>0</v>
      </c>
      <c r="G20" s="31">
        <f t="shared" ca="1" si="0"/>
        <v>1157</v>
      </c>
      <c r="H20" s="32">
        <f ca="1">INDIRECT("'"&amp;(VLOOKUP('CSL Inst Appx'!$A18,Reference!$A:$B,2))&amp;"'!H41")</f>
        <v>15449</v>
      </c>
      <c r="I20" s="33">
        <f t="shared" ca="1" si="1"/>
        <v>13.36</v>
      </c>
      <c r="J20" s="34">
        <f t="shared" ca="1" si="2"/>
        <v>13.4</v>
      </c>
      <c r="K20" s="29">
        <f t="shared" ca="1" si="3"/>
        <v>58</v>
      </c>
      <c r="L20" s="34">
        <f t="shared" ca="1" si="4"/>
        <v>10.7</v>
      </c>
      <c r="M20" s="29">
        <f t="shared" ca="1" si="5"/>
        <v>47</v>
      </c>
      <c r="N20" s="257">
        <f ca="1">INDIRECT("'"&amp;(VLOOKUP('CSL Inst Appx'!$A18,Reference!$A:$B,2))&amp;"'!N49")</f>
        <v>2.5</v>
      </c>
      <c r="O20" s="258">
        <f ca="1">INDIRECT("'"&amp;(VLOOKUP('CSL Inst Appx'!$A18,Reference!$A:$B,2))&amp;"'!O49")</f>
        <v>1.5</v>
      </c>
      <c r="P20" s="258">
        <f ca="1">INDIRECT("'"&amp;(VLOOKUP('CSL Inst Appx'!$A18,Reference!$A:$B,2))&amp;"'!P49")</f>
        <v>1.5</v>
      </c>
      <c r="Q20" s="258">
        <f ca="1">INDIRECT("'"&amp;(VLOOKUP('CSL Inst Appx'!$A18,Reference!$A:$B,2))&amp;"'!Q49")</f>
        <v>1.5</v>
      </c>
      <c r="R20" s="258">
        <f ca="1">INDIRECT("'"&amp;(VLOOKUP('CSL Inst Appx'!$A18,Reference!$A:$B,2))&amp;"'!R49")</f>
        <v>1.5</v>
      </c>
      <c r="S20" s="258">
        <f ca="1">INDIRECT("'"&amp;(VLOOKUP('CSL Inst Appx'!$A18,Reference!$A:$B,2))&amp;"'!S49")</f>
        <v>0</v>
      </c>
      <c r="T20" s="258">
        <f ca="1">INDIRECT("'"&amp;(VLOOKUP('CSL Inst Appx'!$A18,Reference!$A:$B,2))&amp;"'!T49")</f>
        <v>0</v>
      </c>
      <c r="U20" s="258">
        <f ca="1">INDIRECT("'"&amp;(VLOOKUP('CSL Inst Appx'!$A18,Reference!$A:$B,2))&amp;"'!U49")</f>
        <v>1</v>
      </c>
      <c r="V20" s="258">
        <f ca="1">INDIRECT("'"&amp;(VLOOKUP('CSL Inst Appx'!$A18,Reference!$A:$B,2))&amp;"'!V49")</f>
        <v>0</v>
      </c>
      <c r="W20" s="258">
        <f ca="1">INDIRECT("'"&amp;(VLOOKUP('CSL Inst Appx'!$A18,Reference!$A:$B,2))&amp;"'!W49")</f>
        <v>0</v>
      </c>
      <c r="X20" s="258">
        <f ca="1">INDIRECT("'"&amp;(VLOOKUP('CSL Inst Appx'!$A18,Reference!$A:$B,2))&amp;"'!X49")</f>
        <v>0</v>
      </c>
      <c r="Y20" s="258">
        <f ca="1">INDIRECT("'"&amp;(VLOOKUP('CSL Inst Appx'!$A18,Reference!$A:$B,2))&amp;"'!Y49")</f>
        <v>0</v>
      </c>
      <c r="Z20" s="258">
        <f ca="1">INDIRECT("'"&amp;(VLOOKUP('CSL Inst Appx'!$A18,Reference!$A:$B,2))&amp;"'!Z49")</f>
        <v>0</v>
      </c>
      <c r="AA20" s="258">
        <f ca="1">INDIRECT("'"&amp;(VLOOKUP('CSL Inst Appx'!$A18,Reference!$A:$B,2))&amp;"'!AA49")</f>
        <v>5.5</v>
      </c>
      <c r="AB20" s="258">
        <f ca="1">INDIRECT("'"&amp;(VLOOKUP('CSL Inst Appx'!$A18,Reference!$A:$B,2))&amp;"'!AB49")</f>
        <v>2.5</v>
      </c>
      <c r="AC20" s="258">
        <f ca="1">INDIRECT("'"&amp;(VLOOKUP('CSL Inst Appx'!$A18,Reference!$A:$B,2))&amp;"'!AC49")</f>
        <v>0</v>
      </c>
      <c r="AD20" s="258">
        <f ca="1">INDIRECT("'"&amp;(VLOOKUP('CSL Inst Appx'!$A18,Reference!$A:$B,2))&amp;"'!AD49")</f>
        <v>0</v>
      </c>
      <c r="AE20" s="258">
        <f ca="1">INDIRECT("'"&amp;(VLOOKUP('CSL Inst Appx'!$A18,Reference!$A:$B,2))&amp;"'!AE49")</f>
        <v>42.5</v>
      </c>
      <c r="AF20" s="258">
        <f ca="1">INDIRECT("'"&amp;(VLOOKUP('CSL Inst Appx'!$A18,Reference!$A:$B,2))&amp;"'!AF49")</f>
        <v>0</v>
      </c>
      <c r="AG20" s="258">
        <f ca="1">INDIRECT("'"&amp;(VLOOKUP('CSL Inst Appx'!$A18,Reference!$A:$B,2))&amp;"'!AG49")</f>
        <v>0</v>
      </c>
      <c r="AH20" s="273">
        <f t="shared" ca="1" si="6"/>
        <v>60</v>
      </c>
    </row>
    <row r="21" spans="1:34" s="261" customFormat="1" ht="16.5" thickBot="1">
      <c r="A21" s="259" t="str">
        <f>Navigation!$A21</f>
        <v>COMMUNITY SERVICE WORKER DIPLOMA</v>
      </c>
      <c r="B21" s="260" t="str">
        <f ca="1">INDIRECT("'"&amp;(VLOOKUP('CSL Inst Appx'!$A19,Reference!$A:$B,2))&amp;"'!D3")</f>
        <v>WAC7</v>
      </c>
      <c r="C21" s="260" t="str">
        <f ca="1">RIGHT(INDIRECT("'"&amp;(VLOOKUP('CSL Inst Appx'!$A19,Reference!$A:$B,2))&amp;"'!G4"),4)</f>
        <v>4212</v>
      </c>
      <c r="D21" s="260">
        <f ca="1">INDIRECT("'"&amp;(VLOOKUP('CSL Inst Appx'!$A19,Reference!$A:$B,2))&amp;"'!I41")</f>
        <v>827</v>
      </c>
      <c r="E21" s="260">
        <f ca="1">INDIRECT("'"&amp;(VLOOKUP('CSL Inst Appx'!$A19,Reference!$A:$B,2))&amp;"'!C44")</f>
        <v>0</v>
      </c>
      <c r="F21" s="30">
        <f ca="1">INDIRECT("'"&amp;(VLOOKUP('CSL Inst Appx'!$A19,Reference!$A:$B,2))&amp;"'!C42")</f>
        <v>0</v>
      </c>
      <c r="G21" s="31">
        <f t="shared" ca="1" si="0"/>
        <v>827</v>
      </c>
      <c r="H21" s="32">
        <f ca="1">INDIRECT("'"&amp;(VLOOKUP('CSL Inst Appx'!$A19,Reference!$A:$B,2))&amp;"'!H41")</f>
        <v>12370</v>
      </c>
      <c r="I21" s="33">
        <f t="shared" ca="1" si="1"/>
        <v>14.959999999999999</v>
      </c>
      <c r="J21" s="34">
        <f t="shared" ca="1" si="2"/>
        <v>9.6</v>
      </c>
      <c r="K21" s="29">
        <f t="shared" ca="1" si="3"/>
        <v>42</v>
      </c>
      <c r="L21" s="34">
        <f t="shared" ca="1" si="4"/>
        <v>7.6999999999999993</v>
      </c>
      <c r="M21" s="29">
        <f t="shared" ca="1" si="5"/>
        <v>34</v>
      </c>
      <c r="N21" s="257">
        <f ca="1">INDIRECT("'"&amp;(VLOOKUP('CSL Inst Appx'!$A19,Reference!$A:$B,2))&amp;"'!N49")</f>
        <v>2.5</v>
      </c>
      <c r="O21" s="258">
        <f ca="1">INDIRECT("'"&amp;(VLOOKUP('CSL Inst Appx'!$A19,Reference!$A:$B,2))&amp;"'!O49")</f>
        <v>1.5</v>
      </c>
      <c r="P21" s="258">
        <f ca="1">INDIRECT("'"&amp;(VLOOKUP('CSL Inst Appx'!$A19,Reference!$A:$B,2))&amp;"'!P49")</f>
        <v>1.5</v>
      </c>
      <c r="Q21" s="258">
        <f ca="1">INDIRECT("'"&amp;(VLOOKUP('CSL Inst Appx'!$A19,Reference!$A:$B,2))&amp;"'!Q49")</f>
        <v>1.5</v>
      </c>
      <c r="R21" s="258">
        <f ca="1">INDIRECT("'"&amp;(VLOOKUP('CSL Inst Appx'!$A19,Reference!$A:$B,2))&amp;"'!R49")</f>
        <v>1.5</v>
      </c>
      <c r="S21" s="258">
        <f ca="1">INDIRECT("'"&amp;(VLOOKUP('CSL Inst Appx'!$A19,Reference!$A:$B,2))&amp;"'!S49")</f>
        <v>0</v>
      </c>
      <c r="T21" s="258">
        <f ca="1">INDIRECT("'"&amp;(VLOOKUP('CSL Inst Appx'!$A19,Reference!$A:$B,2))&amp;"'!T49")</f>
        <v>0</v>
      </c>
      <c r="U21" s="258">
        <f ca="1">INDIRECT("'"&amp;(VLOOKUP('CSL Inst Appx'!$A19,Reference!$A:$B,2))&amp;"'!U49")</f>
        <v>1</v>
      </c>
      <c r="V21" s="258">
        <f ca="1">INDIRECT("'"&amp;(VLOOKUP('CSL Inst Appx'!$A19,Reference!$A:$B,2))&amp;"'!V49")</f>
        <v>0</v>
      </c>
      <c r="W21" s="258">
        <f ca="1">INDIRECT("'"&amp;(VLOOKUP('CSL Inst Appx'!$A19,Reference!$A:$B,2))&amp;"'!W49")</f>
        <v>0</v>
      </c>
      <c r="X21" s="258">
        <f ca="1">INDIRECT("'"&amp;(VLOOKUP('CSL Inst Appx'!$A19,Reference!$A:$B,2))&amp;"'!X49")</f>
        <v>0</v>
      </c>
      <c r="Y21" s="258">
        <f ca="1">INDIRECT("'"&amp;(VLOOKUP('CSL Inst Appx'!$A19,Reference!$A:$B,2))&amp;"'!Y49")</f>
        <v>0</v>
      </c>
      <c r="Z21" s="258">
        <f ca="1">INDIRECT("'"&amp;(VLOOKUP('CSL Inst Appx'!$A19,Reference!$A:$B,2))&amp;"'!Z49")</f>
        <v>0</v>
      </c>
      <c r="AA21" s="258">
        <f ca="1">INDIRECT("'"&amp;(VLOOKUP('CSL Inst Appx'!$A19,Reference!$A:$B,2))&amp;"'!AA49")</f>
        <v>4</v>
      </c>
      <c r="AB21" s="258">
        <f ca="1">INDIRECT("'"&amp;(VLOOKUP('CSL Inst Appx'!$A19,Reference!$A:$B,2))&amp;"'!AB49")</f>
        <v>2.5</v>
      </c>
      <c r="AC21" s="258">
        <f ca="1">INDIRECT("'"&amp;(VLOOKUP('CSL Inst Appx'!$A19,Reference!$A:$B,2))&amp;"'!AC49")</f>
        <v>0</v>
      </c>
      <c r="AD21" s="258">
        <f ca="1">INDIRECT("'"&amp;(VLOOKUP('CSL Inst Appx'!$A19,Reference!$A:$B,2))&amp;"'!AD49")</f>
        <v>0</v>
      </c>
      <c r="AE21" s="258">
        <f ca="1">INDIRECT("'"&amp;(VLOOKUP('CSL Inst Appx'!$A19,Reference!$A:$B,2))&amp;"'!AE49")</f>
        <v>27.5</v>
      </c>
      <c r="AF21" s="258">
        <f ca="1">INDIRECT("'"&amp;(VLOOKUP('CSL Inst Appx'!$A19,Reference!$A:$B,2))&amp;"'!AF49")</f>
        <v>0</v>
      </c>
      <c r="AG21" s="258">
        <f ca="1">INDIRECT("'"&amp;(VLOOKUP('CSL Inst Appx'!$A19,Reference!$A:$B,2))&amp;"'!AG49")</f>
        <v>0</v>
      </c>
      <c r="AH21" s="273">
        <f t="shared" ca="1" si="6"/>
        <v>43.5</v>
      </c>
    </row>
    <row r="22" spans="1:34" s="261" customFormat="1" ht="16.5" thickBot="1">
      <c r="A22" s="259" t="str">
        <f>Navigation!$A22</f>
        <v>COMPUTER SERVICE TECHNICIAN CERTIFICATE</v>
      </c>
      <c r="B22" s="260" t="str">
        <f ca="1">INDIRECT("'"&amp;(VLOOKUP('CSL Inst Appx'!$A20,Reference!$A:$B,2))&amp;"'!D3")</f>
        <v>UHD8</v>
      </c>
      <c r="C22" s="260" t="str">
        <f ca="1">RIGHT(INDIRECT("'"&amp;(VLOOKUP('CSL Inst Appx'!$A20,Reference!$A:$B,2))&amp;"'!G4"),4)</f>
        <v>2242</v>
      </c>
      <c r="D22" s="260">
        <f ca="1">INDIRECT("'"&amp;(VLOOKUP('CSL Inst Appx'!$A20,Reference!$A:$B,2))&amp;"'!I41")</f>
        <v>473</v>
      </c>
      <c r="E22" s="260">
        <f ca="1">INDIRECT("'"&amp;(VLOOKUP('CSL Inst Appx'!$A20,Reference!$A:$B,2))&amp;"'!C44")</f>
        <v>113</v>
      </c>
      <c r="F22" s="30">
        <f ca="1">INDIRECT("'"&amp;(VLOOKUP('CSL Inst Appx'!$A20,Reference!$A:$B,2))&amp;"'!C42")</f>
        <v>0</v>
      </c>
      <c r="G22" s="31">
        <f t="shared" ca="1" si="0"/>
        <v>586</v>
      </c>
      <c r="H22" s="32">
        <f ca="1">INDIRECT("'"&amp;(VLOOKUP('CSL Inst Appx'!$A20,Reference!$A:$B,2))&amp;"'!H41")</f>
        <v>5822</v>
      </c>
      <c r="I22" s="33">
        <f t="shared" ca="1" si="1"/>
        <v>9.94</v>
      </c>
      <c r="J22" s="34">
        <f t="shared" ca="1" si="2"/>
        <v>6.8</v>
      </c>
      <c r="K22" s="29">
        <f t="shared" ca="1" si="3"/>
        <v>30</v>
      </c>
      <c r="L22" s="34">
        <f t="shared" ca="1" si="4"/>
        <v>5.5</v>
      </c>
      <c r="M22" s="29">
        <f t="shared" ca="1" si="5"/>
        <v>24</v>
      </c>
      <c r="N22" s="257">
        <f ca="1">INDIRECT("'"&amp;(VLOOKUP('CSL Inst Appx'!$A20,Reference!$A:$B,2))&amp;"'!N49")</f>
        <v>0</v>
      </c>
      <c r="O22" s="258">
        <f ca="1">INDIRECT("'"&amp;(VLOOKUP('CSL Inst Appx'!$A20,Reference!$A:$B,2))&amp;"'!O49")</f>
        <v>0</v>
      </c>
      <c r="P22" s="258">
        <f ca="1">INDIRECT("'"&amp;(VLOOKUP('CSL Inst Appx'!$A20,Reference!$A:$B,2))&amp;"'!P49")</f>
        <v>0</v>
      </c>
      <c r="Q22" s="258">
        <f ca="1">INDIRECT("'"&amp;(VLOOKUP('CSL Inst Appx'!$A20,Reference!$A:$B,2))&amp;"'!Q49")</f>
        <v>0</v>
      </c>
      <c r="R22" s="258">
        <f ca="1">INDIRECT("'"&amp;(VLOOKUP('CSL Inst Appx'!$A20,Reference!$A:$B,2))&amp;"'!R49")</f>
        <v>0</v>
      </c>
      <c r="S22" s="258">
        <f ca="1">INDIRECT("'"&amp;(VLOOKUP('CSL Inst Appx'!$A20,Reference!$A:$B,2))&amp;"'!S49")</f>
        <v>0</v>
      </c>
      <c r="T22" s="258">
        <f ca="1">INDIRECT("'"&amp;(VLOOKUP('CSL Inst Appx'!$A20,Reference!$A:$B,2))&amp;"'!T49")</f>
        <v>0</v>
      </c>
      <c r="U22" s="258">
        <f ca="1">INDIRECT("'"&amp;(VLOOKUP('CSL Inst Appx'!$A20,Reference!$A:$B,2))&amp;"'!U49")</f>
        <v>0</v>
      </c>
      <c r="V22" s="258">
        <f ca="1">INDIRECT("'"&amp;(VLOOKUP('CSL Inst Appx'!$A20,Reference!$A:$B,2))&amp;"'!V49")</f>
        <v>0</v>
      </c>
      <c r="W22" s="258">
        <f ca="1">INDIRECT("'"&amp;(VLOOKUP('CSL Inst Appx'!$A20,Reference!$A:$B,2))&amp;"'!W49")</f>
        <v>0</v>
      </c>
      <c r="X22" s="258">
        <f ca="1">INDIRECT("'"&amp;(VLOOKUP('CSL Inst Appx'!$A20,Reference!$A:$B,2))&amp;"'!X49")</f>
        <v>18</v>
      </c>
      <c r="Y22" s="258">
        <f ca="1">INDIRECT("'"&amp;(VLOOKUP('CSL Inst Appx'!$A20,Reference!$A:$B,2))&amp;"'!Y49")</f>
        <v>0</v>
      </c>
      <c r="Z22" s="258">
        <f ca="1">INDIRECT("'"&amp;(VLOOKUP('CSL Inst Appx'!$A20,Reference!$A:$B,2))&amp;"'!Z49")</f>
        <v>0</v>
      </c>
      <c r="AA22" s="258">
        <f ca="1">INDIRECT("'"&amp;(VLOOKUP('CSL Inst Appx'!$A20,Reference!$A:$B,2))&amp;"'!AA49")</f>
        <v>0</v>
      </c>
      <c r="AB22" s="258">
        <f ca="1">INDIRECT("'"&amp;(VLOOKUP('CSL Inst Appx'!$A20,Reference!$A:$B,2))&amp;"'!AB49")</f>
        <v>0</v>
      </c>
      <c r="AC22" s="258">
        <f ca="1">INDIRECT("'"&amp;(VLOOKUP('CSL Inst Appx'!$A20,Reference!$A:$B,2))&amp;"'!AC49")</f>
        <v>0</v>
      </c>
      <c r="AD22" s="258">
        <f ca="1">INDIRECT("'"&amp;(VLOOKUP('CSL Inst Appx'!$A20,Reference!$A:$B,2))&amp;"'!AD49")</f>
        <v>0</v>
      </c>
      <c r="AE22" s="258">
        <f ca="1">INDIRECT("'"&amp;(VLOOKUP('CSL Inst Appx'!$A20,Reference!$A:$B,2))&amp;"'!AE49")</f>
        <v>0</v>
      </c>
      <c r="AF22" s="258">
        <f ca="1">INDIRECT("'"&amp;(VLOOKUP('CSL Inst Appx'!$A20,Reference!$A:$B,2))&amp;"'!AF49")</f>
        <v>0</v>
      </c>
      <c r="AG22" s="258">
        <f ca="1">INDIRECT("'"&amp;(VLOOKUP('CSL Inst Appx'!$A20,Reference!$A:$B,2))&amp;"'!AG49")</f>
        <v>0</v>
      </c>
      <c r="AH22" s="273">
        <f t="shared" ca="1" si="6"/>
        <v>18</v>
      </c>
    </row>
    <row r="23" spans="1:34" s="261" customFormat="1" ht="16.5" thickBot="1">
      <c r="A23" s="259" t="str">
        <f>Navigation!$A23</f>
        <v>COMPUTER SERVICE TECHNICIAN DIPLOMA</v>
      </c>
      <c r="B23" s="260" t="str">
        <f ca="1">INDIRECT("'"&amp;(VLOOKUP('CSL Inst Appx'!$A21,Reference!$A:$B,2))&amp;"'!D3")</f>
        <v>UHD7</v>
      </c>
      <c r="C23" s="260" t="str">
        <f ca="1">RIGHT(INDIRECT("'"&amp;(VLOOKUP('CSL Inst Appx'!$A21,Reference!$A:$B,2))&amp;"'!G4"),4)</f>
        <v>2242</v>
      </c>
      <c r="D23" s="260">
        <f ca="1">INDIRECT("'"&amp;(VLOOKUP('CSL Inst Appx'!$A21,Reference!$A:$B,2))&amp;"'!I41")</f>
        <v>870</v>
      </c>
      <c r="E23" s="260">
        <f ca="1">INDIRECT("'"&amp;(VLOOKUP('CSL Inst Appx'!$A21,Reference!$A:$B,2))&amp;"'!C44")</f>
        <v>149</v>
      </c>
      <c r="F23" s="30">
        <f ca="1">INDIRECT("'"&amp;(VLOOKUP('CSL Inst Appx'!$A21,Reference!$A:$B,2))&amp;"'!C42")</f>
        <v>0</v>
      </c>
      <c r="G23" s="31">
        <f t="shared" ca="1" si="0"/>
        <v>1019</v>
      </c>
      <c r="H23" s="32">
        <f ca="1">INDIRECT("'"&amp;(VLOOKUP('CSL Inst Appx'!$A21,Reference!$A:$B,2))&amp;"'!H41")</f>
        <v>12167</v>
      </c>
      <c r="I23" s="33">
        <f t="shared" ca="1" si="1"/>
        <v>11.95</v>
      </c>
      <c r="J23" s="34">
        <f t="shared" ca="1" si="2"/>
        <v>11.799999999999999</v>
      </c>
      <c r="K23" s="29">
        <f t="shared" ca="1" si="3"/>
        <v>51</v>
      </c>
      <c r="L23" s="34">
        <f t="shared" ca="1" si="4"/>
        <v>9.5</v>
      </c>
      <c r="M23" s="29">
        <f t="shared" ca="1" si="5"/>
        <v>41</v>
      </c>
      <c r="N23" s="257">
        <f ca="1">INDIRECT("'"&amp;(VLOOKUP('CSL Inst Appx'!$A21,Reference!$A:$B,2))&amp;"'!N49")</f>
        <v>2.5</v>
      </c>
      <c r="O23" s="258">
        <f ca="1">INDIRECT("'"&amp;(VLOOKUP('CSL Inst Appx'!$A21,Reference!$A:$B,2))&amp;"'!O49")</f>
        <v>2.5</v>
      </c>
      <c r="P23" s="258">
        <f ca="1">INDIRECT("'"&amp;(VLOOKUP('CSL Inst Appx'!$A21,Reference!$A:$B,2))&amp;"'!P49")</f>
        <v>1.5</v>
      </c>
      <c r="Q23" s="258">
        <f ca="1">INDIRECT("'"&amp;(VLOOKUP('CSL Inst Appx'!$A21,Reference!$A:$B,2))&amp;"'!Q49")</f>
        <v>1.5</v>
      </c>
      <c r="R23" s="258">
        <f ca="1">INDIRECT("'"&amp;(VLOOKUP('CSL Inst Appx'!$A21,Reference!$A:$B,2))&amp;"'!R49")</f>
        <v>1.5</v>
      </c>
      <c r="S23" s="258">
        <f ca="1">INDIRECT("'"&amp;(VLOOKUP('CSL Inst Appx'!$A21,Reference!$A:$B,2))&amp;"'!S49")</f>
        <v>0</v>
      </c>
      <c r="T23" s="258">
        <f ca="1">INDIRECT("'"&amp;(VLOOKUP('CSL Inst Appx'!$A21,Reference!$A:$B,2))&amp;"'!T49")</f>
        <v>0</v>
      </c>
      <c r="U23" s="258">
        <f ca="1">INDIRECT("'"&amp;(VLOOKUP('CSL Inst Appx'!$A21,Reference!$A:$B,2))&amp;"'!U49")</f>
        <v>2</v>
      </c>
      <c r="V23" s="258">
        <f ca="1">INDIRECT("'"&amp;(VLOOKUP('CSL Inst Appx'!$A21,Reference!$A:$B,2))&amp;"'!V49")</f>
        <v>4.5</v>
      </c>
      <c r="W23" s="258">
        <f ca="1">INDIRECT("'"&amp;(VLOOKUP('CSL Inst Appx'!$A21,Reference!$A:$B,2))&amp;"'!W49")</f>
        <v>0</v>
      </c>
      <c r="X23" s="258">
        <f ca="1">INDIRECT("'"&amp;(VLOOKUP('CSL Inst Appx'!$A21,Reference!$A:$B,2))&amp;"'!X49")</f>
        <v>18</v>
      </c>
      <c r="Y23" s="258">
        <f ca="1">INDIRECT("'"&amp;(VLOOKUP('CSL Inst Appx'!$A21,Reference!$A:$B,2))&amp;"'!Y49")</f>
        <v>0</v>
      </c>
      <c r="Z23" s="258">
        <f ca="1">INDIRECT("'"&amp;(VLOOKUP('CSL Inst Appx'!$A21,Reference!$A:$B,2))&amp;"'!Z49")</f>
        <v>0</v>
      </c>
      <c r="AA23" s="258">
        <f ca="1">INDIRECT("'"&amp;(VLOOKUP('CSL Inst Appx'!$A21,Reference!$A:$B,2))&amp;"'!AA49")</f>
        <v>0</v>
      </c>
      <c r="AB23" s="258">
        <f ca="1">INDIRECT("'"&amp;(VLOOKUP('CSL Inst Appx'!$A21,Reference!$A:$B,2))&amp;"'!AB49")</f>
        <v>2.5</v>
      </c>
      <c r="AC23" s="258">
        <f ca="1">INDIRECT("'"&amp;(VLOOKUP('CSL Inst Appx'!$A21,Reference!$A:$B,2))&amp;"'!AC49")</f>
        <v>0</v>
      </c>
      <c r="AD23" s="258">
        <f ca="1">INDIRECT("'"&amp;(VLOOKUP('CSL Inst Appx'!$A21,Reference!$A:$B,2))&amp;"'!AD49")</f>
        <v>0</v>
      </c>
      <c r="AE23" s="258">
        <f ca="1">INDIRECT("'"&amp;(VLOOKUP('CSL Inst Appx'!$A21,Reference!$A:$B,2))&amp;"'!AE49")</f>
        <v>0</v>
      </c>
      <c r="AF23" s="258">
        <f ca="1">INDIRECT("'"&amp;(VLOOKUP('CSL Inst Appx'!$A21,Reference!$A:$B,2))&amp;"'!AF49")</f>
        <v>0</v>
      </c>
      <c r="AG23" s="258">
        <f ca="1">INDIRECT("'"&amp;(VLOOKUP('CSL Inst Appx'!$A21,Reference!$A:$B,2))&amp;"'!AG49")</f>
        <v>0</v>
      </c>
      <c r="AH23" s="273">
        <f t="shared" ca="1" si="6"/>
        <v>36.5</v>
      </c>
    </row>
    <row r="24" spans="1:34" s="261" customFormat="1" ht="16.5" thickBot="1">
      <c r="A24" s="259" t="str">
        <f>Navigation!$A24</f>
        <v>COMPUTER SOFTWARE SUPPORT DIPLOMA</v>
      </c>
      <c r="B24" s="260" t="str">
        <f ca="1">INDIRECT("'"&amp;(VLOOKUP('CSL Inst Appx'!$A22,Reference!$A:$B,2))&amp;"'!D3")</f>
        <v>UHD7</v>
      </c>
      <c r="C24" s="260" t="str">
        <f ca="1">RIGHT(INDIRECT("'"&amp;(VLOOKUP('CSL Inst Appx'!$A22,Reference!$A:$B,2))&amp;"'!G4"),4)</f>
        <v>2242</v>
      </c>
      <c r="D24" s="260">
        <f ca="1">INDIRECT("'"&amp;(VLOOKUP('CSL Inst Appx'!$A22,Reference!$A:$B,2))&amp;"'!I41")</f>
        <v>870</v>
      </c>
      <c r="E24" s="260">
        <f ca="1">INDIRECT("'"&amp;(VLOOKUP('CSL Inst Appx'!$A22,Reference!$A:$B,2))&amp;"'!C44")</f>
        <v>149</v>
      </c>
      <c r="F24" s="30">
        <f ca="1">INDIRECT("'"&amp;(VLOOKUP('CSL Inst Appx'!$A22,Reference!$A:$B,2))&amp;"'!C42")</f>
        <v>0</v>
      </c>
      <c r="G24" s="31">
        <f t="shared" ca="1" si="0"/>
        <v>1019</v>
      </c>
      <c r="H24" s="32">
        <f ca="1">INDIRECT("'"&amp;(VLOOKUP('CSL Inst Appx'!$A22,Reference!$A:$B,2))&amp;"'!H41")</f>
        <v>12167</v>
      </c>
      <c r="I24" s="33">
        <f t="shared" ca="1" si="1"/>
        <v>11.95</v>
      </c>
      <c r="J24" s="34">
        <f t="shared" ca="1" si="2"/>
        <v>11.799999999999999</v>
      </c>
      <c r="K24" s="29">
        <f t="shared" ca="1" si="3"/>
        <v>51</v>
      </c>
      <c r="L24" s="34">
        <f t="shared" ca="1" si="4"/>
        <v>9.5</v>
      </c>
      <c r="M24" s="29">
        <f t="shared" ca="1" si="5"/>
        <v>41</v>
      </c>
      <c r="N24" s="257">
        <f ca="1">INDIRECT("'"&amp;(VLOOKUP('CSL Inst Appx'!$A22,Reference!$A:$B,2))&amp;"'!N49")</f>
        <v>2.5</v>
      </c>
      <c r="O24" s="258">
        <f ca="1">INDIRECT("'"&amp;(VLOOKUP('CSL Inst Appx'!$A22,Reference!$A:$B,2))&amp;"'!O49")</f>
        <v>2.5</v>
      </c>
      <c r="P24" s="258">
        <f ca="1">INDIRECT("'"&amp;(VLOOKUP('CSL Inst Appx'!$A22,Reference!$A:$B,2))&amp;"'!P49")</f>
        <v>1.5</v>
      </c>
      <c r="Q24" s="258">
        <f ca="1">INDIRECT("'"&amp;(VLOOKUP('CSL Inst Appx'!$A22,Reference!$A:$B,2))&amp;"'!Q49")</f>
        <v>1.5</v>
      </c>
      <c r="R24" s="258">
        <f ca="1">INDIRECT("'"&amp;(VLOOKUP('CSL Inst Appx'!$A22,Reference!$A:$B,2))&amp;"'!R49")</f>
        <v>1.5</v>
      </c>
      <c r="S24" s="258">
        <f ca="1">INDIRECT("'"&amp;(VLOOKUP('CSL Inst Appx'!$A22,Reference!$A:$B,2))&amp;"'!S49")</f>
        <v>0</v>
      </c>
      <c r="T24" s="258">
        <f ca="1">INDIRECT("'"&amp;(VLOOKUP('CSL Inst Appx'!$A22,Reference!$A:$B,2))&amp;"'!T49")</f>
        <v>0</v>
      </c>
      <c r="U24" s="258">
        <f ca="1">INDIRECT("'"&amp;(VLOOKUP('CSL Inst Appx'!$A22,Reference!$A:$B,2))&amp;"'!U49")</f>
        <v>2</v>
      </c>
      <c r="V24" s="258">
        <f ca="1">INDIRECT("'"&amp;(VLOOKUP('CSL Inst Appx'!$A22,Reference!$A:$B,2))&amp;"'!V49")</f>
        <v>4.5</v>
      </c>
      <c r="W24" s="258">
        <f ca="1">INDIRECT("'"&amp;(VLOOKUP('CSL Inst Appx'!$A22,Reference!$A:$B,2))&amp;"'!W49")</f>
        <v>0</v>
      </c>
      <c r="X24" s="258">
        <f ca="1">INDIRECT("'"&amp;(VLOOKUP('CSL Inst Appx'!$A22,Reference!$A:$B,2))&amp;"'!X49")</f>
        <v>18</v>
      </c>
      <c r="Y24" s="258">
        <f ca="1">INDIRECT("'"&amp;(VLOOKUP('CSL Inst Appx'!$A22,Reference!$A:$B,2))&amp;"'!Y49")</f>
        <v>0</v>
      </c>
      <c r="Z24" s="258">
        <f ca="1">INDIRECT("'"&amp;(VLOOKUP('CSL Inst Appx'!$A22,Reference!$A:$B,2))&amp;"'!Z49")</f>
        <v>0</v>
      </c>
      <c r="AA24" s="258">
        <f ca="1">INDIRECT("'"&amp;(VLOOKUP('CSL Inst Appx'!$A22,Reference!$A:$B,2))&amp;"'!AA49")</f>
        <v>0</v>
      </c>
      <c r="AB24" s="258">
        <f ca="1">INDIRECT("'"&amp;(VLOOKUP('CSL Inst Appx'!$A22,Reference!$A:$B,2))&amp;"'!AB49")</f>
        <v>2.5</v>
      </c>
      <c r="AC24" s="258">
        <f ca="1">INDIRECT("'"&amp;(VLOOKUP('CSL Inst Appx'!$A22,Reference!$A:$B,2))&amp;"'!AC49")</f>
        <v>0</v>
      </c>
      <c r="AD24" s="258">
        <f ca="1">INDIRECT("'"&amp;(VLOOKUP('CSL Inst Appx'!$A22,Reference!$A:$B,2))&amp;"'!AD49")</f>
        <v>0</v>
      </c>
      <c r="AE24" s="258">
        <f ca="1">INDIRECT("'"&amp;(VLOOKUP('CSL Inst Appx'!$A22,Reference!$A:$B,2))&amp;"'!AE49")</f>
        <v>0</v>
      </c>
      <c r="AF24" s="258">
        <f ca="1">INDIRECT("'"&amp;(VLOOKUP('CSL Inst Appx'!$A22,Reference!$A:$B,2))&amp;"'!AF49")</f>
        <v>0</v>
      </c>
      <c r="AG24" s="258">
        <f ca="1">INDIRECT("'"&amp;(VLOOKUP('CSL Inst Appx'!$A22,Reference!$A:$B,2))&amp;"'!AG49")</f>
        <v>0</v>
      </c>
      <c r="AH24" s="273">
        <f t="shared" ca="1" si="6"/>
        <v>36.5</v>
      </c>
    </row>
    <row r="25" spans="1:34" s="261" customFormat="1" ht="16.5" thickBot="1">
      <c r="A25" s="259" t="str">
        <f>Navigation!$A25</f>
        <v>COMPUTERIZED OFFICE PROCEDURES CERTIFICATE</v>
      </c>
      <c r="B25" s="260" t="str">
        <f ca="1">INDIRECT("'"&amp;(VLOOKUP('CSL Inst Appx'!$A23,Reference!$A:$B,2))&amp;"'!D3")</f>
        <v>ZDZ8</v>
      </c>
      <c r="C25" s="260" t="str">
        <f ca="1">RIGHT(INDIRECT("'"&amp;(VLOOKUP('CSL Inst Appx'!$A23,Reference!$A:$B,2))&amp;"'!G4"),4)</f>
        <v>1411</v>
      </c>
      <c r="D25" s="260">
        <f ca="1">INDIRECT("'"&amp;(VLOOKUP('CSL Inst Appx'!$A23,Reference!$A:$B,2))&amp;"'!I41")</f>
        <v>516</v>
      </c>
      <c r="E25" s="260">
        <f ca="1">INDIRECT("'"&amp;(VLOOKUP('CSL Inst Appx'!$A23,Reference!$A:$B,2))&amp;"'!C44")</f>
        <v>47</v>
      </c>
      <c r="F25" s="30">
        <f ca="1">INDIRECT("'"&amp;(VLOOKUP('CSL Inst Appx'!$A23,Reference!$A:$B,2))&amp;"'!C42")</f>
        <v>0</v>
      </c>
      <c r="G25" s="31">
        <f t="shared" ca="1" si="0"/>
        <v>563</v>
      </c>
      <c r="H25" s="32">
        <f ca="1">INDIRECT("'"&amp;(VLOOKUP('CSL Inst Appx'!$A23,Reference!$A:$B,2))&amp;"'!H41")</f>
        <v>7132</v>
      </c>
      <c r="I25" s="33">
        <f t="shared" ca="1" si="1"/>
        <v>12.67</v>
      </c>
      <c r="J25" s="34">
        <f t="shared" ca="1" si="2"/>
        <v>6.6</v>
      </c>
      <c r="K25" s="29">
        <f t="shared" ca="1" si="3"/>
        <v>29</v>
      </c>
      <c r="L25" s="34">
        <f t="shared" ca="1" si="4"/>
        <v>5.3</v>
      </c>
      <c r="M25" s="29">
        <f t="shared" ca="1" si="5"/>
        <v>23</v>
      </c>
      <c r="N25" s="257">
        <f ca="1">INDIRECT("'"&amp;(VLOOKUP('CSL Inst Appx'!$A23,Reference!$A:$B,2))&amp;"'!N49")</f>
        <v>2.5</v>
      </c>
      <c r="O25" s="258">
        <f ca="1">INDIRECT("'"&amp;(VLOOKUP('CSL Inst Appx'!$A23,Reference!$A:$B,2))&amp;"'!O49")</f>
        <v>5.5</v>
      </c>
      <c r="P25" s="258">
        <f ca="1">INDIRECT("'"&amp;(VLOOKUP('CSL Inst Appx'!$A23,Reference!$A:$B,2))&amp;"'!P49")</f>
        <v>5</v>
      </c>
      <c r="Q25" s="258">
        <f ca="1">INDIRECT("'"&amp;(VLOOKUP('CSL Inst Appx'!$A23,Reference!$A:$B,2))&amp;"'!Q49")</f>
        <v>3.5</v>
      </c>
      <c r="R25" s="258">
        <f ca="1">INDIRECT("'"&amp;(VLOOKUP('CSL Inst Appx'!$A23,Reference!$A:$B,2))&amp;"'!R49")</f>
        <v>1.5</v>
      </c>
      <c r="S25" s="258">
        <f ca="1">INDIRECT("'"&amp;(VLOOKUP('CSL Inst Appx'!$A23,Reference!$A:$B,2))&amp;"'!S49")</f>
        <v>1.5</v>
      </c>
      <c r="T25" s="258">
        <f ca="1">INDIRECT("'"&amp;(VLOOKUP('CSL Inst Appx'!$A23,Reference!$A:$B,2))&amp;"'!T49")</f>
        <v>0</v>
      </c>
      <c r="U25" s="258">
        <f ca="1">INDIRECT("'"&amp;(VLOOKUP('CSL Inst Appx'!$A23,Reference!$A:$B,2))&amp;"'!U49")</f>
        <v>1</v>
      </c>
      <c r="V25" s="258">
        <f ca="1">INDIRECT("'"&amp;(VLOOKUP('CSL Inst Appx'!$A23,Reference!$A:$B,2))&amp;"'!V49")</f>
        <v>0</v>
      </c>
      <c r="W25" s="258">
        <f ca="1">INDIRECT("'"&amp;(VLOOKUP('CSL Inst Appx'!$A23,Reference!$A:$B,2))&amp;"'!W49")</f>
        <v>0</v>
      </c>
      <c r="X25" s="258">
        <f ca="1">INDIRECT("'"&amp;(VLOOKUP('CSL Inst Appx'!$A23,Reference!$A:$B,2))&amp;"'!X49")</f>
        <v>0</v>
      </c>
      <c r="Y25" s="258">
        <f ca="1">INDIRECT("'"&amp;(VLOOKUP('CSL Inst Appx'!$A23,Reference!$A:$B,2))&amp;"'!Y49")</f>
        <v>0</v>
      </c>
      <c r="Z25" s="258">
        <f ca="1">INDIRECT("'"&amp;(VLOOKUP('CSL Inst Appx'!$A23,Reference!$A:$B,2))&amp;"'!Z49")</f>
        <v>0</v>
      </c>
      <c r="AA25" s="258">
        <f ca="1">INDIRECT("'"&amp;(VLOOKUP('CSL Inst Appx'!$A23,Reference!$A:$B,2))&amp;"'!AA49")</f>
        <v>0</v>
      </c>
      <c r="AB25" s="258">
        <f ca="1">INDIRECT("'"&amp;(VLOOKUP('CSL Inst Appx'!$A23,Reference!$A:$B,2))&amp;"'!AB49")</f>
        <v>1.5</v>
      </c>
      <c r="AC25" s="258">
        <f ca="1">INDIRECT("'"&amp;(VLOOKUP('CSL Inst Appx'!$A23,Reference!$A:$B,2))&amp;"'!AC49")</f>
        <v>0</v>
      </c>
      <c r="AD25" s="258">
        <f ca="1">INDIRECT("'"&amp;(VLOOKUP('CSL Inst Appx'!$A23,Reference!$A:$B,2))&amp;"'!AD49")</f>
        <v>0</v>
      </c>
      <c r="AE25" s="258">
        <f ca="1">INDIRECT("'"&amp;(VLOOKUP('CSL Inst Appx'!$A23,Reference!$A:$B,2))&amp;"'!AE49")</f>
        <v>0</v>
      </c>
      <c r="AF25" s="258">
        <f ca="1">INDIRECT("'"&amp;(VLOOKUP('CSL Inst Appx'!$A23,Reference!$A:$B,2))&amp;"'!AF49")</f>
        <v>0</v>
      </c>
      <c r="AG25" s="258">
        <f ca="1">INDIRECT("'"&amp;(VLOOKUP('CSL Inst Appx'!$A23,Reference!$A:$B,2))&amp;"'!AG49")</f>
        <v>0</v>
      </c>
      <c r="AH25" s="273">
        <f t="shared" ca="1" si="6"/>
        <v>22</v>
      </c>
    </row>
    <row r="26" spans="1:34" s="261" customFormat="1" ht="16.5" thickBot="1">
      <c r="A26" s="259" t="str">
        <f>Navigation!$A26</f>
        <v>CONFERENCE AND EVENT PLANNER DIPLOMA</v>
      </c>
      <c r="B26" s="260" t="str">
        <f ca="1">INDIRECT("'"&amp;(VLOOKUP('CSL Inst Appx'!$A24,Reference!$A:$B,2))&amp;"'!D3")</f>
        <v>ZMN7</v>
      </c>
      <c r="C26" s="260" t="str">
        <f ca="1">RIGHT(INDIRECT("'"&amp;(VLOOKUP('CSL Inst Appx'!$A24,Reference!$A:$B,2))&amp;"'!G4"),4)</f>
        <v>1226</v>
      </c>
      <c r="D26" s="260">
        <f ca="1">INDIRECT("'"&amp;(VLOOKUP('CSL Inst Appx'!$A24,Reference!$A:$B,2))&amp;"'!I41")</f>
        <v>932</v>
      </c>
      <c r="E26" s="260">
        <f ca="1">INDIRECT("'"&amp;(VLOOKUP('CSL Inst Appx'!$A24,Reference!$A:$B,2))&amp;"'!C44")</f>
        <v>85</v>
      </c>
      <c r="F26" s="30">
        <f ca="1">INDIRECT("'"&amp;(VLOOKUP('CSL Inst Appx'!$A24,Reference!$A:$B,2))&amp;"'!C42")</f>
        <v>0</v>
      </c>
      <c r="G26" s="31">
        <f t="shared" ca="1" si="0"/>
        <v>1017</v>
      </c>
      <c r="H26" s="32">
        <f ca="1">INDIRECT("'"&amp;(VLOOKUP('CSL Inst Appx'!$A24,Reference!$A:$B,2))&amp;"'!H41")</f>
        <v>14474</v>
      </c>
      <c r="I26" s="33">
        <f t="shared" ca="1" si="1"/>
        <v>14.24</v>
      </c>
      <c r="J26" s="34">
        <f t="shared" ca="1" si="2"/>
        <v>11.799999999999999</v>
      </c>
      <c r="K26" s="29">
        <f t="shared" ca="1" si="3"/>
        <v>51</v>
      </c>
      <c r="L26" s="34">
        <f t="shared" ca="1" si="4"/>
        <v>9.4</v>
      </c>
      <c r="M26" s="29">
        <f t="shared" ca="1" si="5"/>
        <v>41</v>
      </c>
      <c r="N26" s="257">
        <f ca="1">INDIRECT("'"&amp;(VLOOKUP('CSL Inst Appx'!$A24,Reference!$A:$B,2))&amp;"'!N49")</f>
        <v>0</v>
      </c>
      <c r="O26" s="258">
        <f ca="1">INDIRECT("'"&amp;(VLOOKUP('CSL Inst Appx'!$A24,Reference!$A:$B,2))&amp;"'!O49")</f>
        <v>2.5</v>
      </c>
      <c r="P26" s="258">
        <f ca="1">INDIRECT("'"&amp;(VLOOKUP('CSL Inst Appx'!$A24,Reference!$A:$B,2))&amp;"'!P49")</f>
        <v>3.5</v>
      </c>
      <c r="Q26" s="258">
        <f ca="1">INDIRECT("'"&amp;(VLOOKUP('CSL Inst Appx'!$A24,Reference!$A:$B,2))&amp;"'!Q49")</f>
        <v>1.5</v>
      </c>
      <c r="R26" s="258">
        <f ca="1">INDIRECT("'"&amp;(VLOOKUP('CSL Inst Appx'!$A24,Reference!$A:$B,2))&amp;"'!R49")</f>
        <v>1.5</v>
      </c>
      <c r="S26" s="258">
        <f ca="1">INDIRECT("'"&amp;(VLOOKUP('CSL Inst Appx'!$A24,Reference!$A:$B,2))&amp;"'!S49")</f>
        <v>2.5</v>
      </c>
      <c r="T26" s="258">
        <f ca="1">INDIRECT("'"&amp;(VLOOKUP('CSL Inst Appx'!$A24,Reference!$A:$B,2))&amp;"'!T49")</f>
        <v>0</v>
      </c>
      <c r="U26" s="258">
        <f ca="1">INDIRECT("'"&amp;(VLOOKUP('CSL Inst Appx'!$A24,Reference!$A:$B,2))&amp;"'!U49")</f>
        <v>0</v>
      </c>
      <c r="V26" s="258">
        <f ca="1">INDIRECT("'"&amp;(VLOOKUP('CSL Inst Appx'!$A24,Reference!$A:$B,2))&amp;"'!V49")</f>
        <v>27</v>
      </c>
      <c r="W26" s="258">
        <f ca="1">INDIRECT("'"&amp;(VLOOKUP('CSL Inst Appx'!$A24,Reference!$A:$B,2))&amp;"'!W49")</f>
        <v>0</v>
      </c>
      <c r="X26" s="258">
        <f ca="1">INDIRECT("'"&amp;(VLOOKUP('CSL Inst Appx'!$A24,Reference!$A:$B,2))&amp;"'!X49")</f>
        <v>0</v>
      </c>
      <c r="Y26" s="258">
        <f ca="1">INDIRECT("'"&amp;(VLOOKUP('CSL Inst Appx'!$A24,Reference!$A:$B,2))&amp;"'!Y49")</f>
        <v>0</v>
      </c>
      <c r="Z26" s="258">
        <f ca="1">INDIRECT("'"&amp;(VLOOKUP('CSL Inst Appx'!$A24,Reference!$A:$B,2))&amp;"'!Z49")</f>
        <v>0</v>
      </c>
      <c r="AA26" s="258">
        <f ca="1">INDIRECT("'"&amp;(VLOOKUP('CSL Inst Appx'!$A24,Reference!$A:$B,2))&amp;"'!AA49")</f>
        <v>0</v>
      </c>
      <c r="AB26" s="258">
        <f ca="1">INDIRECT("'"&amp;(VLOOKUP('CSL Inst Appx'!$A24,Reference!$A:$B,2))&amp;"'!AB49")</f>
        <v>2.5</v>
      </c>
      <c r="AC26" s="258">
        <f ca="1">INDIRECT("'"&amp;(VLOOKUP('CSL Inst Appx'!$A24,Reference!$A:$B,2))&amp;"'!AC49")</f>
        <v>0</v>
      </c>
      <c r="AD26" s="258">
        <f ca="1">INDIRECT("'"&amp;(VLOOKUP('CSL Inst Appx'!$A24,Reference!$A:$B,2))&amp;"'!AD49")</f>
        <v>0</v>
      </c>
      <c r="AE26" s="258">
        <f ca="1">INDIRECT("'"&amp;(VLOOKUP('CSL Inst Appx'!$A24,Reference!$A:$B,2))&amp;"'!AE49")</f>
        <v>0</v>
      </c>
      <c r="AF26" s="258">
        <f ca="1">INDIRECT("'"&amp;(VLOOKUP('CSL Inst Appx'!$A24,Reference!$A:$B,2))&amp;"'!AF49")</f>
        <v>0</v>
      </c>
      <c r="AG26" s="258">
        <f ca="1">INDIRECT("'"&amp;(VLOOKUP('CSL Inst Appx'!$A24,Reference!$A:$B,2))&amp;"'!AG49")</f>
        <v>0</v>
      </c>
      <c r="AH26" s="273">
        <f t="shared" ca="1" si="6"/>
        <v>41</v>
      </c>
    </row>
    <row r="27" spans="1:34" s="261" customFormat="1" ht="16.5" thickBot="1">
      <c r="A27" s="259" t="str">
        <f>Navigation!$A27</f>
        <v>CUSTOMER SERVICE REPRESENTATIVE CERTIFICATE</v>
      </c>
      <c r="B27" s="260" t="str">
        <f ca="1">INDIRECT("'"&amp;(VLOOKUP('CSL Inst Appx'!$A25,Reference!$A:$B,2))&amp;"'!D3")</f>
        <v>ZMQ8</v>
      </c>
      <c r="C27" s="260" t="str">
        <f ca="1">RIGHT(INDIRECT("'"&amp;(VLOOKUP('CSL Inst Appx'!$A25,Reference!$A:$B,2))&amp;"'!G4"),4)</f>
        <v>6552</v>
      </c>
      <c r="D27" s="260">
        <f ca="1">INDIRECT("'"&amp;(VLOOKUP('CSL Inst Appx'!$A25,Reference!$A:$B,2))&amp;"'!I41")</f>
        <v>418</v>
      </c>
      <c r="E27" s="260">
        <f ca="1">INDIRECT("'"&amp;(VLOOKUP('CSL Inst Appx'!$A25,Reference!$A:$B,2))&amp;"'!C44")</f>
        <v>38</v>
      </c>
      <c r="F27" s="30">
        <f ca="1">INDIRECT("'"&amp;(VLOOKUP('CSL Inst Appx'!$A25,Reference!$A:$B,2))&amp;"'!C42")</f>
        <v>0</v>
      </c>
      <c r="G27" s="31">
        <f t="shared" ca="1" si="0"/>
        <v>456</v>
      </c>
      <c r="H27" s="32">
        <f ca="1">INDIRECT("'"&amp;(VLOOKUP('CSL Inst Appx'!$A25,Reference!$A:$B,2))&amp;"'!H41")</f>
        <v>6271</v>
      </c>
      <c r="I27" s="33">
        <f t="shared" ca="1" si="1"/>
        <v>13.76</v>
      </c>
      <c r="J27" s="34">
        <f t="shared" ca="1" si="2"/>
        <v>5.3</v>
      </c>
      <c r="K27" s="29">
        <f t="shared" ca="1" si="3"/>
        <v>23</v>
      </c>
      <c r="L27" s="34">
        <f t="shared" ca="1" si="4"/>
        <v>4.3</v>
      </c>
      <c r="M27" s="29">
        <f t="shared" ca="1" si="5"/>
        <v>19</v>
      </c>
      <c r="N27" s="257">
        <f ca="1">INDIRECT("'"&amp;(VLOOKUP('CSL Inst Appx'!$A25,Reference!$A:$B,2))&amp;"'!N49")</f>
        <v>4</v>
      </c>
      <c r="O27" s="258">
        <f ca="1">INDIRECT("'"&amp;(VLOOKUP('CSL Inst Appx'!$A25,Reference!$A:$B,2))&amp;"'!O49")</f>
        <v>3.5</v>
      </c>
      <c r="P27" s="258">
        <f ca="1">INDIRECT("'"&amp;(VLOOKUP('CSL Inst Appx'!$A25,Reference!$A:$B,2))&amp;"'!P49")</f>
        <v>1.5</v>
      </c>
      <c r="Q27" s="258">
        <f ca="1">INDIRECT("'"&amp;(VLOOKUP('CSL Inst Appx'!$A25,Reference!$A:$B,2))&amp;"'!Q49")</f>
        <v>1.5</v>
      </c>
      <c r="R27" s="258">
        <f ca="1">INDIRECT("'"&amp;(VLOOKUP('CSL Inst Appx'!$A25,Reference!$A:$B,2))&amp;"'!R49")</f>
        <v>1.5</v>
      </c>
      <c r="S27" s="258">
        <f ca="1">INDIRECT("'"&amp;(VLOOKUP('CSL Inst Appx'!$A25,Reference!$A:$B,2))&amp;"'!S49")</f>
        <v>0</v>
      </c>
      <c r="T27" s="258">
        <f ca="1">INDIRECT("'"&amp;(VLOOKUP('CSL Inst Appx'!$A25,Reference!$A:$B,2))&amp;"'!T49")</f>
        <v>0</v>
      </c>
      <c r="U27" s="258">
        <f ca="1">INDIRECT("'"&amp;(VLOOKUP('CSL Inst Appx'!$A25,Reference!$A:$B,2))&amp;"'!U49")</f>
        <v>1</v>
      </c>
      <c r="V27" s="258">
        <f ca="1">INDIRECT("'"&amp;(VLOOKUP('CSL Inst Appx'!$A25,Reference!$A:$B,2))&amp;"'!V49")</f>
        <v>1</v>
      </c>
      <c r="W27" s="258">
        <f ca="1">INDIRECT("'"&amp;(VLOOKUP('CSL Inst Appx'!$A25,Reference!$A:$B,2))&amp;"'!W49")</f>
        <v>0</v>
      </c>
      <c r="X27" s="258">
        <f ca="1">INDIRECT("'"&amp;(VLOOKUP('CSL Inst Appx'!$A25,Reference!$A:$B,2))&amp;"'!X49")</f>
        <v>0</v>
      </c>
      <c r="Y27" s="258">
        <f ca="1">INDIRECT("'"&amp;(VLOOKUP('CSL Inst Appx'!$A25,Reference!$A:$B,2))&amp;"'!Y49")</f>
        <v>0</v>
      </c>
      <c r="Z27" s="258">
        <f ca="1">INDIRECT("'"&amp;(VLOOKUP('CSL Inst Appx'!$A25,Reference!$A:$B,2))&amp;"'!Z49")</f>
        <v>6</v>
      </c>
      <c r="AA27" s="258">
        <f ca="1">INDIRECT("'"&amp;(VLOOKUP('CSL Inst Appx'!$A25,Reference!$A:$B,2))&amp;"'!AA49")</f>
        <v>0</v>
      </c>
      <c r="AB27" s="258">
        <f ca="1">INDIRECT("'"&amp;(VLOOKUP('CSL Inst Appx'!$A25,Reference!$A:$B,2))&amp;"'!AB49")</f>
        <v>0</v>
      </c>
      <c r="AC27" s="258">
        <f ca="1">INDIRECT("'"&amp;(VLOOKUP('CSL Inst Appx'!$A25,Reference!$A:$B,2))&amp;"'!AC49")</f>
        <v>0</v>
      </c>
      <c r="AD27" s="258">
        <f ca="1">INDIRECT("'"&amp;(VLOOKUP('CSL Inst Appx'!$A25,Reference!$A:$B,2))&amp;"'!AD49")</f>
        <v>0</v>
      </c>
      <c r="AE27" s="258">
        <f ca="1">INDIRECT("'"&amp;(VLOOKUP('CSL Inst Appx'!$A25,Reference!$A:$B,2))&amp;"'!AE49")</f>
        <v>0</v>
      </c>
      <c r="AF27" s="258">
        <f ca="1">INDIRECT("'"&amp;(VLOOKUP('CSL Inst Appx'!$A25,Reference!$A:$B,2))&amp;"'!AF49")</f>
        <v>0</v>
      </c>
      <c r="AG27" s="258">
        <f ca="1">INDIRECT("'"&amp;(VLOOKUP('CSL Inst Appx'!$A25,Reference!$A:$B,2))&amp;"'!AG49")</f>
        <v>0</v>
      </c>
      <c r="AH27" s="273">
        <f t="shared" ca="1" si="6"/>
        <v>20</v>
      </c>
    </row>
    <row r="28" spans="1:34" s="261" customFormat="1" ht="16.5" thickBot="1">
      <c r="A28" s="259" t="str">
        <f>Navigation!$A28</f>
        <v>ENGLISH AS SECOND LANGUAGE</v>
      </c>
      <c r="B28" s="260" t="str">
        <f ca="1">INDIRECT("'"&amp;(VLOOKUP('CSL Inst Appx'!$A26,Reference!$A:$B,2))&amp;"'!D3")</f>
        <v>Non-CSL</v>
      </c>
      <c r="C28" s="260" t="str">
        <f ca="1">RIGHT(INDIRECT("'"&amp;(VLOOKUP('CSL Inst Appx'!$A26,Reference!$A:$B,2))&amp;"'!G4"),4)</f>
        <v>5199</v>
      </c>
      <c r="D28" s="260">
        <f ca="1">INDIRECT("'"&amp;(VLOOKUP('CSL Inst Appx'!$A26,Reference!$A:$B,2))&amp;"'!I41")</f>
        <v>320</v>
      </c>
      <c r="E28" s="260">
        <f ca="1">INDIRECT("'"&amp;(VLOOKUP('CSL Inst Appx'!$A26,Reference!$A:$B,2))&amp;"'!C44")</f>
        <v>0</v>
      </c>
      <c r="F28" s="30">
        <f ca="1">INDIRECT("'"&amp;(VLOOKUP('CSL Inst Appx'!$A26,Reference!$A:$B,2))&amp;"'!C42")</f>
        <v>0</v>
      </c>
      <c r="G28" s="31">
        <f t="shared" ca="1" si="0"/>
        <v>320</v>
      </c>
      <c r="H28" s="32">
        <f ca="1">INDIRECT("'"&amp;(VLOOKUP('CSL Inst Appx'!$A26,Reference!$A:$B,2))&amp;"'!H41")</f>
        <v>3390</v>
      </c>
      <c r="I28" s="33">
        <f t="shared" ca="1" si="1"/>
        <v>10.6</v>
      </c>
      <c r="J28" s="34">
        <f t="shared" ca="1" si="2"/>
        <v>3.7</v>
      </c>
      <c r="K28" s="29">
        <f t="shared" ca="1" si="3"/>
        <v>16</v>
      </c>
      <c r="L28" s="34">
        <f t="shared" ca="1" si="4"/>
        <v>3</v>
      </c>
      <c r="M28" s="29">
        <f t="shared" ca="1" si="5"/>
        <v>13</v>
      </c>
      <c r="N28" s="257">
        <f ca="1">INDIRECT("'"&amp;(VLOOKUP('CSL Inst Appx'!$A26,Reference!$A:$B,2))&amp;"'!N49")</f>
        <v>0</v>
      </c>
      <c r="O28" s="258">
        <f ca="1">INDIRECT("'"&amp;(VLOOKUP('CSL Inst Appx'!$A26,Reference!$A:$B,2))&amp;"'!O49")</f>
        <v>0</v>
      </c>
      <c r="P28" s="258">
        <f ca="1">INDIRECT("'"&amp;(VLOOKUP('CSL Inst Appx'!$A26,Reference!$A:$B,2))&amp;"'!P49")</f>
        <v>0</v>
      </c>
      <c r="Q28" s="258">
        <f ca="1">INDIRECT("'"&amp;(VLOOKUP('CSL Inst Appx'!$A26,Reference!$A:$B,2))&amp;"'!Q49")</f>
        <v>0</v>
      </c>
      <c r="R28" s="258">
        <f ca="1">INDIRECT("'"&amp;(VLOOKUP('CSL Inst Appx'!$A26,Reference!$A:$B,2))&amp;"'!R49")</f>
        <v>0</v>
      </c>
      <c r="S28" s="258">
        <f ca="1">INDIRECT("'"&amp;(VLOOKUP('CSL Inst Appx'!$A26,Reference!$A:$B,2))&amp;"'!S49")</f>
        <v>0</v>
      </c>
      <c r="T28" s="258">
        <f ca="1">INDIRECT("'"&amp;(VLOOKUP('CSL Inst Appx'!$A26,Reference!$A:$B,2))&amp;"'!T49")</f>
        <v>0</v>
      </c>
      <c r="U28" s="258">
        <f ca="1">INDIRECT("'"&amp;(VLOOKUP('CSL Inst Appx'!$A26,Reference!$A:$B,2))&amp;"'!U49")</f>
        <v>0</v>
      </c>
      <c r="V28" s="258">
        <f ca="1">INDIRECT("'"&amp;(VLOOKUP('CSL Inst Appx'!$A26,Reference!$A:$B,2))&amp;"'!V49")</f>
        <v>0</v>
      </c>
      <c r="W28" s="258">
        <f ca="1">INDIRECT("'"&amp;(VLOOKUP('CSL Inst Appx'!$A26,Reference!$A:$B,2))&amp;"'!W49")</f>
        <v>0</v>
      </c>
      <c r="X28" s="258">
        <f ca="1">INDIRECT("'"&amp;(VLOOKUP('CSL Inst Appx'!$A26,Reference!$A:$B,2))&amp;"'!X49")</f>
        <v>0</v>
      </c>
      <c r="Y28" s="258">
        <f ca="1">INDIRECT("'"&amp;(VLOOKUP('CSL Inst Appx'!$A26,Reference!$A:$B,2))&amp;"'!Y49")</f>
        <v>0</v>
      </c>
      <c r="Z28" s="258">
        <f ca="1">INDIRECT("'"&amp;(VLOOKUP('CSL Inst Appx'!$A26,Reference!$A:$B,2))&amp;"'!Z49")</f>
        <v>0</v>
      </c>
      <c r="AA28" s="258">
        <f ca="1">INDIRECT("'"&amp;(VLOOKUP('CSL Inst Appx'!$A26,Reference!$A:$B,2))&amp;"'!AA49")</f>
        <v>0</v>
      </c>
      <c r="AB28" s="258">
        <f ca="1">INDIRECT("'"&amp;(VLOOKUP('CSL Inst Appx'!$A26,Reference!$A:$B,2))&amp;"'!AB49")</f>
        <v>0</v>
      </c>
      <c r="AC28" s="258">
        <f ca="1">INDIRECT("'"&amp;(VLOOKUP('CSL Inst Appx'!$A26,Reference!$A:$B,2))&amp;"'!AC49")</f>
        <v>0</v>
      </c>
      <c r="AD28" s="258">
        <f ca="1">INDIRECT("'"&amp;(VLOOKUP('CSL Inst Appx'!$A26,Reference!$A:$B,2))&amp;"'!AD49")</f>
        <v>0</v>
      </c>
      <c r="AE28" s="258">
        <f ca="1">INDIRECT("'"&amp;(VLOOKUP('CSL Inst Appx'!$A26,Reference!$A:$B,2))&amp;"'!AE49")</f>
        <v>0</v>
      </c>
      <c r="AF28" s="258">
        <f ca="1">INDIRECT("'"&amp;(VLOOKUP('CSL Inst Appx'!$A26,Reference!$A:$B,2))&amp;"'!AF49")</f>
        <v>0</v>
      </c>
      <c r="AG28" s="258">
        <f ca="1">INDIRECT("'"&amp;(VLOOKUP('CSL Inst Appx'!$A26,Reference!$A:$B,2))&amp;"'!AG49")</f>
        <v>0</v>
      </c>
      <c r="AH28" s="273">
        <f t="shared" ca="1" si="6"/>
        <v>0</v>
      </c>
    </row>
    <row r="29" spans="1:34" s="261" customFormat="1" ht="16.5" thickBot="1">
      <c r="A29" s="259" t="str">
        <f>Navigation!$A29</f>
        <v>ENTREPRENEURIAL BUSINESS APPLICATIONS DIPLOMA</v>
      </c>
      <c r="B29" s="260" t="str">
        <f ca="1">INDIRECT("'"&amp;(VLOOKUP('CSL Inst Appx'!$A27,Reference!$A:$B,2))&amp;"'!D3")</f>
        <v>ZMX7</v>
      </c>
      <c r="C29" s="260" t="str">
        <f ca="1">RIGHT(INDIRECT("'"&amp;(VLOOKUP('CSL Inst Appx'!$A27,Reference!$A:$B,2))&amp;"'!G4"),4)</f>
        <v>1211</v>
      </c>
      <c r="D29" s="260">
        <f ca="1">INDIRECT("'"&amp;(VLOOKUP('CSL Inst Appx'!$A27,Reference!$A:$B,2))&amp;"'!I41")</f>
        <v>830</v>
      </c>
      <c r="E29" s="260">
        <f ca="1">INDIRECT("'"&amp;(VLOOKUP('CSL Inst Appx'!$A27,Reference!$A:$B,2))&amp;"'!C44")</f>
        <v>76</v>
      </c>
      <c r="F29" s="30">
        <f ca="1">INDIRECT("'"&amp;(VLOOKUP('CSL Inst Appx'!$A27,Reference!$A:$B,2))&amp;"'!C42")</f>
        <v>0</v>
      </c>
      <c r="G29" s="31">
        <f t="shared" ca="1" si="0"/>
        <v>906</v>
      </c>
      <c r="H29" s="32">
        <f ca="1">INDIRECT("'"&amp;(VLOOKUP('CSL Inst Appx'!$A27,Reference!$A:$B,2))&amp;"'!H41")</f>
        <v>12541</v>
      </c>
      <c r="I29" s="33">
        <f t="shared" ca="1" si="1"/>
        <v>13.85</v>
      </c>
      <c r="J29" s="34">
        <f t="shared" ca="1" si="2"/>
        <v>10.5</v>
      </c>
      <c r="K29" s="29">
        <f t="shared" ca="1" si="3"/>
        <v>46</v>
      </c>
      <c r="L29" s="34">
        <f t="shared" ca="1" si="4"/>
        <v>8.4</v>
      </c>
      <c r="M29" s="29">
        <f t="shared" ca="1" si="5"/>
        <v>37</v>
      </c>
      <c r="N29" s="257">
        <f ca="1">INDIRECT("'"&amp;(VLOOKUP('CSL Inst Appx'!$A27,Reference!$A:$B,2))&amp;"'!N49")</f>
        <v>1</v>
      </c>
      <c r="O29" s="258">
        <f ca="1">INDIRECT("'"&amp;(VLOOKUP('CSL Inst Appx'!$A27,Reference!$A:$B,2))&amp;"'!O49")</f>
        <v>4.5</v>
      </c>
      <c r="P29" s="258">
        <f ca="1">INDIRECT("'"&amp;(VLOOKUP('CSL Inst Appx'!$A27,Reference!$A:$B,2))&amp;"'!P49")</f>
        <v>3.5</v>
      </c>
      <c r="Q29" s="258">
        <f ca="1">INDIRECT("'"&amp;(VLOOKUP('CSL Inst Appx'!$A27,Reference!$A:$B,2))&amp;"'!Q49")</f>
        <v>3.5</v>
      </c>
      <c r="R29" s="258">
        <f ca="1">INDIRECT("'"&amp;(VLOOKUP('CSL Inst Appx'!$A27,Reference!$A:$B,2))&amp;"'!R49")</f>
        <v>1.5</v>
      </c>
      <c r="S29" s="258">
        <f ca="1">INDIRECT("'"&amp;(VLOOKUP('CSL Inst Appx'!$A27,Reference!$A:$B,2))&amp;"'!S49")</f>
        <v>2.5</v>
      </c>
      <c r="T29" s="258">
        <f ca="1">INDIRECT("'"&amp;(VLOOKUP('CSL Inst Appx'!$A27,Reference!$A:$B,2))&amp;"'!T49")</f>
        <v>2.5</v>
      </c>
      <c r="U29" s="258">
        <f ca="1">INDIRECT("'"&amp;(VLOOKUP('CSL Inst Appx'!$A27,Reference!$A:$B,2))&amp;"'!U49")</f>
        <v>2</v>
      </c>
      <c r="V29" s="258">
        <f ca="1">INDIRECT("'"&amp;(VLOOKUP('CSL Inst Appx'!$A27,Reference!$A:$B,2))&amp;"'!V49")</f>
        <v>13.5</v>
      </c>
      <c r="W29" s="258">
        <f ca="1">INDIRECT("'"&amp;(VLOOKUP('CSL Inst Appx'!$A27,Reference!$A:$B,2))&amp;"'!W49")</f>
        <v>0</v>
      </c>
      <c r="X29" s="258">
        <f ca="1">INDIRECT("'"&amp;(VLOOKUP('CSL Inst Appx'!$A27,Reference!$A:$B,2))&amp;"'!X49")</f>
        <v>0</v>
      </c>
      <c r="Y29" s="258">
        <f ca="1">INDIRECT("'"&amp;(VLOOKUP('CSL Inst Appx'!$A27,Reference!$A:$B,2))&amp;"'!Y49")</f>
        <v>0</v>
      </c>
      <c r="Z29" s="258">
        <f ca="1">INDIRECT("'"&amp;(VLOOKUP('CSL Inst Appx'!$A27,Reference!$A:$B,2))&amp;"'!Z49")</f>
        <v>0</v>
      </c>
      <c r="AA29" s="258">
        <f ca="1">INDIRECT("'"&amp;(VLOOKUP('CSL Inst Appx'!$A27,Reference!$A:$B,2))&amp;"'!AA49")</f>
        <v>0</v>
      </c>
      <c r="AB29" s="258">
        <f ca="1">INDIRECT("'"&amp;(VLOOKUP('CSL Inst Appx'!$A27,Reference!$A:$B,2))&amp;"'!AB49")</f>
        <v>1</v>
      </c>
      <c r="AC29" s="258">
        <f ca="1">INDIRECT("'"&amp;(VLOOKUP('CSL Inst Appx'!$A27,Reference!$A:$B,2))&amp;"'!AC49")</f>
        <v>0</v>
      </c>
      <c r="AD29" s="258">
        <f ca="1">INDIRECT("'"&amp;(VLOOKUP('CSL Inst Appx'!$A27,Reference!$A:$B,2))&amp;"'!AD49")</f>
        <v>0</v>
      </c>
      <c r="AE29" s="258">
        <f ca="1">INDIRECT("'"&amp;(VLOOKUP('CSL Inst Appx'!$A27,Reference!$A:$B,2))&amp;"'!AE49")</f>
        <v>0</v>
      </c>
      <c r="AF29" s="258">
        <f ca="1">INDIRECT("'"&amp;(VLOOKUP('CSL Inst Appx'!$A27,Reference!$A:$B,2))&amp;"'!AF49")</f>
        <v>0</v>
      </c>
      <c r="AG29" s="258">
        <f ca="1">INDIRECT("'"&amp;(VLOOKUP('CSL Inst Appx'!$A27,Reference!$A:$B,2))&amp;"'!AG49")</f>
        <v>0</v>
      </c>
      <c r="AH29" s="273">
        <f t="shared" ca="1" si="6"/>
        <v>35.5</v>
      </c>
    </row>
    <row r="30" spans="1:34" s="261" customFormat="1" ht="16.5" thickBot="1">
      <c r="A30" s="259" t="str">
        <f>Navigation!$A30</f>
        <v>EXECUTIVE ASSISTANT DIPLOMA</v>
      </c>
      <c r="B30" s="260" t="str">
        <f ca="1">INDIRECT("'"&amp;(VLOOKUP('CSL Inst Appx'!$A28,Reference!$A:$B,2))&amp;"'!D3")</f>
        <v>ZLG7</v>
      </c>
      <c r="C30" s="260" t="str">
        <f ca="1">RIGHT(INDIRECT("'"&amp;(VLOOKUP('CSL Inst Appx'!$A28,Reference!$A:$B,2))&amp;"'!G4"),4)</f>
        <v>1222</v>
      </c>
      <c r="D30" s="260">
        <f ca="1">INDIRECT("'"&amp;(VLOOKUP('CSL Inst Appx'!$A28,Reference!$A:$B,2))&amp;"'!I41")</f>
        <v>971</v>
      </c>
      <c r="E30" s="260">
        <f ca="1">INDIRECT("'"&amp;(VLOOKUP('CSL Inst Appx'!$A28,Reference!$A:$B,2))&amp;"'!C44")</f>
        <v>88</v>
      </c>
      <c r="F30" s="30">
        <f ca="1">INDIRECT("'"&amp;(VLOOKUP('CSL Inst Appx'!$A28,Reference!$A:$B,2))&amp;"'!C42")</f>
        <v>0</v>
      </c>
      <c r="G30" s="31">
        <f t="shared" ca="1" si="0"/>
        <v>1059</v>
      </c>
      <c r="H30" s="32">
        <f ca="1">INDIRECT("'"&amp;(VLOOKUP('CSL Inst Appx'!$A28,Reference!$A:$B,2))&amp;"'!H41")</f>
        <v>14334</v>
      </c>
      <c r="I30" s="33">
        <f t="shared" ca="1" si="1"/>
        <v>13.54</v>
      </c>
      <c r="J30" s="34">
        <f t="shared" ca="1" si="2"/>
        <v>12.299999999999999</v>
      </c>
      <c r="K30" s="29">
        <f t="shared" ca="1" si="3"/>
        <v>53</v>
      </c>
      <c r="L30" s="34">
        <f t="shared" ca="1" si="4"/>
        <v>9.7999999999999989</v>
      </c>
      <c r="M30" s="29">
        <f t="shared" ca="1" si="5"/>
        <v>43</v>
      </c>
      <c r="N30" s="257">
        <f ca="1">INDIRECT("'"&amp;(VLOOKUP('CSL Inst Appx'!$A28,Reference!$A:$B,2))&amp;"'!N49")</f>
        <v>5.5</v>
      </c>
      <c r="O30" s="258">
        <f ca="1">INDIRECT("'"&amp;(VLOOKUP('CSL Inst Appx'!$A28,Reference!$A:$B,2))&amp;"'!O49")</f>
        <v>5.5</v>
      </c>
      <c r="P30" s="258">
        <f ca="1">INDIRECT("'"&amp;(VLOOKUP('CSL Inst Appx'!$A28,Reference!$A:$B,2))&amp;"'!P49")</f>
        <v>5</v>
      </c>
      <c r="Q30" s="258">
        <f ca="1">INDIRECT("'"&amp;(VLOOKUP('CSL Inst Appx'!$A28,Reference!$A:$B,2))&amp;"'!Q49")</f>
        <v>3.5</v>
      </c>
      <c r="R30" s="258">
        <f ca="1">INDIRECT("'"&amp;(VLOOKUP('CSL Inst Appx'!$A28,Reference!$A:$B,2))&amp;"'!R49")</f>
        <v>1.5</v>
      </c>
      <c r="S30" s="258">
        <f ca="1">INDIRECT("'"&amp;(VLOOKUP('CSL Inst Appx'!$A28,Reference!$A:$B,2))&amp;"'!S49")</f>
        <v>4</v>
      </c>
      <c r="T30" s="258">
        <f ca="1">INDIRECT("'"&amp;(VLOOKUP('CSL Inst Appx'!$A28,Reference!$A:$B,2))&amp;"'!T49")</f>
        <v>0</v>
      </c>
      <c r="U30" s="258">
        <f ca="1">INDIRECT("'"&amp;(VLOOKUP('CSL Inst Appx'!$A28,Reference!$A:$B,2))&amp;"'!U49")</f>
        <v>2</v>
      </c>
      <c r="V30" s="258">
        <f ca="1">INDIRECT("'"&amp;(VLOOKUP('CSL Inst Appx'!$A28,Reference!$A:$B,2))&amp;"'!V49")</f>
        <v>8</v>
      </c>
      <c r="W30" s="258">
        <f ca="1">INDIRECT("'"&amp;(VLOOKUP('CSL Inst Appx'!$A28,Reference!$A:$B,2))&amp;"'!W49")</f>
        <v>0</v>
      </c>
      <c r="X30" s="258">
        <f ca="1">INDIRECT("'"&amp;(VLOOKUP('CSL Inst Appx'!$A28,Reference!$A:$B,2))&amp;"'!X49")</f>
        <v>0</v>
      </c>
      <c r="Y30" s="258">
        <f ca="1">INDIRECT("'"&amp;(VLOOKUP('CSL Inst Appx'!$A28,Reference!$A:$B,2))&amp;"'!Y49")</f>
        <v>0</v>
      </c>
      <c r="Z30" s="258">
        <f ca="1">INDIRECT("'"&amp;(VLOOKUP('CSL Inst Appx'!$A28,Reference!$A:$B,2))&amp;"'!Z49")</f>
        <v>0</v>
      </c>
      <c r="AA30" s="258">
        <f ca="1">INDIRECT("'"&amp;(VLOOKUP('CSL Inst Appx'!$A28,Reference!$A:$B,2))&amp;"'!AA49")</f>
        <v>0</v>
      </c>
      <c r="AB30" s="258">
        <f ca="1">INDIRECT("'"&amp;(VLOOKUP('CSL Inst Appx'!$A28,Reference!$A:$B,2))&amp;"'!AB49")</f>
        <v>2.5</v>
      </c>
      <c r="AC30" s="258">
        <f ca="1">INDIRECT("'"&amp;(VLOOKUP('CSL Inst Appx'!$A28,Reference!$A:$B,2))&amp;"'!AC49")</f>
        <v>0</v>
      </c>
      <c r="AD30" s="258">
        <f ca="1">INDIRECT("'"&amp;(VLOOKUP('CSL Inst Appx'!$A28,Reference!$A:$B,2))&amp;"'!AD49")</f>
        <v>0</v>
      </c>
      <c r="AE30" s="258">
        <f ca="1">INDIRECT("'"&amp;(VLOOKUP('CSL Inst Appx'!$A28,Reference!$A:$B,2))&amp;"'!AE49")</f>
        <v>0</v>
      </c>
      <c r="AF30" s="258">
        <f ca="1">INDIRECT("'"&amp;(VLOOKUP('CSL Inst Appx'!$A28,Reference!$A:$B,2))&amp;"'!AF49")</f>
        <v>4.5</v>
      </c>
      <c r="AG30" s="258">
        <f ca="1">INDIRECT("'"&amp;(VLOOKUP('CSL Inst Appx'!$A28,Reference!$A:$B,2))&amp;"'!AG49")</f>
        <v>0</v>
      </c>
      <c r="AH30" s="273">
        <f t="shared" ca="1" si="6"/>
        <v>42</v>
      </c>
    </row>
    <row r="31" spans="1:34" s="261" customFormat="1" ht="16.5" thickBot="1">
      <c r="A31" s="259" t="str">
        <f>Navigation!$A31</f>
        <v>GRAPHIC DESIGNER DIPLOMA</v>
      </c>
      <c r="B31" s="260" t="str">
        <f ca="1">INDIRECT("'"&amp;(VLOOKUP('CSL Inst Appx'!$A29,Reference!$A:$B,2))&amp;"'!D3")</f>
        <v>XBG7</v>
      </c>
      <c r="C31" s="260" t="str">
        <f ca="1">RIGHT(INDIRECT("'"&amp;(VLOOKUP('CSL Inst Appx'!$A29,Reference!$A:$B,2))&amp;"'!G4"),4)</f>
        <v>5241</v>
      </c>
      <c r="D31" s="260">
        <f ca="1">INDIRECT("'"&amp;(VLOOKUP('CSL Inst Appx'!$A29,Reference!$A:$B,2))&amp;"'!I41")</f>
        <v>1020</v>
      </c>
      <c r="E31" s="260">
        <f ca="1">INDIRECT("'"&amp;(VLOOKUP('CSL Inst Appx'!$A29,Reference!$A:$B,2))&amp;"'!C44")</f>
        <v>68</v>
      </c>
      <c r="F31" s="30">
        <f ca="1">INDIRECT("'"&amp;(VLOOKUP('CSL Inst Appx'!$A29,Reference!$A:$B,2))&amp;"'!C42")</f>
        <v>0</v>
      </c>
      <c r="G31" s="31">
        <f t="shared" ca="1" si="0"/>
        <v>1088</v>
      </c>
      <c r="H31" s="32">
        <f ca="1">INDIRECT("'"&amp;(VLOOKUP('CSL Inst Appx'!$A29,Reference!$A:$B,2))&amp;"'!H41")</f>
        <v>16396</v>
      </c>
      <c r="I31" s="33">
        <f t="shared" ca="1" si="1"/>
        <v>15.07</v>
      </c>
      <c r="J31" s="34">
        <f t="shared" ca="1" si="2"/>
        <v>12.6</v>
      </c>
      <c r="K31" s="29">
        <f t="shared" ca="1" si="3"/>
        <v>55</v>
      </c>
      <c r="L31" s="34">
        <f t="shared" ca="1" si="4"/>
        <v>10.1</v>
      </c>
      <c r="M31" s="29">
        <f t="shared" ca="1" si="5"/>
        <v>44</v>
      </c>
      <c r="N31" s="257">
        <f ca="1">INDIRECT("'"&amp;(VLOOKUP('CSL Inst Appx'!$A29,Reference!$A:$B,2))&amp;"'!N49")</f>
        <v>2.5</v>
      </c>
      <c r="O31" s="258">
        <f ca="1">INDIRECT("'"&amp;(VLOOKUP('CSL Inst Appx'!$A29,Reference!$A:$B,2))&amp;"'!O49")</f>
        <v>3.5</v>
      </c>
      <c r="P31" s="258">
        <f ca="1">INDIRECT("'"&amp;(VLOOKUP('CSL Inst Appx'!$A29,Reference!$A:$B,2))&amp;"'!P49")</f>
        <v>1.5</v>
      </c>
      <c r="Q31" s="258">
        <f ca="1">INDIRECT("'"&amp;(VLOOKUP('CSL Inst Appx'!$A29,Reference!$A:$B,2))&amp;"'!Q49")</f>
        <v>1.5</v>
      </c>
      <c r="R31" s="258">
        <f ca="1">INDIRECT("'"&amp;(VLOOKUP('CSL Inst Appx'!$A29,Reference!$A:$B,2))&amp;"'!R49")</f>
        <v>0</v>
      </c>
      <c r="S31" s="258">
        <f ca="1">INDIRECT("'"&amp;(VLOOKUP('CSL Inst Appx'!$A29,Reference!$A:$B,2))&amp;"'!S49")</f>
        <v>2.5</v>
      </c>
      <c r="T31" s="258">
        <f ca="1">INDIRECT("'"&amp;(VLOOKUP('CSL Inst Appx'!$A29,Reference!$A:$B,2))&amp;"'!T49")</f>
        <v>0</v>
      </c>
      <c r="U31" s="258">
        <f ca="1">INDIRECT("'"&amp;(VLOOKUP('CSL Inst Appx'!$A29,Reference!$A:$B,2))&amp;"'!U49")</f>
        <v>1</v>
      </c>
      <c r="V31" s="258">
        <f ca="1">INDIRECT("'"&amp;(VLOOKUP('CSL Inst Appx'!$A29,Reference!$A:$B,2))&amp;"'!V49")</f>
        <v>9</v>
      </c>
      <c r="W31" s="258">
        <f ca="1">INDIRECT("'"&amp;(VLOOKUP('CSL Inst Appx'!$A29,Reference!$A:$B,2))&amp;"'!W49")</f>
        <v>0</v>
      </c>
      <c r="X31" s="258">
        <f ca="1">INDIRECT("'"&amp;(VLOOKUP('CSL Inst Appx'!$A29,Reference!$A:$B,2))&amp;"'!X49")</f>
        <v>0</v>
      </c>
      <c r="Y31" s="258">
        <f ca="1">INDIRECT("'"&amp;(VLOOKUP('CSL Inst Appx'!$A29,Reference!$A:$B,2))&amp;"'!Y49")</f>
        <v>0</v>
      </c>
      <c r="Z31" s="258">
        <f ca="1">INDIRECT("'"&amp;(VLOOKUP('CSL Inst Appx'!$A29,Reference!$A:$B,2))&amp;"'!Z49")</f>
        <v>0</v>
      </c>
      <c r="AA31" s="258">
        <f ca="1">INDIRECT("'"&amp;(VLOOKUP('CSL Inst Appx'!$A29,Reference!$A:$B,2))&amp;"'!AA49")</f>
        <v>0</v>
      </c>
      <c r="AB31" s="258">
        <f ca="1">INDIRECT("'"&amp;(VLOOKUP('CSL Inst Appx'!$A29,Reference!$A:$B,2))&amp;"'!AB49")</f>
        <v>2.5</v>
      </c>
      <c r="AC31" s="258">
        <f ca="1">INDIRECT("'"&amp;(VLOOKUP('CSL Inst Appx'!$A29,Reference!$A:$B,2))&amp;"'!AC49")</f>
        <v>0</v>
      </c>
      <c r="AD31" s="258">
        <f ca="1">INDIRECT("'"&amp;(VLOOKUP('CSL Inst Appx'!$A29,Reference!$A:$B,2))&amp;"'!AD49")</f>
        <v>0</v>
      </c>
      <c r="AE31" s="258">
        <f ca="1">INDIRECT("'"&amp;(VLOOKUP('CSL Inst Appx'!$A29,Reference!$A:$B,2))&amp;"'!AE49")</f>
        <v>0</v>
      </c>
      <c r="AF31" s="258">
        <f ca="1">INDIRECT("'"&amp;(VLOOKUP('CSL Inst Appx'!$A29,Reference!$A:$B,2))&amp;"'!AF49")</f>
        <v>24</v>
      </c>
      <c r="AG31" s="258">
        <f ca="1">INDIRECT("'"&amp;(VLOOKUP('CSL Inst Appx'!$A29,Reference!$A:$B,2))&amp;"'!AG49")</f>
        <v>0</v>
      </c>
      <c r="AH31" s="273">
        <f t="shared" ca="1" si="6"/>
        <v>48</v>
      </c>
    </row>
    <row r="32" spans="1:34" s="261" customFormat="1" ht="16.5" thickBot="1">
      <c r="A32" s="259" t="str">
        <f>Navigation!$A32</f>
        <v>HUMAN RESOURCES ADMINISTRATION CERTIFICATE</v>
      </c>
      <c r="B32" s="260" t="str">
        <f ca="1">INDIRECT("'"&amp;(VLOOKUP('CSL Inst Appx'!$A30,Reference!$A:$B,2))&amp;"'!D3")</f>
        <v>ZPE8</v>
      </c>
      <c r="C32" s="260" t="str">
        <f ca="1">RIGHT(INDIRECT("'"&amp;(VLOOKUP('CSL Inst Appx'!$A30,Reference!$A:$B,2))&amp;"'!G4"),4)</f>
        <v>1223</v>
      </c>
      <c r="D32" s="260">
        <f ca="1">INDIRECT("'"&amp;(VLOOKUP('CSL Inst Appx'!$A30,Reference!$A:$B,2))&amp;"'!I41")</f>
        <v>587</v>
      </c>
      <c r="E32" s="260">
        <f ca="1">INDIRECT("'"&amp;(VLOOKUP('CSL Inst Appx'!$A30,Reference!$A:$B,2))&amp;"'!C44")</f>
        <v>53</v>
      </c>
      <c r="F32" s="30">
        <f ca="1">INDIRECT("'"&amp;(VLOOKUP('CSL Inst Appx'!$A30,Reference!$A:$B,2))&amp;"'!C42")</f>
        <v>0</v>
      </c>
      <c r="G32" s="31">
        <f t="shared" ca="1" si="0"/>
        <v>640</v>
      </c>
      <c r="H32" s="32">
        <f ca="1">INDIRECT("'"&amp;(VLOOKUP('CSL Inst Appx'!$A30,Reference!$A:$B,2))&amp;"'!H41")</f>
        <v>8468</v>
      </c>
      <c r="I32" s="33">
        <f t="shared" ca="1" si="1"/>
        <v>13.24</v>
      </c>
      <c r="J32" s="34">
        <f t="shared" ca="1" si="2"/>
        <v>7.3999999999999995</v>
      </c>
      <c r="K32" s="29">
        <f t="shared" ca="1" si="3"/>
        <v>32</v>
      </c>
      <c r="L32" s="34">
        <f t="shared" ca="1" si="4"/>
        <v>6</v>
      </c>
      <c r="M32" s="29">
        <f t="shared" ca="1" si="5"/>
        <v>26</v>
      </c>
      <c r="N32" s="257">
        <f ca="1">INDIRECT("'"&amp;(VLOOKUP('CSL Inst Appx'!$A30,Reference!$A:$B,2))&amp;"'!N49")</f>
        <v>3</v>
      </c>
      <c r="O32" s="258">
        <f ca="1">INDIRECT("'"&amp;(VLOOKUP('CSL Inst Appx'!$A30,Reference!$A:$B,2))&amp;"'!O49")</f>
        <v>2.5</v>
      </c>
      <c r="P32" s="258">
        <f ca="1">INDIRECT("'"&amp;(VLOOKUP('CSL Inst Appx'!$A30,Reference!$A:$B,2))&amp;"'!P49")</f>
        <v>3.5</v>
      </c>
      <c r="Q32" s="258">
        <f ca="1">INDIRECT("'"&amp;(VLOOKUP('CSL Inst Appx'!$A30,Reference!$A:$B,2))&amp;"'!Q49")</f>
        <v>1.5</v>
      </c>
      <c r="R32" s="258">
        <f ca="1">INDIRECT("'"&amp;(VLOOKUP('CSL Inst Appx'!$A30,Reference!$A:$B,2))&amp;"'!R49")</f>
        <v>1.5</v>
      </c>
      <c r="S32" s="258">
        <f ca="1">INDIRECT("'"&amp;(VLOOKUP('CSL Inst Appx'!$A30,Reference!$A:$B,2))&amp;"'!S49")</f>
        <v>0</v>
      </c>
      <c r="T32" s="258">
        <f ca="1">INDIRECT("'"&amp;(VLOOKUP('CSL Inst Appx'!$A30,Reference!$A:$B,2))&amp;"'!T49")</f>
        <v>4</v>
      </c>
      <c r="U32" s="258">
        <f ca="1">INDIRECT("'"&amp;(VLOOKUP('CSL Inst Appx'!$A30,Reference!$A:$B,2))&amp;"'!U49")</f>
        <v>1</v>
      </c>
      <c r="V32" s="258">
        <f ca="1">INDIRECT("'"&amp;(VLOOKUP('CSL Inst Appx'!$A30,Reference!$A:$B,2))&amp;"'!V49")</f>
        <v>9</v>
      </c>
      <c r="W32" s="258">
        <f ca="1">INDIRECT("'"&amp;(VLOOKUP('CSL Inst Appx'!$A30,Reference!$A:$B,2))&amp;"'!W49")</f>
        <v>0</v>
      </c>
      <c r="X32" s="258">
        <f ca="1">INDIRECT("'"&amp;(VLOOKUP('CSL Inst Appx'!$A30,Reference!$A:$B,2))&amp;"'!X49")</f>
        <v>0</v>
      </c>
      <c r="Y32" s="258">
        <f ca="1">INDIRECT("'"&amp;(VLOOKUP('CSL Inst Appx'!$A30,Reference!$A:$B,2))&amp;"'!Y49")</f>
        <v>0</v>
      </c>
      <c r="Z32" s="258">
        <f ca="1">INDIRECT("'"&amp;(VLOOKUP('CSL Inst Appx'!$A30,Reference!$A:$B,2))&amp;"'!Z49")</f>
        <v>0</v>
      </c>
      <c r="AA32" s="258">
        <f ca="1">INDIRECT("'"&amp;(VLOOKUP('CSL Inst Appx'!$A30,Reference!$A:$B,2))&amp;"'!AA49")</f>
        <v>0</v>
      </c>
      <c r="AB32" s="258">
        <f ca="1">INDIRECT("'"&amp;(VLOOKUP('CSL Inst Appx'!$A30,Reference!$A:$B,2))&amp;"'!AB49")</f>
        <v>1.5</v>
      </c>
      <c r="AC32" s="258">
        <f ca="1">INDIRECT("'"&amp;(VLOOKUP('CSL Inst Appx'!$A30,Reference!$A:$B,2))&amp;"'!AC49")</f>
        <v>0</v>
      </c>
      <c r="AD32" s="258">
        <f ca="1">INDIRECT("'"&amp;(VLOOKUP('CSL Inst Appx'!$A30,Reference!$A:$B,2))&amp;"'!AD49")</f>
        <v>0</v>
      </c>
      <c r="AE32" s="258">
        <f ca="1">INDIRECT("'"&amp;(VLOOKUP('CSL Inst Appx'!$A30,Reference!$A:$B,2))&amp;"'!AE49")</f>
        <v>0</v>
      </c>
      <c r="AF32" s="258">
        <f ca="1">INDIRECT("'"&amp;(VLOOKUP('CSL Inst Appx'!$A30,Reference!$A:$B,2))&amp;"'!AF49")</f>
        <v>0</v>
      </c>
      <c r="AG32" s="258">
        <f ca="1">INDIRECT("'"&amp;(VLOOKUP('CSL Inst Appx'!$A30,Reference!$A:$B,2))&amp;"'!AG49")</f>
        <v>0</v>
      </c>
      <c r="AH32" s="273">
        <f t="shared" ca="1" si="6"/>
        <v>27.5</v>
      </c>
    </row>
    <row r="33" spans="1:34" s="261" customFormat="1" ht="16.5" thickBot="1">
      <c r="A33" s="259" t="str">
        <f>Navigation!$A33</f>
        <v>MARKETING ADMINISTRATIVE ASSISTANT CERTIFICATE</v>
      </c>
      <c r="B33" s="260" t="str">
        <f ca="1">INDIRECT("'"&amp;(VLOOKUP('CSL Inst Appx'!$A31,Reference!$A:$B,2))&amp;"'!D3")</f>
        <v>ZCZ8</v>
      </c>
      <c r="C33" s="260" t="str">
        <f ca="1">RIGHT(INDIRECT("'"&amp;(VLOOKUP('CSL Inst Appx'!$A31,Reference!$A:$B,2))&amp;"'!G4"),4)</f>
        <v>1411</v>
      </c>
      <c r="D33" s="260">
        <f ca="1">INDIRECT("'"&amp;(VLOOKUP('CSL Inst Appx'!$A31,Reference!$A:$B,2))&amp;"'!I41")</f>
        <v>697</v>
      </c>
      <c r="E33" s="260">
        <f ca="1">INDIRECT("'"&amp;(VLOOKUP('CSL Inst Appx'!$A31,Reference!$A:$B,2))&amp;"'!C44")</f>
        <v>63</v>
      </c>
      <c r="F33" s="30">
        <f ca="1">INDIRECT("'"&amp;(VLOOKUP('CSL Inst Appx'!$A31,Reference!$A:$B,2))&amp;"'!C42")</f>
        <v>0</v>
      </c>
      <c r="G33" s="31">
        <f t="shared" ca="1" si="0"/>
        <v>760</v>
      </c>
      <c r="H33" s="32">
        <f ca="1">INDIRECT("'"&amp;(VLOOKUP('CSL Inst Appx'!$A31,Reference!$A:$B,2))&amp;"'!H41")</f>
        <v>10655</v>
      </c>
      <c r="I33" s="33">
        <f t="shared" ca="1" si="1"/>
        <v>14.02</v>
      </c>
      <c r="J33" s="34">
        <f t="shared" ca="1" si="2"/>
        <v>8.7999999999999989</v>
      </c>
      <c r="K33" s="29">
        <f t="shared" ca="1" si="3"/>
        <v>38</v>
      </c>
      <c r="L33" s="34">
        <f t="shared" ca="1" si="4"/>
        <v>7.1</v>
      </c>
      <c r="M33" s="29">
        <f t="shared" ca="1" si="5"/>
        <v>31</v>
      </c>
      <c r="N33" s="257">
        <f ca="1">INDIRECT("'"&amp;(VLOOKUP('CSL Inst Appx'!$A31,Reference!$A:$B,2))&amp;"'!N49")</f>
        <v>1.5</v>
      </c>
      <c r="O33" s="258">
        <f ca="1">INDIRECT("'"&amp;(VLOOKUP('CSL Inst Appx'!$A31,Reference!$A:$B,2))&amp;"'!O49")</f>
        <v>2.5</v>
      </c>
      <c r="P33" s="258">
        <f ca="1">INDIRECT("'"&amp;(VLOOKUP('CSL Inst Appx'!$A31,Reference!$A:$B,2))&amp;"'!P49")</f>
        <v>3.5</v>
      </c>
      <c r="Q33" s="258">
        <f ca="1">INDIRECT("'"&amp;(VLOOKUP('CSL Inst Appx'!$A31,Reference!$A:$B,2))&amp;"'!Q49")</f>
        <v>1.5</v>
      </c>
      <c r="R33" s="258">
        <f ca="1">INDIRECT("'"&amp;(VLOOKUP('CSL Inst Appx'!$A31,Reference!$A:$B,2))&amp;"'!R49")</f>
        <v>0</v>
      </c>
      <c r="S33" s="258">
        <f ca="1">INDIRECT("'"&amp;(VLOOKUP('CSL Inst Appx'!$A31,Reference!$A:$B,2))&amp;"'!S49")</f>
        <v>4</v>
      </c>
      <c r="T33" s="258">
        <f ca="1">INDIRECT("'"&amp;(VLOOKUP('CSL Inst Appx'!$A31,Reference!$A:$B,2))&amp;"'!T49")</f>
        <v>0</v>
      </c>
      <c r="U33" s="258">
        <f ca="1">INDIRECT("'"&amp;(VLOOKUP('CSL Inst Appx'!$A31,Reference!$A:$B,2))&amp;"'!U49")</f>
        <v>1</v>
      </c>
      <c r="V33" s="258">
        <f ca="1">INDIRECT("'"&amp;(VLOOKUP('CSL Inst Appx'!$A31,Reference!$A:$B,2))&amp;"'!V49")</f>
        <v>10.5</v>
      </c>
      <c r="W33" s="258">
        <f ca="1">INDIRECT("'"&amp;(VLOOKUP('CSL Inst Appx'!$A31,Reference!$A:$B,2))&amp;"'!W49")</f>
        <v>0</v>
      </c>
      <c r="X33" s="258">
        <f ca="1">INDIRECT("'"&amp;(VLOOKUP('CSL Inst Appx'!$A31,Reference!$A:$B,2))&amp;"'!X49")</f>
        <v>0</v>
      </c>
      <c r="Y33" s="258">
        <f ca="1">INDIRECT("'"&amp;(VLOOKUP('CSL Inst Appx'!$A31,Reference!$A:$B,2))&amp;"'!Y49")</f>
        <v>0</v>
      </c>
      <c r="Z33" s="258">
        <f ca="1">INDIRECT("'"&amp;(VLOOKUP('CSL Inst Appx'!$A31,Reference!$A:$B,2))&amp;"'!Z49")</f>
        <v>0</v>
      </c>
      <c r="AA33" s="258">
        <f ca="1">INDIRECT("'"&amp;(VLOOKUP('CSL Inst Appx'!$A31,Reference!$A:$B,2))&amp;"'!AA49")</f>
        <v>0</v>
      </c>
      <c r="AB33" s="258">
        <f ca="1">INDIRECT("'"&amp;(VLOOKUP('CSL Inst Appx'!$A31,Reference!$A:$B,2))&amp;"'!AB49")</f>
        <v>1.5</v>
      </c>
      <c r="AC33" s="258">
        <f ca="1">INDIRECT("'"&amp;(VLOOKUP('CSL Inst Appx'!$A31,Reference!$A:$B,2))&amp;"'!AC49")</f>
        <v>0</v>
      </c>
      <c r="AD33" s="258">
        <f ca="1">INDIRECT("'"&amp;(VLOOKUP('CSL Inst Appx'!$A31,Reference!$A:$B,2))&amp;"'!AD49")</f>
        <v>0</v>
      </c>
      <c r="AE33" s="258">
        <f ca="1">INDIRECT("'"&amp;(VLOOKUP('CSL Inst Appx'!$A31,Reference!$A:$B,2))&amp;"'!AE49")</f>
        <v>0</v>
      </c>
      <c r="AF33" s="258">
        <f ca="1">INDIRECT("'"&amp;(VLOOKUP('CSL Inst Appx'!$A31,Reference!$A:$B,2))&amp;"'!AF49")</f>
        <v>6.5</v>
      </c>
      <c r="AG33" s="258">
        <f ca="1">INDIRECT("'"&amp;(VLOOKUP('CSL Inst Appx'!$A31,Reference!$A:$B,2))&amp;"'!AG49")</f>
        <v>0</v>
      </c>
      <c r="AH33" s="273">
        <f t="shared" ca="1" si="6"/>
        <v>32.5</v>
      </c>
    </row>
    <row r="34" spans="1:34" s="261" customFormat="1" ht="16.5" thickBot="1">
      <c r="A34" s="259" t="str">
        <f>Navigation!$A34</f>
        <v>MARKETING COORDINATOR DIPLOMA</v>
      </c>
      <c r="B34" s="260" t="str">
        <f ca="1">INDIRECT("'"&amp;(VLOOKUP('CSL Inst Appx'!$A32,Reference!$A:$B,2))&amp;"'!D3")</f>
        <v>ZDE7</v>
      </c>
      <c r="C34" s="260" t="str">
        <f ca="1">RIGHT(INDIRECT("'"&amp;(VLOOKUP('CSL Inst Appx'!$A32,Reference!$A:$B,2))&amp;"'!G4"),4)</f>
        <v>1123</v>
      </c>
      <c r="D34" s="260">
        <f ca="1">INDIRECT("'"&amp;(VLOOKUP('CSL Inst Appx'!$A32,Reference!$A:$B,2))&amp;"'!I41")</f>
        <v>868</v>
      </c>
      <c r="E34" s="260">
        <f ca="1">INDIRECT("'"&amp;(VLOOKUP('CSL Inst Appx'!$A32,Reference!$A:$B,2))&amp;"'!C44")</f>
        <v>79</v>
      </c>
      <c r="F34" s="30">
        <f ca="1">INDIRECT("'"&amp;(VLOOKUP('CSL Inst Appx'!$A32,Reference!$A:$B,2))&amp;"'!C42")</f>
        <v>0</v>
      </c>
      <c r="G34" s="31">
        <f t="shared" ca="1" si="0"/>
        <v>947</v>
      </c>
      <c r="H34" s="32">
        <f ca="1">INDIRECT("'"&amp;(VLOOKUP('CSL Inst Appx'!$A32,Reference!$A:$B,2))&amp;"'!H41")</f>
        <v>14242</v>
      </c>
      <c r="I34" s="33">
        <f t="shared" ca="1" si="1"/>
        <v>15.04</v>
      </c>
      <c r="J34" s="34">
        <f t="shared" ca="1" si="2"/>
        <v>11</v>
      </c>
      <c r="K34" s="29">
        <f t="shared" ca="1" si="3"/>
        <v>48</v>
      </c>
      <c r="L34" s="34">
        <f t="shared" ca="1" si="4"/>
        <v>8.7999999999999989</v>
      </c>
      <c r="M34" s="29">
        <f t="shared" ca="1" si="5"/>
        <v>38</v>
      </c>
      <c r="N34" s="257">
        <f ca="1">INDIRECT("'"&amp;(VLOOKUP('CSL Inst Appx'!$A32,Reference!$A:$B,2))&amp;"'!N49")</f>
        <v>0</v>
      </c>
      <c r="O34" s="258">
        <f ca="1">INDIRECT("'"&amp;(VLOOKUP('CSL Inst Appx'!$A32,Reference!$A:$B,2))&amp;"'!O49")</f>
        <v>3</v>
      </c>
      <c r="P34" s="258">
        <f ca="1">INDIRECT("'"&amp;(VLOOKUP('CSL Inst Appx'!$A32,Reference!$A:$B,2))&amp;"'!P49")</f>
        <v>0</v>
      </c>
      <c r="Q34" s="258">
        <f ca="1">INDIRECT("'"&amp;(VLOOKUP('CSL Inst Appx'!$A32,Reference!$A:$B,2))&amp;"'!Q49")</f>
        <v>0</v>
      </c>
      <c r="R34" s="258">
        <f ca="1">INDIRECT("'"&amp;(VLOOKUP('CSL Inst Appx'!$A32,Reference!$A:$B,2))&amp;"'!R49")</f>
        <v>0</v>
      </c>
      <c r="S34" s="258">
        <f ca="1">INDIRECT("'"&amp;(VLOOKUP('CSL Inst Appx'!$A32,Reference!$A:$B,2))&amp;"'!S49")</f>
        <v>4</v>
      </c>
      <c r="T34" s="258">
        <f ca="1">INDIRECT("'"&amp;(VLOOKUP('CSL Inst Appx'!$A32,Reference!$A:$B,2))&amp;"'!T49")</f>
        <v>1.5</v>
      </c>
      <c r="U34" s="258">
        <f ca="1">INDIRECT("'"&amp;(VLOOKUP('CSL Inst Appx'!$A32,Reference!$A:$B,2))&amp;"'!U49")</f>
        <v>0</v>
      </c>
      <c r="V34" s="258">
        <f ca="1">INDIRECT("'"&amp;(VLOOKUP('CSL Inst Appx'!$A32,Reference!$A:$B,2))&amp;"'!V49")</f>
        <v>22</v>
      </c>
      <c r="W34" s="258">
        <f ca="1">INDIRECT("'"&amp;(VLOOKUP('CSL Inst Appx'!$A32,Reference!$A:$B,2))&amp;"'!W49")</f>
        <v>0</v>
      </c>
      <c r="X34" s="258">
        <f ca="1">INDIRECT("'"&amp;(VLOOKUP('CSL Inst Appx'!$A32,Reference!$A:$B,2))&amp;"'!X49")</f>
        <v>0</v>
      </c>
      <c r="Y34" s="258">
        <f ca="1">INDIRECT("'"&amp;(VLOOKUP('CSL Inst Appx'!$A32,Reference!$A:$B,2))&amp;"'!Y49")</f>
        <v>0</v>
      </c>
      <c r="Z34" s="258">
        <f ca="1">INDIRECT("'"&amp;(VLOOKUP('CSL Inst Appx'!$A32,Reference!$A:$B,2))&amp;"'!Z49")</f>
        <v>0</v>
      </c>
      <c r="AA34" s="258">
        <f ca="1">INDIRECT("'"&amp;(VLOOKUP('CSL Inst Appx'!$A32,Reference!$A:$B,2))&amp;"'!AA49")</f>
        <v>0</v>
      </c>
      <c r="AB34" s="258">
        <f ca="1">INDIRECT("'"&amp;(VLOOKUP('CSL Inst Appx'!$A32,Reference!$A:$B,2))&amp;"'!AB49")</f>
        <v>2.5</v>
      </c>
      <c r="AC34" s="258">
        <f ca="1">INDIRECT("'"&amp;(VLOOKUP('CSL Inst Appx'!$A32,Reference!$A:$B,2))&amp;"'!AC49")</f>
        <v>0</v>
      </c>
      <c r="AD34" s="258">
        <f ca="1">INDIRECT("'"&amp;(VLOOKUP('CSL Inst Appx'!$A32,Reference!$A:$B,2))&amp;"'!AD49")</f>
        <v>0</v>
      </c>
      <c r="AE34" s="258">
        <f ca="1">INDIRECT("'"&amp;(VLOOKUP('CSL Inst Appx'!$A32,Reference!$A:$B,2))&amp;"'!AE49")</f>
        <v>0</v>
      </c>
      <c r="AF34" s="258">
        <f ca="1">INDIRECT("'"&amp;(VLOOKUP('CSL Inst Appx'!$A32,Reference!$A:$B,2))&amp;"'!AF49")</f>
        <v>4</v>
      </c>
      <c r="AG34" s="258">
        <f ca="1">INDIRECT("'"&amp;(VLOOKUP('CSL Inst Appx'!$A32,Reference!$A:$B,2))&amp;"'!AG49")</f>
        <v>0</v>
      </c>
      <c r="AH34" s="273">
        <f t="shared" ca="1" si="6"/>
        <v>37</v>
      </c>
    </row>
    <row r="35" spans="1:34" s="261" customFormat="1" ht="16.5" thickBot="1">
      <c r="A35" s="259" t="str">
        <f>Navigation!$A35</f>
        <v>MEDICAL ADMINISTRATIVE ASSISTANT CERTIFICATE</v>
      </c>
      <c r="B35" s="260" t="str">
        <f ca="1">INDIRECT("'"&amp;(VLOOKUP('CSL Inst Appx'!$A33,Reference!$A:$B,2))&amp;"'!D3")</f>
        <v>TES8</v>
      </c>
      <c r="C35" s="260" t="str">
        <f ca="1">RIGHT(INDIRECT("'"&amp;(VLOOKUP('CSL Inst Appx'!$A33,Reference!$A:$B,2))&amp;"'!G4"),4)</f>
        <v>1243</v>
      </c>
      <c r="D35" s="260">
        <f ca="1">INDIRECT("'"&amp;(VLOOKUP('CSL Inst Appx'!$A33,Reference!$A:$B,2))&amp;"'!I41")</f>
        <v>801</v>
      </c>
      <c r="E35" s="260">
        <f ca="1">INDIRECT("'"&amp;(VLOOKUP('CSL Inst Appx'!$A33,Reference!$A:$B,2))&amp;"'!C44")</f>
        <v>73</v>
      </c>
      <c r="F35" s="30">
        <f ca="1">INDIRECT("'"&amp;(VLOOKUP('CSL Inst Appx'!$A33,Reference!$A:$B,2))&amp;"'!C42")</f>
        <v>0</v>
      </c>
      <c r="G35" s="31">
        <f t="shared" ca="1" si="0"/>
        <v>874</v>
      </c>
      <c r="H35" s="32">
        <f ca="1">INDIRECT("'"&amp;(VLOOKUP('CSL Inst Appx'!$A33,Reference!$A:$B,2))&amp;"'!H41")</f>
        <v>10875</v>
      </c>
      <c r="I35" s="33">
        <f t="shared" ca="1" si="1"/>
        <v>12.45</v>
      </c>
      <c r="J35" s="34">
        <f t="shared" ca="1" si="2"/>
        <v>10.1</v>
      </c>
      <c r="K35" s="29">
        <f t="shared" ca="1" si="3"/>
        <v>44</v>
      </c>
      <c r="L35" s="34">
        <f t="shared" ca="1" si="4"/>
        <v>8.1</v>
      </c>
      <c r="M35" s="29">
        <f t="shared" ca="1" si="5"/>
        <v>35</v>
      </c>
      <c r="N35" s="257">
        <f ca="1">INDIRECT("'"&amp;(VLOOKUP('CSL Inst Appx'!$A33,Reference!$A:$B,2))&amp;"'!N49")</f>
        <v>4</v>
      </c>
      <c r="O35" s="258">
        <f ca="1">INDIRECT("'"&amp;(VLOOKUP('CSL Inst Appx'!$A33,Reference!$A:$B,2))&amp;"'!O49")</f>
        <v>3.5</v>
      </c>
      <c r="P35" s="258">
        <f ca="1">INDIRECT("'"&amp;(VLOOKUP('CSL Inst Appx'!$A33,Reference!$A:$B,2))&amp;"'!P49")</f>
        <v>3.5</v>
      </c>
      <c r="Q35" s="258">
        <f ca="1">INDIRECT("'"&amp;(VLOOKUP('CSL Inst Appx'!$A33,Reference!$A:$B,2))&amp;"'!Q49")</f>
        <v>3.5</v>
      </c>
      <c r="R35" s="258">
        <f ca="1">INDIRECT("'"&amp;(VLOOKUP('CSL Inst Appx'!$A33,Reference!$A:$B,2))&amp;"'!R49")</f>
        <v>1.5</v>
      </c>
      <c r="S35" s="258">
        <f ca="1">INDIRECT("'"&amp;(VLOOKUP('CSL Inst Appx'!$A33,Reference!$A:$B,2))&amp;"'!S49")</f>
        <v>0</v>
      </c>
      <c r="T35" s="258">
        <f ca="1">INDIRECT("'"&amp;(VLOOKUP('CSL Inst Appx'!$A33,Reference!$A:$B,2))&amp;"'!T49")</f>
        <v>0</v>
      </c>
      <c r="U35" s="258">
        <f ca="1">INDIRECT("'"&amp;(VLOOKUP('CSL Inst Appx'!$A33,Reference!$A:$B,2))&amp;"'!U49")</f>
        <v>1</v>
      </c>
      <c r="V35" s="258">
        <f ca="1">INDIRECT("'"&amp;(VLOOKUP('CSL Inst Appx'!$A33,Reference!$A:$B,2))&amp;"'!V49")</f>
        <v>6</v>
      </c>
      <c r="W35" s="258">
        <f ca="1">INDIRECT("'"&amp;(VLOOKUP('CSL Inst Appx'!$A33,Reference!$A:$B,2))&amp;"'!W49")</f>
        <v>0</v>
      </c>
      <c r="X35" s="258">
        <f ca="1">INDIRECT("'"&amp;(VLOOKUP('CSL Inst Appx'!$A33,Reference!$A:$B,2))&amp;"'!X49")</f>
        <v>0</v>
      </c>
      <c r="Y35" s="258">
        <f ca="1">INDIRECT("'"&amp;(VLOOKUP('CSL Inst Appx'!$A33,Reference!$A:$B,2))&amp;"'!Y49")</f>
        <v>0</v>
      </c>
      <c r="Z35" s="258">
        <f ca="1">INDIRECT("'"&amp;(VLOOKUP('CSL Inst Appx'!$A33,Reference!$A:$B,2))&amp;"'!Z49")</f>
        <v>1</v>
      </c>
      <c r="AA35" s="258">
        <f ca="1">INDIRECT("'"&amp;(VLOOKUP('CSL Inst Appx'!$A33,Reference!$A:$B,2))&amp;"'!AA49")</f>
        <v>0</v>
      </c>
      <c r="AB35" s="258">
        <f ca="1">INDIRECT("'"&amp;(VLOOKUP('CSL Inst Appx'!$A33,Reference!$A:$B,2))&amp;"'!AB49")</f>
        <v>1.5</v>
      </c>
      <c r="AC35" s="258">
        <f ca="1">INDIRECT("'"&amp;(VLOOKUP('CSL Inst Appx'!$A33,Reference!$A:$B,2))&amp;"'!AC49")</f>
        <v>0</v>
      </c>
      <c r="AD35" s="258">
        <f ca="1">INDIRECT("'"&amp;(VLOOKUP('CSL Inst Appx'!$A33,Reference!$A:$B,2))&amp;"'!AD49")</f>
        <v>0</v>
      </c>
      <c r="AE35" s="258">
        <f ca="1">INDIRECT("'"&amp;(VLOOKUP('CSL Inst Appx'!$A33,Reference!$A:$B,2))&amp;"'!AE49")</f>
        <v>9</v>
      </c>
      <c r="AF35" s="258">
        <f ca="1">INDIRECT("'"&amp;(VLOOKUP('CSL Inst Appx'!$A33,Reference!$A:$B,2))&amp;"'!AF49")</f>
        <v>0</v>
      </c>
      <c r="AG35" s="258">
        <f ca="1">INDIRECT("'"&amp;(VLOOKUP('CSL Inst Appx'!$A33,Reference!$A:$B,2))&amp;"'!AG49")</f>
        <v>0</v>
      </c>
      <c r="AH35" s="273">
        <f t="shared" ca="1" si="6"/>
        <v>34.5</v>
      </c>
    </row>
    <row r="36" spans="1:34" s="261" customFormat="1" ht="16.5" thickBot="1">
      <c r="A36" s="259" t="str">
        <f>Navigation!$A36</f>
        <v>MEDICAL OFFICE ASSISTANT DIPLOMA</v>
      </c>
      <c r="B36" s="260" t="str">
        <f ca="1">INDIRECT("'"&amp;(VLOOKUP('CSL Inst Appx'!$A34,Reference!$A:$B,2))&amp;"'!D3")</f>
        <v>TFZ7</v>
      </c>
      <c r="C36" s="260" t="str">
        <f ca="1">RIGHT(INDIRECT("'"&amp;(VLOOKUP('CSL Inst Appx'!$A34,Reference!$A:$B,2))&amp;"'!G4"),4)</f>
        <v>1243</v>
      </c>
      <c r="D36" s="260">
        <f ca="1">INDIRECT("'"&amp;(VLOOKUP('CSL Inst Appx'!$A34,Reference!$A:$B,2))&amp;"'!I41")</f>
        <v>973</v>
      </c>
      <c r="E36" s="260">
        <f ca="1">INDIRECT("'"&amp;(VLOOKUP('CSL Inst Appx'!$A34,Reference!$A:$B,2))&amp;"'!C44")</f>
        <v>35</v>
      </c>
      <c r="F36" s="30">
        <f ca="1">INDIRECT("'"&amp;(VLOOKUP('CSL Inst Appx'!$A34,Reference!$A:$B,2))&amp;"'!C42")</f>
        <v>0</v>
      </c>
      <c r="G36" s="31">
        <f t="shared" ca="1" si="0"/>
        <v>1008</v>
      </c>
      <c r="H36" s="32">
        <f ca="1">INDIRECT("'"&amp;(VLOOKUP('CSL Inst Appx'!$A34,Reference!$A:$B,2))&amp;"'!H41")</f>
        <v>14133</v>
      </c>
      <c r="I36" s="33">
        <f t="shared" ca="1" si="1"/>
        <v>14.03</v>
      </c>
      <c r="J36" s="34">
        <f t="shared" ca="1" si="2"/>
        <v>11.7</v>
      </c>
      <c r="K36" s="29">
        <f t="shared" ca="1" si="3"/>
        <v>51</v>
      </c>
      <c r="L36" s="34">
        <f t="shared" ca="1" si="4"/>
        <v>9.4</v>
      </c>
      <c r="M36" s="29">
        <f t="shared" ca="1" si="5"/>
        <v>41</v>
      </c>
      <c r="N36" s="257">
        <f ca="1">INDIRECT("'"&amp;(VLOOKUP('CSL Inst Appx'!$A34,Reference!$A:$B,2))&amp;"'!N49")</f>
        <v>4</v>
      </c>
      <c r="O36" s="258">
        <f ca="1">INDIRECT("'"&amp;(VLOOKUP('CSL Inst Appx'!$A34,Reference!$A:$B,2))&amp;"'!O49")</f>
        <v>1.5</v>
      </c>
      <c r="P36" s="258">
        <f ca="1">INDIRECT("'"&amp;(VLOOKUP('CSL Inst Appx'!$A34,Reference!$A:$B,2))&amp;"'!P49")</f>
        <v>5</v>
      </c>
      <c r="Q36" s="258">
        <f ca="1">INDIRECT("'"&amp;(VLOOKUP('CSL Inst Appx'!$A34,Reference!$A:$B,2))&amp;"'!Q49")</f>
        <v>1.5</v>
      </c>
      <c r="R36" s="258">
        <f ca="1">INDIRECT("'"&amp;(VLOOKUP('CSL Inst Appx'!$A34,Reference!$A:$B,2))&amp;"'!R49")</f>
        <v>1.5</v>
      </c>
      <c r="S36" s="258">
        <f ca="1">INDIRECT("'"&amp;(VLOOKUP('CSL Inst Appx'!$A34,Reference!$A:$B,2))&amp;"'!S49")</f>
        <v>0</v>
      </c>
      <c r="T36" s="258">
        <f ca="1">INDIRECT("'"&amp;(VLOOKUP('CSL Inst Appx'!$A34,Reference!$A:$B,2))&amp;"'!T49")</f>
        <v>0</v>
      </c>
      <c r="U36" s="258">
        <f ca="1">INDIRECT("'"&amp;(VLOOKUP('CSL Inst Appx'!$A34,Reference!$A:$B,2))&amp;"'!U49")</f>
        <v>1</v>
      </c>
      <c r="V36" s="258">
        <f ca="1">INDIRECT("'"&amp;(VLOOKUP('CSL Inst Appx'!$A34,Reference!$A:$B,2))&amp;"'!V49")</f>
        <v>1.5</v>
      </c>
      <c r="W36" s="258">
        <f ca="1">INDIRECT("'"&amp;(VLOOKUP('CSL Inst Appx'!$A34,Reference!$A:$B,2))&amp;"'!W49")</f>
        <v>0</v>
      </c>
      <c r="X36" s="258">
        <f ca="1">INDIRECT("'"&amp;(VLOOKUP('CSL Inst Appx'!$A34,Reference!$A:$B,2))&amp;"'!X49")</f>
        <v>0</v>
      </c>
      <c r="Y36" s="258">
        <f ca="1">INDIRECT("'"&amp;(VLOOKUP('CSL Inst Appx'!$A34,Reference!$A:$B,2))&amp;"'!Y49")</f>
        <v>0</v>
      </c>
      <c r="Z36" s="258">
        <f ca="1">INDIRECT("'"&amp;(VLOOKUP('CSL Inst Appx'!$A34,Reference!$A:$B,2))&amp;"'!Z49")</f>
        <v>0</v>
      </c>
      <c r="AA36" s="258">
        <f ca="1">INDIRECT("'"&amp;(VLOOKUP('CSL Inst Appx'!$A34,Reference!$A:$B,2))&amp;"'!AA49")</f>
        <v>4</v>
      </c>
      <c r="AB36" s="258">
        <f ca="1">INDIRECT("'"&amp;(VLOOKUP('CSL Inst Appx'!$A34,Reference!$A:$B,2))&amp;"'!AB49")</f>
        <v>2.5</v>
      </c>
      <c r="AC36" s="258">
        <f ca="1">INDIRECT("'"&amp;(VLOOKUP('CSL Inst Appx'!$A34,Reference!$A:$B,2))&amp;"'!AC49")</f>
        <v>0</v>
      </c>
      <c r="AD36" s="258">
        <f ca="1">INDIRECT("'"&amp;(VLOOKUP('CSL Inst Appx'!$A34,Reference!$A:$B,2))&amp;"'!AD49")</f>
        <v>0</v>
      </c>
      <c r="AE36" s="258">
        <f ca="1">INDIRECT("'"&amp;(VLOOKUP('CSL Inst Appx'!$A34,Reference!$A:$B,2))&amp;"'!AE49")</f>
        <v>24</v>
      </c>
      <c r="AF36" s="258">
        <f ca="1">INDIRECT("'"&amp;(VLOOKUP('CSL Inst Appx'!$A34,Reference!$A:$B,2))&amp;"'!AF49")</f>
        <v>0</v>
      </c>
      <c r="AG36" s="258">
        <f ca="1">INDIRECT("'"&amp;(VLOOKUP('CSL Inst Appx'!$A34,Reference!$A:$B,2))&amp;"'!AG49")</f>
        <v>0</v>
      </c>
      <c r="AH36" s="273">
        <f t="shared" ca="1" si="6"/>
        <v>46.5</v>
      </c>
    </row>
    <row r="37" spans="1:34" s="261" customFormat="1" ht="16.5" thickBot="1">
      <c r="A37" s="259" t="str">
        <f>Navigation!$A37</f>
        <v>MEDICAL OFFICE ASSISTANT DIPLOMA W/ UNIT CLERK</v>
      </c>
      <c r="B37" s="260" t="str">
        <f ca="1">INDIRECT("'"&amp;(VLOOKUP('CSL Inst Appx'!$A35,Reference!$A:$B,2))&amp;"'!D3")</f>
        <v>TGE7</v>
      </c>
      <c r="C37" s="260" t="str">
        <f ca="1">RIGHT(INDIRECT("'"&amp;(VLOOKUP('CSL Inst Appx'!$A35,Reference!$A:$B,2))&amp;"'!G4"),4)</f>
        <v>1243</v>
      </c>
      <c r="D37" s="260">
        <f ca="1">INDIRECT("'"&amp;(VLOOKUP('CSL Inst Appx'!$A35,Reference!$A:$B,2))&amp;"'!I41")</f>
        <v>1269</v>
      </c>
      <c r="E37" s="260">
        <f ca="1">INDIRECT("'"&amp;(VLOOKUP('CSL Inst Appx'!$A35,Reference!$A:$B,2))&amp;"'!C44")</f>
        <v>33</v>
      </c>
      <c r="F37" s="30">
        <f ca="1">INDIRECT("'"&amp;(VLOOKUP('CSL Inst Appx'!$A35,Reference!$A:$B,2))&amp;"'!C42")</f>
        <v>0</v>
      </c>
      <c r="G37" s="31">
        <f t="shared" ca="1" si="0"/>
        <v>1302</v>
      </c>
      <c r="H37" s="32">
        <f ca="1">INDIRECT("'"&amp;(VLOOKUP('CSL Inst Appx'!$A35,Reference!$A:$B,2))&amp;"'!H41")</f>
        <v>16455</v>
      </c>
      <c r="I37" s="33">
        <f t="shared" ca="1" si="1"/>
        <v>12.64</v>
      </c>
      <c r="J37" s="34">
        <f t="shared" ca="1" si="2"/>
        <v>15.1</v>
      </c>
      <c r="K37" s="29">
        <f t="shared" ca="1" si="3"/>
        <v>66</v>
      </c>
      <c r="L37" s="34">
        <f t="shared" ca="1" si="4"/>
        <v>12.1</v>
      </c>
      <c r="M37" s="29">
        <f t="shared" ca="1" si="5"/>
        <v>53</v>
      </c>
      <c r="N37" s="257">
        <f ca="1">INDIRECT("'"&amp;(VLOOKUP('CSL Inst Appx'!$A35,Reference!$A:$B,2))&amp;"'!N49")</f>
        <v>4</v>
      </c>
      <c r="O37" s="258">
        <f ca="1">INDIRECT("'"&amp;(VLOOKUP('CSL Inst Appx'!$A35,Reference!$A:$B,2))&amp;"'!O49")</f>
        <v>1.5</v>
      </c>
      <c r="P37" s="258">
        <f ca="1">INDIRECT("'"&amp;(VLOOKUP('CSL Inst Appx'!$A35,Reference!$A:$B,2))&amp;"'!P49")</f>
        <v>5</v>
      </c>
      <c r="Q37" s="258">
        <f ca="1">INDIRECT("'"&amp;(VLOOKUP('CSL Inst Appx'!$A35,Reference!$A:$B,2))&amp;"'!Q49")</f>
        <v>1.5</v>
      </c>
      <c r="R37" s="258">
        <f ca="1">INDIRECT("'"&amp;(VLOOKUP('CSL Inst Appx'!$A35,Reference!$A:$B,2))&amp;"'!R49")</f>
        <v>1.5</v>
      </c>
      <c r="S37" s="258">
        <f ca="1">INDIRECT("'"&amp;(VLOOKUP('CSL Inst Appx'!$A35,Reference!$A:$B,2))&amp;"'!S49")</f>
        <v>0</v>
      </c>
      <c r="T37" s="258">
        <f ca="1">INDIRECT("'"&amp;(VLOOKUP('CSL Inst Appx'!$A35,Reference!$A:$B,2))&amp;"'!T49")</f>
        <v>0</v>
      </c>
      <c r="U37" s="258">
        <f ca="1">INDIRECT("'"&amp;(VLOOKUP('CSL Inst Appx'!$A35,Reference!$A:$B,2))&amp;"'!U49")</f>
        <v>1</v>
      </c>
      <c r="V37" s="258">
        <f ca="1">INDIRECT("'"&amp;(VLOOKUP('CSL Inst Appx'!$A35,Reference!$A:$B,2))&amp;"'!V49")</f>
        <v>1.5</v>
      </c>
      <c r="W37" s="258">
        <f ca="1">INDIRECT("'"&amp;(VLOOKUP('CSL Inst Appx'!$A35,Reference!$A:$B,2))&amp;"'!W49")</f>
        <v>0</v>
      </c>
      <c r="X37" s="258">
        <f ca="1">INDIRECT("'"&amp;(VLOOKUP('CSL Inst Appx'!$A35,Reference!$A:$B,2))&amp;"'!X49")</f>
        <v>0</v>
      </c>
      <c r="Y37" s="258">
        <f ca="1">INDIRECT("'"&amp;(VLOOKUP('CSL Inst Appx'!$A35,Reference!$A:$B,2))&amp;"'!Y49")</f>
        <v>0</v>
      </c>
      <c r="Z37" s="258">
        <f ca="1">INDIRECT("'"&amp;(VLOOKUP('CSL Inst Appx'!$A35,Reference!$A:$B,2))&amp;"'!Z49")</f>
        <v>0</v>
      </c>
      <c r="AA37" s="258">
        <f ca="1">INDIRECT("'"&amp;(VLOOKUP('CSL Inst Appx'!$A35,Reference!$A:$B,2))&amp;"'!AA49")</f>
        <v>5.5</v>
      </c>
      <c r="AB37" s="258">
        <f ca="1">INDIRECT("'"&amp;(VLOOKUP('CSL Inst Appx'!$A35,Reference!$A:$B,2))&amp;"'!AB49")</f>
        <v>2.5</v>
      </c>
      <c r="AC37" s="258">
        <f ca="1">INDIRECT("'"&amp;(VLOOKUP('CSL Inst Appx'!$A35,Reference!$A:$B,2))&amp;"'!AC49")</f>
        <v>0</v>
      </c>
      <c r="AD37" s="258">
        <f ca="1">INDIRECT("'"&amp;(VLOOKUP('CSL Inst Appx'!$A35,Reference!$A:$B,2))&amp;"'!AD49")</f>
        <v>0</v>
      </c>
      <c r="AE37" s="258">
        <f ca="1">INDIRECT("'"&amp;(VLOOKUP('CSL Inst Appx'!$A35,Reference!$A:$B,2))&amp;"'!AE49")</f>
        <v>39</v>
      </c>
      <c r="AF37" s="258">
        <f ca="1">INDIRECT("'"&amp;(VLOOKUP('CSL Inst Appx'!$A35,Reference!$A:$B,2))&amp;"'!AF49")</f>
        <v>0</v>
      </c>
      <c r="AG37" s="258">
        <f ca="1">INDIRECT("'"&amp;(VLOOKUP('CSL Inst Appx'!$A35,Reference!$A:$B,2))&amp;"'!AG49")</f>
        <v>0</v>
      </c>
      <c r="AH37" s="273">
        <f t="shared" ca="1" si="6"/>
        <v>63</v>
      </c>
    </row>
    <row r="38" spans="1:34" s="261" customFormat="1" ht="16.5" thickBot="1">
      <c r="A38" s="259" t="str">
        <f>Navigation!$A38</f>
        <v>MEDICAL OFFICE FRONT DESK ASSISTANT CERTIFICATE</v>
      </c>
      <c r="B38" s="260" t="str">
        <f ca="1">INDIRECT("'"&amp;(VLOOKUP('CSL Inst Appx'!$A36,Reference!$A:$B,2))&amp;"'!D3")</f>
        <v>TER8</v>
      </c>
      <c r="C38" s="260" t="str">
        <f ca="1">RIGHT(INDIRECT("'"&amp;(VLOOKUP('CSL Inst Appx'!$A36,Reference!$A:$B,2))&amp;"'!G4"),4)</f>
        <v>1243</v>
      </c>
      <c r="D38" s="260">
        <f ca="1">INDIRECT("'"&amp;(VLOOKUP('CSL Inst Appx'!$A36,Reference!$A:$B,2))&amp;"'!I41")</f>
        <v>526</v>
      </c>
      <c r="E38" s="260">
        <f ca="1">INDIRECT("'"&amp;(VLOOKUP('CSL Inst Appx'!$A36,Reference!$A:$B,2))&amp;"'!C44")</f>
        <v>48</v>
      </c>
      <c r="F38" s="30">
        <f ca="1">INDIRECT("'"&amp;(VLOOKUP('CSL Inst Appx'!$A36,Reference!$A:$B,2))&amp;"'!C42")</f>
        <v>0</v>
      </c>
      <c r="G38" s="31">
        <f t="shared" ca="1" si="0"/>
        <v>574</v>
      </c>
      <c r="H38" s="32">
        <f ca="1">INDIRECT("'"&amp;(VLOOKUP('CSL Inst Appx'!$A36,Reference!$A:$B,2))&amp;"'!H41")</f>
        <v>7048</v>
      </c>
      <c r="I38" s="33">
        <f t="shared" ca="1" si="1"/>
        <v>12.28</v>
      </c>
      <c r="J38" s="34">
        <f t="shared" ca="1" si="2"/>
        <v>6.6999999999999993</v>
      </c>
      <c r="K38" s="29">
        <f t="shared" ca="1" si="3"/>
        <v>29</v>
      </c>
      <c r="L38" s="34">
        <f t="shared" ca="1" si="4"/>
        <v>5.3999999999999995</v>
      </c>
      <c r="M38" s="29">
        <f t="shared" ca="1" si="5"/>
        <v>23</v>
      </c>
      <c r="N38" s="257">
        <f ca="1">INDIRECT("'"&amp;(VLOOKUP('CSL Inst Appx'!$A36,Reference!$A:$B,2))&amp;"'!N49")</f>
        <v>4</v>
      </c>
      <c r="O38" s="258">
        <f ca="1">INDIRECT("'"&amp;(VLOOKUP('CSL Inst Appx'!$A36,Reference!$A:$B,2))&amp;"'!O49")</f>
        <v>1.5</v>
      </c>
      <c r="P38" s="258">
        <f ca="1">INDIRECT("'"&amp;(VLOOKUP('CSL Inst Appx'!$A36,Reference!$A:$B,2))&amp;"'!P49")</f>
        <v>1.5</v>
      </c>
      <c r="Q38" s="258">
        <f ca="1">INDIRECT("'"&amp;(VLOOKUP('CSL Inst Appx'!$A36,Reference!$A:$B,2))&amp;"'!Q49")</f>
        <v>1.5</v>
      </c>
      <c r="R38" s="258">
        <f ca="1">INDIRECT("'"&amp;(VLOOKUP('CSL Inst Appx'!$A36,Reference!$A:$B,2))&amp;"'!R49")</f>
        <v>0</v>
      </c>
      <c r="S38" s="258">
        <f ca="1">INDIRECT("'"&amp;(VLOOKUP('CSL Inst Appx'!$A36,Reference!$A:$B,2))&amp;"'!S49")</f>
        <v>0</v>
      </c>
      <c r="T38" s="258">
        <f ca="1">INDIRECT("'"&amp;(VLOOKUP('CSL Inst Appx'!$A36,Reference!$A:$B,2))&amp;"'!T49")</f>
        <v>0</v>
      </c>
      <c r="U38" s="258">
        <f ca="1">INDIRECT("'"&amp;(VLOOKUP('CSL Inst Appx'!$A36,Reference!$A:$B,2))&amp;"'!U49")</f>
        <v>1</v>
      </c>
      <c r="V38" s="258">
        <f ca="1">INDIRECT("'"&amp;(VLOOKUP('CSL Inst Appx'!$A36,Reference!$A:$B,2))&amp;"'!V49")</f>
        <v>0</v>
      </c>
      <c r="W38" s="258">
        <f ca="1">INDIRECT("'"&amp;(VLOOKUP('CSL Inst Appx'!$A36,Reference!$A:$B,2))&amp;"'!W49")</f>
        <v>0</v>
      </c>
      <c r="X38" s="258">
        <f ca="1">INDIRECT("'"&amp;(VLOOKUP('CSL Inst Appx'!$A36,Reference!$A:$B,2))&amp;"'!X49")</f>
        <v>0</v>
      </c>
      <c r="Y38" s="258">
        <f ca="1">INDIRECT("'"&amp;(VLOOKUP('CSL Inst Appx'!$A36,Reference!$A:$B,2))&amp;"'!Y49")</f>
        <v>0</v>
      </c>
      <c r="Z38" s="258">
        <f ca="1">INDIRECT("'"&amp;(VLOOKUP('CSL Inst Appx'!$A36,Reference!$A:$B,2))&amp;"'!Z49")</f>
        <v>0</v>
      </c>
      <c r="AA38" s="258">
        <f ca="1">INDIRECT("'"&amp;(VLOOKUP('CSL Inst Appx'!$A36,Reference!$A:$B,2))&amp;"'!AA49")</f>
        <v>0</v>
      </c>
      <c r="AB38" s="258">
        <f ca="1">INDIRECT("'"&amp;(VLOOKUP('CSL Inst Appx'!$A36,Reference!$A:$B,2))&amp;"'!AB49")</f>
        <v>1.5</v>
      </c>
      <c r="AC38" s="258">
        <f ca="1">INDIRECT("'"&amp;(VLOOKUP('CSL Inst Appx'!$A36,Reference!$A:$B,2))&amp;"'!AC49")</f>
        <v>0</v>
      </c>
      <c r="AD38" s="258">
        <f ca="1">INDIRECT("'"&amp;(VLOOKUP('CSL Inst Appx'!$A36,Reference!$A:$B,2))&amp;"'!AD49")</f>
        <v>0</v>
      </c>
      <c r="AE38" s="258">
        <f ca="1">INDIRECT("'"&amp;(VLOOKUP('CSL Inst Appx'!$A36,Reference!$A:$B,2))&amp;"'!AE49")</f>
        <v>13.5</v>
      </c>
      <c r="AF38" s="258">
        <f ca="1">INDIRECT("'"&amp;(VLOOKUP('CSL Inst Appx'!$A36,Reference!$A:$B,2))&amp;"'!AF49")</f>
        <v>0</v>
      </c>
      <c r="AG38" s="258">
        <f ca="1">INDIRECT("'"&amp;(VLOOKUP('CSL Inst Appx'!$A36,Reference!$A:$B,2))&amp;"'!AG49")</f>
        <v>0</v>
      </c>
      <c r="AH38" s="273">
        <f t="shared" ca="1" si="6"/>
        <v>24.5</v>
      </c>
    </row>
    <row r="39" spans="1:34" s="261" customFormat="1" ht="16.5" thickBot="1">
      <c r="A39" s="259" t="str">
        <f>Navigation!$A39</f>
        <v>MICROSOFT CERTIFIED SOLUTIONS ASSOCIATE: SERVER CERT.</v>
      </c>
      <c r="B39" s="260" t="str">
        <f ca="1">INDIRECT("'"&amp;(VLOOKUP('CSL Inst Appx'!$A37,Reference!$A:$B,2))&amp;"'!D3")</f>
        <v>UJA8</v>
      </c>
      <c r="C39" s="260" t="str">
        <f ca="1">RIGHT(INDIRECT("'"&amp;(VLOOKUP('CSL Inst Appx'!$A37,Reference!$A:$B,2))&amp;"'!G4"),4)</f>
        <v>2281</v>
      </c>
      <c r="D39" s="260">
        <f ca="1">INDIRECT("'"&amp;(VLOOKUP('CSL Inst Appx'!$A37,Reference!$A:$B,2))&amp;"'!I41")</f>
        <v>382</v>
      </c>
      <c r="E39" s="260">
        <f ca="1">INDIRECT("'"&amp;(VLOOKUP('CSL Inst Appx'!$A37,Reference!$A:$B,2))&amp;"'!C44")</f>
        <v>35</v>
      </c>
      <c r="F39" s="30">
        <f ca="1">INDIRECT("'"&amp;(VLOOKUP('CSL Inst Appx'!$A37,Reference!$A:$B,2))&amp;"'!C42")</f>
        <v>0</v>
      </c>
      <c r="G39" s="31">
        <f t="shared" ca="1" si="0"/>
        <v>417</v>
      </c>
      <c r="H39" s="32">
        <f ca="1">INDIRECT("'"&amp;(VLOOKUP('CSL Inst Appx'!$A37,Reference!$A:$B,2))&amp;"'!H41")</f>
        <v>5624</v>
      </c>
      <c r="I39" s="33">
        <f t="shared" ca="1" si="1"/>
        <v>13.49</v>
      </c>
      <c r="J39" s="34">
        <f t="shared" ca="1" si="2"/>
        <v>4.8999999999999995</v>
      </c>
      <c r="K39" s="29">
        <f t="shared" ca="1" si="3"/>
        <v>21</v>
      </c>
      <c r="L39" s="34">
        <f t="shared" ca="1" si="4"/>
        <v>3.9</v>
      </c>
      <c r="M39" s="29">
        <f t="shared" ca="1" si="5"/>
        <v>17</v>
      </c>
      <c r="N39" s="257">
        <f ca="1">INDIRECT("'"&amp;(VLOOKUP('CSL Inst Appx'!$A37,Reference!$A:$B,2))&amp;"'!N49")</f>
        <v>0</v>
      </c>
      <c r="O39" s="258">
        <f ca="1">INDIRECT("'"&amp;(VLOOKUP('CSL Inst Appx'!$A37,Reference!$A:$B,2))&amp;"'!O49")</f>
        <v>0</v>
      </c>
      <c r="P39" s="258">
        <f ca="1">INDIRECT("'"&amp;(VLOOKUP('CSL Inst Appx'!$A37,Reference!$A:$B,2))&amp;"'!P49")</f>
        <v>0</v>
      </c>
      <c r="Q39" s="258">
        <f ca="1">INDIRECT("'"&amp;(VLOOKUP('CSL Inst Appx'!$A37,Reference!$A:$B,2))&amp;"'!Q49")</f>
        <v>0</v>
      </c>
      <c r="R39" s="258">
        <f ca="1">INDIRECT("'"&amp;(VLOOKUP('CSL Inst Appx'!$A37,Reference!$A:$B,2))&amp;"'!R49")</f>
        <v>0</v>
      </c>
      <c r="S39" s="258">
        <f ca="1">INDIRECT("'"&amp;(VLOOKUP('CSL Inst Appx'!$A37,Reference!$A:$B,2))&amp;"'!S49")</f>
        <v>0</v>
      </c>
      <c r="T39" s="258">
        <f ca="1">INDIRECT("'"&amp;(VLOOKUP('CSL Inst Appx'!$A37,Reference!$A:$B,2))&amp;"'!T49")</f>
        <v>0</v>
      </c>
      <c r="U39" s="258">
        <f ca="1">INDIRECT("'"&amp;(VLOOKUP('CSL Inst Appx'!$A37,Reference!$A:$B,2))&amp;"'!U49")</f>
        <v>0</v>
      </c>
      <c r="V39" s="258">
        <f ca="1">INDIRECT("'"&amp;(VLOOKUP('CSL Inst Appx'!$A37,Reference!$A:$B,2))&amp;"'!V49")</f>
        <v>0</v>
      </c>
      <c r="W39" s="258">
        <f ca="1">INDIRECT("'"&amp;(VLOOKUP('CSL Inst Appx'!$A37,Reference!$A:$B,2))&amp;"'!W49")</f>
        <v>0</v>
      </c>
      <c r="X39" s="258">
        <f ca="1">INDIRECT("'"&amp;(VLOOKUP('CSL Inst Appx'!$A37,Reference!$A:$B,2))&amp;"'!X49")</f>
        <v>0</v>
      </c>
      <c r="Y39" s="258">
        <f ca="1">INDIRECT("'"&amp;(VLOOKUP('CSL Inst Appx'!$A37,Reference!$A:$B,2))&amp;"'!Y49")</f>
        <v>0</v>
      </c>
      <c r="Z39" s="258">
        <f ca="1">INDIRECT("'"&amp;(VLOOKUP('CSL Inst Appx'!$A37,Reference!$A:$B,2))&amp;"'!Z49")</f>
        <v>0</v>
      </c>
      <c r="AA39" s="258">
        <f ca="1">INDIRECT("'"&amp;(VLOOKUP('CSL Inst Appx'!$A37,Reference!$A:$B,2))&amp;"'!AA49")</f>
        <v>0</v>
      </c>
      <c r="AB39" s="258">
        <f ca="1">INDIRECT("'"&amp;(VLOOKUP('CSL Inst Appx'!$A37,Reference!$A:$B,2))&amp;"'!AB49")</f>
        <v>0</v>
      </c>
      <c r="AC39" s="258">
        <f ca="1">INDIRECT("'"&amp;(VLOOKUP('CSL Inst Appx'!$A37,Reference!$A:$B,2))&amp;"'!AC49")</f>
        <v>15</v>
      </c>
      <c r="AD39" s="258">
        <f ca="1">INDIRECT("'"&amp;(VLOOKUP('CSL Inst Appx'!$A37,Reference!$A:$B,2))&amp;"'!AD49")</f>
        <v>0</v>
      </c>
      <c r="AE39" s="258">
        <f ca="1">INDIRECT("'"&amp;(VLOOKUP('CSL Inst Appx'!$A37,Reference!$A:$B,2))&amp;"'!AE49")</f>
        <v>0</v>
      </c>
      <c r="AF39" s="258">
        <f ca="1">INDIRECT("'"&amp;(VLOOKUP('CSL Inst Appx'!$A37,Reference!$A:$B,2))&amp;"'!AF49")</f>
        <v>0</v>
      </c>
      <c r="AG39" s="258">
        <f ca="1">INDIRECT("'"&amp;(VLOOKUP('CSL Inst Appx'!$A37,Reference!$A:$B,2))&amp;"'!AG49")</f>
        <v>0</v>
      </c>
      <c r="AH39" s="273">
        <f t="shared" ca="1" si="6"/>
        <v>15</v>
      </c>
    </row>
    <row r="40" spans="1:34" s="261" customFormat="1" ht="16.5" thickBot="1">
      <c r="A40" s="259" t="str">
        <f>Navigation!$A40</f>
        <v>MICROSOFT CERTIFIED SOLUTIONS ASSOCIATE: WINDOWS</v>
      </c>
      <c r="B40" s="260" t="str">
        <f ca="1">INDIRECT("'"&amp;(VLOOKUP('CSL Inst Appx'!$A38,Reference!$A:$B,2))&amp;"'!D3")</f>
        <v>UJA8</v>
      </c>
      <c r="C40" s="260" t="str">
        <f ca="1">RIGHT(INDIRECT("'"&amp;(VLOOKUP('CSL Inst Appx'!$A38,Reference!$A:$B,2))&amp;"'!G4"),4)</f>
        <v>2281</v>
      </c>
      <c r="D40" s="260">
        <f ca="1">INDIRECT("'"&amp;(VLOOKUP('CSL Inst Appx'!$A38,Reference!$A:$B,2))&amp;"'!I41")</f>
        <v>382</v>
      </c>
      <c r="E40" s="260">
        <f ca="1">INDIRECT("'"&amp;(VLOOKUP('CSL Inst Appx'!$A38,Reference!$A:$B,2))&amp;"'!C44")</f>
        <v>35</v>
      </c>
      <c r="F40" s="30">
        <f ca="1">INDIRECT("'"&amp;(VLOOKUP('CSL Inst Appx'!$A38,Reference!$A:$B,2))&amp;"'!C42")</f>
        <v>0</v>
      </c>
      <c r="G40" s="31">
        <f t="shared" ca="1" si="0"/>
        <v>417</v>
      </c>
      <c r="H40" s="32">
        <f ca="1">INDIRECT("'"&amp;(VLOOKUP('CSL Inst Appx'!$A38,Reference!$A:$B,2))&amp;"'!H41")</f>
        <v>5624</v>
      </c>
      <c r="I40" s="33">
        <f t="shared" ca="1" si="1"/>
        <v>13.49</v>
      </c>
      <c r="J40" s="34">
        <f t="shared" ca="1" si="2"/>
        <v>4.8999999999999995</v>
      </c>
      <c r="K40" s="29">
        <f t="shared" ca="1" si="3"/>
        <v>21</v>
      </c>
      <c r="L40" s="34">
        <f t="shared" ca="1" si="4"/>
        <v>3.9</v>
      </c>
      <c r="M40" s="29">
        <f t="shared" ca="1" si="5"/>
        <v>17</v>
      </c>
      <c r="N40" s="257">
        <f ca="1">INDIRECT("'"&amp;(VLOOKUP('CSL Inst Appx'!$A38,Reference!$A:$B,2))&amp;"'!N49")</f>
        <v>0</v>
      </c>
      <c r="O40" s="258">
        <f ca="1">INDIRECT("'"&amp;(VLOOKUP('CSL Inst Appx'!$A38,Reference!$A:$B,2))&amp;"'!O49")</f>
        <v>0</v>
      </c>
      <c r="P40" s="258">
        <f ca="1">INDIRECT("'"&amp;(VLOOKUP('CSL Inst Appx'!$A38,Reference!$A:$B,2))&amp;"'!P49")</f>
        <v>0</v>
      </c>
      <c r="Q40" s="258">
        <f ca="1">INDIRECT("'"&amp;(VLOOKUP('CSL Inst Appx'!$A38,Reference!$A:$B,2))&amp;"'!Q49")</f>
        <v>0</v>
      </c>
      <c r="R40" s="258">
        <f ca="1">INDIRECT("'"&amp;(VLOOKUP('CSL Inst Appx'!$A38,Reference!$A:$B,2))&amp;"'!R49")</f>
        <v>0</v>
      </c>
      <c r="S40" s="258">
        <f ca="1">INDIRECT("'"&amp;(VLOOKUP('CSL Inst Appx'!$A38,Reference!$A:$B,2))&amp;"'!S49")</f>
        <v>0</v>
      </c>
      <c r="T40" s="258">
        <f ca="1">INDIRECT("'"&amp;(VLOOKUP('CSL Inst Appx'!$A38,Reference!$A:$B,2))&amp;"'!T49")</f>
        <v>0</v>
      </c>
      <c r="U40" s="258">
        <f ca="1">INDIRECT("'"&amp;(VLOOKUP('CSL Inst Appx'!$A38,Reference!$A:$B,2))&amp;"'!U49")</f>
        <v>0</v>
      </c>
      <c r="V40" s="258">
        <f ca="1">INDIRECT("'"&amp;(VLOOKUP('CSL Inst Appx'!$A38,Reference!$A:$B,2))&amp;"'!V49")</f>
        <v>0</v>
      </c>
      <c r="W40" s="258">
        <f ca="1">INDIRECT("'"&amp;(VLOOKUP('CSL Inst Appx'!$A38,Reference!$A:$B,2))&amp;"'!W49")</f>
        <v>0</v>
      </c>
      <c r="X40" s="258">
        <f ca="1">INDIRECT("'"&amp;(VLOOKUP('CSL Inst Appx'!$A38,Reference!$A:$B,2))&amp;"'!X49")</f>
        <v>0</v>
      </c>
      <c r="Y40" s="258">
        <f ca="1">INDIRECT("'"&amp;(VLOOKUP('CSL Inst Appx'!$A38,Reference!$A:$B,2))&amp;"'!Y49")</f>
        <v>0</v>
      </c>
      <c r="Z40" s="258">
        <f ca="1">INDIRECT("'"&amp;(VLOOKUP('CSL Inst Appx'!$A38,Reference!$A:$B,2))&amp;"'!Z49")</f>
        <v>0</v>
      </c>
      <c r="AA40" s="258">
        <f ca="1">INDIRECT("'"&amp;(VLOOKUP('CSL Inst Appx'!$A38,Reference!$A:$B,2))&amp;"'!AA49")</f>
        <v>0</v>
      </c>
      <c r="AB40" s="258">
        <f ca="1">INDIRECT("'"&amp;(VLOOKUP('CSL Inst Appx'!$A38,Reference!$A:$B,2))&amp;"'!AB49")</f>
        <v>0</v>
      </c>
      <c r="AC40" s="258">
        <f ca="1">INDIRECT("'"&amp;(VLOOKUP('CSL Inst Appx'!$A38,Reference!$A:$B,2))&amp;"'!AC49")</f>
        <v>15</v>
      </c>
      <c r="AD40" s="258">
        <f ca="1">INDIRECT("'"&amp;(VLOOKUP('CSL Inst Appx'!$A38,Reference!$A:$B,2))&amp;"'!AD49")</f>
        <v>0</v>
      </c>
      <c r="AE40" s="258">
        <f ca="1">INDIRECT("'"&amp;(VLOOKUP('CSL Inst Appx'!$A38,Reference!$A:$B,2))&amp;"'!AE49")</f>
        <v>0</v>
      </c>
      <c r="AF40" s="258">
        <f ca="1">INDIRECT("'"&amp;(VLOOKUP('CSL Inst Appx'!$A38,Reference!$A:$B,2))&amp;"'!AF49")</f>
        <v>0</v>
      </c>
      <c r="AG40" s="258">
        <f ca="1">INDIRECT("'"&amp;(VLOOKUP('CSL Inst Appx'!$A38,Reference!$A:$B,2))&amp;"'!AG49")</f>
        <v>0</v>
      </c>
      <c r="AH40" s="273">
        <f t="shared" ca="1" si="6"/>
        <v>15</v>
      </c>
    </row>
    <row r="41" spans="1:34" s="261" customFormat="1" ht="16.5" thickBot="1">
      <c r="A41" s="259" t="str">
        <f>Navigation!$A41</f>
        <v>NETWORK ADMINISTRATOR DIPLOMA (SERVER 2016)</v>
      </c>
      <c r="B41" s="260" t="str">
        <f ca="1">INDIRECT("'"&amp;(VLOOKUP('CSL Inst Appx'!$A39,Reference!$A:$B,2))&amp;"'!D3")</f>
        <v>UGS7</v>
      </c>
      <c r="C41" s="260" t="str">
        <f ca="1">RIGHT(INDIRECT("'"&amp;(VLOOKUP('CSL Inst Appx'!$A39,Reference!$A:$B,2))&amp;"'!G4"),4)</f>
        <v>2281</v>
      </c>
      <c r="D41" s="260">
        <f ca="1">INDIRECT("'"&amp;(VLOOKUP('CSL Inst Appx'!$A39,Reference!$A:$B,2))&amp;"'!I41")</f>
        <v>1478</v>
      </c>
      <c r="E41" s="260">
        <f ca="1">INDIRECT("'"&amp;(VLOOKUP('CSL Inst Appx'!$A39,Reference!$A:$B,2))&amp;"'!C44")</f>
        <v>275</v>
      </c>
      <c r="F41" s="30">
        <f ca="1">INDIRECT("'"&amp;(VLOOKUP('CSL Inst Appx'!$A39,Reference!$A:$B,2))&amp;"'!C42")</f>
        <v>0</v>
      </c>
      <c r="G41" s="31">
        <f t="shared" ca="1" si="0"/>
        <v>1753</v>
      </c>
      <c r="H41" s="32">
        <f ca="1">INDIRECT("'"&amp;(VLOOKUP('CSL Inst Appx'!$A39,Reference!$A:$B,2))&amp;"'!H41")</f>
        <v>20916</v>
      </c>
      <c r="I41" s="33">
        <f t="shared" ca="1" si="1"/>
        <v>11.94</v>
      </c>
      <c r="J41" s="34">
        <f t="shared" ca="1" si="2"/>
        <v>20.3</v>
      </c>
      <c r="K41" s="29">
        <f t="shared" ca="1" si="3"/>
        <v>88</v>
      </c>
      <c r="L41" s="34">
        <f t="shared" ca="1" si="4"/>
        <v>16.200000000000003</v>
      </c>
      <c r="M41" s="29">
        <f t="shared" ca="1" si="5"/>
        <v>71</v>
      </c>
      <c r="N41" s="257">
        <f ca="1">INDIRECT("'"&amp;(VLOOKUP('CSL Inst Appx'!$A39,Reference!$A:$B,2))&amp;"'!N49")</f>
        <v>2.5</v>
      </c>
      <c r="O41" s="258">
        <f ca="1">INDIRECT("'"&amp;(VLOOKUP('CSL Inst Appx'!$A39,Reference!$A:$B,2))&amp;"'!O49")</f>
        <v>3.5</v>
      </c>
      <c r="P41" s="258">
        <f ca="1">INDIRECT("'"&amp;(VLOOKUP('CSL Inst Appx'!$A39,Reference!$A:$B,2))&amp;"'!P49")</f>
        <v>1.5</v>
      </c>
      <c r="Q41" s="258">
        <f ca="1">INDIRECT("'"&amp;(VLOOKUP('CSL Inst Appx'!$A39,Reference!$A:$B,2))&amp;"'!Q49")</f>
        <v>1.5</v>
      </c>
      <c r="R41" s="258">
        <f ca="1">INDIRECT("'"&amp;(VLOOKUP('CSL Inst Appx'!$A39,Reference!$A:$B,2))&amp;"'!R49")</f>
        <v>1.5</v>
      </c>
      <c r="S41" s="258">
        <f ca="1">INDIRECT("'"&amp;(VLOOKUP('CSL Inst Appx'!$A39,Reference!$A:$B,2))&amp;"'!S49")</f>
        <v>0</v>
      </c>
      <c r="T41" s="258">
        <f ca="1">INDIRECT("'"&amp;(VLOOKUP('CSL Inst Appx'!$A39,Reference!$A:$B,2))&amp;"'!T49")</f>
        <v>0</v>
      </c>
      <c r="U41" s="258">
        <f ca="1">INDIRECT("'"&amp;(VLOOKUP('CSL Inst Appx'!$A39,Reference!$A:$B,2))&amp;"'!U49")</f>
        <v>2</v>
      </c>
      <c r="V41" s="258">
        <f ca="1">INDIRECT("'"&amp;(VLOOKUP('CSL Inst Appx'!$A39,Reference!$A:$B,2))&amp;"'!V49")</f>
        <v>6.5</v>
      </c>
      <c r="W41" s="258">
        <f ca="1">INDIRECT("'"&amp;(VLOOKUP('CSL Inst Appx'!$A39,Reference!$A:$B,2))&amp;"'!W49")</f>
        <v>0</v>
      </c>
      <c r="X41" s="258">
        <f ca="1">INDIRECT("'"&amp;(VLOOKUP('CSL Inst Appx'!$A39,Reference!$A:$B,2))&amp;"'!X49")</f>
        <v>18</v>
      </c>
      <c r="Y41" s="258">
        <f ca="1">INDIRECT("'"&amp;(VLOOKUP('CSL Inst Appx'!$A39,Reference!$A:$B,2))&amp;"'!Y49")</f>
        <v>0</v>
      </c>
      <c r="Z41" s="258">
        <f ca="1">INDIRECT("'"&amp;(VLOOKUP('CSL Inst Appx'!$A39,Reference!$A:$B,2))&amp;"'!Z49")</f>
        <v>0</v>
      </c>
      <c r="AA41" s="258">
        <f ca="1">INDIRECT("'"&amp;(VLOOKUP('CSL Inst Appx'!$A39,Reference!$A:$B,2))&amp;"'!AA49")</f>
        <v>0</v>
      </c>
      <c r="AB41" s="258">
        <f ca="1">INDIRECT("'"&amp;(VLOOKUP('CSL Inst Appx'!$A39,Reference!$A:$B,2))&amp;"'!AB49")</f>
        <v>2.5</v>
      </c>
      <c r="AC41" s="258">
        <f ca="1">INDIRECT("'"&amp;(VLOOKUP('CSL Inst Appx'!$A39,Reference!$A:$B,2))&amp;"'!AC49")</f>
        <v>20</v>
      </c>
      <c r="AD41" s="258">
        <f ca="1">INDIRECT("'"&amp;(VLOOKUP('CSL Inst Appx'!$A39,Reference!$A:$B,2))&amp;"'!AD49")</f>
        <v>0</v>
      </c>
      <c r="AE41" s="258">
        <f ca="1">INDIRECT("'"&amp;(VLOOKUP('CSL Inst Appx'!$A39,Reference!$A:$B,2))&amp;"'!AE49")</f>
        <v>0</v>
      </c>
      <c r="AF41" s="258">
        <f ca="1">INDIRECT("'"&amp;(VLOOKUP('CSL Inst Appx'!$A39,Reference!$A:$B,2))&amp;"'!AF49")</f>
        <v>0</v>
      </c>
      <c r="AG41" s="258">
        <f ca="1">INDIRECT("'"&amp;(VLOOKUP('CSL Inst Appx'!$A39,Reference!$A:$B,2))&amp;"'!AG49")</f>
        <v>0</v>
      </c>
      <c r="AH41" s="273">
        <f t="shared" ca="1" si="6"/>
        <v>59.5</v>
      </c>
    </row>
    <row r="42" spans="1:34" s="261" customFormat="1" ht="16.5" thickBot="1">
      <c r="A42" s="259" t="str">
        <f>Navigation!$A42</f>
        <v>OFFICE ADMINISTRATION ASSISTANT CERTIFICATE</v>
      </c>
      <c r="B42" s="260" t="str">
        <f ca="1">INDIRECT("'"&amp;(VLOOKUP('CSL Inst Appx'!$A40,Reference!$A:$B,2))&amp;"'!D3")</f>
        <v>ZEL8</v>
      </c>
      <c r="C42" s="260" t="str">
        <f ca="1">RIGHT(INDIRECT("'"&amp;(VLOOKUP('CSL Inst Appx'!$A40,Reference!$A:$B,2))&amp;"'!G4"),4)</f>
        <v>1211</v>
      </c>
      <c r="D42" s="260">
        <f ca="1">INDIRECT("'"&amp;(VLOOKUP('CSL Inst Appx'!$A40,Reference!$A:$B,2))&amp;"'!I41")</f>
        <v>432</v>
      </c>
      <c r="E42" s="260">
        <f ca="1">INDIRECT("'"&amp;(VLOOKUP('CSL Inst Appx'!$A40,Reference!$A:$B,2))&amp;"'!C44")</f>
        <v>40</v>
      </c>
      <c r="F42" s="30">
        <f ca="1">INDIRECT("'"&amp;(VLOOKUP('CSL Inst Appx'!$A40,Reference!$A:$B,2))&amp;"'!C42")</f>
        <v>0</v>
      </c>
      <c r="G42" s="31">
        <f t="shared" ca="1" si="0"/>
        <v>472</v>
      </c>
      <c r="H42" s="32">
        <f ca="1">INDIRECT("'"&amp;(VLOOKUP('CSL Inst Appx'!$A40,Reference!$A:$B,2))&amp;"'!H41")</f>
        <v>6296</v>
      </c>
      <c r="I42" s="33">
        <f t="shared" ca="1" si="1"/>
        <v>13.34</v>
      </c>
      <c r="J42" s="34">
        <f t="shared" ca="1" si="2"/>
        <v>5.5</v>
      </c>
      <c r="K42" s="29">
        <f t="shared" ca="1" si="3"/>
        <v>24</v>
      </c>
      <c r="L42" s="34">
        <f t="shared" ca="1" si="4"/>
        <v>4.3999999999999995</v>
      </c>
      <c r="M42" s="29">
        <f t="shared" ca="1" si="5"/>
        <v>19</v>
      </c>
      <c r="N42" s="257">
        <f ca="1">INDIRECT("'"&amp;(VLOOKUP('CSL Inst Appx'!$A40,Reference!$A:$B,2))&amp;"'!N49")</f>
        <v>2.5</v>
      </c>
      <c r="O42" s="258">
        <f ca="1">INDIRECT("'"&amp;(VLOOKUP('CSL Inst Appx'!$A40,Reference!$A:$B,2))&amp;"'!O49")</f>
        <v>2.5</v>
      </c>
      <c r="P42" s="258">
        <f ca="1">INDIRECT("'"&amp;(VLOOKUP('CSL Inst Appx'!$A40,Reference!$A:$B,2))&amp;"'!P49")</f>
        <v>3.5</v>
      </c>
      <c r="Q42" s="258">
        <f ca="1">INDIRECT("'"&amp;(VLOOKUP('CSL Inst Appx'!$A40,Reference!$A:$B,2))&amp;"'!Q49")</f>
        <v>1.5</v>
      </c>
      <c r="R42" s="258">
        <f ca="1">INDIRECT("'"&amp;(VLOOKUP('CSL Inst Appx'!$A40,Reference!$A:$B,2))&amp;"'!R49")</f>
        <v>1.5</v>
      </c>
      <c r="S42" s="258">
        <f ca="1">INDIRECT("'"&amp;(VLOOKUP('CSL Inst Appx'!$A40,Reference!$A:$B,2))&amp;"'!S49")</f>
        <v>0</v>
      </c>
      <c r="T42" s="258">
        <f ca="1">INDIRECT("'"&amp;(VLOOKUP('CSL Inst Appx'!$A40,Reference!$A:$B,2))&amp;"'!T49")</f>
        <v>2.5</v>
      </c>
      <c r="U42" s="258">
        <f ca="1">INDIRECT("'"&amp;(VLOOKUP('CSL Inst Appx'!$A40,Reference!$A:$B,2))&amp;"'!U49")</f>
        <v>1</v>
      </c>
      <c r="V42" s="258">
        <f ca="1">INDIRECT("'"&amp;(VLOOKUP('CSL Inst Appx'!$A40,Reference!$A:$B,2))&amp;"'!V49")</f>
        <v>4</v>
      </c>
      <c r="W42" s="258">
        <f ca="1">INDIRECT("'"&amp;(VLOOKUP('CSL Inst Appx'!$A40,Reference!$A:$B,2))&amp;"'!W49")</f>
        <v>0</v>
      </c>
      <c r="X42" s="258">
        <f ca="1">INDIRECT("'"&amp;(VLOOKUP('CSL Inst Appx'!$A40,Reference!$A:$B,2))&amp;"'!X49")</f>
        <v>0</v>
      </c>
      <c r="Y42" s="258">
        <f ca="1">INDIRECT("'"&amp;(VLOOKUP('CSL Inst Appx'!$A40,Reference!$A:$B,2))&amp;"'!Y49")</f>
        <v>0</v>
      </c>
      <c r="Z42" s="258">
        <f ca="1">INDIRECT("'"&amp;(VLOOKUP('CSL Inst Appx'!$A40,Reference!$A:$B,2))&amp;"'!Z49")</f>
        <v>0</v>
      </c>
      <c r="AA42" s="258">
        <f ca="1">INDIRECT("'"&amp;(VLOOKUP('CSL Inst Appx'!$A40,Reference!$A:$B,2))&amp;"'!AA49")</f>
        <v>0</v>
      </c>
      <c r="AB42" s="258">
        <f ca="1">INDIRECT("'"&amp;(VLOOKUP('CSL Inst Appx'!$A40,Reference!$A:$B,2))&amp;"'!AB49")</f>
        <v>1.5</v>
      </c>
      <c r="AC42" s="258">
        <f ca="1">INDIRECT("'"&amp;(VLOOKUP('CSL Inst Appx'!$A40,Reference!$A:$B,2))&amp;"'!AC49")</f>
        <v>0</v>
      </c>
      <c r="AD42" s="258">
        <f ca="1">INDIRECT("'"&amp;(VLOOKUP('CSL Inst Appx'!$A40,Reference!$A:$B,2))&amp;"'!AD49")</f>
        <v>0</v>
      </c>
      <c r="AE42" s="258">
        <f ca="1">INDIRECT("'"&amp;(VLOOKUP('CSL Inst Appx'!$A40,Reference!$A:$B,2))&amp;"'!AE49")</f>
        <v>0</v>
      </c>
      <c r="AF42" s="258">
        <f ca="1">INDIRECT("'"&amp;(VLOOKUP('CSL Inst Appx'!$A40,Reference!$A:$B,2))&amp;"'!AF49")</f>
        <v>0</v>
      </c>
      <c r="AG42" s="258">
        <f ca="1">INDIRECT("'"&amp;(VLOOKUP('CSL Inst Appx'!$A40,Reference!$A:$B,2))&amp;"'!AG49")</f>
        <v>0</v>
      </c>
      <c r="AH42" s="273">
        <f t="shared" ca="1" si="6"/>
        <v>20.5</v>
      </c>
    </row>
    <row r="43" spans="1:34" s="261" customFormat="1" ht="16.5" thickBot="1">
      <c r="A43" s="259" t="str">
        <f>Navigation!$A43</f>
        <v>OFFICE ADMINISTRATION DIPLOMA</v>
      </c>
      <c r="B43" s="260" t="str">
        <f ca="1">INDIRECT("'"&amp;(VLOOKUP('CSL Inst Appx'!$A41,Reference!$A:$B,2))&amp;"'!D3")</f>
        <v>ZEY7</v>
      </c>
      <c r="C43" s="260" t="str">
        <f ca="1">RIGHT(INDIRECT("'"&amp;(VLOOKUP('CSL Inst Appx'!$A41,Reference!$A:$B,2))&amp;"'!G4"),4)</f>
        <v>1211</v>
      </c>
      <c r="D43" s="260">
        <f ca="1">INDIRECT("'"&amp;(VLOOKUP('CSL Inst Appx'!$A41,Reference!$A:$B,2))&amp;"'!I41")</f>
        <v>972</v>
      </c>
      <c r="E43" s="260">
        <f ca="1">INDIRECT("'"&amp;(VLOOKUP('CSL Inst Appx'!$A41,Reference!$A:$B,2))&amp;"'!C44")</f>
        <v>89</v>
      </c>
      <c r="F43" s="30">
        <f ca="1">INDIRECT("'"&amp;(VLOOKUP('CSL Inst Appx'!$A41,Reference!$A:$B,2))&amp;"'!C42")</f>
        <v>0</v>
      </c>
      <c r="G43" s="31">
        <f t="shared" ca="1" si="0"/>
        <v>1061</v>
      </c>
      <c r="H43" s="32">
        <f ca="1">INDIRECT("'"&amp;(VLOOKUP('CSL Inst Appx'!$A41,Reference!$A:$B,2))&amp;"'!H41")</f>
        <v>14251</v>
      </c>
      <c r="I43" s="33">
        <f t="shared" ca="1" si="1"/>
        <v>13.44</v>
      </c>
      <c r="J43" s="34">
        <f t="shared" ca="1" si="2"/>
        <v>12.299999999999999</v>
      </c>
      <c r="K43" s="29">
        <f t="shared" ca="1" si="3"/>
        <v>54</v>
      </c>
      <c r="L43" s="34">
        <f t="shared" ca="1" si="4"/>
        <v>9.9</v>
      </c>
      <c r="M43" s="29">
        <f t="shared" ca="1" si="5"/>
        <v>43</v>
      </c>
      <c r="N43" s="257">
        <f ca="1">INDIRECT("'"&amp;(VLOOKUP('CSL Inst Appx'!$A41,Reference!$A:$B,2))&amp;"'!N49")</f>
        <v>3</v>
      </c>
      <c r="O43" s="258">
        <f ca="1">INDIRECT("'"&amp;(VLOOKUP('CSL Inst Appx'!$A41,Reference!$A:$B,2))&amp;"'!O49")</f>
        <v>7</v>
      </c>
      <c r="P43" s="258">
        <f ca="1">INDIRECT("'"&amp;(VLOOKUP('CSL Inst Appx'!$A41,Reference!$A:$B,2))&amp;"'!P49")</f>
        <v>5</v>
      </c>
      <c r="Q43" s="258">
        <f ca="1">INDIRECT("'"&amp;(VLOOKUP('CSL Inst Appx'!$A41,Reference!$A:$B,2))&amp;"'!Q49")</f>
        <v>5.5</v>
      </c>
      <c r="R43" s="258">
        <f ca="1">INDIRECT("'"&amp;(VLOOKUP('CSL Inst Appx'!$A41,Reference!$A:$B,2))&amp;"'!R49")</f>
        <v>1.5</v>
      </c>
      <c r="S43" s="258">
        <f ca="1">INDIRECT("'"&amp;(VLOOKUP('CSL Inst Appx'!$A41,Reference!$A:$B,2))&amp;"'!S49")</f>
        <v>2.5</v>
      </c>
      <c r="T43" s="258">
        <f ca="1">INDIRECT("'"&amp;(VLOOKUP('CSL Inst Appx'!$A41,Reference!$A:$B,2))&amp;"'!T49")</f>
        <v>2.5</v>
      </c>
      <c r="U43" s="258">
        <f ca="1">INDIRECT("'"&amp;(VLOOKUP('CSL Inst Appx'!$A41,Reference!$A:$B,2))&amp;"'!U49")</f>
        <v>2</v>
      </c>
      <c r="V43" s="258">
        <f ca="1">INDIRECT("'"&amp;(VLOOKUP('CSL Inst Appx'!$A41,Reference!$A:$B,2))&amp;"'!V49")</f>
        <v>11</v>
      </c>
      <c r="W43" s="258">
        <f ca="1">INDIRECT("'"&amp;(VLOOKUP('CSL Inst Appx'!$A41,Reference!$A:$B,2))&amp;"'!W49")</f>
        <v>0</v>
      </c>
      <c r="X43" s="258">
        <f ca="1">INDIRECT("'"&amp;(VLOOKUP('CSL Inst Appx'!$A41,Reference!$A:$B,2))&amp;"'!X49")</f>
        <v>0</v>
      </c>
      <c r="Y43" s="258">
        <f ca="1">INDIRECT("'"&amp;(VLOOKUP('CSL Inst Appx'!$A41,Reference!$A:$B,2))&amp;"'!Y49")</f>
        <v>0</v>
      </c>
      <c r="Z43" s="258">
        <f ca="1">INDIRECT("'"&amp;(VLOOKUP('CSL Inst Appx'!$A41,Reference!$A:$B,2))&amp;"'!Z49")</f>
        <v>0</v>
      </c>
      <c r="AA43" s="258">
        <f ca="1">INDIRECT("'"&amp;(VLOOKUP('CSL Inst Appx'!$A41,Reference!$A:$B,2))&amp;"'!AA49")</f>
        <v>0</v>
      </c>
      <c r="AB43" s="258">
        <f ca="1">INDIRECT("'"&amp;(VLOOKUP('CSL Inst Appx'!$A41,Reference!$A:$B,2))&amp;"'!AB49")</f>
        <v>2.5</v>
      </c>
      <c r="AC43" s="258">
        <f ca="1">INDIRECT("'"&amp;(VLOOKUP('CSL Inst Appx'!$A41,Reference!$A:$B,2))&amp;"'!AC49")</f>
        <v>0</v>
      </c>
      <c r="AD43" s="258">
        <f ca="1">INDIRECT("'"&amp;(VLOOKUP('CSL Inst Appx'!$A41,Reference!$A:$B,2))&amp;"'!AD49")</f>
        <v>0</v>
      </c>
      <c r="AE43" s="258">
        <f ca="1">INDIRECT("'"&amp;(VLOOKUP('CSL Inst Appx'!$A41,Reference!$A:$B,2))&amp;"'!AE49")</f>
        <v>0</v>
      </c>
      <c r="AF43" s="258">
        <f ca="1">INDIRECT("'"&amp;(VLOOKUP('CSL Inst Appx'!$A41,Reference!$A:$B,2))&amp;"'!AF49")</f>
        <v>0</v>
      </c>
      <c r="AG43" s="258">
        <f ca="1">INDIRECT("'"&amp;(VLOOKUP('CSL Inst Appx'!$A41,Reference!$A:$B,2))&amp;"'!AG49")</f>
        <v>0</v>
      </c>
      <c r="AH43" s="273">
        <f t="shared" ca="1" si="6"/>
        <v>42.5</v>
      </c>
    </row>
    <row r="44" spans="1:34" s="261" customFormat="1" ht="16.5" thickBot="1">
      <c r="A44" s="259" t="str">
        <f>Navigation!$A44</f>
        <v>OFFICE CLERK CERTIFICATE</v>
      </c>
      <c r="B44" s="260" t="str">
        <f ca="1">INDIRECT("'"&amp;(VLOOKUP('CSL Inst Appx'!$A42,Reference!$A:$B,2))&amp;"'!D3")</f>
        <v>ZFA8</v>
      </c>
      <c r="C44" s="260" t="str">
        <f ca="1">RIGHT(INDIRECT("'"&amp;(VLOOKUP('CSL Inst Appx'!$A42,Reference!$A:$B,2))&amp;"'!G4"),4)</f>
        <v>1411</v>
      </c>
      <c r="D44" s="260">
        <f ca="1">INDIRECT("'"&amp;(VLOOKUP('CSL Inst Appx'!$A42,Reference!$A:$B,2))&amp;"'!I41")</f>
        <v>398</v>
      </c>
      <c r="E44" s="260">
        <f ca="1">INDIRECT("'"&amp;(VLOOKUP('CSL Inst Appx'!$A42,Reference!$A:$B,2))&amp;"'!C44")</f>
        <v>37</v>
      </c>
      <c r="F44" s="30">
        <f ca="1">INDIRECT("'"&amp;(VLOOKUP('CSL Inst Appx'!$A42,Reference!$A:$B,2))&amp;"'!C42")</f>
        <v>0</v>
      </c>
      <c r="G44" s="31">
        <f t="shared" ca="1" si="0"/>
        <v>435</v>
      </c>
      <c r="H44" s="32">
        <f ca="1">INDIRECT("'"&amp;(VLOOKUP('CSL Inst Appx'!$A42,Reference!$A:$B,2))&amp;"'!H41")</f>
        <v>5487</v>
      </c>
      <c r="I44" s="33">
        <f t="shared" ca="1" si="1"/>
        <v>12.62</v>
      </c>
      <c r="J44" s="34">
        <f t="shared" ca="1" si="2"/>
        <v>5.0999999999999996</v>
      </c>
      <c r="K44" s="29">
        <f t="shared" ca="1" si="3"/>
        <v>22</v>
      </c>
      <c r="L44" s="34">
        <f t="shared" ca="1" si="4"/>
        <v>4.0999999999999996</v>
      </c>
      <c r="M44" s="29">
        <f t="shared" ca="1" si="5"/>
        <v>18</v>
      </c>
      <c r="N44" s="257">
        <f ca="1">INDIRECT("'"&amp;(VLOOKUP('CSL Inst Appx'!$A42,Reference!$A:$B,2))&amp;"'!N49")</f>
        <v>2.5</v>
      </c>
      <c r="O44" s="258">
        <f ca="1">INDIRECT("'"&amp;(VLOOKUP('CSL Inst Appx'!$A42,Reference!$A:$B,2))&amp;"'!O49")</f>
        <v>2.5</v>
      </c>
      <c r="P44" s="258">
        <f ca="1">INDIRECT("'"&amp;(VLOOKUP('CSL Inst Appx'!$A42,Reference!$A:$B,2))&amp;"'!P49")</f>
        <v>3.5</v>
      </c>
      <c r="Q44" s="258">
        <f ca="1">INDIRECT("'"&amp;(VLOOKUP('CSL Inst Appx'!$A42,Reference!$A:$B,2))&amp;"'!Q49")</f>
        <v>3.5</v>
      </c>
      <c r="R44" s="258">
        <f ca="1">INDIRECT("'"&amp;(VLOOKUP('CSL Inst Appx'!$A42,Reference!$A:$B,2))&amp;"'!R49")</f>
        <v>1.5</v>
      </c>
      <c r="S44" s="258">
        <f ca="1">INDIRECT("'"&amp;(VLOOKUP('CSL Inst Appx'!$A42,Reference!$A:$B,2))&amp;"'!S49")</f>
        <v>0</v>
      </c>
      <c r="T44" s="258">
        <f ca="1">INDIRECT("'"&amp;(VLOOKUP('CSL Inst Appx'!$A42,Reference!$A:$B,2))&amp;"'!T49")</f>
        <v>0</v>
      </c>
      <c r="U44" s="258">
        <f ca="1">INDIRECT("'"&amp;(VLOOKUP('CSL Inst Appx'!$A42,Reference!$A:$B,2))&amp;"'!U49")</f>
        <v>1</v>
      </c>
      <c r="V44" s="258">
        <f ca="1">INDIRECT("'"&amp;(VLOOKUP('CSL Inst Appx'!$A42,Reference!$A:$B,2))&amp;"'!V49")</f>
        <v>3</v>
      </c>
      <c r="W44" s="258">
        <f ca="1">INDIRECT("'"&amp;(VLOOKUP('CSL Inst Appx'!$A42,Reference!$A:$B,2))&amp;"'!W49")</f>
        <v>0</v>
      </c>
      <c r="X44" s="258">
        <f ca="1">INDIRECT("'"&amp;(VLOOKUP('CSL Inst Appx'!$A42,Reference!$A:$B,2))&amp;"'!X49")</f>
        <v>0</v>
      </c>
      <c r="Y44" s="258">
        <f ca="1">INDIRECT("'"&amp;(VLOOKUP('CSL Inst Appx'!$A42,Reference!$A:$B,2))&amp;"'!Y49")</f>
        <v>0</v>
      </c>
      <c r="Z44" s="258">
        <f ca="1">INDIRECT("'"&amp;(VLOOKUP('CSL Inst Appx'!$A42,Reference!$A:$B,2))&amp;"'!Z49")</f>
        <v>0</v>
      </c>
      <c r="AA44" s="258">
        <f ca="1">INDIRECT("'"&amp;(VLOOKUP('CSL Inst Appx'!$A42,Reference!$A:$B,2))&amp;"'!AA49")</f>
        <v>0</v>
      </c>
      <c r="AB44" s="258">
        <f ca="1">INDIRECT("'"&amp;(VLOOKUP('CSL Inst Appx'!$A42,Reference!$A:$B,2))&amp;"'!AB49")</f>
        <v>1.5</v>
      </c>
      <c r="AC44" s="258">
        <f ca="1">INDIRECT("'"&amp;(VLOOKUP('CSL Inst Appx'!$A42,Reference!$A:$B,2))&amp;"'!AC49")</f>
        <v>0</v>
      </c>
      <c r="AD44" s="258">
        <f ca="1">INDIRECT("'"&amp;(VLOOKUP('CSL Inst Appx'!$A42,Reference!$A:$B,2))&amp;"'!AD49")</f>
        <v>0</v>
      </c>
      <c r="AE44" s="258">
        <f ca="1">INDIRECT("'"&amp;(VLOOKUP('CSL Inst Appx'!$A42,Reference!$A:$B,2))&amp;"'!AE49")</f>
        <v>0</v>
      </c>
      <c r="AF44" s="258">
        <f ca="1">INDIRECT("'"&amp;(VLOOKUP('CSL Inst Appx'!$A42,Reference!$A:$B,2))&amp;"'!AF49")</f>
        <v>0</v>
      </c>
      <c r="AG44" s="258">
        <f ca="1">INDIRECT("'"&amp;(VLOOKUP('CSL Inst Appx'!$A42,Reference!$A:$B,2))&amp;"'!AG49")</f>
        <v>0</v>
      </c>
      <c r="AH44" s="273">
        <f t="shared" ca="1" si="6"/>
        <v>19</v>
      </c>
    </row>
    <row r="45" spans="1:34" s="261" customFormat="1" ht="16.5" thickBot="1">
      <c r="A45" s="259" t="str">
        <f>Navigation!$A45</f>
        <v>PAYROLL ADMINISTRATOR CERTIFICATE</v>
      </c>
      <c r="B45" s="260" t="str">
        <f ca="1">INDIRECT("'"&amp;(VLOOKUP('CSL Inst Appx'!$A43,Reference!$A:$B,2))&amp;"'!D3")</f>
        <v>ZNW8</v>
      </c>
      <c r="C45" s="260" t="str">
        <f ca="1">RIGHT(INDIRECT("'"&amp;(VLOOKUP('CSL Inst Appx'!$A43,Reference!$A:$B,2))&amp;"'!G4"),4)</f>
        <v>1432</v>
      </c>
      <c r="D45" s="260">
        <f ca="1">INDIRECT("'"&amp;(VLOOKUP('CSL Inst Appx'!$A43,Reference!$A:$B,2))&amp;"'!I41")</f>
        <v>690</v>
      </c>
      <c r="E45" s="260">
        <f ca="1">INDIRECT("'"&amp;(VLOOKUP('CSL Inst Appx'!$A43,Reference!$A:$B,2))&amp;"'!C44")</f>
        <v>63</v>
      </c>
      <c r="F45" s="30">
        <f ca="1">INDIRECT("'"&amp;(VLOOKUP('CSL Inst Appx'!$A43,Reference!$A:$B,2))&amp;"'!C42")</f>
        <v>0</v>
      </c>
      <c r="G45" s="31">
        <f t="shared" ca="1" si="0"/>
        <v>753</v>
      </c>
      <c r="H45" s="32">
        <f ca="1">INDIRECT("'"&amp;(VLOOKUP('CSL Inst Appx'!$A43,Reference!$A:$B,2))&amp;"'!H41")</f>
        <v>10882</v>
      </c>
      <c r="I45" s="33">
        <f t="shared" ca="1" si="1"/>
        <v>14.459999999999999</v>
      </c>
      <c r="J45" s="34">
        <f t="shared" ca="1" si="2"/>
        <v>8.6999999999999993</v>
      </c>
      <c r="K45" s="29">
        <f t="shared" ca="1" si="3"/>
        <v>38</v>
      </c>
      <c r="L45" s="34">
        <f t="shared" ca="1" si="4"/>
        <v>7</v>
      </c>
      <c r="M45" s="29">
        <f t="shared" ca="1" si="5"/>
        <v>31</v>
      </c>
      <c r="N45" s="257">
        <f ca="1">INDIRECT("'"&amp;(VLOOKUP('CSL Inst Appx'!$A43,Reference!$A:$B,2))&amp;"'!N49")</f>
        <v>2.5</v>
      </c>
      <c r="O45" s="258">
        <f ca="1">INDIRECT("'"&amp;(VLOOKUP('CSL Inst Appx'!$A43,Reference!$A:$B,2))&amp;"'!O49")</f>
        <v>3.5</v>
      </c>
      <c r="P45" s="258">
        <f ca="1">INDIRECT("'"&amp;(VLOOKUP('CSL Inst Appx'!$A43,Reference!$A:$B,2))&amp;"'!P49")</f>
        <v>1.5</v>
      </c>
      <c r="Q45" s="258">
        <f ca="1">INDIRECT("'"&amp;(VLOOKUP('CSL Inst Appx'!$A43,Reference!$A:$B,2))&amp;"'!Q49")</f>
        <v>1.5</v>
      </c>
      <c r="R45" s="258">
        <f ca="1">INDIRECT("'"&amp;(VLOOKUP('CSL Inst Appx'!$A43,Reference!$A:$B,2))&amp;"'!R49")</f>
        <v>0</v>
      </c>
      <c r="S45" s="258">
        <f ca="1">INDIRECT("'"&amp;(VLOOKUP('CSL Inst Appx'!$A43,Reference!$A:$B,2))&amp;"'!S49")</f>
        <v>0</v>
      </c>
      <c r="T45" s="258">
        <f ca="1">INDIRECT("'"&amp;(VLOOKUP('CSL Inst Appx'!$A43,Reference!$A:$B,2))&amp;"'!T49")</f>
        <v>13.5</v>
      </c>
      <c r="U45" s="258">
        <f ca="1">INDIRECT("'"&amp;(VLOOKUP('CSL Inst Appx'!$A43,Reference!$A:$B,2))&amp;"'!U49")</f>
        <v>1</v>
      </c>
      <c r="V45" s="258">
        <f ca="1">INDIRECT("'"&amp;(VLOOKUP('CSL Inst Appx'!$A43,Reference!$A:$B,2))&amp;"'!V49")</f>
        <v>4.5</v>
      </c>
      <c r="W45" s="258">
        <f ca="1">INDIRECT("'"&amp;(VLOOKUP('CSL Inst Appx'!$A43,Reference!$A:$B,2))&amp;"'!W49")</f>
        <v>0</v>
      </c>
      <c r="X45" s="258">
        <f ca="1">INDIRECT("'"&amp;(VLOOKUP('CSL Inst Appx'!$A43,Reference!$A:$B,2))&amp;"'!X49")</f>
        <v>0</v>
      </c>
      <c r="Y45" s="258">
        <f ca="1">INDIRECT("'"&amp;(VLOOKUP('CSL Inst Appx'!$A43,Reference!$A:$B,2))&amp;"'!Y49")</f>
        <v>0</v>
      </c>
      <c r="Z45" s="258">
        <f ca="1">INDIRECT("'"&amp;(VLOOKUP('CSL Inst Appx'!$A43,Reference!$A:$B,2))&amp;"'!Z49")</f>
        <v>0</v>
      </c>
      <c r="AA45" s="258">
        <f ca="1">INDIRECT("'"&amp;(VLOOKUP('CSL Inst Appx'!$A43,Reference!$A:$B,2))&amp;"'!AA49")</f>
        <v>0</v>
      </c>
      <c r="AB45" s="258">
        <f ca="1">INDIRECT("'"&amp;(VLOOKUP('CSL Inst Appx'!$A43,Reference!$A:$B,2))&amp;"'!AB49")</f>
        <v>2.5</v>
      </c>
      <c r="AC45" s="258">
        <f ca="1">INDIRECT("'"&amp;(VLOOKUP('CSL Inst Appx'!$A43,Reference!$A:$B,2))&amp;"'!AC49")</f>
        <v>0</v>
      </c>
      <c r="AD45" s="258">
        <f ca="1">INDIRECT("'"&amp;(VLOOKUP('CSL Inst Appx'!$A43,Reference!$A:$B,2))&amp;"'!AD49")</f>
        <v>0</v>
      </c>
      <c r="AE45" s="258">
        <f ca="1">INDIRECT("'"&amp;(VLOOKUP('CSL Inst Appx'!$A43,Reference!$A:$B,2))&amp;"'!AE49")</f>
        <v>0</v>
      </c>
      <c r="AF45" s="258">
        <f ca="1">INDIRECT("'"&amp;(VLOOKUP('CSL Inst Appx'!$A43,Reference!$A:$B,2))&amp;"'!AF49")</f>
        <v>0</v>
      </c>
      <c r="AG45" s="258">
        <f ca="1">INDIRECT("'"&amp;(VLOOKUP('CSL Inst Appx'!$A43,Reference!$A:$B,2))&amp;"'!AG49")</f>
        <v>0</v>
      </c>
      <c r="AH45" s="273">
        <f t="shared" ca="1" si="6"/>
        <v>30.5</v>
      </c>
    </row>
    <row r="46" spans="1:34" s="261" customFormat="1" ht="16.5" thickBot="1">
      <c r="A46" s="259" t="str">
        <f>Navigation!$A46</f>
        <v>PAYROLL CLERK CERTIFICATE</v>
      </c>
      <c r="B46" s="260" t="str">
        <f ca="1">INDIRECT("'"&amp;(VLOOKUP('CSL Inst Appx'!$A44,Reference!$A:$B,2))&amp;"'!D3")</f>
        <v>ZPF8</v>
      </c>
      <c r="C46" s="260" t="str">
        <f ca="1">RIGHT(INDIRECT("'"&amp;(VLOOKUP('CSL Inst Appx'!$A44,Reference!$A:$B,2))&amp;"'!G4"),4)</f>
        <v>1432</v>
      </c>
      <c r="D46" s="260">
        <f ca="1">INDIRECT("'"&amp;(VLOOKUP('CSL Inst Appx'!$A44,Reference!$A:$B,2))&amp;"'!I41")</f>
        <v>493</v>
      </c>
      <c r="E46" s="260">
        <f ca="1">INDIRECT("'"&amp;(VLOOKUP('CSL Inst Appx'!$A44,Reference!$A:$B,2))&amp;"'!C44")</f>
        <v>45</v>
      </c>
      <c r="F46" s="30">
        <f ca="1">INDIRECT("'"&amp;(VLOOKUP('CSL Inst Appx'!$A44,Reference!$A:$B,2))&amp;"'!C42")</f>
        <v>0</v>
      </c>
      <c r="G46" s="31">
        <f t="shared" ca="1" si="0"/>
        <v>538</v>
      </c>
      <c r="H46" s="32">
        <f ca="1">INDIRECT("'"&amp;(VLOOKUP('CSL Inst Appx'!$A44,Reference!$A:$B,2))&amp;"'!H41")</f>
        <v>7656</v>
      </c>
      <c r="I46" s="33">
        <f t="shared" ca="1" si="1"/>
        <v>14.24</v>
      </c>
      <c r="J46" s="34">
        <f t="shared" ca="1" si="2"/>
        <v>6.3</v>
      </c>
      <c r="K46" s="29">
        <f t="shared" ca="1" si="3"/>
        <v>27</v>
      </c>
      <c r="L46" s="34">
        <f t="shared" ca="1" si="4"/>
        <v>5</v>
      </c>
      <c r="M46" s="29">
        <f t="shared" ca="1" si="5"/>
        <v>22</v>
      </c>
      <c r="N46" s="257">
        <f ca="1">INDIRECT("'"&amp;(VLOOKUP('CSL Inst Appx'!$A44,Reference!$A:$B,2))&amp;"'!N49")</f>
        <v>0</v>
      </c>
      <c r="O46" s="258">
        <f ca="1">INDIRECT("'"&amp;(VLOOKUP('CSL Inst Appx'!$A44,Reference!$A:$B,2))&amp;"'!O49")</f>
        <v>1.5</v>
      </c>
      <c r="P46" s="258">
        <f ca="1">INDIRECT("'"&amp;(VLOOKUP('CSL Inst Appx'!$A44,Reference!$A:$B,2))&amp;"'!P49")</f>
        <v>1.5</v>
      </c>
      <c r="Q46" s="258">
        <f ca="1">INDIRECT("'"&amp;(VLOOKUP('CSL Inst Appx'!$A44,Reference!$A:$B,2))&amp;"'!Q49")</f>
        <v>1.5</v>
      </c>
      <c r="R46" s="258">
        <f ca="1">INDIRECT("'"&amp;(VLOOKUP('CSL Inst Appx'!$A44,Reference!$A:$B,2))&amp;"'!R49")</f>
        <v>0</v>
      </c>
      <c r="S46" s="258">
        <f ca="1">INDIRECT("'"&amp;(VLOOKUP('CSL Inst Appx'!$A44,Reference!$A:$B,2))&amp;"'!S49")</f>
        <v>0</v>
      </c>
      <c r="T46" s="258">
        <f ca="1">INDIRECT("'"&amp;(VLOOKUP('CSL Inst Appx'!$A44,Reference!$A:$B,2))&amp;"'!T49")</f>
        <v>14.5</v>
      </c>
      <c r="U46" s="258">
        <f ca="1">INDIRECT("'"&amp;(VLOOKUP('CSL Inst Appx'!$A44,Reference!$A:$B,2))&amp;"'!U49")</f>
        <v>1</v>
      </c>
      <c r="V46" s="258">
        <f ca="1">INDIRECT("'"&amp;(VLOOKUP('CSL Inst Appx'!$A44,Reference!$A:$B,2))&amp;"'!V49")</f>
        <v>1.5</v>
      </c>
      <c r="W46" s="258">
        <f ca="1">INDIRECT("'"&amp;(VLOOKUP('CSL Inst Appx'!$A44,Reference!$A:$B,2))&amp;"'!W49")</f>
        <v>0</v>
      </c>
      <c r="X46" s="258">
        <f ca="1">INDIRECT("'"&amp;(VLOOKUP('CSL Inst Appx'!$A44,Reference!$A:$B,2))&amp;"'!X49")</f>
        <v>0</v>
      </c>
      <c r="Y46" s="258">
        <f ca="1">INDIRECT("'"&amp;(VLOOKUP('CSL Inst Appx'!$A44,Reference!$A:$B,2))&amp;"'!Y49")</f>
        <v>0</v>
      </c>
      <c r="Z46" s="258">
        <f ca="1">INDIRECT("'"&amp;(VLOOKUP('CSL Inst Appx'!$A44,Reference!$A:$B,2))&amp;"'!Z49")</f>
        <v>0</v>
      </c>
      <c r="AA46" s="258">
        <f ca="1">INDIRECT("'"&amp;(VLOOKUP('CSL Inst Appx'!$A44,Reference!$A:$B,2))&amp;"'!AA49")</f>
        <v>0</v>
      </c>
      <c r="AB46" s="258">
        <f ca="1">INDIRECT("'"&amp;(VLOOKUP('CSL Inst Appx'!$A44,Reference!$A:$B,2))&amp;"'!AB49")</f>
        <v>1.5</v>
      </c>
      <c r="AC46" s="258">
        <f ca="1">INDIRECT("'"&amp;(VLOOKUP('CSL Inst Appx'!$A44,Reference!$A:$B,2))&amp;"'!AC49")</f>
        <v>0</v>
      </c>
      <c r="AD46" s="258">
        <f ca="1">INDIRECT("'"&amp;(VLOOKUP('CSL Inst Appx'!$A44,Reference!$A:$B,2))&amp;"'!AD49")</f>
        <v>0</v>
      </c>
      <c r="AE46" s="258">
        <f ca="1">INDIRECT("'"&amp;(VLOOKUP('CSL Inst Appx'!$A44,Reference!$A:$B,2))&amp;"'!AE49")</f>
        <v>0</v>
      </c>
      <c r="AF46" s="258">
        <f ca="1">INDIRECT("'"&amp;(VLOOKUP('CSL Inst Appx'!$A44,Reference!$A:$B,2))&amp;"'!AF49")</f>
        <v>0</v>
      </c>
      <c r="AG46" s="258">
        <f ca="1">INDIRECT("'"&amp;(VLOOKUP('CSL Inst Appx'!$A44,Reference!$A:$B,2))&amp;"'!AG49")</f>
        <v>0</v>
      </c>
      <c r="AH46" s="273">
        <f t="shared" ca="1" si="6"/>
        <v>23</v>
      </c>
    </row>
    <row r="47" spans="1:34" s="261" customFormat="1" ht="16.5" thickBot="1">
      <c r="A47" s="259" t="str">
        <f>Navigation!$A47</f>
        <v>PC SUPPORT SPECIALIST DIPLOMA</v>
      </c>
      <c r="B47" s="260" t="str">
        <f ca="1">INDIRECT("'"&amp;(VLOOKUP('CSL Inst Appx'!$A45,Reference!$A:$B,2))&amp;"'!D3")</f>
        <v>UES7</v>
      </c>
      <c r="C47" s="260" t="str">
        <f ca="1">RIGHT(INDIRECT("'"&amp;(VLOOKUP('CSL Inst Appx'!$A45,Reference!$A:$B,2))&amp;"'!G4"),4)</f>
        <v>2282</v>
      </c>
      <c r="D47" s="260">
        <f ca="1">INDIRECT("'"&amp;(VLOOKUP('CSL Inst Appx'!$A45,Reference!$A:$B,2))&amp;"'!I41")</f>
        <v>1003</v>
      </c>
      <c r="E47" s="260">
        <f ca="1">INDIRECT("'"&amp;(VLOOKUP('CSL Inst Appx'!$A45,Reference!$A:$B,2))&amp;"'!C44")</f>
        <v>161</v>
      </c>
      <c r="F47" s="30">
        <f ca="1">INDIRECT("'"&amp;(VLOOKUP('CSL Inst Appx'!$A45,Reference!$A:$B,2))&amp;"'!C42")</f>
        <v>0</v>
      </c>
      <c r="G47" s="31">
        <f t="shared" ca="1" si="0"/>
        <v>1164</v>
      </c>
      <c r="H47" s="32">
        <f ca="1">INDIRECT("'"&amp;(VLOOKUP('CSL Inst Appx'!$A45,Reference!$A:$B,2))&amp;"'!H41")</f>
        <v>13604</v>
      </c>
      <c r="I47" s="33">
        <f t="shared" ca="1" si="1"/>
        <v>11.69</v>
      </c>
      <c r="J47" s="34">
        <f t="shared" ca="1" si="2"/>
        <v>13.5</v>
      </c>
      <c r="K47" s="29">
        <f t="shared" ca="1" si="3"/>
        <v>59</v>
      </c>
      <c r="L47" s="34">
        <f t="shared" ca="1" si="4"/>
        <v>10.799999999999999</v>
      </c>
      <c r="M47" s="29">
        <f t="shared" ca="1" si="5"/>
        <v>47</v>
      </c>
      <c r="N47" s="257">
        <f ca="1">INDIRECT("'"&amp;(VLOOKUP('CSL Inst Appx'!$A45,Reference!$A:$B,2))&amp;"'!N49")</f>
        <v>0</v>
      </c>
      <c r="O47" s="258">
        <f ca="1">INDIRECT("'"&amp;(VLOOKUP('CSL Inst Appx'!$A45,Reference!$A:$B,2))&amp;"'!O49")</f>
        <v>3</v>
      </c>
      <c r="P47" s="258">
        <f ca="1">INDIRECT("'"&amp;(VLOOKUP('CSL Inst Appx'!$A45,Reference!$A:$B,2))&amp;"'!P49")</f>
        <v>3.5</v>
      </c>
      <c r="Q47" s="258">
        <f ca="1">INDIRECT("'"&amp;(VLOOKUP('CSL Inst Appx'!$A45,Reference!$A:$B,2))&amp;"'!Q49")</f>
        <v>3.5</v>
      </c>
      <c r="R47" s="258">
        <f ca="1">INDIRECT("'"&amp;(VLOOKUP('CSL Inst Appx'!$A45,Reference!$A:$B,2))&amp;"'!R49")</f>
        <v>3</v>
      </c>
      <c r="S47" s="258">
        <f ca="1">INDIRECT("'"&amp;(VLOOKUP('CSL Inst Appx'!$A45,Reference!$A:$B,2))&amp;"'!S49")</f>
        <v>2.5</v>
      </c>
      <c r="T47" s="258">
        <f ca="1">INDIRECT("'"&amp;(VLOOKUP('CSL Inst Appx'!$A45,Reference!$A:$B,2))&amp;"'!T49")</f>
        <v>0</v>
      </c>
      <c r="U47" s="258">
        <f ca="1">INDIRECT("'"&amp;(VLOOKUP('CSL Inst Appx'!$A45,Reference!$A:$B,2))&amp;"'!U49")</f>
        <v>2</v>
      </c>
      <c r="V47" s="258">
        <f ca="1">INDIRECT("'"&amp;(VLOOKUP('CSL Inst Appx'!$A45,Reference!$A:$B,2))&amp;"'!V49")</f>
        <v>3</v>
      </c>
      <c r="W47" s="258">
        <f ca="1">INDIRECT("'"&amp;(VLOOKUP('CSL Inst Appx'!$A45,Reference!$A:$B,2))&amp;"'!W49")</f>
        <v>0</v>
      </c>
      <c r="X47" s="258">
        <f ca="1">INDIRECT("'"&amp;(VLOOKUP('CSL Inst Appx'!$A45,Reference!$A:$B,2))&amp;"'!X49")</f>
        <v>18</v>
      </c>
      <c r="Y47" s="258">
        <f ca="1">INDIRECT("'"&amp;(VLOOKUP('CSL Inst Appx'!$A45,Reference!$A:$B,2))&amp;"'!Y49")</f>
        <v>0</v>
      </c>
      <c r="Z47" s="258">
        <f ca="1">INDIRECT("'"&amp;(VLOOKUP('CSL Inst Appx'!$A45,Reference!$A:$B,2))&amp;"'!Z49")</f>
        <v>0</v>
      </c>
      <c r="AA47" s="258">
        <f ca="1">INDIRECT("'"&amp;(VLOOKUP('CSL Inst Appx'!$A45,Reference!$A:$B,2))&amp;"'!AA49")</f>
        <v>0</v>
      </c>
      <c r="AB47" s="258">
        <f ca="1">INDIRECT("'"&amp;(VLOOKUP('CSL Inst Appx'!$A45,Reference!$A:$B,2))&amp;"'!AB49")</f>
        <v>2.5</v>
      </c>
      <c r="AC47" s="258">
        <f ca="1">INDIRECT("'"&amp;(VLOOKUP('CSL Inst Appx'!$A45,Reference!$A:$B,2))&amp;"'!AC49")</f>
        <v>0</v>
      </c>
      <c r="AD47" s="258">
        <f ca="1">INDIRECT("'"&amp;(VLOOKUP('CSL Inst Appx'!$A45,Reference!$A:$B,2))&amp;"'!AD49")</f>
        <v>0</v>
      </c>
      <c r="AE47" s="258">
        <f ca="1">INDIRECT("'"&amp;(VLOOKUP('CSL Inst Appx'!$A45,Reference!$A:$B,2))&amp;"'!AE49")</f>
        <v>0</v>
      </c>
      <c r="AF47" s="258">
        <f ca="1">INDIRECT("'"&amp;(VLOOKUP('CSL Inst Appx'!$A45,Reference!$A:$B,2))&amp;"'!AF49")</f>
        <v>0</v>
      </c>
      <c r="AG47" s="258">
        <f ca="1">INDIRECT("'"&amp;(VLOOKUP('CSL Inst Appx'!$A45,Reference!$A:$B,2))&amp;"'!AG49")</f>
        <v>0</v>
      </c>
      <c r="AH47" s="273">
        <f t="shared" ca="1" si="6"/>
        <v>41</v>
      </c>
    </row>
    <row r="48" spans="1:34" s="261" customFormat="1" ht="16.5" thickBot="1">
      <c r="A48" s="259" t="str">
        <f>Navigation!$A48</f>
        <v>PROJECT ADMINISTRATION DIPLOMA</v>
      </c>
      <c r="B48" s="260" t="str">
        <f ca="1">INDIRECT("'"&amp;(VLOOKUP('CSL Inst Appx'!$A46,Reference!$A:$B,2))&amp;"'!D3")</f>
        <v>ZOM7</v>
      </c>
      <c r="C48" s="260" t="str">
        <f ca="1">RIGHT(INDIRECT("'"&amp;(VLOOKUP('CSL Inst Appx'!$A46,Reference!$A:$B,2))&amp;"'!G4"),4)</f>
        <v>1221</v>
      </c>
      <c r="D48" s="260">
        <f ca="1">INDIRECT("'"&amp;(VLOOKUP('CSL Inst Appx'!$A46,Reference!$A:$B,2))&amp;"'!I41")</f>
        <v>918</v>
      </c>
      <c r="E48" s="260">
        <f ca="1">INDIRECT("'"&amp;(VLOOKUP('CSL Inst Appx'!$A46,Reference!$A:$B,2))&amp;"'!C44")</f>
        <v>84</v>
      </c>
      <c r="F48" s="30">
        <f ca="1">INDIRECT("'"&amp;(VLOOKUP('CSL Inst Appx'!$A46,Reference!$A:$B,2))&amp;"'!C42")</f>
        <v>0</v>
      </c>
      <c r="G48" s="31">
        <f t="shared" ca="1" si="0"/>
        <v>1002</v>
      </c>
      <c r="H48" s="32">
        <f ca="1">INDIRECT("'"&amp;(VLOOKUP('CSL Inst Appx'!$A46,Reference!$A:$B,2))&amp;"'!H41")</f>
        <v>14175</v>
      </c>
      <c r="I48" s="33">
        <f t="shared" ca="1" si="1"/>
        <v>14.15</v>
      </c>
      <c r="J48" s="34">
        <f t="shared" ca="1" si="2"/>
        <v>11.6</v>
      </c>
      <c r="K48" s="29">
        <f t="shared" ca="1" si="3"/>
        <v>51</v>
      </c>
      <c r="L48" s="34">
        <f t="shared" ca="1" si="4"/>
        <v>9.2999999999999989</v>
      </c>
      <c r="M48" s="29">
        <f t="shared" ca="1" si="5"/>
        <v>41</v>
      </c>
      <c r="N48" s="257">
        <f ca="1">INDIRECT("'"&amp;(VLOOKUP('CSL Inst Appx'!$A46,Reference!$A:$B,2))&amp;"'!N49")</f>
        <v>0</v>
      </c>
      <c r="O48" s="258">
        <f ca="1">INDIRECT("'"&amp;(VLOOKUP('CSL Inst Appx'!$A46,Reference!$A:$B,2))&amp;"'!O49")</f>
        <v>4.5</v>
      </c>
      <c r="P48" s="258">
        <f ca="1">INDIRECT("'"&amp;(VLOOKUP('CSL Inst Appx'!$A46,Reference!$A:$B,2))&amp;"'!P49")</f>
        <v>3.5</v>
      </c>
      <c r="Q48" s="258">
        <f ca="1">INDIRECT("'"&amp;(VLOOKUP('CSL Inst Appx'!$A46,Reference!$A:$B,2))&amp;"'!Q49")</f>
        <v>3.5</v>
      </c>
      <c r="R48" s="258">
        <f ca="1">INDIRECT("'"&amp;(VLOOKUP('CSL Inst Appx'!$A46,Reference!$A:$B,2))&amp;"'!R49")</f>
        <v>1.5</v>
      </c>
      <c r="S48" s="258">
        <f ca="1">INDIRECT("'"&amp;(VLOOKUP('CSL Inst Appx'!$A46,Reference!$A:$B,2))&amp;"'!S49")</f>
        <v>0</v>
      </c>
      <c r="T48" s="258">
        <f ca="1">INDIRECT("'"&amp;(VLOOKUP('CSL Inst Appx'!$A46,Reference!$A:$B,2))&amp;"'!T49")</f>
        <v>0</v>
      </c>
      <c r="U48" s="258">
        <f ca="1">INDIRECT("'"&amp;(VLOOKUP('CSL Inst Appx'!$A46,Reference!$A:$B,2))&amp;"'!U49")</f>
        <v>0</v>
      </c>
      <c r="V48" s="258">
        <f ca="1">INDIRECT("'"&amp;(VLOOKUP('CSL Inst Appx'!$A46,Reference!$A:$B,2))&amp;"'!V49")</f>
        <v>24.5</v>
      </c>
      <c r="W48" s="258">
        <f ca="1">INDIRECT("'"&amp;(VLOOKUP('CSL Inst Appx'!$A46,Reference!$A:$B,2))&amp;"'!W49")</f>
        <v>0</v>
      </c>
      <c r="X48" s="258">
        <f ca="1">INDIRECT("'"&amp;(VLOOKUP('CSL Inst Appx'!$A46,Reference!$A:$B,2))&amp;"'!X49")</f>
        <v>0</v>
      </c>
      <c r="Y48" s="258">
        <f ca="1">INDIRECT("'"&amp;(VLOOKUP('CSL Inst Appx'!$A46,Reference!$A:$B,2))&amp;"'!Y49")</f>
        <v>0</v>
      </c>
      <c r="Z48" s="258">
        <f ca="1">INDIRECT("'"&amp;(VLOOKUP('CSL Inst Appx'!$A46,Reference!$A:$B,2))&amp;"'!Z49")</f>
        <v>0</v>
      </c>
      <c r="AA48" s="258">
        <f ca="1">INDIRECT("'"&amp;(VLOOKUP('CSL Inst Appx'!$A46,Reference!$A:$B,2))&amp;"'!AA49")</f>
        <v>0</v>
      </c>
      <c r="AB48" s="258">
        <f ca="1">INDIRECT("'"&amp;(VLOOKUP('CSL Inst Appx'!$A46,Reference!$A:$B,2))&amp;"'!AB49")</f>
        <v>2.5</v>
      </c>
      <c r="AC48" s="258">
        <f ca="1">INDIRECT("'"&amp;(VLOOKUP('CSL Inst Appx'!$A46,Reference!$A:$B,2))&amp;"'!AC49")</f>
        <v>0</v>
      </c>
      <c r="AD48" s="258">
        <f ca="1">INDIRECT("'"&amp;(VLOOKUP('CSL Inst Appx'!$A46,Reference!$A:$B,2))&amp;"'!AD49")</f>
        <v>0</v>
      </c>
      <c r="AE48" s="258">
        <f ca="1">INDIRECT("'"&amp;(VLOOKUP('CSL Inst Appx'!$A46,Reference!$A:$B,2))&amp;"'!AE49")</f>
        <v>0</v>
      </c>
      <c r="AF48" s="258">
        <f ca="1">INDIRECT("'"&amp;(VLOOKUP('CSL Inst Appx'!$A46,Reference!$A:$B,2))&amp;"'!AF49")</f>
        <v>0</v>
      </c>
      <c r="AG48" s="258">
        <f ca="1">INDIRECT("'"&amp;(VLOOKUP('CSL Inst Appx'!$A46,Reference!$A:$B,2))&amp;"'!AG49")</f>
        <v>0</v>
      </c>
      <c r="AH48" s="273">
        <f t="shared" ca="1" si="6"/>
        <v>40</v>
      </c>
    </row>
    <row r="49" spans="1:34" s="261" customFormat="1" ht="16.5" thickBot="1">
      <c r="A49" s="259" t="str">
        <f>Navigation!$A49</f>
        <v>PSA - COMPUTERIZED OFFICE SKILLS CERTIFICATE</v>
      </c>
      <c r="B49" s="260" t="str">
        <f ca="1">INDIRECT("'"&amp;(VLOOKUP('CSL Inst Appx'!$A47,Reference!$A:$B,2))&amp;"'!D3")</f>
        <v>GOVT.</v>
      </c>
      <c r="C49" s="260" t="str">
        <f ca="1">RIGHT(INDIRECT("'"&amp;(VLOOKUP('CSL Inst Appx'!$A47,Reference!$A:$B,2))&amp;"'!G4"),4)</f>
        <v/>
      </c>
      <c r="D49" s="260">
        <f ca="1">INDIRECT("'"&amp;(VLOOKUP('CSL Inst Appx'!$A47,Reference!$A:$B,2))&amp;"'!I41")</f>
        <v>232</v>
      </c>
      <c r="E49" s="260">
        <f ca="1">INDIRECT("'"&amp;(VLOOKUP('CSL Inst Appx'!$A47,Reference!$A:$B,2))&amp;"'!C44")</f>
        <v>0</v>
      </c>
      <c r="F49" s="30">
        <f ca="1">INDIRECT("'"&amp;(VLOOKUP('CSL Inst Appx'!$A47,Reference!$A:$B,2))&amp;"'!C42")</f>
        <v>0</v>
      </c>
      <c r="G49" s="31">
        <f t="shared" ca="1" si="0"/>
        <v>232</v>
      </c>
      <c r="H49" s="32">
        <f ca="1">INDIRECT("'"&amp;(VLOOKUP('CSL Inst Appx'!$A47,Reference!$A:$B,2))&amp;"'!H41")</f>
        <v>3471</v>
      </c>
      <c r="I49" s="33">
        <f t="shared" ca="1" si="1"/>
        <v>14.97</v>
      </c>
      <c r="J49" s="34">
        <f t="shared" ca="1" si="2"/>
        <v>2.7</v>
      </c>
      <c r="K49" s="29">
        <f t="shared" ca="1" si="3"/>
        <v>12</v>
      </c>
      <c r="L49" s="34">
        <f t="shared" ca="1" si="4"/>
        <v>2.2000000000000002</v>
      </c>
      <c r="M49" s="29">
        <f t="shared" ca="1" si="5"/>
        <v>10</v>
      </c>
      <c r="N49" s="257">
        <f ca="1">INDIRECT("'"&amp;(VLOOKUP('CSL Inst Appx'!$A47,Reference!$A:$B,2))&amp;"'!N49")</f>
        <v>4</v>
      </c>
      <c r="O49" s="258">
        <f ca="1">INDIRECT("'"&amp;(VLOOKUP('CSL Inst Appx'!$A47,Reference!$A:$B,2))&amp;"'!O49")</f>
        <v>2.5</v>
      </c>
      <c r="P49" s="258">
        <f ca="1">INDIRECT("'"&amp;(VLOOKUP('CSL Inst Appx'!$A47,Reference!$A:$B,2))&amp;"'!P49")</f>
        <v>3.5</v>
      </c>
      <c r="Q49" s="258">
        <f ca="1">INDIRECT("'"&amp;(VLOOKUP('CSL Inst Appx'!$A47,Reference!$A:$B,2))&amp;"'!Q49")</f>
        <v>1.5</v>
      </c>
      <c r="R49" s="258">
        <f ca="1">INDIRECT("'"&amp;(VLOOKUP('CSL Inst Appx'!$A47,Reference!$A:$B,2))&amp;"'!R49")</f>
        <v>0</v>
      </c>
      <c r="S49" s="258">
        <f ca="1">INDIRECT("'"&amp;(VLOOKUP('CSL Inst Appx'!$A47,Reference!$A:$B,2))&amp;"'!S49")</f>
        <v>0</v>
      </c>
      <c r="T49" s="258">
        <f ca="1">INDIRECT("'"&amp;(VLOOKUP('CSL Inst Appx'!$A47,Reference!$A:$B,2))&amp;"'!T49")</f>
        <v>0</v>
      </c>
      <c r="U49" s="258">
        <f ca="1">INDIRECT("'"&amp;(VLOOKUP('CSL Inst Appx'!$A47,Reference!$A:$B,2))&amp;"'!U49")</f>
        <v>1</v>
      </c>
      <c r="V49" s="258">
        <f ca="1">INDIRECT("'"&amp;(VLOOKUP('CSL Inst Appx'!$A47,Reference!$A:$B,2))&amp;"'!V49")</f>
        <v>0</v>
      </c>
      <c r="W49" s="258">
        <f ca="1">INDIRECT("'"&amp;(VLOOKUP('CSL Inst Appx'!$A47,Reference!$A:$B,2))&amp;"'!W49")</f>
        <v>0</v>
      </c>
      <c r="X49" s="258">
        <f ca="1">INDIRECT("'"&amp;(VLOOKUP('CSL Inst Appx'!$A47,Reference!$A:$B,2))&amp;"'!X49")</f>
        <v>0</v>
      </c>
      <c r="Y49" s="258">
        <f ca="1">INDIRECT("'"&amp;(VLOOKUP('CSL Inst Appx'!$A47,Reference!$A:$B,2))&amp;"'!Y49")</f>
        <v>0</v>
      </c>
      <c r="Z49" s="258">
        <f ca="1">INDIRECT("'"&amp;(VLOOKUP('CSL Inst Appx'!$A47,Reference!$A:$B,2))&amp;"'!Z49")</f>
        <v>0</v>
      </c>
      <c r="AA49" s="258">
        <f ca="1">INDIRECT("'"&amp;(VLOOKUP('CSL Inst Appx'!$A47,Reference!$A:$B,2))&amp;"'!AA49")</f>
        <v>0</v>
      </c>
      <c r="AB49" s="258">
        <f ca="1">INDIRECT("'"&amp;(VLOOKUP('CSL Inst Appx'!$A47,Reference!$A:$B,2))&amp;"'!AB49")</f>
        <v>0</v>
      </c>
      <c r="AC49" s="258">
        <f ca="1">INDIRECT("'"&amp;(VLOOKUP('CSL Inst Appx'!$A47,Reference!$A:$B,2))&amp;"'!AC49")</f>
        <v>0</v>
      </c>
      <c r="AD49" s="258">
        <f ca="1">INDIRECT("'"&amp;(VLOOKUP('CSL Inst Appx'!$A47,Reference!$A:$B,2))&amp;"'!AD49")</f>
        <v>0</v>
      </c>
      <c r="AE49" s="258">
        <f ca="1">INDIRECT("'"&amp;(VLOOKUP('CSL Inst Appx'!$A47,Reference!$A:$B,2))&amp;"'!AE49")</f>
        <v>0</v>
      </c>
      <c r="AF49" s="258">
        <f ca="1">INDIRECT("'"&amp;(VLOOKUP('CSL Inst Appx'!$A47,Reference!$A:$B,2))&amp;"'!AF49")</f>
        <v>0</v>
      </c>
      <c r="AG49" s="258">
        <f ca="1">INDIRECT("'"&amp;(VLOOKUP('CSL Inst Appx'!$A47,Reference!$A:$B,2))&amp;"'!AG49")</f>
        <v>0</v>
      </c>
      <c r="AH49" s="273">
        <f t="shared" ca="1" si="6"/>
        <v>12.5</v>
      </c>
    </row>
    <row r="50" spans="1:34" s="261" customFormat="1" ht="16.5" thickBot="1">
      <c r="A50" s="259" t="str">
        <f>Navigation!$A50</f>
        <v>SALES ASSOCIATE CERTIFICATE</v>
      </c>
      <c r="B50" s="260" t="str">
        <f ca="1">INDIRECT("'"&amp;(VLOOKUP('CSL Inst Appx'!$A48,Reference!$A:$B,2))&amp;"'!D3")</f>
        <v>ZPG8</v>
      </c>
      <c r="C50" s="260" t="str">
        <f ca="1">RIGHT(INDIRECT("'"&amp;(VLOOKUP('CSL Inst Appx'!$A48,Reference!$A:$B,2))&amp;"'!G4"),4)</f>
        <v>6411</v>
      </c>
      <c r="D50" s="260">
        <f ca="1">INDIRECT("'"&amp;(VLOOKUP('CSL Inst Appx'!$A48,Reference!$A:$B,2))&amp;"'!I41")</f>
        <v>370</v>
      </c>
      <c r="E50" s="260">
        <f ca="1">INDIRECT("'"&amp;(VLOOKUP('CSL Inst Appx'!$A48,Reference!$A:$B,2))&amp;"'!C44")</f>
        <v>34</v>
      </c>
      <c r="F50" s="30">
        <f ca="1">INDIRECT("'"&amp;(VLOOKUP('CSL Inst Appx'!$A48,Reference!$A:$B,2))&amp;"'!C42")</f>
        <v>0</v>
      </c>
      <c r="G50" s="31">
        <f t="shared" ca="1" si="0"/>
        <v>404</v>
      </c>
      <c r="H50" s="32">
        <f ca="1">INDIRECT("'"&amp;(VLOOKUP('CSL Inst Appx'!$A48,Reference!$A:$B,2))&amp;"'!H41")</f>
        <v>5651</v>
      </c>
      <c r="I50" s="33">
        <f t="shared" ca="1" si="1"/>
        <v>13.99</v>
      </c>
      <c r="J50" s="34">
        <f t="shared" ca="1" si="2"/>
        <v>4.6999999999999993</v>
      </c>
      <c r="K50" s="29">
        <f t="shared" ca="1" si="3"/>
        <v>21</v>
      </c>
      <c r="L50" s="34">
        <f t="shared" ca="1" si="4"/>
        <v>3.8000000000000003</v>
      </c>
      <c r="M50" s="29">
        <f t="shared" ca="1" si="5"/>
        <v>17</v>
      </c>
      <c r="N50" s="257">
        <f ca="1">INDIRECT("'"&amp;(VLOOKUP('CSL Inst Appx'!$A48,Reference!$A:$B,2))&amp;"'!N49")</f>
        <v>1.5</v>
      </c>
      <c r="O50" s="258">
        <f ca="1">INDIRECT("'"&amp;(VLOOKUP('CSL Inst Appx'!$A48,Reference!$A:$B,2))&amp;"'!O49")</f>
        <v>1</v>
      </c>
      <c r="P50" s="258">
        <f ca="1">INDIRECT("'"&amp;(VLOOKUP('CSL Inst Appx'!$A48,Reference!$A:$B,2))&amp;"'!P49")</f>
        <v>1.5</v>
      </c>
      <c r="Q50" s="258">
        <f ca="1">INDIRECT("'"&amp;(VLOOKUP('CSL Inst Appx'!$A48,Reference!$A:$B,2))&amp;"'!Q49")</f>
        <v>0</v>
      </c>
      <c r="R50" s="258">
        <f ca="1">INDIRECT("'"&amp;(VLOOKUP('CSL Inst Appx'!$A48,Reference!$A:$B,2))&amp;"'!R49")</f>
        <v>0</v>
      </c>
      <c r="S50" s="258">
        <f ca="1">INDIRECT("'"&amp;(VLOOKUP('CSL Inst Appx'!$A48,Reference!$A:$B,2))&amp;"'!S49")</f>
        <v>0</v>
      </c>
      <c r="T50" s="258">
        <f ca="1">INDIRECT("'"&amp;(VLOOKUP('CSL Inst Appx'!$A48,Reference!$A:$B,2))&amp;"'!T49")</f>
        <v>0</v>
      </c>
      <c r="U50" s="258">
        <f ca="1">INDIRECT("'"&amp;(VLOOKUP('CSL Inst Appx'!$A48,Reference!$A:$B,2))&amp;"'!U49")</f>
        <v>1</v>
      </c>
      <c r="V50" s="258">
        <f ca="1">INDIRECT("'"&amp;(VLOOKUP('CSL Inst Appx'!$A48,Reference!$A:$B,2))&amp;"'!V49")</f>
        <v>9.5</v>
      </c>
      <c r="W50" s="258">
        <f ca="1">INDIRECT("'"&amp;(VLOOKUP('CSL Inst Appx'!$A48,Reference!$A:$B,2))&amp;"'!W49")</f>
        <v>0</v>
      </c>
      <c r="X50" s="258">
        <f ca="1">INDIRECT("'"&amp;(VLOOKUP('CSL Inst Appx'!$A48,Reference!$A:$B,2))&amp;"'!X49")</f>
        <v>0</v>
      </c>
      <c r="Y50" s="258">
        <f ca="1">INDIRECT("'"&amp;(VLOOKUP('CSL Inst Appx'!$A48,Reference!$A:$B,2))&amp;"'!Y49")</f>
        <v>0</v>
      </c>
      <c r="Z50" s="258">
        <f ca="1">INDIRECT("'"&amp;(VLOOKUP('CSL Inst Appx'!$A48,Reference!$A:$B,2))&amp;"'!Z49")</f>
        <v>0</v>
      </c>
      <c r="AA50" s="258">
        <f ca="1">INDIRECT("'"&amp;(VLOOKUP('CSL Inst Appx'!$A48,Reference!$A:$B,2))&amp;"'!AA49")</f>
        <v>0</v>
      </c>
      <c r="AB50" s="258">
        <f ca="1">INDIRECT("'"&amp;(VLOOKUP('CSL Inst Appx'!$A48,Reference!$A:$B,2))&amp;"'!AB49")</f>
        <v>1.5</v>
      </c>
      <c r="AC50" s="258">
        <f ca="1">INDIRECT("'"&amp;(VLOOKUP('CSL Inst Appx'!$A48,Reference!$A:$B,2))&amp;"'!AC49")</f>
        <v>0</v>
      </c>
      <c r="AD50" s="258">
        <f ca="1">INDIRECT("'"&amp;(VLOOKUP('CSL Inst Appx'!$A48,Reference!$A:$B,2))&amp;"'!AD49")</f>
        <v>0</v>
      </c>
      <c r="AE50" s="258">
        <f ca="1">INDIRECT("'"&amp;(VLOOKUP('CSL Inst Appx'!$A48,Reference!$A:$B,2))&amp;"'!AE49")</f>
        <v>0</v>
      </c>
      <c r="AF50" s="258">
        <f ca="1">INDIRECT("'"&amp;(VLOOKUP('CSL Inst Appx'!$A48,Reference!$A:$B,2))&amp;"'!AF49")</f>
        <v>0</v>
      </c>
      <c r="AG50" s="258">
        <f ca="1">INDIRECT("'"&amp;(VLOOKUP('CSL Inst Appx'!$A48,Reference!$A:$B,2))&amp;"'!AG49")</f>
        <v>0</v>
      </c>
      <c r="AH50" s="273">
        <f t="shared" ca="1" si="6"/>
        <v>16</v>
      </c>
    </row>
    <row r="51" spans="1:34" s="261" customFormat="1" ht="16.5" thickBot="1">
      <c r="A51" s="259" t="str">
        <f>Navigation!$A51</f>
        <v>SALES PROFESSIONAL DIPLOMA</v>
      </c>
      <c r="B51" s="260" t="str">
        <f ca="1">INDIRECT("'"&amp;(VLOOKUP('CSL Inst Appx'!$A49,Reference!$A:$B,2))&amp;"'!D3")</f>
        <v>ZKE7</v>
      </c>
      <c r="C51" s="260" t="str">
        <f ca="1">RIGHT(INDIRECT("'"&amp;(VLOOKUP('CSL Inst Appx'!$A49,Reference!$A:$B,2))&amp;"'!G4"),4)</f>
        <v>6411</v>
      </c>
      <c r="D51" s="260">
        <f ca="1">INDIRECT("'"&amp;(VLOOKUP('CSL Inst Appx'!$A49,Reference!$A:$B,2))&amp;"'!I41")</f>
        <v>773</v>
      </c>
      <c r="E51" s="260">
        <f ca="1">INDIRECT("'"&amp;(VLOOKUP('CSL Inst Appx'!$A49,Reference!$A:$B,2))&amp;"'!C44")</f>
        <v>71</v>
      </c>
      <c r="F51" s="30">
        <f ca="1">INDIRECT("'"&amp;(VLOOKUP('CSL Inst Appx'!$A49,Reference!$A:$B,2))&amp;"'!C42")</f>
        <v>0</v>
      </c>
      <c r="G51" s="31">
        <f t="shared" ca="1" si="0"/>
        <v>844</v>
      </c>
      <c r="H51" s="32">
        <f ca="1">INDIRECT("'"&amp;(VLOOKUP('CSL Inst Appx'!$A49,Reference!$A:$B,2))&amp;"'!H41")</f>
        <v>11787</v>
      </c>
      <c r="I51" s="33">
        <f t="shared" ca="1" si="1"/>
        <v>13.97</v>
      </c>
      <c r="J51" s="34">
        <f t="shared" ca="1" si="2"/>
        <v>9.7999999999999989</v>
      </c>
      <c r="K51" s="29">
        <f t="shared" ca="1" si="3"/>
        <v>43</v>
      </c>
      <c r="L51" s="34">
        <f t="shared" ca="1" si="4"/>
        <v>7.8</v>
      </c>
      <c r="M51" s="29">
        <f t="shared" ca="1" si="5"/>
        <v>34</v>
      </c>
      <c r="N51" s="257">
        <f ca="1">INDIRECT("'"&amp;(VLOOKUP('CSL Inst Appx'!$A49,Reference!$A:$B,2))&amp;"'!N49")</f>
        <v>0</v>
      </c>
      <c r="O51" s="258">
        <f ca="1">INDIRECT("'"&amp;(VLOOKUP('CSL Inst Appx'!$A49,Reference!$A:$B,2))&amp;"'!O49")</f>
        <v>2.5</v>
      </c>
      <c r="P51" s="258">
        <f ca="1">INDIRECT("'"&amp;(VLOOKUP('CSL Inst Appx'!$A49,Reference!$A:$B,2))&amp;"'!P49")</f>
        <v>1.5</v>
      </c>
      <c r="Q51" s="258">
        <f ca="1">INDIRECT("'"&amp;(VLOOKUP('CSL Inst Appx'!$A49,Reference!$A:$B,2))&amp;"'!Q49")</f>
        <v>1.5</v>
      </c>
      <c r="R51" s="258">
        <f ca="1">INDIRECT("'"&amp;(VLOOKUP('CSL Inst Appx'!$A49,Reference!$A:$B,2))&amp;"'!R49")</f>
        <v>1.5</v>
      </c>
      <c r="S51" s="258">
        <f ca="1">INDIRECT("'"&amp;(VLOOKUP('CSL Inst Appx'!$A49,Reference!$A:$B,2))&amp;"'!S49")</f>
        <v>1</v>
      </c>
      <c r="T51" s="258">
        <f ca="1">INDIRECT("'"&amp;(VLOOKUP('CSL Inst Appx'!$A49,Reference!$A:$B,2))&amp;"'!T49")</f>
        <v>0</v>
      </c>
      <c r="U51" s="258">
        <f ca="1">INDIRECT("'"&amp;(VLOOKUP('CSL Inst Appx'!$A49,Reference!$A:$B,2))&amp;"'!U49")</f>
        <v>0</v>
      </c>
      <c r="V51" s="258">
        <f ca="1">INDIRECT("'"&amp;(VLOOKUP('CSL Inst Appx'!$A49,Reference!$A:$B,2))&amp;"'!V49")</f>
        <v>23.5</v>
      </c>
      <c r="W51" s="258">
        <f ca="1">INDIRECT("'"&amp;(VLOOKUP('CSL Inst Appx'!$A49,Reference!$A:$B,2))&amp;"'!W49")</f>
        <v>0</v>
      </c>
      <c r="X51" s="258">
        <f ca="1">INDIRECT("'"&amp;(VLOOKUP('CSL Inst Appx'!$A49,Reference!$A:$B,2))&amp;"'!X49")</f>
        <v>0</v>
      </c>
      <c r="Y51" s="258">
        <f ca="1">INDIRECT("'"&amp;(VLOOKUP('CSL Inst Appx'!$A49,Reference!$A:$B,2))&amp;"'!Y49")</f>
        <v>0</v>
      </c>
      <c r="Z51" s="258">
        <f ca="1">INDIRECT("'"&amp;(VLOOKUP('CSL Inst Appx'!$A49,Reference!$A:$B,2))&amp;"'!Z49")</f>
        <v>0</v>
      </c>
      <c r="AA51" s="258">
        <f ca="1">INDIRECT("'"&amp;(VLOOKUP('CSL Inst Appx'!$A49,Reference!$A:$B,2))&amp;"'!AA49")</f>
        <v>0</v>
      </c>
      <c r="AB51" s="258">
        <f ca="1">INDIRECT("'"&amp;(VLOOKUP('CSL Inst Appx'!$A49,Reference!$A:$B,2))&amp;"'!AB49")</f>
        <v>2.5</v>
      </c>
      <c r="AC51" s="258">
        <f ca="1">INDIRECT("'"&amp;(VLOOKUP('CSL Inst Appx'!$A49,Reference!$A:$B,2))&amp;"'!AC49")</f>
        <v>0</v>
      </c>
      <c r="AD51" s="258">
        <f ca="1">INDIRECT("'"&amp;(VLOOKUP('CSL Inst Appx'!$A49,Reference!$A:$B,2))&amp;"'!AD49")</f>
        <v>0</v>
      </c>
      <c r="AE51" s="258">
        <f ca="1">INDIRECT("'"&amp;(VLOOKUP('CSL Inst Appx'!$A49,Reference!$A:$B,2))&amp;"'!AE49")</f>
        <v>0</v>
      </c>
      <c r="AF51" s="258">
        <f ca="1">INDIRECT("'"&amp;(VLOOKUP('CSL Inst Appx'!$A49,Reference!$A:$B,2))&amp;"'!AF49")</f>
        <v>0</v>
      </c>
      <c r="AG51" s="258">
        <f ca="1">INDIRECT("'"&amp;(VLOOKUP('CSL Inst Appx'!$A49,Reference!$A:$B,2))&amp;"'!AG49")</f>
        <v>0</v>
      </c>
      <c r="AH51" s="273">
        <f t="shared" ca="1" si="6"/>
        <v>34</v>
      </c>
    </row>
    <row r="52" spans="1:34" s="261" customFormat="1" ht="15.6" customHeight="1" thickBot="1">
      <c r="A52" s="259" t="str">
        <f>Navigation!$A52</f>
        <v>SOFTWARE AND WEB DEVELOPER DIPLOMA</v>
      </c>
      <c r="B52" s="260" t="str">
        <f ca="1">INDIRECT("'"&amp;(VLOOKUP('CSL Inst Appx'!$A50,Reference!$A:$B,2))&amp;"'!D3")</f>
        <v>UAN7</v>
      </c>
      <c r="C52" s="260" t="str">
        <f ca="1">RIGHT(INDIRECT("'"&amp;(VLOOKUP('CSL Inst Appx'!$A50,Reference!$A:$B,2))&amp;"'!G4"),4)</f>
        <v>2175</v>
      </c>
      <c r="D52" s="260">
        <f ca="1">INDIRECT("'"&amp;(VLOOKUP('CSL Inst Appx'!$A50,Reference!$A:$B,2))&amp;"'!I41")</f>
        <v>949</v>
      </c>
      <c r="E52" s="260">
        <f ca="1">INDIRECT("'"&amp;(VLOOKUP('CSL Inst Appx'!$A50,Reference!$A:$B,2))&amp;"'!C44")</f>
        <v>0</v>
      </c>
      <c r="F52" s="30">
        <f ca="1">INDIRECT("'"&amp;(VLOOKUP('CSL Inst Appx'!$A50,Reference!$A:$B,2))&amp;"'!C42")</f>
        <v>0</v>
      </c>
      <c r="G52" s="31">
        <f t="shared" ca="1" si="0"/>
        <v>949</v>
      </c>
      <c r="H52" s="32">
        <f ca="1">INDIRECT("'"&amp;(VLOOKUP('CSL Inst Appx'!$A50,Reference!$A:$B,2))&amp;"'!H41")</f>
        <v>17063</v>
      </c>
      <c r="I52" s="33">
        <f t="shared" ca="1" si="1"/>
        <v>17.98</v>
      </c>
      <c r="J52" s="34">
        <f t="shared" ca="1" si="2"/>
        <v>11</v>
      </c>
      <c r="K52" s="29">
        <f t="shared" ca="1" si="3"/>
        <v>48</v>
      </c>
      <c r="L52" s="34">
        <f t="shared" ca="1" si="4"/>
        <v>8.7999999999999989</v>
      </c>
      <c r="M52" s="29">
        <f t="shared" ca="1" si="5"/>
        <v>38</v>
      </c>
      <c r="N52" s="257">
        <f ca="1">INDIRECT("'"&amp;(VLOOKUP('CSL Inst Appx'!$A50,Reference!$A:$B,2))&amp;"'!N49")</f>
        <v>2.5</v>
      </c>
      <c r="O52" s="258">
        <f ca="1">INDIRECT("'"&amp;(VLOOKUP('CSL Inst Appx'!$A50,Reference!$A:$B,2))&amp;"'!O49")</f>
        <v>3.5</v>
      </c>
      <c r="P52" s="258">
        <f ca="1">INDIRECT("'"&amp;(VLOOKUP('CSL Inst Appx'!$A50,Reference!$A:$B,2))&amp;"'!P49")</f>
        <v>1.5</v>
      </c>
      <c r="Q52" s="258">
        <f ca="1">INDIRECT("'"&amp;(VLOOKUP('CSL Inst Appx'!$A50,Reference!$A:$B,2))&amp;"'!Q49")</f>
        <v>1.5</v>
      </c>
      <c r="R52" s="258">
        <f ca="1">INDIRECT("'"&amp;(VLOOKUP('CSL Inst Appx'!$A50,Reference!$A:$B,2))&amp;"'!R49")</f>
        <v>3</v>
      </c>
      <c r="S52" s="258">
        <f ca="1">INDIRECT("'"&amp;(VLOOKUP('CSL Inst Appx'!$A50,Reference!$A:$B,2))&amp;"'!S49")</f>
        <v>1</v>
      </c>
      <c r="T52" s="258">
        <f ca="1">INDIRECT("'"&amp;(VLOOKUP('CSL Inst Appx'!$A50,Reference!$A:$B,2))&amp;"'!T49")</f>
        <v>0</v>
      </c>
      <c r="U52" s="258">
        <f ca="1">INDIRECT("'"&amp;(VLOOKUP('CSL Inst Appx'!$A50,Reference!$A:$B,2))&amp;"'!U49")</f>
        <v>2</v>
      </c>
      <c r="V52" s="258">
        <f ca="1">INDIRECT("'"&amp;(VLOOKUP('CSL Inst Appx'!$A50,Reference!$A:$B,2))&amp;"'!V49")</f>
        <v>5.5</v>
      </c>
      <c r="W52" s="258">
        <f ca="1">INDIRECT("'"&amp;(VLOOKUP('CSL Inst Appx'!$A50,Reference!$A:$B,2))&amp;"'!W49")</f>
        <v>0</v>
      </c>
      <c r="X52" s="258">
        <f ca="1">INDIRECT("'"&amp;(VLOOKUP('CSL Inst Appx'!$A50,Reference!$A:$B,2))&amp;"'!X49")</f>
        <v>0</v>
      </c>
      <c r="Y52" s="258">
        <f ca="1">INDIRECT("'"&amp;(VLOOKUP('CSL Inst Appx'!$A50,Reference!$A:$B,2))&amp;"'!Y49")</f>
        <v>0</v>
      </c>
      <c r="Z52" s="258">
        <f ca="1">INDIRECT("'"&amp;(VLOOKUP('CSL Inst Appx'!$A50,Reference!$A:$B,2))&amp;"'!Z49")</f>
        <v>0</v>
      </c>
      <c r="AA52" s="258">
        <f ca="1">INDIRECT("'"&amp;(VLOOKUP('CSL Inst Appx'!$A50,Reference!$A:$B,2))&amp;"'!AA49")</f>
        <v>0</v>
      </c>
      <c r="AB52" s="258">
        <f ca="1">INDIRECT("'"&amp;(VLOOKUP('CSL Inst Appx'!$A50,Reference!$A:$B,2))&amp;"'!AB49")</f>
        <v>2.5</v>
      </c>
      <c r="AC52" s="258">
        <f ca="1">INDIRECT("'"&amp;(VLOOKUP('CSL Inst Appx'!$A50,Reference!$A:$B,2))&amp;"'!AC49")</f>
        <v>0</v>
      </c>
      <c r="AD52" s="258">
        <f ca="1">INDIRECT("'"&amp;(VLOOKUP('CSL Inst Appx'!$A50,Reference!$A:$B,2))&amp;"'!AD49")</f>
        <v>24.5</v>
      </c>
      <c r="AE52" s="258">
        <f ca="1">INDIRECT("'"&amp;(VLOOKUP('CSL Inst Appx'!$A50,Reference!$A:$B,2))&amp;"'!AE49")</f>
        <v>0</v>
      </c>
      <c r="AF52" s="258">
        <f ca="1">INDIRECT("'"&amp;(VLOOKUP('CSL Inst Appx'!$A50,Reference!$A:$B,2))&amp;"'!AF49")</f>
        <v>0</v>
      </c>
      <c r="AG52" s="258">
        <f ca="1">INDIRECT("'"&amp;(VLOOKUP('CSL Inst Appx'!$A50,Reference!$A:$B,2))&amp;"'!AG49")</f>
        <v>0</v>
      </c>
      <c r="AH52" s="273">
        <f t="shared" ca="1" si="6"/>
        <v>47.5</v>
      </c>
    </row>
    <row r="53" spans="1:34" s="261" customFormat="1" ht="15.6" customHeight="1" thickBot="1">
      <c r="A53" s="259" t="str">
        <f>Navigation!$A53</f>
        <v>WEB DESIGNER DIPLOMA</v>
      </c>
      <c r="B53" s="260" t="str">
        <f ca="1">INDIRECT("'"&amp;(VLOOKUP('CSL Inst Appx'!$A51,Reference!$A:$B,2))&amp;"'!D3")</f>
        <v>UIE7</v>
      </c>
      <c r="C53" s="260" t="str">
        <f ca="1">RIGHT(INDIRECT("'"&amp;(VLOOKUP('CSL Inst Appx'!$A51,Reference!$A:$B,2))&amp;"'!G4"),4)</f>
        <v>2175</v>
      </c>
      <c r="D53" s="260">
        <f ca="1">INDIRECT("'"&amp;(VLOOKUP('CSL Inst Appx'!$A51,Reference!$A:$B,2))&amp;"'!I41")</f>
        <v>1084</v>
      </c>
      <c r="E53" s="260">
        <f ca="1">INDIRECT("'"&amp;(VLOOKUP('CSL Inst Appx'!$A51,Reference!$A:$B,2))&amp;"'!C44")</f>
        <v>99</v>
      </c>
      <c r="F53" s="30">
        <f ca="1">INDIRECT("'"&amp;(VLOOKUP('CSL Inst Appx'!$A51,Reference!$A:$B,2))&amp;"'!C42")</f>
        <v>0</v>
      </c>
      <c r="G53" s="31">
        <f t="shared" ca="1" si="0"/>
        <v>1183</v>
      </c>
      <c r="H53" s="32">
        <f ca="1">INDIRECT("'"&amp;(VLOOKUP('CSL Inst Appx'!$A51,Reference!$A:$B,2))&amp;"'!H41")</f>
        <v>17114</v>
      </c>
      <c r="I53" s="33">
        <f t="shared" ca="1" si="1"/>
        <v>14.47</v>
      </c>
      <c r="J53" s="34">
        <f t="shared" ca="1" si="2"/>
        <v>13.7</v>
      </c>
      <c r="K53" s="29">
        <f t="shared" ca="1" si="3"/>
        <v>60</v>
      </c>
      <c r="L53" s="34">
        <f t="shared" ca="1" si="4"/>
        <v>11</v>
      </c>
      <c r="M53" s="29">
        <f t="shared" ca="1" si="5"/>
        <v>48</v>
      </c>
      <c r="N53" s="257">
        <f ca="1">INDIRECT("'"&amp;(VLOOKUP('CSL Inst Appx'!$A51,Reference!$A:$B,2))&amp;"'!N49")</f>
        <v>2.5</v>
      </c>
      <c r="O53" s="258">
        <f ca="1">INDIRECT("'"&amp;(VLOOKUP('CSL Inst Appx'!$A51,Reference!$A:$B,2))&amp;"'!O49")</f>
        <v>3.5</v>
      </c>
      <c r="P53" s="258">
        <f ca="1">INDIRECT("'"&amp;(VLOOKUP('CSL Inst Appx'!$A51,Reference!$A:$B,2))&amp;"'!P49")</f>
        <v>1.5</v>
      </c>
      <c r="Q53" s="258">
        <f ca="1">INDIRECT("'"&amp;(VLOOKUP('CSL Inst Appx'!$A51,Reference!$A:$B,2))&amp;"'!Q49")</f>
        <v>0</v>
      </c>
      <c r="R53" s="258">
        <f ca="1">INDIRECT("'"&amp;(VLOOKUP('CSL Inst Appx'!$A51,Reference!$A:$B,2))&amp;"'!R49")</f>
        <v>0</v>
      </c>
      <c r="S53" s="258">
        <f ca="1">INDIRECT("'"&amp;(VLOOKUP('CSL Inst Appx'!$A51,Reference!$A:$B,2))&amp;"'!S49")</f>
        <v>0</v>
      </c>
      <c r="T53" s="258">
        <f ca="1">INDIRECT("'"&amp;(VLOOKUP('CSL Inst Appx'!$A51,Reference!$A:$B,2))&amp;"'!T49")</f>
        <v>0</v>
      </c>
      <c r="U53" s="258">
        <f ca="1">INDIRECT("'"&amp;(VLOOKUP('CSL Inst Appx'!$A51,Reference!$A:$B,2))&amp;"'!U49")</f>
        <v>1</v>
      </c>
      <c r="V53" s="258">
        <f ca="1">INDIRECT("'"&amp;(VLOOKUP('CSL Inst Appx'!$A51,Reference!$A:$B,2))&amp;"'!V49")</f>
        <v>5</v>
      </c>
      <c r="W53" s="258">
        <f ca="1">INDIRECT("'"&amp;(VLOOKUP('CSL Inst Appx'!$A51,Reference!$A:$B,2))&amp;"'!W49")</f>
        <v>0</v>
      </c>
      <c r="X53" s="258">
        <f ca="1">INDIRECT("'"&amp;(VLOOKUP('CSL Inst Appx'!$A51,Reference!$A:$B,2))&amp;"'!X49")</f>
        <v>0</v>
      </c>
      <c r="Y53" s="258">
        <f ca="1">INDIRECT("'"&amp;(VLOOKUP('CSL Inst Appx'!$A51,Reference!$A:$B,2))&amp;"'!Y49")</f>
        <v>0</v>
      </c>
      <c r="Z53" s="258">
        <f ca="1">INDIRECT("'"&amp;(VLOOKUP('CSL Inst Appx'!$A51,Reference!$A:$B,2))&amp;"'!Z49")</f>
        <v>0</v>
      </c>
      <c r="AA53" s="258">
        <f ca="1">INDIRECT("'"&amp;(VLOOKUP('CSL Inst Appx'!$A51,Reference!$A:$B,2))&amp;"'!AA49")</f>
        <v>0</v>
      </c>
      <c r="AB53" s="258">
        <f ca="1">INDIRECT("'"&amp;(VLOOKUP('CSL Inst Appx'!$A51,Reference!$A:$B,2))&amp;"'!AB49")</f>
        <v>2.5</v>
      </c>
      <c r="AC53" s="258">
        <f ca="1">INDIRECT("'"&amp;(VLOOKUP('CSL Inst Appx'!$A51,Reference!$A:$B,2))&amp;"'!AC49")</f>
        <v>0</v>
      </c>
      <c r="AD53" s="258">
        <f ca="1">INDIRECT("'"&amp;(VLOOKUP('CSL Inst Appx'!$A51,Reference!$A:$B,2))&amp;"'!AD49")</f>
        <v>0</v>
      </c>
      <c r="AE53" s="258">
        <f ca="1">INDIRECT("'"&amp;(VLOOKUP('CSL Inst Appx'!$A51,Reference!$A:$B,2))&amp;"'!AE49")</f>
        <v>0</v>
      </c>
      <c r="AF53" s="258">
        <f ca="1">INDIRECT("'"&amp;(VLOOKUP('CSL Inst Appx'!$A51,Reference!$A:$B,2))&amp;"'!AF49")</f>
        <v>33.5</v>
      </c>
      <c r="AG53" s="258">
        <f ca="1">INDIRECT("'"&amp;(VLOOKUP('CSL Inst Appx'!$A51,Reference!$A:$B,2))&amp;"'!AG49")</f>
        <v>0</v>
      </c>
      <c r="AH53" s="273">
        <f t="shared" ca="1" si="6"/>
        <v>49.5</v>
      </c>
    </row>
    <row r="54" spans="1:34" s="261" customFormat="1" ht="15.6" customHeight="1" thickBot="1">
      <c r="A54" s="262" t="str">
        <f>Navigation!$A54</f>
        <v>WEB DEVELOPER DIPLOMA</v>
      </c>
      <c r="B54" s="263" t="str">
        <f ca="1">INDIRECT("'"&amp;(VLOOKUP('CSL Inst Appx'!$A52,Reference!$A:$B,2))&amp;"'!D3")</f>
        <v>UHK7</v>
      </c>
      <c r="C54" s="263" t="str">
        <f ca="1">RIGHT(INDIRECT("'"&amp;(VLOOKUP('CSL Inst Appx'!$A52,Reference!$A:$B,2))&amp;"'!G4"),4)</f>
        <v>2175</v>
      </c>
      <c r="D54" s="263">
        <f ca="1">INDIRECT("'"&amp;(VLOOKUP('CSL Inst Appx'!$A52,Reference!$A:$B,2))&amp;"'!I41")</f>
        <v>591</v>
      </c>
      <c r="E54" s="263">
        <f ca="1">INDIRECT("'"&amp;(VLOOKUP('CSL Inst Appx'!$A52,Reference!$A:$B,2))&amp;"'!C44")</f>
        <v>0</v>
      </c>
      <c r="F54" s="264">
        <f ca="1">INDIRECT("'"&amp;(VLOOKUP('CSL Inst Appx'!$A52,Reference!$A:$B,2))&amp;"'!C42")</f>
        <v>0</v>
      </c>
      <c r="G54" s="265">
        <f t="shared" ca="1" si="0"/>
        <v>591</v>
      </c>
      <c r="H54" s="266">
        <f ca="1">INDIRECT("'"&amp;(VLOOKUP('CSL Inst Appx'!$A52,Reference!$A:$B,2))&amp;"'!H41")</f>
        <v>10774</v>
      </c>
      <c r="I54" s="267">
        <f t="shared" ca="1" si="1"/>
        <v>18.240000000000002</v>
      </c>
      <c r="J54" s="268">
        <f t="shared" ca="1" si="2"/>
        <v>6.8999999999999995</v>
      </c>
      <c r="K54" s="269">
        <f t="shared" ca="1" si="3"/>
        <v>30</v>
      </c>
      <c r="L54" s="268">
        <f t="shared" ca="1" si="4"/>
        <v>5.5</v>
      </c>
      <c r="M54" s="269">
        <f t="shared" ca="1" si="5"/>
        <v>24</v>
      </c>
      <c r="N54" s="270">
        <f ca="1">INDIRECT("'"&amp;(VLOOKUP('CSL Inst Appx'!$A52,Reference!$A:$B,2))&amp;"'!N49")</f>
        <v>2.5</v>
      </c>
      <c r="O54" s="271">
        <f ca="1">INDIRECT("'"&amp;(VLOOKUP('CSL Inst Appx'!$A52,Reference!$A:$B,2))&amp;"'!O49")</f>
        <v>3.5</v>
      </c>
      <c r="P54" s="271">
        <f ca="1">INDIRECT("'"&amp;(VLOOKUP('CSL Inst Appx'!$A52,Reference!$A:$B,2))&amp;"'!P49")</f>
        <v>1.5</v>
      </c>
      <c r="Q54" s="271">
        <f ca="1">INDIRECT("'"&amp;(VLOOKUP('CSL Inst Appx'!$A52,Reference!$A:$B,2))&amp;"'!Q49")</f>
        <v>1.5</v>
      </c>
      <c r="R54" s="271">
        <f ca="1">INDIRECT("'"&amp;(VLOOKUP('CSL Inst Appx'!$A52,Reference!$A:$B,2))&amp;"'!R49")</f>
        <v>1.5</v>
      </c>
      <c r="S54" s="271">
        <f ca="1">INDIRECT("'"&amp;(VLOOKUP('CSL Inst Appx'!$A52,Reference!$A:$B,2))&amp;"'!S49")</f>
        <v>0</v>
      </c>
      <c r="T54" s="271">
        <f ca="1">INDIRECT("'"&amp;(VLOOKUP('CSL Inst Appx'!$A52,Reference!$A:$B,2))&amp;"'!T49")</f>
        <v>0</v>
      </c>
      <c r="U54" s="271">
        <f ca="1">INDIRECT("'"&amp;(VLOOKUP('CSL Inst Appx'!$A52,Reference!$A:$B,2))&amp;"'!U49")</f>
        <v>2</v>
      </c>
      <c r="V54" s="271">
        <f ca="1">INDIRECT("'"&amp;(VLOOKUP('CSL Inst Appx'!$A52,Reference!$A:$B,2))&amp;"'!V49")</f>
        <v>3.5</v>
      </c>
      <c r="W54" s="271">
        <f ca="1">INDIRECT("'"&amp;(VLOOKUP('CSL Inst Appx'!$A52,Reference!$A:$B,2))&amp;"'!W49")</f>
        <v>0</v>
      </c>
      <c r="X54" s="271">
        <f ca="1">INDIRECT("'"&amp;(VLOOKUP('CSL Inst Appx'!$A52,Reference!$A:$B,2))&amp;"'!X49")</f>
        <v>0</v>
      </c>
      <c r="Y54" s="271">
        <f ca="1">INDIRECT("'"&amp;(VLOOKUP('CSL Inst Appx'!$A52,Reference!$A:$B,2))&amp;"'!Y49")</f>
        <v>0</v>
      </c>
      <c r="Z54" s="271">
        <f ca="1">INDIRECT("'"&amp;(VLOOKUP('CSL Inst Appx'!$A52,Reference!$A:$B,2))&amp;"'!Z49")</f>
        <v>0</v>
      </c>
      <c r="AA54" s="271">
        <f ca="1">INDIRECT("'"&amp;(VLOOKUP('CSL Inst Appx'!$A52,Reference!$A:$B,2))&amp;"'!AA49")</f>
        <v>0</v>
      </c>
      <c r="AB54" s="271">
        <f ca="1">INDIRECT("'"&amp;(VLOOKUP('CSL Inst Appx'!$A52,Reference!$A:$B,2))&amp;"'!AB49")</f>
        <v>2.5</v>
      </c>
      <c r="AC54" s="271">
        <f ca="1">INDIRECT("'"&amp;(VLOOKUP('CSL Inst Appx'!$A52,Reference!$A:$B,2))&amp;"'!AC49")</f>
        <v>0</v>
      </c>
      <c r="AD54" s="271">
        <f ca="1">INDIRECT("'"&amp;(VLOOKUP('CSL Inst Appx'!$A52,Reference!$A:$B,2))&amp;"'!AD49")</f>
        <v>11.5</v>
      </c>
      <c r="AE54" s="271">
        <f ca="1">INDIRECT("'"&amp;(VLOOKUP('CSL Inst Appx'!$A52,Reference!$A:$B,2))&amp;"'!AE49")</f>
        <v>0</v>
      </c>
      <c r="AF54" s="271">
        <f ca="1">INDIRECT("'"&amp;(VLOOKUP('CSL Inst Appx'!$A52,Reference!$A:$B,2))&amp;"'!AF49")</f>
        <v>0</v>
      </c>
      <c r="AG54" s="271">
        <f ca="1">INDIRECT("'"&amp;(VLOOKUP('CSL Inst Appx'!$A52,Reference!$A:$B,2))&amp;"'!AG49")</f>
        <v>0</v>
      </c>
      <c r="AH54" s="274">
        <f t="shared" ca="1" si="6"/>
        <v>30</v>
      </c>
    </row>
    <row r="55" spans="1:34">
      <c r="D55"/>
    </row>
    <row r="56" spans="1:34">
      <c r="D56"/>
    </row>
    <row r="57" spans="1:34">
      <c r="D57"/>
    </row>
    <row r="58" spans="1:34">
      <c r="D58"/>
      <c r="M58" t="s">
        <v>40</v>
      </c>
      <c r="P58" t="s">
        <v>87</v>
      </c>
      <c r="W58" t="s">
        <v>57</v>
      </c>
      <c r="Z58" s="246" t="s">
        <v>728</v>
      </c>
    </row>
    <row r="59" spans="1:34">
      <c r="D59"/>
      <c r="M59" t="s">
        <v>42</v>
      </c>
      <c r="P59" t="s">
        <v>41</v>
      </c>
      <c r="W59" t="s">
        <v>96</v>
      </c>
      <c r="Z59" t="s">
        <v>101</v>
      </c>
    </row>
    <row r="60" spans="1:34">
      <c r="D60"/>
      <c r="M60" t="s">
        <v>43</v>
      </c>
      <c r="P60" t="s">
        <v>44</v>
      </c>
      <c r="W60" t="s">
        <v>97</v>
      </c>
      <c r="Z60" t="s">
        <v>114</v>
      </c>
    </row>
    <row r="61" spans="1:34">
      <c r="D61"/>
      <c r="M61" t="s">
        <v>45</v>
      </c>
      <c r="P61" t="s">
        <v>46</v>
      </c>
      <c r="W61" t="s">
        <v>98</v>
      </c>
      <c r="Z61" s="246" t="s">
        <v>729</v>
      </c>
    </row>
    <row r="62" spans="1:34">
      <c r="D62"/>
      <c r="M62" t="s">
        <v>47</v>
      </c>
      <c r="P62" t="s">
        <v>50</v>
      </c>
      <c r="W62" t="s">
        <v>108</v>
      </c>
      <c r="Z62" t="s">
        <v>99</v>
      </c>
    </row>
    <row r="63" spans="1:34">
      <c r="D63"/>
      <c r="M63" t="s">
        <v>49</v>
      </c>
      <c r="P63" t="s">
        <v>48</v>
      </c>
      <c r="W63" t="s">
        <v>109</v>
      </c>
      <c r="Z63" t="s">
        <v>128</v>
      </c>
    </row>
    <row r="64" spans="1:34">
      <c r="D64"/>
      <c r="M64" t="s">
        <v>51</v>
      </c>
      <c r="P64" t="s">
        <v>100</v>
      </c>
      <c r="W64" t="s">
        <v>110</v>
      </c>
      <c r="Z64" s="246" t="s">
        <v>733</v>
      </c>
    </row>
    <row r="65" spans="4:26">
      <c r="D65"/>
      <c r="M65" t="s">
        <v>52</v>
      </c>
      <c r="P65" t="s">
        <v>53</v>
      </c>
      <c r="W65" t="s">
        <v>111</v>
      </c>
      <c r="Z65" s="246" t="s">
        <v>730</v>
      </c>
    </row>
    <row r="66" spans="4:26">
      <c r="D66"/>
      <c r="M66" t="s">
        <v>54</v>
      </c>
      <c r="P66" t="s">
        <v>55</v>
      </c>
      <c r="W66" t="s">
        <v>112</v>
      </c>
      <c r="Z66" s="246" t="s">
        <v>731</v>
      </c>
    </row>
    <row r="67" spans="4:26">
      <c r="D67"/>
      <c r="M67" t="s">
        <v>56</v>
      </c>
      <c r="P67" s="246" t="s">
        <v>732</v>
      </c>
      <c r="W67" t="s">
        <v>113</v>
      </c>
      <c r="Z67" t="s">
        <v>115</v>
      </c>
    </row>
    <row r="68" spans="4:26">
      <c r="D68"/>
      <c r="M68" s="246" t="s">
        <v>734</v>
      </c>
      <c r="P68" s="246" t="s">
        <v>735</v>
      </c>
      <c r="W68" s="246" t="s">
        <v>736</v>
      </c>
      <c r="Z68" s="246" t="s">
        <v>737</v>
      </c>
    </row>
    <row r="69" spans="4:26">
      <c r="D69"/>
    </row>
  </sheetData>
  <sheetProtection selectLockedCells="1" selectUnlockedCells="1"/>
  <sortState ref="A5:AH50">
    <sortCondition ref="A5:A50"/>
  </sortState>
  <phoneticPr fontId="0" type="noConversion"/>
  <pageMargins left="0.51" right="0.51" top="0.86" bottom="0.52" header="0.57999999999999996" footer="0.51181102362204722"/>
  <pageSetup scale="49" orientation="landscape" horizontalDpi="360" verticalDpi="300" r:id="rId1"/>
  <headerFooter alignWithMargins="0">
    <oddHeader>&amp;LB.C. Group&amp;C&amp;"Scott,Regular"&amp;14Academy of Learning&amp;"Times New Roman,Regular"&amp;10
&amp;12Program &amp;A&amp;REffective December 1, 2007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24">
    <pageSetUpPr fitToPage="1"/>
  </sheetPr>
  <dimension ref="A1:N52"/>
  <sheetViews>
    <sheetView zoomScale="115" zoomScaleNormal="115" workbookViewId="0"/>
  </sheetViews>
  <sheetFormatPr defaultRowHeight="12.75"/>
  <cols>
    <col min="1" max="1" width="69" bestFit="1" customWidth="1"/>
    <col min="2" max="2" width="17.83203125" bestFit="1" customWidth="1"/>
    <col min="3" max="3" width="7.33203125" style="2" customWidth="1"/>
    <col min="4" max="4" width="9.6640625" customWidth="1"/>
    <col min="5" max="5" width="8.33203125" customWidth="1"/>
    <col min="6" max="6" width="7.83203125" style="2" customWidth="1"/>
    <col min="7" max="7" width="7.6640625" style="2" customWidth="1"/>
    <col min="8" max="8" width="13" style="2" customWidth="1"/>
    <col min="9" max="9" width="12.33203125" style="2" customWidth="1"/>
    <col min="10" max="11" width="15.6640625" style="2" customWidth="1"/>
    <col min="12" max="12" width="12.83203125" customWidth="1"/>
    <col min="13" max="13" width="16.83203125" customWidth="1"/>
    <col min="14" max="14" width="19.1640625" style="2" customWidth="1"/>
  </cols>
  <sheetData>
    <row r="1" spans="1:14" ht="21" customHeight="1">
      <c r="A1" s="51" t="str">
        <f>CONCATENATE("INSTITUTION NAME:   ACADEMY OF LEARNING  -  ",'[1]Franchise Info'!B8)</f>
        <v>INSTITUTION NAME:   ACADEMY OF LEARNING  -  Abbotsford</v>
      </c>
      <c r="B1" s="67"/>
      <c r="C1" s="40"/>
      <c r="D1" s="39"/>
      <c r="E1" s="39"/>
      <c r="F1" s="40"/>
      <c r="G1" s="40"/>
      <c r="H1" s="40"/>
      <c r="I1" s="40"/>
      <c r="J1" s="52" t="str">
        <f>CONCATENATE("INSTITUTION CODE:    ",'[1]Franchise Info'!B9)</f>
        <v>INSTITUTION CODE:    APNT</v>
      </c>
      <c r="K1" s="40"/>
      <c r="L1" s="39"/>
      <c r="M1" s="47" t="str">
        <f>AdminAsstDip!G3</f>
        <v>Eff. October 1, 2016</v>
      </c>
      <c r="N1" s="65" t="str">
        <f>AdminAsstDip!F2</f>
        <v>(o/b 0833917 B.C. Ltd.)</v>
      </c>
    </row>
    <row r="2" spans="1:14" ht="54.75">
      <c r="A2" s="44" t="s">
        <v>36</v>
      </c>
      <c r="B2" s="69" t="s">
        <v>218</v>
      </c>
      <c r="C2" s="7" t="s">
        <v>656</v>
      </c>
      <c r="D2" s="7" t="s">
        <v>58</v>
      </c>
      <c r="E2" s="7" t="s">
        <v>59</v>
      </c>
      <c r="F2" s="7" t="s">
        <v>60</v>
      </c>
      <c r="G2" s="7" t="s">
        <v>61</v>
      </c>
      <c r="H2" s="7" t="s">
        <v>62</v>
      </c>
      <c r="I2" s="7" t="s">
        <v>94</v>
      </c>
      <c r="J2" s="7" t="s">
        <v>63</v>
      </c>
      <c r="K2" s="7" t="s">
        <v>64</v>
      </c>
      <c r="L2" s="7" t="s">
        <v>65</v>
      </c>
      <c r="M2" s="7" t="s">
        <v>66</v>
      </c>
      <c r="N2" s="45" t="s">
        <v>67</v>
      </c>
    </row>
    <row r="3" spans="1:14" ht="14.1" customHeight="1">
      <c r="A3" s="6" t="str">
        <f>Navigation!$A5</f>
        <v>A+ NETWORK+ AND MCSA DESKTOP CERT. PREP</v>
      </c>
      <c r="B3" s="68" t="str">
        <f ca="1">INDIRECT("'"&amp;(VLOOKUP('CSL Inst Appx'!$A3,Reference!$A:$B,2))&amp;"'!A5")</f>
        <v>A+N+MCSA PREP</v>
      </c>
      <c r="C3" s="9" t="str">
        <f ca="1">INDIRECT("'"&amp;(VLOOKUP('CSL Inst Appx'!$A3,Reference!$A:$B,2))&amp;"'!D3")</f>
        <v>UHG8</v>
      </c>
      <c r="D3" s="8" t="str">
        <f>IF(IFERROR(SEARCH("*dip",A3)=1,)=TRUE,"Diploma","Certificate")</f>
        <v>Certificate</v>
      </c>
      <c r="E3" s="13">
        <f ca="1">VLOOKUP($A3,Summary!$A$5:$M$54,11)</f>
        <v>38</v>
      </c>
      <c r="F3" s="9" t="s">
        <v>69</v>
      </c>
      <c r="G3" s="9" t="s">
        <v>69</v>
      </c>
      <c r="H3" s="10" t="s">
        <v>70</v>
      </c>
      <c r="I3" s="9" t="s">
        <v>69</v>
      </c>
      <c r="J3" s="9" t="s">
        <v>71</v>
      </c>
      <c r="K3" s="9">
        <v>20</v>
      </c>
      <c r="L3" s="9" t="s">
        <v>69</v>
      </c>
      <c r="M3" s="8" t="s">
        <v>95</v>
      </c>
      <c r="N3" s="42" t="s">
        <v>72</v>
      </c>
    </row>
    <row r="4" spans="1:14" ht="14.1" customHeight="1">
      <c r="A4" s="6" t="str">
        <f>Navigation!$A6</f>
        <v>ACCOUNTING ADMINISTRATOR DIPLOMA with SAGE</v>
      </c>
      <c r="B4" s="68" t="str">
        <f ca="1">INDIRECT("'"&amp;(VLOOKUP('CSL Inst Appx'!$A4,Reference!$A:$B,2))&amp;"'!A5")</f>
        <v>ACCT ADMIN</v>
      </c>
      <c r="C4" s="9" t="str">
        <f ca="1">INDIRECT("'"&amp;(VLOOKUP('CSL Inst Appx'!$A4,Reference!$A:$B,2))&amp;"'!D3")</f>
        <v>ZAJ7</v>
      </c>
      <c r="D4" s="8" t="str">
        <f t="shared" ref="D4:D52" si="0">IF(IFERROR(SEARCH("*dip",A4)=1,)=TRUE,"Diploma","Certificate")</f>
        <v>Diploma</v>
      </c>
      <c r="E4" s="13">
        <f ca="1">VLOOKUP($A4,Summary!$A$5:$M$54,11)</f>
        <v>40</v>
      </c>
      <c r="F4" s="9" t="s">
        <v>69</v>
      </c>
      <c r="G4" s="9" t="s">
        <v>69</v>
      </c>
      <c r="H4" s="10" t="s">
        <v>70</v>
      </c>
      <c r="I4" s="9" t="s">
        <v>69</v>
      </c>
      <c r="J4" s="9" t="s">
        <v>71</v>
      </c>
      <c r="K4" s="9">
        <v>20</v>
      </c>
      <c r="L4" s="9" t="s">
        <v>69</v>
      </c>
      <c r="M4" s="8" t="s">
        <v>95</v>
      </c>
      <c r="N4" s="42" t="s">
        <v>72</v>
      </c>
    </row>
    <row r="5" spans="1:14" ht="14.1" customHeight="1">
      <c r="A5" s="6" t="str">
        <f>Navigation!$A7</f>
        <v>ACCOUNTING AND BUSINESS TECHNOLOGY DIPLOMA</v>
      </c>
      <c r="B5" s="68" t="str">
        <f ca="1">INDIRECT("'"&amp;(VLOOKUP('CSL Inst Appx'!$A5,Reference!$A:$B,2))&amp;"'!A5")</f>
        <v>ACCT BUS TECH</v>
      </c>
      <c r="C5" s="9" t="str">
        <f ca="1">INDIRECT("'"&amp;(VLOOKUP('CSL Inst Appx'!$A5,Reference!$A:$B,2))&amp;"'!D3")</f>
        <v>ZIZ7</v>
      </c>
      <c r="D5" s="8" t="str">
        <f t="shared" si="0"/>
        <v>Diploma</v>
      </c>
      <c r="E5" s="13">
        <f ca="1">VLOOKUP($A5,Summary!$A$5:$M$54,11)</f>
        <v>45</v>
      </c>
      <c r="F5" s="9" t="s">
        <v>69</v>
      </c>
      <c r="G5" s="9" t="s">
        <v>69</v>
      </c>
      <c r="H5" s="10" t="s">
        <v>70</v>
      </c>
      <c r="I5" s="9" t="s">
        <v>69</v>
      </c>
      <c r="J5" s="9" t="s">
        <v>71</v>
      </c>
      <c r="K5" s="9">
        <v>20</v>
      </c>
      <c r="L5" s="9" t="s">
        <v>69</v>
      </c>
      <c r="M5" s="8" t="s">
        <v>95</v>
      </c>
      <c r="N5" s="42" t="s">
        <v>72</v>
      </c>
    </row>
    <row r="6" spans="1:14" ht="14.1" customHeight="1">
      <c r="A6" s="6" t="str">
        <f>Navigation!$A8</f>
        <v>ACCOUNTING AND PAYROLL ADMINISTRATOR DIPLOMA</v>
      </c>
      <c r="B6" s="68" t="str">
        <f ca="1">INDIRECT("'"&amp;(VLOOKUP('CSL Inst Appx'!$A6,Reference!$A:$B,2))&amp;"'!A5")</f>
        <v>ACCT PAYROLL ADMIN</v>
      </c>
      <c r="C6" s="9" t="str">
        <f ca="1">INDIRECT("'"&amp;(VLOOKUP('CSL Inst Appx'!$A6,Reference!$A:$B,2))&amp;"'!D3")</f>
        <v>ZNV7</v>
      </c>
      <c r="D6" s="8" t="str">
        <f t="shared" si="0"/>
        <v>Diploma</v>
      </c>
      <c r="E6" s="13">
        <f ca="1">VLOOKUP($A6,Summary!$A$5:$M$54,11)</f>
        <v>55</v>
      </c>
      <c r="F6" s="9" t="s">
        <v>69</v>
      </c>
      <c r="G6" s="9" t="s">
        <v>69</v>
      </c>
      <c r="H6" s="10" t="s">
        <v>70</v>
      </c>
      <c r="I6" s="9" t="s">
        <v>69</v>
      </c>
      <c r="J6" s="9" t="s">
        <v>71</v>
      </c>
      <c r="K6" s="9">
        <v>20</v>
      </c>
      <c r="L6" s="9" t="s">
        <v>69</v>
      </c>
      <c r="M6" s="8" t="s">
        <v>95</v>
      </c>
      <c r="N6" s="42" t="s">
        <v>72</v>
      </c>
    </row>
    <row r="7" spans="1:14" ht="14.1" customHeight="1">
      <c r="A7" s="6" t="str">
        <f>Navigation!$A9</f>
        <v>ACCOUNTING BOOKKEEPER CERTIFICATE</v>
      </c>
      <c r="B7" s="68" t="str">
        <f ca="1">INDIRECT("'"&amp;(VLOOKUP('CSL Inst Appx'!$A7,Reference!$A:$B,2))&amp;"'!A5")</f>
        <v>ACCT BK</v>
      </c>
      <c r="C7" s="9" t="str">
        <f ca="1">INDIRECT("'"&amp;(VLOOKUP('CSL Inst Appx'!$A7,Reference!$A:$B,2))&amp;"'!D3")</f>
        <v>ZLJ8</v>
      </c>
      <c r="D7" s="8" t="str">
        <f t="shared" si="0"/>
        <v>Certificate</v>
      </c>
      <c r="E7" s="13">
        <f ca="1">VLOOKUP($A7,Summary!$A$5:$M$54,11)</f>
        <v>33</v>
      </c>
      <c r="F7" s="9" t="s">
        <v>69</v>
      </c>
      <c r="G7" s="9" t="s">
        <v>69</v>
      </c>
      <c r="H7" s="10" t="s">
        <v>70</v>
      </c>
      <c r="I7" s="9" t="s">
        <v>69</v>
      </c>
      <c r="J7" s="9" t="s">
        <v>71</v>
      </c>
      <c r="K7" s="9">
        <v>20</v>
      </c>
      <c r="L7" s="9" t="s">
        <v>69</v>
      </c>
      <c r="M7" s="8" t="s">
        <v>95</v>
      </c>
      <c r="N7" s="42" t="s">
        <v>72</v>
      </c>
    </row>
    <row r="8" spans="1:14" ht="14.1" customHeight="1">
      <c r="A8" s="6" t="str">
        <f>Navigation!$A10</f>
        <v>ACCOUNTING CLERK CERTIFICATE</v>
      </c>
      <c r="B8" s="68" t="str">
        <f ca="1">INDIRECT("'"&amp;(VLOOKUP('CSL Inst Appx'!$A8,Reference!$A:$B,2))&amp;"'!A5")</f>
        <v>ACCT CLERK CRT</v>
      </c>
      <c r="C8" s="9" t="str">
        <f ca="1">INDIRECT("'"&amp;(VLOOKUP('CSL Inst Appx'!$A8,Reference!$A:$B,2))&amp;"'!D3")</f>
        <v>ZLK8</v>
      </c>
      <c r="D8" s="8" t="str">
        <f t="shared" si="0"/>
        <v>Certificate</v>
      </c>
      <c r="E8" s="13">
        <f ca="1">VLOOKUP($A8,Summary!$A$5:$M$54,11)</f>
        <v>23</v>
      </c>
      <c r="F8" s="9" t="s">
        <v>69</v>
      </c>
      <c r="G8" s="9" t="s">
        <v>69</v>
      </c>
      <c r="H8" s="10" t="s">
        <v>70</v>
      </c>
      <c r="I8" s="9" t="s">
        <v>69</v>
      </c>
      <c r="J8" s="9" t="s">
        <v>71</v>
      </c>
      <c r="K8" s="9">
        <v>20</v>
      </c>
      <c r="L8" s="9" t="s">
        <v>69</v>
      </c>
      <c r="M8" s="8" t="s">
        <v>95</v>
      </c>
      <c r="N8" s="42" t="s">
        <v>72</v>
      </c>
    </row>
    <row r="9" spans="1:14" ht="14.1" customHeight="1">
      <c r="A9" s="6" t="str">
        <f>Navigation!$A11</f>
        <v>ADDICTIONS WORKER CERTIFICATE</v>
      </c>
      <c r="B9" s="68" t="str">
        <f ca="1">INDIRECT("'"&amp;(VLOOKUP('CSL Inst Appx'!$A9,Reference!$A:$B,2))&amp;"'!A5")</f>
        <v>ADDIC WORK</v>
      </c>
      <c r="C9" s="9" t="str">
        <f ca="1">INDIRECT("'"&amp;(VLOOKUP('CSL Inst Appx'!$A9,Reference!$A:$B,2))&amp;"'!D3")</f>
        <v>WAA8</v>
      </c>
      <c r="D9" s="8" t="str">
        <f t="shared" si="0"/>
        <v>Certificate</v>
      </c>
      <c r="E9" s="13">
        <f ca="1">VLOOKUP($A9,Summary!$A$5:$M$54,11)</f>
        <v>15</v>
      </c>
      <c r="F9" s="9" t="s">
        <v>69</v>
      </c>
      <c r="G9" s="9" t="s">
        <v>69</v>
      </c>
      <c r="H9" s="10" t="s">
        <v>70</v>
      </c>
      <c r="I9" s="9" t="s">
        <v>69</v>
      </c>
      <c r="J9" s="9" t="s">
        <v>71</v>
      </c>
      <c r="K9" s="9">
        <v>25</v>
      </c>
      <c r="L9" s="9" t="s">
        <v>69</v>
      </c>
      <c r="M9" s="8" t="s">
        <v>95</v>
      </c>
      <c r="N9" s="42" t="s">
        <v>72</v>
      </c>
    </row>
    <row r="10" spans="1:14" ht="14.1" customHeight="1">
      <c r="A10" s="6" t="str">
        <f>Navigation!$A12</f>
        <v>ADMINISTRATIVE ASSISTANT DIPLOMA</v>
      </c>
      <c r="B10" s="68" t="str">
        <f ca="1">INDIRECT("'"&amp;(VLOOKUP('CSL Inst Appx'!$A10,Reference!$A:$B,2))&amp;"'!A5")</f>
        <v>ADMIN ASST</v>
      </c>
      <c r="C10" s="9" t="str">
        <f ca="1">INDIRECT("'"&amp;(VLOOKUP('CSL Inst Appx'!$A10,Reference!$A:$B,2))&amp;"'!D3")</f>
        <v>ZKT7</v>
      </c>
      <c r="D10" s="8" t="str">
        <f t="shared" si="0"/>
        <v>Diploma</v>
      </c>
      <c r="E10" s="13">
        <f ca="1">VLOOKUP($A10,Summary!$A$5:$M$54,11)</f>
        <v>39</v>
      </c>
      <c r="F10" s="9" t="s">
        <v>69</v>
      </c>
      <c r="G10" s="9" t="s">
        <v>69</v>
      </c>
      <c r="H10" s="10" t="s">
        <v>70</v>
      </c>
      <c r="I10" s="9" t="s">
        <v>69</v>
      </c>
      <c r="J10" s="9" t="s">
        <v>71</v>
      </c>
      <c r="K10" s="9">
        <v>20</v>
      </c>
      <c r="L10" s="9" t="s">
        <v>69</v>
      </c>
      <c r="M10" s="8" t="s">
        <v>95</v>
      </c>
      <c r="N10" s="42" t="s">
        <v>72</v>
      </c>
    </row>
    <row r="11" spans="1:14" ht="14.1" customHeight="1">
      <c r="A11" s="6" t="str">
        <f>Navigation!$A13</f>
        <v>BUSINESS ADMINISTRATION CO-OP DIPLOMA</v>
      </c>
      <c r="B11" s="68" t="str">
        <f ca="1">INDIRECT("'"&amp;(VLOOKUP('CSL Inst Appx'!$A11,Reference!$A:$B,2))&amp;"'!A5")</f>
        <v>BUS ADMIN COOP</v>
      </c>
      <c r="C11" s="9" t="str">
        <f ca="1">INDIRECT("'"&amp;(VLOOKUP('CSL Inst Appx'!$A11,Reference!$A:$B,2))&amp;"'!D3")</f>
        <v>ZAS7</v>
      </c>
      <c r="D11" s="8" t="str">
        <f t="shared" si="0"/>
        <v>Diploma</v>
      </c>
      <c r="E11" s="13">
        <f ca="1">VLOOKUP($A11,Summary!$A$5:$M$54,11)</f>
        <v>107</v>
      </c>
      <c r="F11" s="9" t="s">
        <v>69</v>
      </c>
      <c r="G11" s="9" t="s">
        <v>69</v>
      </c>
      <c r="H11" s="10" t="s">
        <v>70</v>
      </c>
      <c r="I11" s="9" t="s">
        <v>69</v>
      </c>
      <c r="J11" s="9" t="s">
        <v>71</v>
      </c>
      <c r="K11" s="9">
        <v>20</v>
      </c>
      <c r="L11" s="9" t="s">
        <v>69</v>
      </c>
      <c r="M11" s="8" t="s">
        <v>95</v>
      </c>
      <c r="N11" s="42" t="s">
        <v>72</v>
      </c>
    </row>
    <row r="12" spans="1:14" ht="14.1" customHeight="1">
      <c r="A12" s="6" t="str">
        <f>Navigation!$A14</f>
        <v>BUSINESS ADMINISTRATION DIPLOMA</v>
      </c>
      <c r="B12" s="68" t="str">
        <f ca="1">INDIRECT("'"&amp;(VLOOKUP('CSL Inst Appx'!$A12,Reference!$A:$B,2))&amp;"'!A5")</f>
        <v>BUS ADMIN</v>
      </c>
      <c r="C12" s="9" t="str">
        <f ca="1">INDIRECT("'"&amp;(VLOOKUP('CSL Inst Appx'!$A12,Reference!$A:$B,2))&amp;"'!D3")</f>
        <v>ZAS7</v>
      </c>
      <c r="D12" s="8" t="str">
        <f t="shared" si="0"/>
        <v>Diploma</v>
      </c>
      <c r="E12" s="13">
        <f ca="1">VLOOKUP($A12,Summary!$A$5:$M$54,11)</f>
        <v>64</v>
      </c>
      <c r="F12" s="9" t="s">
        <v>69</v>
      </c>
      <c r="G12" s="9" t="s">
        <v>69</v>
      </c>
      <c r="H12" s="10" t="s">
        <v>70</v>
      </c>
      <c r="I12" s="9" t="s">
        <v>69</v>
      </c>
      <c r="J12" s="9" t="s">
        <v>71</v>
      </c>
      <c r="K12" s="9">
        <v>20</v>
      </c>
      <c r="L12" s="9" t="s">
        <v>69</v>
      </c>
      <c r="M12" s="8" t="s">
        <v>95</v>
      </c>
      <c r="N12" s="42" t="s">
        <v>72</v>
      </c>
    </row>
    <row r="13" spans="1:14" ht="14.1" customHeight="1">
      <c r="A13" s="6" t="str">
        <f>Navigation!$A15</f>
        <v>BUSINESS MANAGEMENT CERTIFICATE</v>
      </c>
      <c r="B13" s="68" t="str">
        <f ca="1">INDIRECT("'"&amp;(VLOOKUP('CSL Inst Appx'!$A13,Reference!$A:$B,2))&amp;"'!A5")</f>
        <v>BUS MGMT CERT</v>
      </c>
      <c r="C13" s="9" t="str">
        <f ca="1">INDIRECT("'"&amp;(VLOOKUP('CSL Inst Appx'!$A13,Reference!$A:$B,2))&amp;"'!D3")</f>
        <v>ZBD8</v>
      </c>
      <c r="D13" s="8" t="str">
        <f t="shared" si="0"/>
        <v>Certificate</v>
      </c>
      <c r="E13" s="13">
        <f ca="1">VLOOKUP($A13,Summary!$A$5:$M$54,11)</f>
        <v>31</v>
      </c>
      <c r="F13" s="9" t="s">
        <v>69</v>
      </c>
      <c r="G13" s="9" t="s">
        <v>69</v>
      </c>
      <c r="H13" s="10" t="s">
        <v>70</v>
      </c>
      <c r="I13" s="9" t="s">
        <v>69</v>
      </c>
      <c r="J13" s="9" t="s">
        <v>71</v>
      </c>
      <c r="K13" s="9">
        <v>20</v>
      </c>
      <c r="L13" s="9" t="s">
        <v>69</v>
      </c>
      <c r="M13" s="8" t="s">
        <v>95</v>
      </c>
      <c r="N13" s="42" t="s">
        <v>72</v>
      </c>
    </row>
    <row r="14" spans="1:14" ht="14.1" customHeight="1">
      <c r="A14" s="6" t="str">
        <f>Navigation!$A16</f>
        <v>BUSINESS OFFICE SKILLS DIPLOMA</v>
      </c>
      <c r="B14" s="68" t="str">
        <f ca="1">INDIRECT("'"&amp;(VLOOKUP('CSL Inst Appx'!$A14,Reference!$A:$B,2))&amp;"'!A5")</f>
        <v>BUS OFF SKILL</v>
      </c>
      <c r="C14" s="9" t="str">
        <f ca="1">INDIRECT("'"&amp;(VLOOKUP('CSL Inst Appx'!$A14,Reference!$A:$B,2))&amp;"'!D3")</f>
        <v>ZKJ7</v>
      </c>
      <c r="D14" s="8" t="str">
        <f t="shared" si="0"/>
        <v>Diploma</v>
      </c>
      <c r="E14" s="13">
        <f ca="1">VLOOKUP($A14,Summary!$A$5:$M$54,11)</f>
        <v>43</v>
      </c>
      <c r="F14" s="9" t="s">
        <v>69</v>
      </c>
      <c r="G14" s="9" t="s">
        <v>69</v>
      </c>
      <c r="H14" s="10" t="s">
        <v>70</v>
      </c>
      <c r="I14" s="9" t="s">
        <v>69</v>
      </c>
      <c r="J14" s="9" t="s">
        <v>71</v>
      </c>
      <c r="K14" s="9">
        <v>20</v>
      </c>
      <c r="L14" s="9" t="s">
        <v>69</v>
      </c>
      <c r="M14" s="8" t="s">
        <v>95</v>
      </c>
      <c r="N14" s="42" t="s">
        <v>72</v>
      </c>
    </row>
    <row r="15" spans="1:14" ht="14.1" customHeight="1">
      <c r="A15" s="6" t="str">
        <f>Navigation!$A17</f>
        <v>BUSINESS RECEPTIONIST CERTIFICATE</v>
      </c>
      <c r="B15" s="68" t="str">
        <f ca="1">INDIRECT("'"&amp;(VLOOKUP('CSL Inst Appx'!$A15,Reference!$A:$B,2))&amp;"'!A5")</f>
        <v>BUS REC</v>
      </c>
      <c r="C15" s="9" t="str">
        <f ca="1">INDIRECT("'"&amp;(VLOOKUP('CSL Inst Appx'!$A15,Reference!$A:$B,2))&amp;"'!D3")</f>
        <v>ZKZ8</v>
      </c>
      <c r="D15" s="8" t="str">
        <f t="shared" si="0"/>
        <v>Certificate</v>
      </c>
      <c r="E15" s="13">
        <f ca="1">VLOOKUP($A15,Summary!$A$5:$M$54,11)</f>
        <v>28</v>
      </c>
      <c r="F15" s="9" t="s">
        <v>69</v>
      </c>
      <c r="G15" s="9" t="s">
        <v>69</v>
      </c>
      <c r="H15" s="10" t="s">
        <v>70</v>
      </c>
      <c r="I15" s="9" t="s">
        <v>69</v>
      </c>
      <c r="J15" s="9" t="s">
        <v>71</v>
      </c>
      <c r="K15" s="9">
        <v>20</v>
      </c>
      <c r="L15" s="9" t="s">
        <v>69</v>
      </c>
      <c r="M15" s="8" t="s">
        <v>95</v>
      </c>
      <c r="N15" s="42" t="s">
        <v>72</v>
      </c>
    </row>
    <row r="16" spans="1:14" ht="14.1" customHeight="1">
      <c r="A16" s="6" t="str">
        <f>Navigation!$A18</f>
        <v>BUSINESS SERVICE ESSENTIALS CO-OP DIPLOMA</v>
      </c>
      <c r="B16" s="68" t="str">
        <f ca="1">INDIRECT("'"&amp;(VLOOKUP('CSL Inst Appx'!$A16,Reference!$A:$B,2))&amp;"'!A5")</f>
        <v>BUS SRV ESS COOP</v>
      </c>
      <c r="C16" s="9" t="str">
        <f ca="1">INDIRECT("'"&amp;(VLOOKUP('CSL Inst Appx'!$A16,Reference!$A:$B,2))&amp;"'!D3")</f>
        <v>ZNP7</v>
      </c>
      <c r="D16" s="8" t="str">
        <f t="shared" si="0"/>
        <v>Diploma</v>
      </c>
      <c r="E16" s="13">
        <f ca="1">VLOOKUP($A16,Summary!$A$5:$M$54,11)</f>
        <v>54</v>
      </c>
      <c r="F16" s="9" t="s">
        <v>69</v>
      </c>
      <c r="G16" s="9" t="s">
        <v>69</v>
      </c>
      <c r="H16" s="10" t="s">
        <v>70</v>
      </c>
      <c r="I16" s="9" t="s">
        <v>69</v>
      </c>
      <c r="J16" s="9" t="s">
        <v>71</v>
      </c>
      <c r="K16" s="9">
        <v>20</v>
      </c>
      <c r="L16" s="9" t="s">
        <v>69</v>
      </c>
      <c r="M16" s="8" t="s">
        <v>95</v>
      </c>
      <c r="N16" s="42" t="s">
        <v>72</v>
      </c>
    </row>
    <row r="17" spans="1:14" ht="14.1" customHeight="1">
      <c r="A17" s="6" t="str">
        <f>Navigation!$A19</f>
        <v>CALL CENTRE CUSTOMER REPRESENTATIVE DIPLOMA</v>
      </c>
      <c r="B17" s="68" t="str">
        <f ca="1">INDIRECT("'"&amp;(VLOOKUP('CSL Inst Appx'!$A17,Reference!$A:$B,2))&amp;"'!A5")</f>
        <v>CALL CTR REP</v>
      </c>
      <c r="C17" s="9" t="str">
        <f ca="1">INDIRECT("'"&amp;(VLOOKUP('CSL Inst Appx'!$A17,Reference!$A:$B,2))&amp;"'!D3")</f>
        <v>ZMQ7</v>
      </c>
      <c r="D17" s="8" t="str">
        <f t="shared" si="0"/>
        <v>Diploma</v>
      </c>
      <c r="E17" s="13">
        <f ca="1">VLOOKUP($A17,Summary!$A$5:$M$54,11)</f>
        <v>35</v>
      </c>
      <c r="F17" s="9" t="s">
        <v>69</v>
      </c>
      <c r="G17" s="9" t="s">
        <v>69</v>
      </c>
      <c r="H17" s="10" t="s">
        <v>70</v>
      </c>
      <c r="I17" s="9" t="s">
        <v>69</v>
      </c>
      <c r="J17" s="9" t="s">
        <v>71</v>
      </c>
      <c r="K17" s="9">
        <v>20</v>
      </c>
      <c r="L17" s="9" t="s">
        <v>69</v>
      </c>
      <c r="M17" s="8" t="s">
        <v>95</v>
      </c>
      <c r="N17" s="42" t="s">
        <v>72</v>
      </c>
    </row>
    <row r="18" spans="1:14" ht="14.1" customHeight="1">
      <c r="A18" s="6" t="str">
        <f>Navigation!$A20</f>
        <v>COMMUNITY SERVICE WORKER AND ADDICTIONS WORKER DIPLOMA</v>
      </c>
      <c r="B18" s="68" t="str">
        <f ca="1">INDIRECT("'"&amp;(VLOOKUP('CSL Inst Appx'!$A18,Reference!$A:$B,2))&amp;"'!A5")</f>
        <v>COMM SER ADD WRK</v>
      </c>
      <c r="C18" s="9" t="str">
        <f ca="1">INDIRECT("'"&amp;(VLOOKUP('CSL Inst Appx'!$A18,Reference!$A:$B,2))&amp;"'!D3")</f>
        <v>WAD7</v>
      </c>
      <c r="D18" s="8" t="str">
        <f t="shared" si="0"/>
        <v>Diploma</v>
      </c>
      <c r="E18" s="13">
        <f ca="1">VLOOKUP($A18,Summary!$A$5:$M$54,11)</f>
        <v>58</v>
      </c>
      <c r="F18" s="9" t="s">
        <v>69</v>
      </c>
      <c r="G18" s="9" t="s">
        <v>69</v>
      </c>
      <c r="H18" s="10" t="s">
        <v>70</v>
      </c>
      <c r="I18" s="9" t="s">
        <v>69</v>
      </c>
      <c r="J18" s="9" t="s">
        <v>71</v>
      </c>
      <c r="K18" s="9">
        <v>25</v>
      </c>
      <c r="L18" s="9" t="s">
        <v>69</v>
      </c>
      <c r="M18" s="8" t="s">
        <v>95</v>
      </c>
      <c r="N18" s="42" t="s">
        <v>72</v>
      </c>
    </row>
    <row r="19" spans="1:14" ht="14.1" customHeight="1">
      <c r="A19" s="6" t="str">
        <f>Navigation!$A21</f>
        <v>COMMUNITY SERVICE WORKER DIPLOMA</v>
      </c>
      <c r="B19" s="68" t="str">
        <f ca="1">INDIRECT("'"&amp;(VLOOKUP('CSL Inst Appx'!$A19,Reference!$A:$B,2))&amp;"'!A5")</f>
        <v>COMM SER WRK</v>
      </c>
      <c r="C19" s="9" t="str">
        <f ca="1">INDIRECT("'"&amp;(VLOOKUP('CSL Inst Appx'!$A19,Reference!$A:$B,2))&amp;"'!D3")</f>
        <v>WAC7</v>
      </c>
      <c r="D19" s="8" t="str">
        <f t="shared" si="0"/>
        <v>Diploma</v>
      </c>
      <c r="E19" s="13">
        <f ca="1">VLOOKUP($A19,Summary!$A$5:$M$54,11)</f>
        <v>42</v>
      </c>
      <c r="F19" s="9" t="s">
        <v>147</v>
      </c>
      <c r="G19" s="9" t="s">
        <v>147</v>
      </c>
      <c r="H19" s="10" t="s">
        <v>70</v>
      </c>
      <c r="I19" s="9" t="s">
        <v>69</v>
      </c>
      <c r="J19" s="9" t="s">
        <v>71</v>
      </c>
      <c r="K19" s="9">
        <v>25</v>
      </c>
      <c r="L19" s="9" t="s">
        <v>69</v>
      </c>
      <c r="M19" s="8" t="s">
        <v>95</v>
      </c>
      <c r="N19" s="42" t="s">
        <v>72</v>
      </c>
    </row>
    <row r="20" spans="1:14" ht="14.1" customHeight="1">
      <c r="A20" s="6" t="str">
        <f>Navigation!$A22</f>
        <v>COMPUTER SERVICE TECHNICIAN CERTIFICATE</v>
      </c>
      <c r="B20" s="68" t="str">
        <f ca="1">INDIRECT("'"&amp;(VLOOKUP('CSL Inst Appx'!$A20,Reference!$A:$B,2))&amp;"'!A5")</f>
        <v>COMP SER TECH CER</v>
      </c>
      <c r="C20" s="9" t="str">
        <f ca="1">INDIRECT("'"&amp;(VLOOKUP('CSL Inst Appx'!$A20,Reference!$A:$B,2))&amp;"'!D3")</f>
        <v>UHD8</v>
      </c>
      <c r="D20" s="8" t="str">
        <f t="shared" si="0"/>
        <v>Certificate</v>
      </c>
      <c r="E20" s="13">
        <f ca="1">VLOOKUP($A20,Summary!$A$5:$M$54,11)</f>
        <v>30</v>
      </c>
      <c r="F20" s="9" t="s">
        <v>69</v>
      </c>
      <c r="G20" s="9" t="s">
        <v>69</v>
      </c>
      <c r="H20" s="10" t="s">
        <v>70</v>
      </c>
      <c r="I20" s="9" t="s">
        <v>69</v>
      </c>
      <c r="J20" s="9" t="s">
        <v>71</v>
      </c>
      <c r="K20" s="9">
        <v>20</v>
      </c>
      <c r="L20" s="9" t="s">
        <v>69</v>
      </c>
      <c r="M20" s="8" t="s">
        <v>95</v>
      </c>
      <c r="N20" s="42" t="s">
        <v>72</v>
      </c>
    </row>
    <row r="21" spans="1:14" ht="14.1" customHeight="1">
      <c r="A21" s="6" t="str">
        <f>Navigation!$A23</f>
        <v>COMPUTER SERVICE TECHNICIAN DIPLOMA</v>
      </c>
      <c r="B21" s="68" t="str">
        <f ca="1">INDIRECT("'"&amp;(VLOOKUP('CSL Inst Appx'!$A21,Reference!$A:$B,2))&amp;"'!A5")</f>
        <v>COMP SER TECH DIP</v>
      </c>
      <c r="C21" s="9" t="str">
        <f ca="1">INDIRECT("'"&amp;(VLOOKUP('CSL Inst Appx'!$A21,Reference!$A:$B,2))&amp;"'!D3")</f>
        <v>UHD7</v>
      </c>
      <c r="D21" s="8" t="str">
        <f t="shared" si="0"/>
        <v>Diploma</v>
      </c>
      <c r="E21" s="13">
        <f ca="1">VLOOKUP($A21,Summary!$A$5:$M$54,11)</f>
        <v>51</v>
      </c>
      <c r="F21" s="9" t="s">
        <v>69</v>
      </c>
      <c r="G21" s="9" t="s">
        <v>69</v>
      </c>
      <c r="H21" s="10" t="s">
        <v>70</v>
      </c>
      <c r="I21" s="9" t="s">
        <v>69</v>
      </c>
      <c r="J21" s="9" t="s">
        <v>71</v>
      </c>
      <c r="K21" s="9">
        <v>20</v>
      </c>
      <c r="L21" s="9" t="s">
        <v>69</v>
      </c>
      <c r="M21" s="8" t="s">
        <v>95</v>
      </c>
      <c r="N21" s="42" t="s">
        <v>72</v>
      </c>
    </row>
    <row r="22" spans="1:14" ht="14.1" customHeight="1">
      <c r="A22" s="6" t="str">
        <f>Navigation!$A24</f>
        <v>COMPUTER SOFTWARE SUPPORT DIPLOMA</v>
      </c>
      <c r="B22" s="68" t="str">
        <f ca="1">INDIRECT("'"&amp;(VLOOKUP('CSL Inst Appx'!$A22,Reference!$A:$B,2))&amp;"'!A5")</f>
        <v>COMP SER TECH DIP</v>
      </c>
      <c r="C22" s="9" t="str">
        <f ca="1">INDIRECT("'"&amp;(VLOOKUP('CSL Inst Appx'!$A22,Reference!$A:$B,2))&amp;"'!D3")</f>
        <v>UHD7</v>
      </c>
      <c r="D22" s="8" t="str">
        <f t="shared" si="0"/>
        <v>Diploma</v>
      </c>
      <c r="E22" s="13">
        <f ca="1">VLOOKUP($A22,Summary!$A$5:$M$54,11)</f>
        <v>51</v>
      </c>
      <c r="F22" s="9" t="s">
        <v>147</v>
      </c>
      <c r="G22" s="9" t="s">
        <v>147</v>
      </c>
      <c r="H22" s="10" t="s">
        <v>70</v>
      </c>
      <c r="I22" s="9" t="s">
        <v>69</v>
      </c>
      <c r="J22" s="9" t="s">
        <v>71</v>
      </c>
      <c r="K22" s="9">
        <v>25</v>
      </c>
      <c r="L22" s="9" t="s">
        <v>69</v>
      </c>
      <c r="M22" s="8" t="s">
        <v>95</v>
      </c>
      <c r="N22" s="42" t="s">
        <v>72</v>
      </c>
    </row>
    <row r="23" spans="1:14" ht="14.1" customHeight="1">
      <c r="A23" s="6" t="str">
        <f>Navigation!$A25</f>
        <v>COMPUTERIZED OFFICE PROCEDURES CERTIFICATE</v>
      </c>
      <c r="B23" s="68" t="str">
        <f ca="1">INDIRECT("'"&amp;(VLOOKUP('CSL Inst Appx'!$A23,Reference!$A:$B,2))&amp;"'!A5")</f>
        <v>COMP OFF PROC</v>
      </c>
      <c r="C23" s="9" t="str">
        <f ca="1">INDIRECT("'"&amp;(VLOOKUP('CSL Inst Appx'!$A23,Reference!$A:$B,2))&amp;"'!D3")</f>
        <v>ZDZ8</v>
      </c>
      <c r="D23" s="8" t="str">
        <f t="shared" si="0"/>
        <v>Certificate</v>
      </c>
      <c r="E23" s="13">
        <f ca="1">VLOOKUP($A23,Summary!$A$5:$M$54,11)</f>
        <v>29</v>
      </c>
      <c r="F23" s="9" t="s">
        <v>147</v>
      </c>
      <c r="G23" s="9" t="s">
        <v>147</v>
      </c>
      <c r="H23" s="10" t="s">
        <v>70</v>
      </c>
      <c r="I23" s="9" t="s">
        <v>69</v>
      </c>
      <c r="J23" s="9" t="s">
        <v>71</v>
      </c>
      <c r="K23" s="9">
        <v>26</v>
      </c>
      <c r="L23" s="9" t="s">
        <v>69</v>
      </c>
      <c r="M23" s="8" t="s">
        <v>95</v>
      </c>
      <c r="N23" s="42" t="s">
        <v>72</v>
      </c>
    </row>
    <row r="24" spans="1:14" ht="14.1" customHeight="1">
      <c r="A24" s="6" t="str">
        <f>Navigation!$A26</f>
        <v>CONFERENCE AND EVENT PLANNER DIPLOMA</v>
      </c>
      <c r="B24" s="68" t="str">
        <f ca="1">INDIRECT("'"&amp;(VLOOKUP('CSL Inst Appx'!$A24,Reference!$A:$B,2))&amp;"'!A5")</f>
        <v>CON EV PLAN</v>
      </c>
      <c r="C24" s="9" t="str">
        <f ca="1">INDIRECT("'"&amp;(VLOOKUP('CSL Inst Appx'!$A24,Reference!$A:$B,2))&amp;"'!D3")</f>
        <v>ZMN7</v>
      </c>
      <c r="D24" s="8" t="str">
        <f t="shared" si="0"/>
        <v>Diploma</v>
      </c>
      <c r="E24" s="13">
        <f ca="1">VLOOKUP($A24,Summary!$A$5:$M$54,11)</f>
        <v>51</v>
      </c>
      <c r="F24" s="9" t="s">
        <v>69</v>
      </c>
      <c r="G24" s="9" t="s">
        <v>69</v>
      </c>
      <c r="H24" s="10" t="s">
        <v>70</v>
      </c>
      <c r="I24" s="9" t="s">
        <v>69</v>
      </c>
      <c r="J24" s="9" t="s">
        <v>71</v>
      </c>
      <c r="K24" s="9">
        <v>20</v>
      </c>
      <c r="L24" s="9" t="s">
        <v>69</v>
      </c>
      <c r="M24" s="8" t="s">
        <v>95</v>
      </c>
      <c r="N24" s="42" t="s">
        <v>72</v>
      </c>
    </row>
    <row r="25" spans="1:14" ht="14.1" customHeight="1">
      <c r="A25" s="6" t="str">
        <f>Navigation!$A27</f>
        <v>CUSTOMER SERVICE REPRESENTATIVE CERTIFICATE</v>
      </c>
      <c r="B25" s="68" t="str">
        <f ca="1">INDIRECT("'"&amp;(VLOOKUP('CSL Inst Appx'!$A25,Reference!$A:$B,2))&amp;"'!A5")</f>
        <v>CUS SRV REP</v>
      </c>
      <c r="C25" s="9" t="str">
        <f ca="1">INDIRECT("'"&amp;(VLOOKUP('CSL Inst Appx'!$A25,Reference!$A:$B,2))&amp;"'!D3")</f>
        <v>ZMQ8</v>
      </c>
      <c r="D25" s="8" t="str">
        <f t="shared" si="0"/>
        <v>Certificate</v>
      </c>
      <c r="E25" s="13">
        <f ca="1">VLOOKUP($A25,Summary!$A$5:$M$54,11)</f>
        <v>23</v>
      </c>
      <c r="F25" s="9" t="s">
        <v>69</v>
      </c>
      <c r="G25" s="9" t="s">
        <v>69</v>
      </c>
      <c r="H25" s="10" t="s">
        <v>70</v>
      </c>
      <c r="I25" s="9" t="s">
        <v>69</v>
      </c>
      <c r="J25" s="9" t="s">
        <v>71</v>
      </c>
      <c r="K25" s="9">
        <v>20</v>
      </c>
      <c r="L25" s="9" t="s">
        <v>69</v>
      </c>
      <c r="M25" s="8" t="s">
        <v>95</v>
      </c>
      <c r="N25" s="42" t="s">
        <v>72</v>
      </c>
    </row>
    <row r="26" spans="1:14" ht="14.1" customHeight="1">
      <c r="A26" s="6" t="str">
        <f>Navigation!$A28</f>
        <v>ENGLISH AS SECOND LANGUAGE</v>
      </c>
      <c r="B26" s="68" t="str">
        <f ca="1">INDIRECT("'"&amp;(VLOOKUP('CSL Inst Appx'!$A26,Reference!$A:$B,2))&amp;"'!A5")</f>
        <v>ESL</v>
      </c>
      <c r="C26" s="9" t="str">
        <f ca="1">INDIRECT("'"&amp;(VLOOKUP('CSL Inst Appx'!$A26,Reference!$A:$B,2))&amp;"'!D3")</f>
        <v>Non-CSL</v>
      </c>
      <c r="D26" s="8" t="str">
        <f t="shared" si="0"/>
        <v>Certificate</v>
      </c>
      <c r="E26" s="13">
        <f ca="1">VLOOKUP($A26,Summary!$A$5:$M$54,11)</f>
        <v>16</v>
      </c>
      <c r="F26" s="9" t="s">
        <v>69</v>
      </c>
      <c r="G26" s="9" t="s">
        <v>69</v>
      </c>
      <c r="H26" s="10" t="s">
        <v>70</v>
      </c>
      <c r="I26" s="9" t="s">
        <v>69</v>
      </c>
      <c r="J26" s="9" t="s">
        <v>71</v>
      </c>
      <c r="K26" s="9">
        <v>20</v>
      </c>
      <c r="L26" s="9" t="s">
        <v>69</v>
      </c>
      <c r="M26" s="8" t="s">
        <v>95</v>
      </c>
      <c r="N26" s="42" t="s">
        <v>72</v>
      </c>
    </row>
    <row r="27" spans="1:14" ht="14.1" customHeight="1">
      <c r="A27" s="6" t="str">
        <f>Navigation!$A29</f>
        <v>ENTREPRENEURIAL BUSINESS APPLICATIONS DIPLOMA</v>
      </c>
      <c r="B27" s="68" t="str">
        <f ca="1">INDIRECT("'"&amp;(VLOOKUP('CSL Inst Appx'!$A27,Reference!$A:$B,2))&amp;"'!A5")</f>
        <v>ENTRE BUS APP</v>
      </c>
      <c r="C27" s="9" t="str">
        <f ca="1">INDIRECT("'"&amp;(VLOOKUP('CSL Inst Appx'!$A27,Reference!$A:$B,2))&amp;"'!D3")</f>
        <v>ZMX7</v>
      </c>
      <c r="D27" s="8" t="str">
        <f t="shared" si="0"/>
        <v>Diploma</v>
      </c>
      <c r="E27" s="13">
        <f ca="1">VLOOKUP($A27,Summary!$A$5:$M$54,11)</f>
        <v>46</v>
      </c>
      <c r="F27" s="9" t="s">
        <v>69</v>
      </c>
      <c r="G27" s="9" t="s">
        <v>69</v>
      </c>
      <c r="H27" s="10" t="s">
        <v>70</v>
      </c>
      <c r="I27" s="9" t="s">
        <v>69</v>
      </c>
      <c r="J27" s="9" t="s">
        <v>71</v>
      </c>
      <c r="K27" s="9">
        <v>20</v>
      </c>
      <c r="L27" s="9" t="s">
        <v>69</v>
      </c>
      <c r="M27" s="8" t="s">
        <v>95</v>
      </c>
      <c r="N27" s="42" t="s">
        <v>72</v>
      </c>
    </row>
    <row r="28" spans="1:14" ht="14.1" customHeight="1">
      <c r="A28" s="6" t="str">
        <f>Navigation!$A30</f>
        <v>EXECUTIVE ASSISTANT DIPLOMA</v>
      </c>
      <c r="B28" s="68" t="str">
        <f ca="1">INDIRECT("'"&amp;(VLOOKUP('CSL Inst Appx'!$A28,Reference!$A:$B,2))&amp;"'!A5")</f>
        <v>EXEC ASST</v>
      </c>
      <c r="C28" s="9" t="str">
        <f ca="1">INDIRECT("'"&amp;(VLOOKUP('CSL Inst Appx'!$A28,Reference!$A:$B,2))&amp;"'!D3")</f>
        <v>ZLG7</v>
      </c>
      <c r="D28" s="8" t="str">
        <f t="shared" si="0"/>
        <v>Diploma</v>
      </c>
      <c r="E28" s="13">
        <f ca="1">VLOOKUP($A28,Summary!$A$5:$M$54,11)</f>
        <v>53</v>
      </c>
      <c r="F28" s="9" t="s">
        <v>69</v>
      </c>
      <c r="G28" s="9" t="s">
        <v>69</v>
      </c>
      <c r="H28" s="10" t="s">
        <v>70</v>
      </c>
      <c r="I28" s="9" t="s">
        <v>69</v>
      </c>
      <c r="J28" s="9" t="s">
        <v>71</v>
      </c>
      <c r="K28" s="9">
        <v>20</v>
      </c>
      <c r="L28" s="9" t="s">
        <v>69</v>
      </c>
      <c r="M28" s="8" t="s">
        <v>95</v>
      </c>
      <c r="N28" s="42" t="s">
        <v>72</v>
      </c>
    </row>
    <row r="29" spans="1:14" ht="14.1" customHeight="1">
      <c r="A29" s="6" t="str">
        <f>Navigation!$A31</f>
        <v>GRAPHIC DESIGNER DIPLOMA</v>
      </c>
      <c r="B29" s="68" t="str">
        <f ca="1">INDIRECT("'"&amp;(VLOOKUP('CSL Inst Appx'!$A29,Reference!$A:$B,2))&amp;"'!A5")</f>
        <v>GRAPH DES DP</v>
      </c>
      <c r="C29" s="9" t="str">
        <f ca="1">INDIRECT("'"&amp;(VLOOKUP('CSL Inst Appx'!$A29,Reference!$A:$B,2))&amp;"'!D3")</f>
        <v>XBG7</v>
      </c>
      <c r="D29" s="8" t="str">
        <f t="shared" si="0"/>
        <v>Diploma</v>
      </c>
      <c r="E29" s="13">
        <f ca="1">VLOOKUP($A29,Summary!$A$5:$M$54,11)</f>
        <v>55</v>
      </c>
      <c r="F29" s="9" t="s">
        <v>69</v>
      </c>
      <c r="G29" s="9" t="s">
        <v>69</v>
      </c>
      <c r="H29" s="10" t="s">
        <v>70</v>
      </c>
      <c r="I29" s="9" t="s">
        <v>69</v>
      </c>
      <c r="J29" s="9" t="s">
        <v>71</v>
      </c>
      <c r="K29" s="9">
        <v>20</v>
      </c>
      <c r="L29" s="9" t="s">
        <v>69</v>
      </c>
      <c r="M29" s="8" t="s">
        <v>95</v>
      </c>
      <c r="N29" s="42" t="s">
        <v>72</v>
      </c>
    </row>
    <row r="30" spans="1:14" ht="14.1" customHeight="1">
      <c r="A30" s="6" t="str">
        <f>Navigation!$A32</f>
        <v>HUMAN RESOURCES ADMINISTRATION CERTIFICATE</v>
      </c>
      <c r="B30" s="68" t="str">
        <f ca="1">INDIRECT("'"&amp;(VLOOKUP('CSL Inst Appx'!$A30,Reference!$A:$B,2))&amp;"'!A5")</f>
        <v>HR ADMIN</v>
      </c>
      <c r="C30" s="9" t="str">
        <f ca="1">INDIRECT("'"&amp;(VLOOKUP('CSL Inst Appx'!$A30,Reference!$A:$B,2))&amp;"'!D3")</f>
        <v>ZPE8</v>
      </c>
      <c r="D30" s="8" t="str">
        <f t="shared" si="0"/>
        <v>Certificate</v>
      </c>
      <c r="E30" s="13">
        <f ca="1">VLOOKUP($A30,Summary!$A$5:$M$54,11)</f>
        <v>32</v>
      </c>
      <c r="F30" s="9" t="s">
        <v>69</v>
      </c>
      <c r="G30" s="9" t="s">
        <v>69</v>
      </c>
      <c r="H30" s="10" t="s">
        <v>70</v>
      </c>
      <c r="I30" s="9" t="s">
        <v>69</v>
      </c>
      <c r="J30" s="9" t="s">
        <v>71</v>
      </c>
      <c r="K30" s="9">
        <v>20</v>
      </c>
      <c r="L30" s="9" t="s">
        <v>69</v>
      </c>
      <c r="M30" s="8" t="s">
        <v>95</v>
      </c>
      <c r="N30" s="42" t="s">
        <v>72</v>
      </c>
    </row>
    <row r="31" spans="1:14" ht="14.1" customHeight="1">
      <c r="A31" s="6" t="str">
        <f>Navigation!$A33</f>
        <v>MARKETING ADMINISTRATIVE ASSISTANT CERTIFICATE</v>
      </c>
      <c r="B31" s="68" t="str">
        <f ca="1">INDIRECT("'"&amp;(VLOOKUP('CSL Inst Appx'!$A31,Reference!$A:$B,2))&amp;"'!A5")</f>
        <v>MARK ADM ASST</v>
      </c>
      <c r="C31" s="9" t="str">
        <f ca="1">INDIRECT("'"&amp;(VLOOKUP('CSL Inst Appx'!$A31,Reference!$A:$B,2))&amp;"'!D3")</f>
        <v>ZCZ8</v>
      </c>
      <c r="D31" s="8" t="str">
        <f t="shared" si="0"/>
        <v>Certificate</v>
      </c>
      <c r="E31" s="13">
        <f ca="1">VLOOKUP($A31,Summary!$A$5:$M$54,11)</f>
        <v>38</v>
      </c>
      <c r="F31" s="9" t="s">
        <v>69</v>
      </c>
      <c r="G31" s="9" t="s">
        <v>69</v>
      </c>
      <c r="H31" s="10" t="s">
        <v>70</v>
      </c>
      <c r="I31" s="9" t="s">
        <v>69</v>
      </c>
      <c r="J31" s="9" t="s">
        <v>71</v>
      </c>
      <c r="K31" s="9">
        <v>20</v>
      </c>
      <c r="L31" s="9" t="s">
        <v>69</v>
      </c>
      <c r="M31" s="8" t="s">
        <v>95</v>
      </c>
      <c r="N31" s="42" t="s">
        <v>72</v>
      </c>
    </row>
    <row r="32" spans="1:14" ht="14.1" customHeight="1">
      <c r="A32" s="6" t="str">
        <f>Navigation!$A34</f>
        <v>MARKETING COORDINATOR DIPLOMA</v>
      </c>
      <c r="B32" s="68" t="str">
        <f ca="1">INDIRECT("'"&amp;(VLOOKUP('CSL Inst Appx'!$A32,Reference!$A:$B,2))&amp;"'!A5")</f>
        <v>MAKT COOR</v>
      </c>
      <c r="C32" s="9" t="str">
        <f ca="1">INDIRECT("'"&amp;(VLOOKUP('CSL Inst Appx'!$A32,Reference!$A:$B,2))&amp;"'!D3")</f>
        <v>ZDE7</v>
      </c>
      <c r="D32" s="8" t="str">
        <f t="shared" si="0"/>
        <v>Diploma</v>
      </c>
      <c r="E32" s="13">
        <f ca="1">VLOOKUP($A32,Summary!$A$5:$M$54,11)</f>
        <v>48</v>
      </c>
      <c r="F32" s="9" t="s">
        <v>69</v>
      </c>
      <c r="G32" s="9" t="s">
        <v>69</v>
      </c>
      <c r="H32" s="10" t="s">
        <v>70</v>
      </c>
      <c r="I32" s="9" t="s">
        <v>69</v>
      </c>
      <c r="J32" s="9" t="s">
        <v>71</v>
      </c>
      <c r="K32" s="9">
        <v>20</v>
      </c>
      <c r="L32" s="9" t="s">
        <v>69</v>
      </c>
      <c r="M32" s="8" t="s">
        <v>95</v>
      </c>
      <c r="N32" s="42" t="s">
        <v>72</v>
      </c>
    </row>
    <row r="33" spans="1:14" ht="14.1" customHeight="1">
      <c r="A33" s="6" t="str">
        <f>Navigation!$A35</f>
        <v>MEDICAL ADMINISTRATIVE ASSISTANT CERTIFICATE</v>
      </c>
      <c r="B33" s="68" t="str">
        <f ca="1">INDIRECT("'"&amp;(VLOOKUP('CSL Inst Appx'!$A33,Reference!$A:$B,2))&amp;"'!A5")</f>
        <v>MED ADMN ASST</v>
      </c>
      <c r="C33" s="9" t="str">
        <f ca="1">INDIRECT("'"&amp;(VLOOKUP('CSL Inst Appx'!$A33,Reference!$A:$B,2))&amp;"'!D3")</f>
        <v>TES8</v>
      </c>
      <c r="D33" s="8" t="str">
        <f t="shared" si="0"/>
        <v>Certificate</v>
      </c>
      <c r="E33" s="13">
        <f ca="1">VLOOKUP($A33,Summary!$A$5:$M$54,11)</f>
        <v>44</v>
      </c>
      <c r="F33" s="9" t="s">
        <v>69</v>
      </c>
      <c r="G33" s="9" t="s">
        <v>69</v>
      </c>
      <c r="H33" s="10" t="s">
        <v>70</v>
      </c>
      <c r="I33" s="9" t="s">
        <v>69</v>
      </c>
      <c r="J33" s="9" t="s">
        <v>71</v>
      </c>
      <c r="K33" s="9">
        <v>20</v>
      </c>
      <c r="L33" s="9" t="s">
        <v>69</v>
      </c>
      <c r="M33" s="8" t="s">
        <v>95</v>
      </c>
      <c r="N33" s="42" t="s">
        <v>72</v>
      </c>
    </row>
    <row r="34" spans="1:14" ht="14.1" customHeight="1">
      <c r="A34" s="6" t="str">
        <f>Navigation!$A36</f>
        <v>MEDICAL OFFICE ASSISTANT DIPLOMA</v>
      </c>
      <c r="B34" s="68" t="str">
        <f ca="1">INDIRECT("'"&amp;(VLOOKUP('CSL Inst Appx'!$A34,Reference!$A:$B,2))&amp;"'!A5")</f>
        <v>MED OFF ASST</v>
      </c>
      <c r="C34" s="9" t="str">
        <f ca="1">INDIRECT("'"&amp;(VLOOKUP('CSL Inst Appx'!$A34,Reference!$A:$B,2))&amp;"'!D3")</f>
        <v>TFZ7</v>
      </c>
      <c r="D34" s="8" t="str">
        <f t="shared" si="0"/>
        <v>Diploma</v>
      </c>
      <c r="E34" s="13">
        <f ca="1">VLOOKUP($A34,Summary!$A$5:$M$54,11)</f>
        <v>51</v>
      </c>
      <c r="F34" s="9" t="s">
        <v>69</v>
      </c>
      <c r="G34" s="9" t="s">
        <v>69</v>
      </c>
      <c r="H34" s="10" t="s">
        <v>70</v>
      </c>
      <c r="I34" s="9" t="s">
        <v>69</v>
      </c>
      <c r="J34" s="9" t="s">
        <v>71</v>
      </c>
      <c r="K34" s="9">
        <v>25</v>
      </c>
      <c r="L34" s="9" t="s">
        <v>69</v>
      </c>
      <c r="M34" s="8" t="s">
        <v>95</v>
      </c>
      <c r="N34" s="42" t="s">
        <v>72</v>
      </c>
    </row>
    <row r="35" spans="1:14" ht="14.1" customHeight="1">
      <c r="A35" s="6" t="str">
        <f>Navigation!$A37</f>
        <v>MEDICAL OFFICE ASSISTANT DIPLOMA W/ UNIT CLERK</v>
      </c>
      <c r="B35" s="68" t="str">
        <f ca="1">INDIRECT("'"&amp;(VLOOKUP('CSL Inst Appx'!$A35,Reference!$A:$B,2))&amp;"'!A5")</f>
        <v>MED OFF ASST -HUC</v>
      </c>
      <c r="C35" s="9" t="str">
        <f ca="1">INDIRECT("'"&amp;(VLOOKUP('CSL Inst Appx'!$A35,Reference!$A:$B,2))&amp;"'!D3")</f>
        <v>TGE7</v>
      </c>
      <c r="D35" s="8" t="str">
        <f t="shared" si="0"/>
        <v>Diploma</v>
      </c>
      <c r="E35" s="13">
        <f ca="1">VLOOKUP($A35,Summary!$A$5:$M$54,11)</f>
        <v>66</v>
      </c>
      <c r="F35" s="9" t="s">
        <v>69</v>
      </c>
      <c r="G35" s="9" t="s">
        <v>69</v>
      </c>
      <c r="H35" s="10" t="s">
        <v>70</v>
      </c>
      <c r="I35" s="9" t="s">
        <v>69</v>
      </c>
      <c r="J35" s="9" t="s">
        <v>71</v>
      </c>
      <c r="K35" s="9">
        <v>25</v>
      </c>
      <c r="L35" s="9" t="s">
        <v>69</v>
      </c>
      <c r="M35" s="8" t="s">
        <v>95</v>
      </c>
      <c r="N35" s="42" t="s">
        <v>72</v>
      </c>
    </row>
    <row r="36" spans="1:14" ht="14.1" customHeight="1">
      <c r="A36" s="6" t="str">
        <f>Navigation!$A38</f>
        <v>MEDICAL OFFICE FRONT DESK ASSISTANT CERTIFICATE</v>
      </c>
      <c r="B36" s="68" t="str">
        <f ca="1">INDIRECT("'"&amp;(VLOOKUP('CSL Inst Appx'!$A36,Reference!$A:$B,2))&amp;"'!A5")</f>
        <v>MED OFF FD ASST</v>
      </c>
      <c r="C36" s="9" t="str">
        <f ca="1">INDIRECT("'"&amp;(VLOOKUP('CSL Inst Appx'!$A36,Reference!$A:$B,2))&amp;"'!D3")</f>
        <v>TER8</v>
      </c>
      <c r="D36" s="8" t="str">
        <f t="shared" si="0"/>
        <v>Certificate</v>
      </c>
      <c r="E36" s="13">
        <f ca="1">VLOOKUP($A36,Summary!$A$5:$M$54,11)</f>
        <v>29</v>
      </c>
      <c r="F36" s="9" t="s">
        <v>69</v>
      </c>
      <c r="G36" s="9" t="s">
        <v>69</v>
      </c>
      <c r="H36" s="10" t="s">
        <v>70</v>
      </c>
      <c r="I36" s="9" t="s">
        <v>69</v>
      </c>
      <c r="J36" s="9" t="s">
        <v>71</v>
      </c>
      <c r="K36" s="9">
        <v>20</v>
      </c>
      <c r="L36" s="9" t="s">
        <v>69</v>
      </c>
      <c r="M36" s="8" t="s">
        <v>95</v>
      </c>
      <c r="N36" s="42" t="s">
        <v>72</v>
      </c>
    </row>
    <row r="37" spans="1:14" ht="14.1" customHeight="1">
      <c r="A37" s="6" t="str">
        <f>Navigation!$A39</f>
        <v>MICROSOFT CERTIFIED SOLUTIONS ASSOCIATE: SERVER CERT.</v>
      </c>
      <c r="B37" s="68" t="str">
        <f ca="1">INDIRECT("'"&amp;(VLOOKUP('CSL Inst Appx'!$A37,Reference!$A:$B,2))&amp;"'!A5")</f>
        <v>MCSA2016</v>
      </c>
      <c r="C37" s="9" t="str">
        <f ca="1">INDIRECT("'"&amp;(VLOOKUP('CSL Inst Appx'!$A37,Reference!$A:$B,2))&amp;"'!D3")</f>
        <v>UJA8</v>
      </c>
      <c r="D37" s="8" t="str">
        <f t="shared" si="0"/>
        <v>Certificate</v>
      </c>
      <c r="E37" s="13">
        <f ca="1">VLOOKUP($A37,Summary!$A$5:$M$54,11)</f>
        <v>21</v>
      </c>
      <c r="F37" s="9" t="s">
        <v>69</v>
      </c>
      <c r="G37" s="9" t="s">
        <v>69</v>
      </c>
      <c r="H37" s="10" t="s">
        <v>70</v>
      </c>
      <c r="I37" s="9" t="s">
        <v>69</v>
      </c>
      <c r="J37" s="9" t="s">
        <v>71</v>
      </c>
      <c r="K37" s="9">
        <v>20</v>
      </c>
      <c r="L37" s="9" t="s">
        <v>69</v>
      </c>
      <c r="M37" s="8" t="s">
        <v>95</v>
      </c>
      <c r="N37" s="42" t="s">
        <v>72</v>
      </c>
    </row>
    <row r="38" spans="1:14" ht="14.1" customHeight="1">
      <c r="A38" s="6" t="str">
        <f>Navigation!$A40</f>
        <v>MICROSOFT CERTIFIED SOLUTIONS ASSOCIATE: WINDOWS</v>
      </c>
      <c r="B38" s="68" t="str">
        <f ca="1">INDIRECT("'"&amp;(VLOOKUP('CSL Inst Appx'!$A38,Reference!$A:$B,2))&amp;"'!A5")</f>
        <v>MCSA2016</v>
      </c>
      <c r="C38" s="9" t="str">
        <f ca="1">INDIRECT("'"&amp;(VLOOKUP('CSL Inst Appx'!$A38,Reference!$A:$B,2))&amp;"'!D3")</f>
        <v>UJA8</v>
      </c>
      <c r="D38" s="8" t="str">
        <f t="shared" si="0"/>
        <v>Certificate</v>
      </c>
      <c r="E38" s="13">
        <f ca="1">VLOOKUP($A38,Summary!$A$5:$M$54,11)</f>
        <v>21</v>
      </c>
      <c r="F38" s="9" t="s">
        <v>69</v>
      </c>
      <c r="G38" s="9" t="s">
        <v>69</v>
      </c>
      <c r="H38" s="10" t="s">
        <v>70</v>
      </c>
      <c r="I38" s="9" t="s">
        <v>69</v>
      </c>
      <c r="J38" s="9" t="s">
        <v>71</v>
      </c>
      <c r="K38" s="9">
        <v>20</v>
      </c>
      <c r="L38" s="9" t="s">
        <v>69</v>
      </c>
      <c r="M38" s="8" t="s">
        <v>95</v>
      </c>
      <c r="N38" s="42" t="s">
        <v>72</v>
      </c>
    </row>
    <row r="39" spans="1:14" ht="14.1" customHeight="1">
      <c r="A39" s="6" t="str">
        <f>Navigation!$A41</f>
        <v>NETWORK ADMINISTRATOR DIPLOMA (SERVER 2016)</v>
      </c>
      <c r="B39" s="68" t="str">
        <f ca="1">INDIRECT("'"&amp;(VLOOKUP('CSL Inst Appx'!$A39,Reference!$A:$B,2))&amp;"'!A5")</f>
        <v>NETWORK ADMIN</v>
      </c>
      <c r="C39" s="9" t="str">
        <f ca="1">INDIRECT("'"&amp;(VLOOKUP('CSL Inst Appx'!$A39,Reference!$A:$B,2))&amp;"'!D3")</f>
        <v>UGS7</v>
      </c>
      <c r="D39" s="8" t="str">
        <f t="shared" si="0"/>
        <v>Diploma</v>
      </c>
      <c r="E39" s="13">
        <f ca="1">VLOOKUP($A39,Summary!$A$5:$M$54,11)</f>
        <v>88</v>
      </c>
      <c r="F39" s="9" t="s">
        <v>69</v>
      </c>
      <c r="G39" s="9" t="s">
        <v>69</v>
      </c>
      <c r="H39" s="10" t="s">
        <v>70</v>
      </c>
      <c r="I39" s="9" t="s">
        <v>69</v>
      </c>
      <c r="J39" s="9" t="s">
        <v>71</v>
      </c>
      <c r="K39" s="9">
        <v>20</v>
      </c>
      <c r="L39" s="9" t="s">
        <v>69</v>
      </c>
      <c r="M39" s="8" t="s">
        <v>95</v>
      </c>
      <c r="N39" s="42" t="s">
        <v>72</v>
      </c>
    </row>
    <row r="40" spans="1:14" ht="14.1" customHeight="1">
      <c r="A40" s="6" t="str">
        <f>Navigation!$A42</f>
        <v>OFFICE ADMINISTRATION ASSISTANT CERTIFICATE</v>
      </c>
      <c r="B40" s="68" t="str">
        <f ca="1">INDIRECT("'"&amp;(VLOOKUP('CSL Inst Appx'!$A40,Reference!$A:$B,2))&amp;"'!A5")</f>
        <v>OFF ADMIN AST</v>
      </c>
      <c r="C40" s="9" t="str">
        <f ca="1">INDIRECT("'"&amp;(VLOOKUP('CSL Inst Appx'!$A40,Reference!$A:$B,2))&amp;"'!D3")</f>
        <v>ZEL8</v>
      </c>
      <c r="D40" s="8" t="str">
        <f t="shared" si="0"/>
        <v>Certificate</v>
      </c>
      <c r="E40" s="13">
        <f ca="1">VLOOKUP($A40,Summary!$A$5:$M$54,11)</f>
        <v>24</v>
      </c>
      <c r="F40" s="9" t="s">
        <v>69</v>
      </c>
      <c r="G40" s="9" t="s">
        <v>69</v>
      </c>
      <c r="H40" s="9" t="s">
        <v>70</v>
      </c>
      <c r="I40" s="9" t="s">
        <v>69</v>
      </c>
      <c r="J40" s="9" t="s">
        <v>71</v>
      </c>
      <c r="K40" s="9">
        <v>20</v>
      </c>
      <c r="L40" s="9" t="s">
        <v>69</v>
      </c>
      <c r="M40" s="8" t="s">
        <v>95</v>
      </c>
      <c r="N40" s="42" t="s">
        <v>72</v>
      </c>
    </row>
    <row r="41" spans="1:14" ht="14.1" customHeight="1">
      <c r="A41" s="6" t="str">
        <f>Navigation!$A43</f>
        <v>OFFICE ADMINISTRATION DIPLOMA</v>
      </c>
      <c r="B41" s="68" t="str">
        <f ca="1">INDIRECT("'"&amp;(VLOOKUP('CSL Inst Appx'!$A41,Reference!$A:$B,2))&amp;"'!A5")</f>
        <v>OFFICE ADMIN</v>
      </c>
      <c r="C41" s="9" t="str">
        <f ca="1">INDIRECT("'"&amp;(VLOOKUP('CSL Inst Appx'!$A41,Reference!$A:$B,2))&amp;"'!D3")</f>
        <v>ZEY7</v>
      </c>
      <c r="D41" s="8" t="str">
        <f t="shared" si="0"/>
        <v>Diploma</v>
      </c>
      <c r="E41" s="13">
        <f ca="1">VLOOKUP($A41,Summary!$A$5:$M$54,11)</f>
        <v>54</v>
      </c>
      <c r="F41" s="9" t="s">
        <v>69</v>
      </c>
      <c r="G41" s="9" t="s">
        <v>69</v>
      </c>
      <c r="H41" s="9" t="s">
        <v>70</v>
      </c>
      <c r="I41" s="9" t="s">
        <v>69</v>
      </c>
      <c r="J41" s="9" t="s">
        <v>71</v>
      </c>
      <c r="K41" s="9">
        <v>20</v>
      </c>
      <c r="L41" s="9" t="s">
        <v>69</v>
      </c>
      <c r="M41" s="8" t="s">
        <v>95</v>
      </c>
      <c r="N41" s="42" t="s">
        <v>72</v>
      </c>
    </row>
    <row r="42" spans="1:14" ht="14.1" customHeight="1">
      <c r="A42" s="6" t="str">
        <f>Navigation!$A44</f>
        <v>OFFICE CLERK CERTIFICATE</v>
      </c>
      <c r="B42" s="68" t="str">
        <f ca="1">INDIRECT("'"&amp;(VLOOKUP('CSL Inst Appx'!$A42,Reference!$A:$B,2))&amp;"'!A5")</f>
        <v>OFF CLK</v>
      </c>
      <c r="C42" s="9" t="str">
        <f ca="1">INDIRECT("'"&amp;(VLOOKUP('CSL Inst Appx'!$A42,Reference!$A:$B,2))&amp;"'!D3")</f>
        <v>ZFA8</v>
      </c>
      <c r="D42" s="8" t="str">
        <f t="shared" si="0"/>
        <v>Certificate</v>
      </c>
      <c r="E42" s="13">
        <f ca="1">VLOOKUP($A42,Summary!$A$5:$M$54,11)</f>
        <v>22</v>
      </c>
      <c r="F42" s="9" t="s">
        <v>69</v>
      </c>
      <c r="G42" s="9" t="s">
        <v>69</v>
      </c>
      <c r="H42" s="10" t="s">
        <v>70</v>
      </c>
      <c r="I42" s="9" t="s">
        <v>69</v>
      </c>
      <c r="J42" s="9" t="s">
        <v>71</v>
      </c>
      <c r="K42" s="9">
        <v>20</v>
      </c>
      <c r="L42" s="9" t="s">
        <v>69</v>
      </c>
      <c r="M42" s="8" t="s">
        <v>95</v>
      </c>
      <c r="N42" s="42" t="s">
        <v>72</v>
      </c>
    </row>
    <row r="43" spans="1:14" ht="14.1" customHeight="1">
      <c r="A43" s="6" t="str">
        <f>Navigation!$A45</f>
        <v>PAYROLL ADMINISTRATOR CERTIFICATE</v>
      </c>
      <c r="B43" s="68" t="str">
        <f ca="1">INDIRECT("'"&amp;(VLOOKUP('CSL Inst Appx'!$A43,Reference!$A:$B,2))&amp;"'!A5")</f>
        <v>PAYROLL ADMIN</v>
      </c>
      <c r="C43" s="9" t="str">
        <f ca="1">INDIRECT("'"&amp;(VLOOKUP('CSL Inst Appx'!$A43,Reference!$A:$B,2))&amp;"'!D3")</f>
        <v>ZNW8</v>
      </c>
      <c r="D43" s="8" t="str">
        <f t="shared" si="0"/>
        <v>Certificate</v>
      </c>
      <c r="E43" s="13">
        <f ca="1">VLOOKUP($A43,Summary!$A$5:$M$54,11)</f>
        <v>38</v>
      </c>
      <c r="F43" s="9" t="s">
        <v>69</v>
      </c>
      <c r="G43" s="9" t="s">
        <v>69</v>
      </c>
      <c r="H43" s="10" t="s">
        <v>70</v>
      </c>
      <c r="I43" s="9" t="s">
        <v>69</v>
      </c>
      <c r="J43" s="9" t="s">
        <v>71</v>
      </c>
      <c r="K43" s="9">
        <v>20</v>
      </c>
      <c r="L43" s="9" t="s">
        <v>69</v>
      </c>
      <c r="M43" s="8" t="s">
        <v>95</v>
      </c>
      <c r="N43" s="42" t="s">
        <v>72</v>
      </c>
    </row>
    <row r="44" spans="1:14" ht="14.1" customHeight="1">
      <c r="A44" s="6" t="str">
        <f>Navigation!$A46</f>
        <v>PAYROLL CLERK CERTIFICATE</v>
      </c>
      <c r="B44" s="68" t="str">
        <f ca="1">INDIRECT("'"&amp;(VLOOKUP('CSL Inst Appx'!$A44,Reference!$A:$B,2))&amp;"'!A5")</f>
        <v>PAYROLL CLK</v>
      </c>
      <c r="C44" s="9" t="str">
        <f ca="1">INDIRECT("'"&amp;(VLOOKUP('CSL Inst Appx'!$A44,Reference!$A:$B,2))&amp;"'!D3")</f>
        <v>ZPF8</v>
      </c>
      <c r="D44" s="8" t="str">
        <f t="shared" si="0"/>
        <v>Certificate</v>
      </c>
      <c r="E44" s="13">
        <f ca="1">VLOOKUP($A44,Summary!$A$5:$M$54,11)</f>
        <v>27</v>
      </c>
      <c r="F44" s="9" t="s">
        <v>69</v>
      </c>
      <c r="G44" s="9" t="s">
        <v>69</v>
      </c>
      <c r="H44" s="10" t="s">
        <v>70</v>
      </c>
      <c r="I44" s="9" t="s">
        <v>69</v>
      </c>
      <c r="J44" s="9" t="s">
        <v>71</v>
      </c>
      <c r="K44" s="9">
        <v>20</v>
      </c>
      <c r="L44" s="9" t="s">
        <v>69</v>
      </c>
      <c r="M44" s="8" t="s">
        <v>95</v>
      </c>
      <c r="N44" s="42" t="s">
        <v>72</v>
      </c>
    </row>
    <row r="45" spans="1:14" ht="14.1" customHeight="1">
      <c r="A45" s="6" t="str">
        <f>Navigation!$A47</f>
        <v>PC SUPPORT SPECIALIST DIPLOMA</v>
      </c>
      <c r="B45" s="68" t="str">
        <f ca="1">INDIRECT("'"&amp;(VLOOKUP('CSL Inst Appx'!$A45,Reference!$A:$B,2))&amp;"'!A5")</f>
        <v>PC SUPP SPEC</v>
      </c>
      <c r="C45" s="9" t="str">
        <f ca="1">INDIRECT("'"&amp;(VLOOKUP('CSL Inst Appx'!$A45,Reference!$A:$B,2))&amp;"'!D3")</f>
        <v>UES7</v>
      </c>
      <c r="D45" s="8" t="str">
        <f t="shared" si="0"/>
        <v>Diploma</v>
      </c>
      <c r="E45" s="13">
        <f ca="1">VLOOKUP($A45,Summary!$A$5:$M$54,11)</f>
        <v>59</v>
      </c>
      <c r="F45" s="9" t="s">
        <v>69</v>
      </c>
      <c r="G45" s="9" t="s">
        <v>69</v>
      </c>
      <c r="H45" s="10" t="s">
        <v>70</v>
      </c>
      <c r="I45" s="9" t="s">
        <v>69</v>
      </c>
      <c r="J45" s="9" t="s">
        <v>71</v>
      </c>
      <c r="K45" s="9">
        <v>20</v>
      </c>
      <c r="L45" s="9" t="s">
        <v>69</v>
      </c>
      <c r="M45" s="8" t="s">
        <v>95</v>
      </c>
      <c r="N45" s="42" t="s">
        <v>72</v>
      </c>
    </row>
    <row r="46" spans="1:14" ht="14.1" customHeight="1">
      <c r="A46" s="6" t="str">
        <f>Navigation!$A48</f>
        <v>PROJECT ADMINISTRATION DIPLOMA</v>
      </c>
      <c r="B46" s="68" t="str">
        <f ca="1">INDIRECT("'"&amp;(VLOOKUP('CSL Inst Appx'!$A46,Reference!$A:$B,2))&amp;"'!A5")</f>
        <v>PROJ ADMIN</v>
      </c>
      <c r="C46" s="9" t="str">
        <f ca="1">INDIRECT("'"&amp;(VLOOKUP('CSL Inst Appx'!$A46,Reference!$A:$B,2))&amp;"'!D3")</f>
        <v>ZOM7</v>
      </c>
      <c r="D46" s="8" t="str">
        <f t="shared" si="0"/>
        <v>Diploma</v>
      </c>
      <c r="E46" s="13">
        <f ca="1">VLOOKUP($A46,Summary!$A$5:$M$54,11)</f>
        <v>51</v>
      </c>
      <c r="F46" s="9" t="s">
        <v>69</v>
      </c>
      <c r="G46" s="9" t="s">
        <v>69</v>
      </c>
      <c r="H46" s="10" t="s">
        <v>70</v>
      </c>
      <c r="I46" s="9" t="s">
        <v>69</v>
      </c>
      <c r="J46" s="9" t="s">
        <v>71</v>
      </c>
      <c r="K46" s="9">
        <v>20</v>
      </c>
      <c r="L46" s="9" t="s">
        <v>69</v>
      </c>
      <c r="M46" s="8" t="s">
        <v>95</v>
      </c>
      <c r="N46" s="42" t="s">
        <v>72</v>
      </c>
    </row>
    <row r="47" spans="1:14" ht="14.1" customHeight="1">
      <c r="A47" s="6" t="str">
        <f>Navigation!$A49</f>
        <v>PSA - COMPUTERIZED OFFICE SKILLS CERTIFICATE</v>
      </c>
      <c r="B47" s="68" t="str">
        <f ca="1">INDIRECT("'"&amp;(VLOOKUP('CSL Inst Appx'!$A47,Reference!$A:$B,2))&amp;"'!A5")</f>
        <v>PSA</v>
      </c>
      <c r="C47" s="9" t="str">
        <f ca="1">INDIRECT("'"&amp;(VLOOKUP('CSL Inst Appx'!$A47,Reference!$A:$B,2))&amp;"'!D3")</f>
        <v>GOVT.</v>
      </c>
      <c r="D47" s="8" t="str">
        <f t="shared" si="0"/>
        <v>Certificate</v>
      </c>
      <c r="E47" s="13">
        <f ca="1">VLOOKUP($A47,Summary!$A$5:$M$54,11)</f>
        <v>12</v>
      </c>
      <c r="F47" s="8"/>
      <c r="G47" s="11"/>
      <c r="H47" s="10" t="s">
        <v>70</v>
      </c>
      <c r="I47" s="9" t="s">
        <v>69</v>
      </c>
      <c r="J47" s="9" t="s">
        <v>71</v>
      </c>
      <c r="K47" s="9">
        <v>20</v>
      </c>
      <c r="L47" s="9" t="s">
        <v>69</v>
      </c>
      <c r="M47" s="8" t="s">
        <v>95</v>
      </c>
      <c r="N47" s="42" t="s">
        <v>72</v>
      </c>
    </row>
    <row r="48" spans="1:14" ht="14.1" customHeight="1">
      <c r="A48" s="6" t="str">
        <f>Navigation!$A50</f>
        <v>SALES ASSOCIATE CERTIFICATE</v>
      </c>
      <c r="B48" s="68" t="str">
        <f ca="1">INDIRECT("'"&amp;(VLOOKUP('CSL Inst Appx'!$A48,Reference!$A:$B,2))&amp;"'!A5")</f>
        <v>SALES ASSOCIATE</v>
      </c>
      <c r="C48" s="9" t="str">
        <f ca="1">INDIRECT("'"&amp;(VLOOKUP('CSL Inst Appx'!$A48,Reference!$A:$B,2))&amp;"'!D3")</f>
        <v>ZPG8</v>
      </c>
      <c r="D48" s="8" t="str">
        <f t="shared" si="0"/>
        <v>Certificate</v>
      </c>
      <c r="E48" s="13">
        <f ca="1">VLOOKUP($A48,Summary!$A$5:$M$54,11)</f>
        <v>21</v>
      </c>
      <c r="F48" s="8"/>
      <c r="G48" s="11"/>
      <c r="H48" s="10" t="s">
        <v>70</v>
      </c>
      <c r="I48" s="9" t="s">
        <v>69</v>
      </c>
      <c r="J48" s="9" t="s">
        <v>71</v>
      </c>
      <c r="K48" s="9">
        <v>20</v>
      </c>
      <c r="L48" s="9" t="s">
        <v>69</v>
      </c>
      <c r="M48" s="8" t="s">
        <v>95</v>
      </c>
      <c r="N48" s="42" t="s">
        <v>72</v>
      </c>
    </row>
    <row r="49" spans="1:14" ht="14.1" customHeight="1">
      <c r="A49" s="245" t="str">
        <f>Navigation!$A51</f>
        <v>SALES PROFESSIONAL DIPLOMA</v>
      </c>
      <c r="B49" s="68" t="str">
        <f ca="1">INDIRECT("'"&amp;(VLOOKUP('CSL Inst Appx'!$A49,Reference!$A:$B,2))&amp;"'!A5")</f>
        <v>SALES PROF</v>
      </c>
      <c r="C49" s="9" t="str">
        <f ca="1">INDIRECT("'"&amp;(VLOOKUP('CSL Inst Appx'!$A49,Reference!$A:$B,2))&amp;"'!D3")</f>
        <v>ZKE7</v>
      </c>
      <c r="D49" s="8" t="str">
        <f t="shared" si="0"/>
        <v>Diploma</v>
      </c>
      <c r="E49" s="13">
        <f ca="1">VLOOKUP($A49,Summary!$A$5:$M$54,11)</f>
        <v>43</v>
      </c>
      <c r="F49" s="242"/>
      <c r="G49" s="11"/>
      <c r="H49" s="10" t="s">
        <v>70</v>
      </c>
      <c r="I49" s="9" t="s">
        <v>69</v>
      </c>
      <c r="J49" s="9" t="s">
        <v>71</v>
      </c>
      <c r="K49" s="9">
        <v>20</v>
      </c>
      <c r="L49" s="9" t="s">
        <v>69</v>
      </c>
      <c r="M49" s="8" t="s">
        <v>95</v>
      </c>
      <c r="N49" s="42" t="s">
        <v>72</v>
      </c>
    </row>
    <row r="50" spans="1:14">
      <c r="A50" s="66" t="str">
        <f>Navigation!$A52</f>
        <v>SOFTWARE AND WEB DEVELOPER DIPLOMA</v>
      </c>
      <c r="B50" s="68" t="str">
        <f ca="1">INDIRECT("'"&amp;(VLOOKUP('CSL Inst Appx'!$A50,Reference!$A:$B,2))&amp;"'!A5")</f>
        <v>SOFT WEB DEV</v>
      </c>
      <c r="C50" s="9" t="str">
        <f ca="1">INDIRECT("'"&amp;(VLOOKUP('CSL Inst Appx'!$A50,Reference!$A:$B,2))&amp;"'!D3")</f>
        <v>UAN7</v>
      </c>
      <c r="D50" s="8" t="str">
        <f t="shared" si="0"/>
        <v>Diploma</v>
      </c>
      <c r="E50" s="13">
        <f ca="1">VLOOKUP($A50,Summary!$A$5:$M$54,11)</f>
        <v>48</v>
      </c>
      <c r="F50" s="241"/>
      <c r="G50" s="241"/>
      <c r="H50" s="10" t="s">
        <v>70</v>
      </c>
      <c r="I50" s="9" t="s">
        <v>69</v>
      </c>
      <c r="J50" s="9" t="s">
        <v>71</v>
      </c>
      <c r="K50" s="9">
        <v>20</v>
      </c>
      <c r="L50" s="9" t="s">
        <v>69</v>
      </c>
      <c r="M50" s="8" t="s">
        <v>95</v>
      </c>
      <c r="N50" s="42" t="s">
        <v>72</v>
      </c>
    </row>
    <row r="51" spans="1:14" ht="12.6" customHeight="1">
      <c r="A51" s="66" t="str">
        <f>Navigation!$A53</f>
        <v>WEB DESIGNER DIPLOMA</v>
      </c>
      <c r="B51" s="68" t="str">
        <f ca="1">INDIRECT("'"&amp;(VLOOKUP('CSL Inst Appx'!$A51,Reference!$A:$B,2))&amp;"'!A5")</f>
        <v>WEB DESIGNER</v>
      </c>
      <c r="C51" s="9" t="str">
        <f ca="1">INDIRECT("'"&amp;(VLOOKUP('CSL Inst Appx'!$A51,Reference!$A:$B,2))&amp;"'!D3")</f>
        <v>UIE7</v>
      </c>
      <c r="D51" s="8" t="str">
        <f t="shared" si="0"/>
        <v>Diploma</v>
      </c>
      <c r="E51" s="13">
        <f ca="1">VLOOKUP($A51,Summary!$A$5:$M$54,11)</f>
        <v>60</v>
      </c>
      <c r="F51" s="241"/>
      <c r="G51" s="241"/>
      <c r="H51" s="10" t="s">
        <v>70</v>
      </c>
      <c r="I51" s="9" t="s">
        <v>69</v>
      </c>
      <c r="J51" s="9" t="s">
        <v>71</v>
      </c>
      <c r="K51" s="9">
        <v>20</v>
      </c>
      <c r="L51" s="9" t="s">
        <v>69</v>
      </c>
      <c r="M51" s="8" t="s">
        <v>95</v>
      </c>
      <c r="N51" s="42" t="s">
        <v>72</v>
      </c>
    </row>
    <row r="52" spans="1:14" ht="13.5" thickBot="1">
      <c r="A52" s="243" t="str">
        <f>Navigation!$A54</f>
        <v>WEB DEVELOPER DIPLOMA</v>
      </c>
      <c r="B52" s="276" t="str">
        <f ca="1">INDIRECT("'"&amp;(VLOOKUP('CSL Inst Appx'!$A52,Reference!$A:$B,2))&amp;"'!A5")</f>
        <v>WEB DEV</v>
      </c>
      <c r="C52" s="277" t="str">
        <f ca="1">INDIRECT("'"&amp;(VLOOKUP('CSL Inst Appx'!$A52,Reference!$A:$B,2))&amp;"'!D3")</f>
        <v>UHK7</v>
      </c>
      <c r="D52" s="278" t="str">
        <f t="shared" si="0"/>
        <v>Diploma</v>
      </c>
      <c r="E52" s="279">
        <f ca="1">VLOOKUP($A52,Summary!$A$5:$M$54,11)</f>
        <v>30</v>
      </c>
      <c r="F52" s="244"/>
      <c r="G52" s="244"/>
      <c r="H52" s="280" t="s">
        <v>70</v>
      </c>
      <c r="I52" s="277" t="s">
        <v>69</v>
      </c>
      <c r="J52" s="277" t="s">
        <v>71</v>
      </c>
      <c r="K52" s="277">
        <v>20</v>
      </c>
      <c r="L52" s="277" t="s">
        <v>69</v>
      </c>
      <c r="M52" s="278" t="s">
        <v>95</v>
      </c>
      <c r="N52" s="281" t="s">
        <v>72</v>
      </c>
    </row>
  </sheetData>
  <sheetProtection selectLockedCells="1" selectUnlockedCells="1"/>
  <phoneticPr fontId="0" type="noConversion"/>
  <pageMargins left="0.38" right="0.15748031496062992" top="0.54" bottom="0.36" header="0.37" footer="0.35"/>
  <pageSetup scale="58" orientation="landscape" horizontalDpi="360" verticalDpi="360" r:id="rId1"/>
  <headerFooter alignWithMargins="0">
    <oddHeader>&amp;C&amp;"Arial,Bold"&amp;14INSTITUTIONAL APPENDIX</oddHead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251"/>
  <dimension ref="A1:O58"/>
  <sheetViews>
    <sheetView zoomScaleNormal="100" workbookViewId="0">
      <selection activeCell="I11" sqref="I11"/>
    </sheetView>
  </sheetViews>
  <sheetFormatPr defaultRowHeight="12.75"/>
  <cols>
    <col min="1" max="1" width="80.5" bestFit="1" customWidth="1"/>
    <col min="2" max="2" width="8.5" customWidth="1"/>
    <col min="3" max="3" width="8.33203125" customWidth="1"/>
    <col min="4" max="4" width="7" style="2" customWidth="1"/>
    <col min="5" max="5" width="5.33203125" customWidth="1"/>
    <col min="6" max="6" width="5.1640625" customWidth="1"/>
    <col min="7" max="7" width="10" hidden="1" customWidth="1"/>
    <col min="8" max="8" width="6.33203125" style="2" customWidth="1"/>
    <col min="9" max="10" width="8.33203125" style="2" customWidth="1"/>
    <col min="11" max="11" width="9.1640625" style="2" bestFit="1" customWidth="1"/>
    <col min="12" max="12" width="7.5" style="2" customWidth="1"/>
    <col min="13" max="14" width="9.83203125" style="2" customWidth="1"/>
    <col min="15" max="15" width="13.6640625" style="2" customWidth="1"/>
  </cols>
  <sheetData>
    <row r="1" spans="1:15" ht="21" customHeight="1">
      <c r="A1" s="51" t="str">
        <f>CONCATENATE("INSTITUTION NAME:   ACADEMY OF LEARNING  -  ",'[1]Franchise Info'!B8,"       - ",'[1]Franchise Info'!$B$10)</f>
        <v>INSTITUTION NAME:   ACADEMY OF LEARNING  -  Abbotsford       - 3500</v>
      </c>
      <c r="B1" s="38"/>
      <c r="C1" s="38"/>
      <c r="D1" s="48"/>
      <c r="E1" s="38"/>
      <c r="F1" s="38"/>
      <c r="G1" s="39"/>
      <c r="H1" s="40"/>
      <c r="I1" s="40"/>
      <c r="J1" s="319" t="str">
        <f>AdminAsstDip!F2</f>
        <v>(o/b 0833917 B.C. Ltd.)</v>
      </c>
      <c r="K1" s="320"/>
      <c r="L1" s="53" t="str">
        <f>CONCATENATE("BCSAP INSTITUTION CODE:  ",'[1]Franchise Info'!B9)</f>
        <v>BCSAP INSTITUTION CODE:  APNT</v>
      </c>
      <c r="M1" s="53"/>
      <c r="N1" s="54"/>
      <c r="O1" s="55"/>
    </row>
    <row r="2" spans="1:15" ht="41.25" customHeight="1">
      <c r="A2" s="44" t="s">
        <v>79</v>
      </c>
      <c r="B2" s="35" t="s">
        <v>170</v>
      </c>
      <c r="C2" s="35" t="s">
        <v>657</v>
      </c>
      <c r="D2" s="35" t="s">
        <v>130</v>
      </c>
      <c r="E2" s="35" t="s">
        <v>74</v>
      </c>
      <c r="F2" s="35" t="s">
        <v>75</v>
      </c>
      <c r="G2" s="35" t="s">
        <v>77</v>
      </c>
      <c r="H2" s="35" t="s">
        <v>85</v>
      </c>
      <c r="I2" s="35" t="s">
        <v>141</v>
      </c>
      <c r="J2" s="35" t="s">
        <v>152</v>
      </c>
      <c r="K2" s="35" t="s">
        <v>140</v>
      </c>
      <c r="L2" s="7" t="s">
        <v>84</v>
      </c>
      <c r="M2" s="7" t="s">
        <v>131</v>
      </c>
      <c r="N2" s="7" t="s">
        <v>78</v>
      </c>
      <c r="O2" s="41" t="s">
        <v>80</v>
      </c>
    </row>
    <row r="3" spans="1:15" ht="14.1" customHeight="1">
      <c r="A3" s="6" t="str">
        <f>Navigation!$A5</f>
        <v>A+ NETWORK+ AND MCSA DESKTOP CERT. PREP</v>
      </c>
      <c r="B3" s="255" t="str">
        <f ca="1">RIGHT(INDIRECT("'"&amp;(VLOOKUP('CSL Inst Appx'!$A3,Reference!$A:$B,2))&amp;"'!G4"),4)</f>
        <v>2281</v>
      </c>
      <c r="C3" s="256" t="str">
        <f ca="1">INDIRECT("'"&amp;(VLOOKUP('CSL Inst Appx'!$A3,Reference!$A:$B,2))&amp;"'!D3")</f>
        <v>UHG8</v>
      </c>
      <c r="D3" s="49">
        <f ca="1">VLOOKUP($A3,Summary!$A$5:$M$54,11)</f>
        <v>38</v>
      </c>
      <c r="E3" s="36" t="s">
        <v>76</v>
      </c>
      <c r="F3" s="36" t="s">
        <v>76</v>
      </c>
      <c r="G3" s="8" t="s">
        <v>68</v>
      </c>
      <c r="H3" s="9" t="s">
        <v>69</v>
      </c>
      <c r="I3" s="37">
        <f ca="1">INDIRECT("'"&amp;(VLOOKUP('CSL Inst Appx'!$A3,Reference!$A:$B,2))&amp;"'!H41")</f>
        <v>8510</v>
      </c>
      <c r="J3" s="37">
        <v>8510</v>
      </c>
      <c r="K3" s="56">
        <f t="shared" ref="K3:K30" ca="1" si="0">ROUNDUP((I3-J3)/J3,4)</f>
        <v>0</v>
      </c>
      <c r="L3" s="9" t="s">
        <v>69</v>
      </c>
      <c r="M3" s="9"/>
      <c r="N3" s="9"/>
      <c r="O3" s="42" t="s">
        <v>71</v>
      </c>
    </row>
    <row r="4" spans="1:15" ht="14.1" customHeight="1">
      <c r="A4" s="6" t="str">
        <f>Navigation!$A6</f>
        <v>ACCOUNTING ADMINISTRATOR DIPLOMA with SAGE</v>
      </c>
      <c r="B4" s="255" t="str">
        <f ca="1">RIGHT(INDIRECT("'"&amp;(VLOOKUP('CSL Inst Appx'!$A4,Reference!$A:$B,2))&amp;"'!G4"),4)</f>
        <v>1431</v>
      </c>
      <c r="C4" s="256" t="str">
        <f ca="1">INDIRECT("'"&amp;(VLOOKUP('CSL Inst Appx'!$A4,Reference!$A:$B,2))&amp;"'!D3")</f>
        <v>ZAJ7</v>
      </c>
      <c r="D4" s="49">
        <f ca="1">VLOOKUP($A4,Summary!$A$5:$M$54,11)</f>
        <v>40</v>
      </c>
      <c r="E4" s="36" t="s">
        <v>76</v>
      </c>
      <c r="F4" s="36" t="s">
        <v>76</v>
      </c>
      <c r="G4" s="8" t="s">
        <v>68</v>
      </c>
      <c r="H4" s="9" t="s">
        <v>69</v>
      </c>
      <c r="I4" s="37">
        <f ca="1">INDIRECT("'"&amp;(VLOOKUP('CSL Inst Appx'!$A4,Reference!$A:$B,2))&amp;"'!H41")</f>
        <v>11559</v>
      </c>
      <c r="J4" s="37">
        <v>11559</v>
      </c>
      <c r="K4" s="56">
        <f t="shared" ca="1" si="0"/>
        <v>0</v>
      </c>
      <c r="L4" s="9" t="s">
        <v>69</v>
      </c>
      <c r="M4" s="9"/>
      <c r="N4" s="9"/>
      <c r="O4" s="42" t="s">
        <v>71</v>
      </c>
    </row>
    <row r="5" spans="1:15" ht="14.1" customHeight="1">
      <c r="A5" s="6" t="str">
        <f>Navigation!$A7</f>
        <v>ACCOUNTING AND BUSINESS TECHNOLOGY DIPLOMA</v>
      </c>
      <c r="B5" s="255" t="str">
        <f ca="1">RIGHT(INDIRECT("'"&amp;(VLOOKUP('CSL Inst Appx'!$A5,Reference!$A:$B,2))&amp;"'!G4"),4)</f>
        <v>1431</v>
      </c>
      <c r="C5" s="256" t="str">
        <f ca="1">INDIRECT("'"&amp;(VLOOKUP('CSL Inst Appx'!$A5,Reference!$A:$B,2))&amp;"'!D3")</f>
        <v>ZIZ7</v>
      </c>
      <c r="D5" s="49">
        <f ca="1">VLOOKUP($A5,Summary!$A$5:$M$54,11)</f>
        <v>45</v>
      </c>
      <c r="E5" s="36" t="s">
        <v>76</v>
      </c>
      <c r="F5" s="36" t="s">
        <v>76</v>
      </c>
      <c r="G5" s="8" t="s">
        <v>68</v>
      </c>
      <c r="H5" s="9" t="s">
        <v>69</v>
      </c>
      <c r="I5" s="37">
        <f ca="1">INDIRECT("'"&amp;(VLOOKUP('CSL Inst Appx'!$A5,Reference!$A:$B,2))&amp;"'!H41")</f>
        <v>12729</v>
      </c>
      <c r="J5" s="37">
        <v>12729</v>
      </c>
      <c r="K5" s="56">
        <f t="shared" ca="1" si="0"/>
        <v>0</v>
      </c>
      <c r="L5" s="9" t="s">
        <v>69</v>
      </c>
      <c r="M5" s="9"/>
      <c r="N5" s="9"/>
      <c r="O5" s="42" t="s">
        <v>71</v>
      </c>
    </row>
    <row r="6" spans="1:15" ht="14.1" customHeight="1">
      <c r="A6" s="6" t="str">
        <f>Navigation!$A8</f>
        <v>ACCOUNTING AND PAYROLL ADMINISTRATOR DIPLOMA</v>
      </c>
      <c r="B6" s="255" t="str">
        <f ca="1">RIGHT(INDIRECT("'"&amp;(VLOOKUP('CSL Inst Appx'!$A6,Reference!$A:$B,2))&amp;"'!G4"),4)</f>
        <v>1212</v>
      </c>
      <c r="C6" s="256" t="str">
        <f ca="1">INDIRECT("'"&amp;(VLOOKUP('CSL Inst Appx'!$A6,Reference!$A:$B,2))&amp;"'!D3")</f>
        <v>ZNV7</v>
      </c>
      <c r="D6" s="49">
        <f ca="1">VLOOKUP($A6,Summary!$A$5:$M$54,11)</f>
        <v>55</v>
      </c>
      <c r="E6" s="36" t="s">
        <v>76</v>
      </c>
      <c r="F6" s="36" t="s">
        <v>76</v>
      </c>
      <c r="G6" s="8" t="s">
        <v>68</v>
      </c>
      <c r="H6" s="9" t="s">
        <v>69</v>
      </c>
      <c r="I6" s="37">
        <f ca="1">INDIRECT("'"&amp;(VLOOKUP('CSL Inst Appx'!$A6,Reference!$A:$B,2))&amp;"'!H41")</f>
        <v>15180</v>
      </c>
      <c r="J6" s="37">
        <v>15180</v>
      </c>
      <c r="K6" s="56">
        <f t="shared" ca="1" si="0"/>
        <v>0</v>
      </c>
      <c r="L6" s="9" t="s">
        <v>69</v>
      </c>
      <c r="M6" s="9"/>
      <c r="N6" s="9"/>
      <c r="O6" s="42" t="s">
        <v>71</v>
      </c>
    </row>
    <row r="7" spans="1:15" ht="14.1" customHeight="1">
      <c r="A7" s="6" t="str">
        <f>Navigation!$A9</f>
        <v>ACCOUNTING BOOKKEEPER CERTIFICATE</v>
      </c>
      <c r="B7" s="255" t="str">
        <f ca="1">RIGHT(INDIRECT("'"&amp;(VLOOKUP('CSL Inst Appx'!$A7,Reference!$A:$B,2))&amp;"'!G4"),4)</f>
        <v>1431</v>
      </c>
      <c r="C7" s="256" t="str">
        <f ca="1">INDIRECT("'"&amp;(VLOOKUP('CSL Inst Appx'!$A7,Reference!$A:$B,2))&amp;"'!D3")</f>
        <v>ZLJ8</v>
      </c>
      <c r="D7" s="49">
        <f ca="1">VLOOKUP($A7,Summary!$A$5:$M$54,11)</f>
        <v>33</v>
      </c>
      <c r="E7" s="36" t="s">
        <v>76</v>
      </c>
      <c r="F7" s="36" t="s">
        <v>76</v>
      </c>
      <c r="G7" s="8" t="s">
        <v>68</v>
      </c>
      <c r="H7" s="9" t="s">
        <v>69</v>
      </c>
      <c r="I7" s="37">
        <f ca="1">INDIRECT("'"&amp;(VLOOKUP('CSL Inst Appx'!$A7,Reference!$A:$B,2))&amp;"'!H41")</f>
        <v>8707</v>
      </c>
      <c r="J7" s="37">
        <v>8707</v>
      </c>
      <c r="K7" s="56">
        <f t="shared" ca="1" si="0"/>
        <v>0</v>
      </c>
      <c r="L7" s="9" t="s">
        <v>69</v>
      </c>
      <c r="M7" s="9"/>
      <c r="N7" s="9"/>
      <c r="O7" s="42" t="s">
        <v>71</v>
      </c>
    </row>
    <row r="8" spans="1:15" ht="14.1" customHeight="1">
      <c r="A8" s="6" t="str">
        <f>Navigation!$A10</f>
        <v>ACCOUNTING CLERK CERTIFICATE</v>
      </c>
      <c r="B8" s="255" t="str">
        <f ca="1">RIGHT(INDIRECT("'"&amp;(VLOOKUP('CSL Inst Appx'!$A8,Reference!$A:$B,2))&amp;"'!G4"),4)</f>
        <v>1431</v>
      </c>
      <c r="C8" s="256" t="str">
        <f ca="1">INDIRECT("'"&amp;(VLOOKUP('CSL Inst Appx'!$A8,Reference!$A:$B,2))&amp;"'!D3")</f>
        <v>ZLK8</v>
      </c>
      <c r="D8" s="49">
        <f ca="1">VLOOKUP($A8,Summary!$A$5:$M$54,11)</f>
        <v>23</v>
      </c>
      <c r="E8" s="36" t="s">
        <v>76</v>
      </c>
      <c r="F8" s="36" t="s">
        <v>76</v>
      </c>
      <c r="G8" s="8" t="s">
        <v>68</v>
      </c>
      <c r="H8" s="9" t="s">
        <v>69</v>
      </c>
      <c r="I8" s="37">
        <f ca="1">INDIRECT("'"&amp;(VLOOKUP('CSL Inst Appx'!$A8,Reference!$A:$B,2))&amp;"'!H41")</f>
        <v>6452</v>
      </c>
      <c r="J8" s="37">
        <v>6452</v>
      </c>
      <c r="K8" s="56">
        <f t="shared" ca="1" si="0"/>
        <v>0</v>
      </c>
      <c r="L8" s="9" t="s">
        <v>69</v>
      </c>
      <c r="M8" s="9"/>
      <c r="N8" s="9"/>
      <c r="O8" s="42" t="s">
        <v>71</v>
      </c>
    </row>
    <row r="9" spans="1:15" ht="14.1" customHeight="1">
      <c r="A9" s="6" t="str">
        <f>Navigation!$A11</f>
        <v>ADDICTIONS WORKER CERTIFICATE</v>
      </c>
      <c r="B9" s="255" t="str">
        <f ca="1">RIGHT(INDIRECT("'"&amp;(VLOOKUP('CSL Inst Appx'!$A9,Reference!$A:$B,2))&amp;"'!G4"),4)</f>
        <v>4212</v>
      </c>
      <c r="C9" s="256" t="str">
        <f ca="1">INDIRECT("'"&amp;(VLOOKUP('CSL Inst Appx'!$A9,Reference!$A:$B,2))&amp;"'!D3")</f>
        <v>WAA8</v>
      </c>
      <c r="D9" s="49">
        <f ca="1">VLOOKUP($A9,Summary!$A$5:$M$54,11)</f>
        <v>15</v>
      </c>
      <c r="E9" s="36" t="s">
        <v>76</v>
      </c>
      <c r="F9" s="36" t="s">
        <v>744</v>
      </c>
      <c r="G9" s="8" t="s">
        <v>68</v>
      </c>
      <c r="H9" s="9" t="s">
        <v>69</v>
      </c>
      <c r="I9" s="37">
        <f ca="1">INDIRECT("'"&amp;(VLOOKUP('CSL Inst Appx'!$A9,Reference!$A:$B,2))&amp;"'!H41")</f>
        <v>3079</v>
      </c>
      <c r="J9" s="37">
        <v>3079</v>
      </c>
      <c r="K9" s="56">
        <f t="shared" ca="1" si="0"/>
        <v>0</v>
      </c>
      <c r="L9" s="9" t="s">
        <v>69</v>
      </c>
      <c r="M9" s="9"/>
      <c r="N9" s="9"/>
      <c r="O9" s="42" t="s">
        <v>71</v>
      </c>
    </row>
    <row r="10" spans="1:15" ht="14.1" customHeight="1">
      <c r="A10" s="6" t="str">
        <f>Navigation!$A12</f>
        <v>ADMINISTRATIVE ASSISTANT DIPLOMA</v>
      </c>
      <c r="B10" s="255" t="str">
        <f ca="1">RIGHT(INDIRECT("'"&amp;(VLOOKUP('CSL Inst Appx'!$A10,Reference!$A:$B,2))&amp;"'!G4"),4)</f>
        <v>1241</v>
      </c>
      <c r="C10" s="256" t="str">
        <f ca="1">INDIRECT("'"&amp;(VLOOKUP('CSL Inst Appx'!$A10,Reference!$A:$B,2))&amp;"'!D3")</f>
        <v>ZKT7</v>
      </c>
      <c r="D10" s="49">
        <f ca="1">VLOOKUP($A10,Summary!$A$5:$M$54,11)</f>
        <v>39</v>
      </c>
      <c r="E10" s="36" t="s">
        <v>76</v>
      </c>
      <c r="F10" s="36" t="s">
        <v>76</v>
      </c>
      <c r="G10" s="8" t="s">
        <v>68</v>
      </c>
      <c r="H10" s="9" t="s">
        <v>69</v>
      </c>
      <c r="I10" s="37">
        <f ca="1">INDIRECT("'"&amp;(VLOOKUP('CSL Inst Appx'!$A10,Reference!$A:$B,2))&amp;"'!H41")</f>
        <v>10097</v>
      </c>
      <c r="J10" s="37">
        <v>10097</v>
      </c>
      <c r="K10" s="56">
        <f t="shared" ca="1" si="0"/>
        <v>0</v>
      </c>
      <c r="L10" s="9" t="s">
        <v>69</v>
      </c>
      <c r="M10" s="9"/>
      <c r="N10" s="9"/>
      <c r="O10" s="42" t="s">
        <v>71</v>
      </c>
    </row>
    <row r="11" spans="1:15" ht="14.1" customHeight="1">
      <c r="A11" s="6" t="str">
        <f>Navigation!$A13</f>
        <v>BUSINESS ADMINISTRATION CO-OP DIPLOMA</v>
      </c>
      <c r="B11" s="255" t="str">
        <f ca="1">RIGHT(INDIRECT("'"&amp;(VLOOKUP('CSL Inst Appx'!$A11,Reference!$A:$B,2))&amp;"'!G4"),4)</f>
        <v>1221</v>
      </c>
      <c r="C11" s="256" t="str">
        <f ca="1">INDIRECT("'"&amp;(VLOOKUP('CSL Inst Appx'!$A11,Reference!$A:$B,2))&amp;"'!D3")</f>
        <v>ZAS7</v>
      </c>
      <c r="D11" s="49">
        <f ca="1">VLOOKUP($A11,Summary!$A$5:$M$54,11)</f>
        <v>107</v>
      </c>
      <c r="E11" s="36" t="s">
        <v>76</v>
      </c>
      <c r="F11" s="36" t="s">
        <v>745</v>
      </c>
      <c r="G11" s="8" t="s">
        <v>68</v>
      </c>
      <c r="H11" s="9" t="s">
        <v>69</v>
      </c>
      <c r="I11" s="37">
        <f ca="1">INDIRECT("'"&amp;(VLOOKUP('CSL Inst Appx'!$A11,Reference!$A:$B,2))&amp;"'!H41")</f>
        <v>657</v>
      </c>
      <c r="J11" s="37">
        <v>657</v>
      </c>
      <c r="K11" s="56">
        <f t="shared" ca="1" si="0"/>
        <v>0</v>
      </c>
      <c r="L11" s="9" t="s">
        <v>69</v>
      </c>
      <c r="M11" s="9"/>
      <c r="N11" s="9"/>
      <c r="O11" s="42" t="s">
        <v>71</v>
      </c>
    </row>
    <row r="12" spans="1:15" ht="14.1" customHeight="1">
      <c r="A12" s="6" t="str">
        <f>Navigation!$A14</f>
        <v>BUSINESS ADMINISTRATION DIPLOMA</v>
      </c>
      <c r="B12" s="255" t="str">
        <f ca="1">RIGHT(INDIRECT("'"&amp;(VLOOKUP('CSL Inst Appx'!$A12,Reference!$A:$B,2))&amp;"'!G4"),4)</f>
        <v>1211</v>
      </c>
      <c r="C12" s="256" t="str">
        <f ca="1">INDIRECT("'"&amp;(VLOOKUP('CSL Inst Appx'!$A12,Reference!$A:$B,2))&amp;"'!D3")</f>
        <v>ZAS7</v>
      </c>
      <c r="D12" s="49">
        <f ca="1">VLOOKUP($A12,Summary!$A$5:$M$54,11)</f>
        <v>64</v>
      </c>
      <c r="E12" s="36" t="s">
        <v>76</v>
      </c>
      <c r="F12" s="36" t="s">
        <v>76</v>
      </c>
      <c r="G12" s="8"/>
      <c r="H12" s="9" t="s">
        <v>69</v>
      </c>
      <c r="I12" s="37">
        <f ca="1">INDIRECT("'"&amp;(VLOOKUP('CSL Inst Appx'!$A12,Reference!$A:$B,2))&amp;"'!H41")</f>
        <v>499</v>
      </c>
      <c r="J12" s="37">
        <v>499</v>
      </c>
      <c r="K12" s="56">
        <f t="shared" ca="1" si="0"/>
        <v>0</v>
      </c>
      <c r="L12" s="9" t="s">
        <v>69</v>
      </c>
      <c r="M12" s="9"/>
      <c r="N12" s="9"/>
      <c r="O12" s="42" t="s">
        <v>71</v>
      </c>
    </row>
    <row r="13" spans="1:15" ht="14.1" customHeight="1">
      <c r="A13" s="6" t="str">
        <f>Navigation!$A15</f>
        <v>BUSINESS MANAGEMENT CERTIFICATE</v>
      </c>
      <c r="B13" s="255" t="str">
        <f ca="1">RIGHT(INDIRECT("'"&amp;(VLOOKUP('CSL Inst Appx'!$A13,Reference!$A:$B,2))&amp;"'!G4"),4)</f>
        <v>1211</v>
      </c>
      <c r="C13" s="256" t="str">
        <f ca="1">INDIRECT("'"&amp;(VLOOKUP('CSL Inst Appx'!$A13,Reference!$A:$B,2))&amp;"'!D3")</f>
        <v>ZBD8</v>
      </c>
      <c r="D13" s="49">
        <f ca="1">VLOOKUP($A13,Summary!$A$5:$M$54,11)</f>
        <v>31</v>
      </c>
      <c r="E13" s="36" t="s">
        <v>76</v>
      </c>
      <c r="F13" s="36" t="s">
        <v>76</v>
      </c>
      <c r="G13" s="8" t="s">
        <v>68</v>
      </c>
      <c r="H13" s="9" t="s">
        <v>69</v>
      </c>
      <c r="I13" s="37">
        <f ca="1">INDIRECT("'"&amp;(VLOOKUP('CSL Inst Appx'!$A13,Reference!$A:$B,2))&amp;"'!H41")</f>
        <v>9329</v>
      </c>
      <c r="J13" s="37">
        <v>9329</v>
      </c>
      <c r="K13" s="56">
        <f t="shared" ca="1" si="0"/>
        <v>0</v>
      </c>
      <c r="L13" s="9" t="s">
        <v>69</v>
      </c>
      <c r="M13" s="9"/>
      <c r="N13" s="9"/>
      <c r="O13" s="42" t="s">
        <v>71</v>
      </c>
    </row>
    <row r="14" spans="1:15" ht="14.1" customHeight="1">
      <c r="A14" s="6" t="str">
        <f>Navigation!$A16</f>
        <v>BUSINESS OFFICE SKILLS DIPLOMA</v>
      </c>
      <c r="B14" s="255" t="str">
        <f ca="1">RIGHT(INDIRECT("'"&amp;(VLOOKUP('CSL Inst Appx'!$A14,Reference!$A:$B,2))&amp;"'!G4"),4)</f>
        <v>1411</v>
      </c>
      <c r="C14" s="256" t="str">
        <f ca="1">INDIRECT("'"&amp;(VLOOKUP('CSL Inst Appx'!$A14,Reference!$A:$B,2))&amp;"'!D3")</f>
        <v>ZKJ7</v>
      </c>
      <c r="D14" s="49">
        <f ca="1">VLOOKUP($A14,Summary!$A$5:$M$54,11)</f>
        <v>43</v>
      </c>
      <c r="E14" s="36" t="s">
        <v>76</v>
      </c>
      <c r="F14" s="36" t="s">
        <v>76</v>
      </c>
      <c r="G14" s="8" t="s">
        <v>68</v>
      </c>
      <c r="H14" s="9" t="s">
        <v>69</v>
      </c>
      <c r="I14" s="37">
        <f ca="1">INDIRECT("'"&amp;(VLOOKUP('CSL Inst Appx'!$A14,Reference!$A:$B,2))&amp;"'!H41")</f>
        <v>11409</v>
      </c>
      <c r="J14" s="37">
        <v>11409</v>
      </c>
      <c r="K14" s="56">
        <f t="shared" ca="1" si="0"/>
        <v>0</v>
      </c>
      <c r="L14" s="9" t="s">
        <v>69</v>
      </c>
      <c r="M14" s="9"/>
      <c r="N14" s="9"/>
      <c r="O14" s="42" t="s">
        <v>71</v>
      </c>
    </row>
    <row r="15" spans="1:15" ht="14.1" customHeight="1">
      <c r="A15" s="6" t="str">
        <f>Navigation!$A17</f>
        <v>BUSINESS RECEPTIONIST CERTIFICATE</v>
      </c>
      <c r="B15" s="255" t="str">
        <f ca="1">RIGHT(INDIRECT("'"&amp;(VLOOKUP('CSL Inst Appx'!$A15,Reference!$A:$B,2))&amp;"'!G4"),4)</f>
        <v>1411</v>
      </c>
      <c r="C15" s="256" t="str">
        <f ca="1">INDIRECT("'"&amp;(VLOOKUP('CSL Inst Appx'!$A15,Reference!$A:$B,2))&amp;"'!D3")</f>
        <v>ZKZ8</v>
      </c>
      <c r="D15" s="49">
        <f ca="1">VLOOKUP($A15,Summary!$A$5:$M$54,11)</f>
        <v>28</v>
      </c>
      <c r="E15" s="36" t="s">
        <v>76</v>
      </c>
      <c r="F15" s="36" t="s">
        <v>76</v>
      </c>
      <c r="G15" s="8" t="s">
        <v>68</v>
      </c>
      <c r="H15" s="9" t="s">
        <v>69</v>
      </c>
      <c r="I15" s="37">
        <f ca="1">INDIRECT("'"&amp;(VLOOKUP('CSL Inst Appx'!$A15,Reference!$A:$B,2))&amp;"'!H41")</f>
        <v>7135</v>
      </c>
      <c r="J15" s="37">
        <v>7135</v>
      </c>
      <c r="K15" s="56">
        <f t="shared" ca="1" si="0"/>
        <v>0</v>
      </c>
      <c r="L15" s="9" t="s">
        <v>69</v>
      </c>
      <c r="M15" s="9"/>
      <c r="N15" s="9"/>
      <c r="O15" s="42" t="s">
        <v>71</v>
      </c>
    </row>
    <row r="16" spans="1:15" ht="14.1" customHeight="1">
      <c r="A16" s="6" t="str">
        <f>Navigation!$A18</f>
        <v>BUSINESS SERVICE ESSENTIALS CO-OP DIPLOMA</v>
      </c>
      <c r="B16" s="255" t="str">
        <f ca="1">RIGHT(INDIRECT("'"&amp;(VLOOKUP('CSL Inst Appx'!$A16,Reference!$A:$B,2))&amp;"'!G4"),4)</f>
        <v>4212</v>
      </c>
      <c r="C16" s="256" t="str">
        <f ca="1">INDIRECT("'"&amp;(VLOOKUP('CSL Inst Appx'!$A16,Reference!$A:$B,2))&amp;"'!D3")</f>
        <v>ZNP7</v>
      </c>
      <c r="D16" s="49">
        <f ca="1">VLOOKUP($A16,Summary!$A$5:$M$54,11)</f>
        <v>54</v>
      </c>
      <c r="E16" s="36" t="s">
        <v>76</v>
      </c>
      <c r="F16" s="36" t="s">
        <v>76</v>
      </c>
      <c r="G16" s="8" t="s">
        <v>68</v>
      </c>
      <c r="H16" s="9" t="s">
        <v>69</v>
      </c>
      <c r="I16" s="37">
        <f ca="1">INDIRECT("'"&amp;(VLOOKUP('CSL Inst Appx'!$A16,Reference!$A:$B,2))&amp;"'!H41")</f>
        <v>10752</v>
      </c>
      <c r="J16" s="37">
        <v>10752</v>
      </c>
      <c r="K16" s="56">
        <f t="shared" ca="1" si="0"/>
        <v>0</v>
      </c>
      <c r="L16" s="9" t="s">
        <v>69</v>
      </c>
      <c r="M16" s="9"/>
      <c r="N16" s="9"/>
      <c r="O16" s="42" t="s">
        <v>71</v>
      </c>
    </row>
    <row r="17" spans="1:15" ht="14.1" customHeight="1">
      <c r="A17" s="6" t="str">
        <f>Navigation!$A19</f>
        <v>CALL CENTRE CUSTOMER REPRESENTATIVE DIPLOMA</v>
      </c>
      <c r="B17" s="255" t="str">
        <f ca="1">RIGHT(INDIRECT("'"&amp;(VLOOKUP('CSL Inst Appx'!$A17,Reference!$A:$B,2))&amp;"'!G4"),4)</f>
        <v>6552</v>
      </c>
      <c r="C17" s="256" t="str">
        <f ca="1">INDIRECT("'"&amp;(VLOOKUP('CSL Inst Appx'!$A17,Reference!$A:$B,2))&amp;"'!D3")</f>
        <v>ZMQ7</v>
      </c>
      <c r="D17" s="49">
        <f ca="1">VLOOKUP($A17,Summary!$A$5:$M$54,11)</f>
        <v>35</v>
      </c>
      <c r="E17" s="36" t="s">
        <v>76</v>
      </c>
      <c r="F17" s="36" t="s">
        <v>76</v>
      </c>
      <c r="G17" s="8" t="s">
        <v>68</v>
      </c>
      <c r="H17" s="9" t="s">
        <v>69</v>
      </c>
      <c r="I17" s="37">
        <f ca="1">INDIRECT("'"&amp;(VLOOKUP('CSL Inst Appx'!$A17,Reference!$A:$B,2))&amp;"'!H41")</f>
        <v>9627</v>
      </c>
      <c r="J17" s="37">
        <v>9627</v>
      </c>
      <c r="K17" s="56">
        <f t="shared" ca="1" si="0"/>
        <v>0</v>
      </c>
      <c r="L17" s="9" t="s">
        <v>69</v>
      </c>
      <c r="M17" s="9"/>
      <c r="N17" s="9"/>
      <c r="O17" s="42" t="s">
        <v>71</v>
      </c>
    </row>
    <row r="18" spans="1:15" ht="14.1" customHeight="1">
      <c r="A18" s="6" t="str">
        <f>Navigation!$A20</f>
        <v>COMMUNITY SERVICE WORKER AND ADDICTIONS WORKER DIPLOMA</v>
      </c>
      <c r="B18" s="255" t="str">
        <f ca="1">RIGHT(INDIRECT("'"&amp;(VLOOKUP('CSL Inst Appx'!$A18,Reference!$A:$B,2))&amp;"'!G4"),4)</f>
        <v>4212</v>
      </c>
      <c r="C18" s="256" t="str">
        <f ca="1">INDIRECT("'"&amp;(VLOOKUP('CSL Inst Appx'!$A18,Reference!$A:$B,2))&amp;"'!D3")</f>
        <v>WAD7</v>
      </c>
      <c r="D18" s="49">
        <f ca="1">VLOOKUP($A18,Summary!$A$5:$M$54,11)</f>
        <v>58</v>
      </c>
      <c r="E18" s="36" t="s">
        <v>76</v>
      </c>
      <c r="F18" s="36" t="s">
        <v>744</v>
      </c>
      <c r="G18" s="8" t="s">
        <v>68</v>
      </c>
      <c r="H18" s="9" t="s">
        <v>69</v>
      </c>
      <c r="I18" s="37">
        <f ca="1">INDIRECT("'"&amp;(VLOOKUP('CSL Inst Appx'!$A18,Reference!$A:$B,2))&amp;"'!H41")</f>
        <v>15449</v>
      </c>
      <c r="J18" s="37">
        <v>15449</v>
      </c>
      <c r="K18" s="56">
        <f t="shared" ca="1" si="0"/>
        <v>0</v>
      </c>
      <c r="L18" s="9" t="s">
        <v>69</v>
      </c>
      <c r="M18" s="9"/>
      <c r="N18" s="9"/>
      <c r="O18" s="42" t="s">
        <v>71</v>
      </c>
    </row>
    <row r="19" spans="1:15" ht="14.1" customHeight="1">
      <c r="A19" s="6" t="str">
        <f>Navigation!$A21</f>
        <v>COMMUNITY SERVICE WORKER DIPLOMA</v>
      </c>
      <c r="B19" s="255" t="str">
        <f ca="1">RIGHT(INDIRECT("'"&amp;(VLOOKUP('CSL Inst Appx'!$A19,Reference!$A:$B,2))&amp;"'!G4"),4)</f>
        <v>4212</v>
      </c>
      <c r="C19" s="256" t="str">
        <f ca="1">INDIRECT("'"&amp;(VLOOKUP('CSL Inst Appx'!$A19,Reference!$A:$B,2))&amp;"'!D3")</f>
        <v>WAC7</v>
      </c>
      <c r="D19" s="49">
        <f ca="1">VLOOKUP($A19,Summary!$A$5:$M$54,11)</f>
        <v>42</v>
      </c>
      <c r="E19" s="36" t="s">
        <v>76</v>
      </c>
      <c r="F19" s="36" t="s">
        <v>744</v>
      </c>
      <c r="G19" s="8" t="s">
        <v>68</v>
      </c>
      <c r="H19" s="9" t="s">
        <v>69</v>
      </c>
      <c r="I19" s="37">
        <f ca="1">INDIRECT("'"&amp;(VLOOKUP('CSL Inst Appx'!$A19,Reference!$A:$B,2))&amp;"'!H41")</f>
        <v>12370</v>
      </c>
      <c r="J19" s="37">
        <v>12370</v>
      </c>
      <c r="K19" s="56">
        <f t="shared" ca="1" si="0"/>
        <v>0</v>
      </c>
      <c r="L19" s="9" t="s">
        <v>69</v>
      </c>
      <c r="M19" s="9"/>
      <c r="N19" s="9"/>
      <c r="O19" s="42" t="s">
        <v>71</v>
      </c>
    </row>
    <row r="20" spans="1:15" ht="14.1" customHeight="1">
      <c r="A20" s="6" t="str">
        <f>Navigation!$A22</f>
        <v>COMPUTER SERVICE TECHNICIAN CERTIFICATE</v>
      </c>
      <c r="B20" s="255" t="str">
        <f ca="1">RIGHT(INDIRECT("'"&amp;(VLOOKUP('CSL Inst Appx'!$A20,Reference!$A:$B,2))&amp;"'!G4"),4)</f>
        <v>2242</v>
      </c>
      <c r="C20" s="256" t="str">
        <f ca="1">INDIRECT("'"&amp;(VLOOKUP('CSL Inst Appx'!$A20,Reference!$A:$B,2))&amp;"'!D3")</f>
        <v>UHD8</v>
      </c>
      <c r="D20" s="49">
        <f ca="1">VLOOKUP($A20,Summary!$A$5:$M$54,11)</f>
        <v>30</v>
      </c>
      <c r="E20" s="36" t="s">
        <v>76</v>
      </c>
      <c r="F20" s="36" t="s">
        <v>76</v>
      </c>
      <c r="G20" s="8" t="s">
        <v>68</v>
      </c>
      <c r="H20" s="9" t="s">
        <v>69</v>
      </c>
      <c r="I20" s="37">
        <f ca="1">INDIRECT("'"&amp;(VLOOKUP('CSL Inst Appx'!$A20,Reference!$A:$B,2))&amp;"'!H41")</f>
        <v>5822</v>
      </c>
      <c r="J20" s="37">
        <v>5822</v>
      </c>
      <c r="K20" s="56">
        <f t="shared" ca="1" si="0"/>
        <v>0</v>
      </c>
      <c r="L20" s="9" t="s">
        <v>69</v>
      </c>
      <c r="M20" s="9"/>
      <c r="N20" s="9"/>
      <c r="O20" s="42" t="s">
        <v>71</v>
      </c>
    </row>
    <row r="21" spans="1:15" ht="14.1" customHeight="1">
      <c r="A21" s="6" t="str">
        <f>Navigation!$A23</f>
        <v>COMPUTER SERVICE TECHNICIAN DIPLOMA</v>
      </c>
      <c r="B21" s="255" t="str">
        <f ca="1">RIGHT(INDIRECT("'"&amp;(VLOOKUP('CSL Inst Appx'!$A21,Reference!$A:$B,2))&amp;"'!G4"),4)</f>
        <v>2242</v>
      </c>
      <c r="C21" s="256" t="str">
        <f ca="1">INDIRECT("'"&amp;(VLOOKUP('CSL Inst Appx'!$A21,Reference!$A:$B,2))&amp;"'!D3")</f>
        <v>UHD7</v>
      </c>
      <c r="D21" s="49">
        <f ca="1">VLOOKUP($A21,Summary!$A$5:$M$54,11)</f>
        <v>51</v>
      </c>
      <c r="E21" s="36" t="s">
        <v>76</v>
      </c>
      <c r="F21" s="36" t="s">
        <v>745</v>
      </c>
      <c r="G21" s="8" t="s">
        <v>68</v>
      </c>
      <c r="H21" s="9" t="s">
        <v>69</v>
      </c>
      <c r="I21" s="37">
        <f ca="1">INDIRECT("'"&amp;(VLOOKUP('CSL Inst Appx'!$A21,Reference!$A:$B,2))&amp;"'!H41")</f>
        <v>12167</v>
      </c>
      <c r="J21" s="37">
        <v>12167</v>
      </c>
      <c r="K21" s="56">
        <f t="shared" ca="1" si="0"/>
        <v>0</v>
      </c>
      <c r="L21" s="9" t="s">
        <v>69</v>
      </c>
      <c r="M21" s="9"/>
      <c r="N21" s="9"/>
      <c r="O21" s="42" t="s">
        <v>71</v>
      </c>
    </row>
    <row r="22" spans="1:15" ht="14.1" customHeight="1">
      <c r="A22" s="6" t="str">
        <f>Navigation!$A24</f>
        <v>COMPUTER SOFTWARE SUPPORT DIPLOMA</v>
      </c>
      <c r="B22" s="255" t="str">
        <f ca="1">RIGHT(INDIRECT("'"&amp;(VLOOKUP('CSL Inst Appx'!$A22,Reference!$A:$B,2))&amp;"'!G4"),4)</f>
        <v>2242</v>
      </c>
      <c r="C22" s="256" t="str">
        <f ca="1">INDIRECT("'"&amp;(VLOOKUP('CSL Inst Appx'!$A22,Reference!$A:$B,2))&amp;"'!D3")</f>
        <v>UHD7</v>
      </c>
      <c r="D22" s="49">
        <f ca="1">VLOOKUP($A22,Summary!$A$5:$M$54,11)</f>
        <v>51</v>
      </c>
      <c r="E22" s="36" t="s">
        <v>76</v>
      </c>
      <c r="F22" s="36" t="s">
        <v>745</v>
      </c>
      <c r="G22" s="8" t="s">
        <v>68</v>
      </c>
      <c r="H22" s="9" t="s">
        <v>69</v>
      </c>
      <c r="I22" s="37">
        <f ca="1">INDIRECT("'"&amp;(VLOOKUP('CSL Inst Appx'!$A22,Reference!$A:$B,2))&amp;"'!H41")</f>
        <v>12167</v>
      </c>
      <c r="J22" s="37">
        <v>12167</v>
      </c>
      <c r="K22" s="56">
        <f t="shared" ca="1" si="0"/>
        <v>0</v>
      </c>
      <c r="L22" s="9" t="s">
        <v>69</v>
      </c>
      <c r="M22" s="9"/>
      <c r="N22" s="9"/>
      <c r="O22" s="42" t="s">
        <v>71</v>
      </c>
    </row>
    <row r="23" spans="1:15" ht="14.1" customHeight="1">
      <c r="A23" s="6" t="str">
        <f>Navigation!$A25</f>
        <v>COMPUTERIZED OFFICE PROCEDURES CERTIFICATE</v>
      </c>
      <c r="B23" s="255" t="str">
        <f ca="1">RIGHT(INDIRECT("'"&amp;(VLOOKUP('CSL Inst Appx'!$A23,Reference!$A:$B,2))&amp;"'!G4"),4)</f>
        <v>1411</v>
      </c>
      <c r="C23" s="256" t="str">
        <f ca="1">INDIRECT("'"&amp;(VLOOKUP('CSL Inst Appx'!$A23,Reference!$A:$B,2))&amp;"'!D3")</f>
        <v>ZDZ8</v>
      </c>
      <c r="D23" s="49">
        <f ca="1">VLOOKUP($A23,Summary!$A$5:$M$54,11)</f>
        <v>29</v>
      </c>
      <c r="E23" s="36" t="s">
        <v>76</v>
      </c>
      <c r="F23" s="36" t="s">
        <v>76</v>
      </c>
      <c r="G23" s="8" t="s">
        <v>68</v>
      </c>
      <c r="H23" s="9" t="s">
        <v>69</v>
      </c>
      <c r="I23" s="37">
        <f ca="1">INDIRECT("'"&amp;(VLOOKUP('CSL Inst Appx'!$A23,Reference!$A:$B,2))&amp;"'!H41")</f>
        <v>7132</v>
      </c>
      <c r="J23" s="37">
        <v>7132</v>
      </c>
      <c r="K23" s="56">
        <f t="shared" ca="1" si="0"/>
        <v>0</v>
      </c>
      <c r="L23" s="9" t="s">
        <v>69</v>
      </c>
      <c r="M23" s="9"/>
      <c r="N23" s="9"/>
      <c r="O23" s="42" t="s">
        <v>71</v>
      </c>
    </row>
    <row r="24" spans="1:15" ht="14.1" customHeight="1">
      <c r="A24" s="6" t="str">
        <f>Navigation!$A26</f>
        <v>CONFERENCE AND EVENT PLANNER DIPLOMA</v>
      </c>
      <c r="B24" s="255" t="str">
        <f ca="1">RIGHT(INDIRECT("'"&amp;(VLOOKUP('CSL Inst Appx'!$A24,Reference!$A:$B,2))&amp;"'!G4"),4)</f>
        <v>1226</v>
      </c>
      <c r="C24" s="256" t="str">
        <f ca="1">INDIRECT("'"&amp;(VLOOKUP('CSL Inst Appx'!$A24,Reference!$A:$B,2))&amp;"'!D3")</f>
        <v>ZMN7</v>
      </c>
      <c r="D24" s="49">
        <f ca="1">VLOOKUP($A24,Summary!$A$5:$M$54,11)</f>
        <v>51</v>
      </c>
      <c r="E24" s="36" t="s">
        <v>76</v>
      </c>
      <c r="F24" s="36" t="s">
        <v>76</v>
      </c>
      <c r="G24" s="8" t="s">
        <v>68</v>
      </c>
      <c r="H24" s="9" t="s">
        <v>69</v>
      </c>
      <c r="I24" s="37">
        <f ca="1">INDIRECT("'"&amp;(VLOOKUP('CSL Inst Appx'!$A24,Reference!$A:$B,2))&amp;"'!H41")</f>
        <v>14474</v>
      </c>
      <c r="J24" s="37">
        <v>14474</v>
      </c>
      <c r="K24" s="56">
        <f t="shared" ca="1" si="0"/>
        <v>0</v>
      </c>
      <c r="L24" s="9" t="s">
        <v>69</v>
      </c>
      <c r="M24" s="9"/>
      <c r="N24" s="9"/>
      <c r="O24" s="42" t="s">
        <v>71</v>
      </c>
    </row>
    <row r="25" spans="1:15" ht="14.1" customHeight="1">
      <c r="A25" s="6" t="str">
        <f>Navigation!$A27</f>
        <v>CUSTOMER SERVICE REPRESENTATIVE CERTIFICATE</v>
      </c>
      <c r="B25" s="255" t="str">
        <f ca="1">RIGHT(INDIRECT("'"&amp;(VLOOKUP('CSL Inst Appx'!$A25,Reference!$A:$B,2))&amp;"'!G4"),4)</f>
        <v>6552</v>
      </c>
      <c r="C25" s="256" t="str">
        <f ca="1">INDIRECT("'"&amp;(VLOOKUP('CSL Inst Appx'!$A25,Reference!$A:$B,2))&amp;"'!D3")</f>
        <v>ZMQ8</v>
      </c>
      <c r="D25" s="49">
        <f ca="1">VLOOKUP($A25,Summary!$A$5:$M$54,11)</f>
        <v>23</v>
      </c>
      <c r="E25" s="36" t="s">
        <v>76</v>
      </c>
      <c r="F25" s="36" t="s">
        <v>76</v>
      </c>
      <c r="G25" s="8" t="s">
        <v>73</v>
      </c>
      <c r="H25" s="9" t="s">
        <v>69</v>
      </c>
      <c r="I25" s="37">
        <f ca="1">INDIRECT("'"&amp;(VLOOKUP('CSL Inst Appx'!$A25,Reference!$A:$B,2))&amp;"'!H41")</f>
        <v>6271</v>
      </c>
      <c r="J25" s="37">
        <v>6271</v>
      </c>
      <c r="K25" s="56">
        <f t="shared" ca="1" si="0"/>
        <v>0</v>
      </c>
      <c r="L25" s="9" t="s">
        <v>69</v>
      </c>
      <c r="M25" s="9"/>
      <c r="N25" s="9"/>
      <c r="O25" s="42" t="s">
        <v>71</v>
      </c>
    </row>
    <row r="26" spans="1:15" ht="13.5" customHeight="1">
      <c r="A26" s="6" t="str">
        <f>Navigation!$A28</f>
        <v>ENGLISH AS SECOND LANGUAGE</v>
      </c>
      <c r="B26" s="255" t="str">
        <f ca="1">RIGHT(INDIRECT("'"&amp;(VLOOKUP('CSL Inst Appx'!$A26,Reference!$A:$B,2))&amp;"'!G4"),4)</f>
        <v>5199</v>
      </c>
      <c r="C26" s="256" t="str">
        <f ca="1">INDIRECT("'"&amp;(VLOOKUP('CSL Inst Appx'!$A26,Reference!$A:$B,2))&amp;"'!D3")</f>
        <v>Non-CSL</v>
      </c>
      <c r="D26" s="49">
        <f ca="1">VLOOKUP($A26,Summary!$A$5:$M$54,11)</f>
        <v>16</v>
      </c>
      <c r="E26" s="36" t="s">
        <v>76</v>
      </c>
      <c r="F26" s="36" t="s">
        <v>76</v>
      </c>
      <c r="G26" s="8" t="s">
        <v>73</v>
      </c>
      <c r="H26" s="9" t="s">
        <v>69</v>
      </c>
      <c r="I26" s="37">
        <f ca="1">INDIRECT("'"&amp;(VLOOKUP('CSL Inst Appx'!$A26,Reference!$A:$B,2))&amp;"'!H41")</f>
        <v>3390</v>
      </c>
      <c r="J26" s="37">
        <v>3390</v>
      </c>
      <c r="K26" s="56">
        <f t="shared" ca="1" si="0"/>
        <v>0</v>
      </c>
      <c r="L26" s="9" t="s">
        <v>69</v>
      </c>
      <c r="M26" s="9"/>
      <c r="N26" s="9"/>
      <c r="O26" s="42" t="s">
        <v>71</v>
      </c>
    </row>
    <row r="27" spans="1:15" ht="13.5" customHeight="1">
      <c r="A27" s="6" t="str">
        <f>Navigation!$A29</f>
        <v>ENTREPRENEURIAL BUSINESS APPLICATIONS DIPLOMA</v>
      </c>
      <c r="B27" s="255" t="str">
        <f ca="1">RIGHT(INDIRECT("'"&amp;(VLOOKUP('CSL Inst Appx'!$A27,Reference!$A:$B,2))&amp;"'!G4"),4)</f>
        <v>1211</v>
      </c>
      <c r="C27" s="256" t="str">
        <f ca="1">INDIRECT("'"&amp;(VLOOKUP('CSL Inst Appx'!$A27,Reference!$A:$B,2))&amp;"'!D3")</f>
        <v>ZMX7</v>
      </c>
      <c r="D27" s="49">
        <f ca="1">VLOOKUP($A27,Summary!$A$5:$M$54,11)</f>
        <v>46</v>
      </c>
      <c r="E27" s="36" t="s">
        <v>76</v>
      </c>
      <c r="F27" s="36" t="s">
        <v>76</v>
      </c>
      <c r="G27" s="8" t="s">
        <v>73</v>
      </c>
      <c r="H27" s="9" t="s">
        <v>69</v>
      </c>
      <c r="I27" s="37">
        <f ca="1">INDIRECT("'"&amp;(VLOOKUP('CSL Inst Appx'!$A27,Reference!$A:$B,2))&amp;"'!H41")</f>
        <v>12541</v>
      </c>
      <c r="J27" s="37">
        <v>12541</v>
      </c>
      <c r="K27" s="56">
        <f t="shared" ca="1" si="0"/>
        <v>0</v>
      </c>
      <c r="L27" s="9" t="s">
        <v>69</v>
      </c>
      <c r="M27" s="9"/>
      <c r="N27" s="9"/>
      <c r="O27" s="42" t="s">
        <v>71</v>
      </c>
    </row>
    <row r="28" spans="1:15" ht="13.5" customHeight="1">
      <c r="A28" s="6" t="str">
        <f>Navigation!$A30</f>
        <v>EXECUTIVE ASSISTANT DIPLOMA</v>
      </c>
      <c r="B28" s="255" t="str">
        <f ca="1">RIGHT(INDIRECT("'"&amp;(VLOOKUP('CSL Inst Appx'!$A28,Reference!$A:$B,2))&amp;"'!G4"),4)</f>
        <v>1222</v>
      </c>
      <c r="C28" s="256" t="str">
        <f ca="1">INDIRECT("'"&amp;(VLOOKUP('CSL Inst Appx'!$A28,Reference!$A:$B,2))&amp;"'!D3")</f>
        <v>ZLG7</v>
      </c>
      <c r="D28" s="49">
        <f ca="1">VLOOKUP($A28,Summary!$A$5:$M$54,11)</f>
        <v>53</v>
      </c>
      <c r="E28" s="36" t="s">
        <v>76</v>
      </c>
      <c r="F28" s="36" t="s">
        <v>76</v>
      </c>
      <c r="G28" s="8" t="s">
        <v>73</v>
      </c>
      <c r="H28" s="9" t="s">
        <v>69</v>
      </c>
      <c r="I28" s="37">
        <f ca="1">INDIRECT("'"&amp;(VLOOKUP('CSL Inst Appx'!$A28,Reference!$A:$B,2))&amp;"'!H41")</f>
        <v>14334</v>
      </c>
      <c r="J28" s="37">
        <v>14334</v>
      </c>
      <c r="K28" s="56">
        <f t="shared" ca="1" si="0"/>
        <v>0</v>
      </c>
      <c r="L28" s="9" t="s">
        <v>69</v>
      </c>
      <c r="M28" s="9"/>
      <c r="N28" s="9"/>
      <c r="O28" s="42" t="s">
        <v>71</v>
      </c>
    </row>
    <row r="29" spans="1:15" ht="13.5" customHeight="1">
      <c r="A29" s="6" t="str">
        <f>Navigation!$A31</f>
        <v>GRAPHIC DESIGNER DIPLOMA</v>
      </c>
      <c r="B29" s="255" t="str">
        <f ca="1">RIGHT(INDIRECT("'"&amp;(VLOOKUP('CSL Inst Appx'!$A29,Reference!$A:$B,2))&amp;"'!G4"),4)</f>
        <v>5241</v>
      </c>
      <c r="C29" s="256" t="str">
        <f ca="1">INDIRECT("'"&amp;(VLOOKUP('CSL Inst Appx'!$A29,Reference!$A:$B,2))&amp;"'!D3")</f>
        <v>XBG7</v>
      </c>
      <c r="D29" s="49">
        <f ca="1">VLOOKUP($A29,Summary!$A$5:$M$54,11)</f>
        <v>55</v>
      </c>
      <c r="E29" s="36" t="s">
        <v>76</v>
      </c>
      <c r="F29" s="36" t="s">
        <v>76</v>
      </c>
      <c r="G29" s="8" t="s">
        <v>73</v>
      </c>
      <c r="H29" s="9" t="s">
        <v>69</v>
      </c>
      <c r="I29" s="37">
        <f ca="1">INDIRECT("'"&amp;(VLOOKUP('CSL Inst Appx'!$A29,Reference!$A:$B,2))&amp;"'!H41")</f>
        <v>16396</v>
      </c>
      <c r="J29" s="37">
        <v>16396</v>
      </c>
      <c r="K29" s="56">
        <f t="shared" ca="1" si="0"/>
        <v>0</v>
      </c>
      <c r="L29" s="9" t="s">
        <v>69</v>
      </c>
      <c r="M29" s="9"/>
      <c r="N29" s="9"/>
      <c r="O29" s="42" t="s">
        <v>71</v>
      </c>
    </row>
    <row r="30" spans="1:15" ht="14.1" customHeight="1">
      <c r="A30" s="6" t="str">
        <f>Navigation!$A32</f>
        <v>HUMAN RESOURCES ADMINISTRATION CERTIFICATE</v>
      </c>
      <c r="B30" s="255" t="str">
        <f ca="1">RIGHT(INDIRECT("'"&amp;(VLOOKUP('CSL Inst Appx'!$A30,Reference!$A:$B,2))&amp;"'!G4"),4)</f>
        <v>1223</v>
      </c>
      <c r="C30" s="256" t="str">
        <f ca="1">INDIRECT("'"&amp;(VLOOKUP('CSL Inst Appx'!$A30,Reference!$A:$B,2))&amp;"'!D3")</f>
        <v>ZPE8</v>
      </c>
      <c r="D30" s="49">
        <f ca="1">VLOOKUP($A30,Summary!$A$5:$M$54,11)</f>
        <v>32</v>
      </c>
      <c r="E30" s="36" t="s">
        <v>76</v>
      </c>
      <c r="F30" s="36" t="s">
        <v>76</v>
      </c>
      <c r="G30" s="8" t="s">
        <v>73</v>
      </c>
      <c r="H30" s="9" t="s">
        <v>69</v>
      </c>
      <c r="I30" s="37">
        <f ca="1">INDIRECT("'"&amp;(VLOOKUP('CSL Inst Appx'!$A30,Reference!$A:$B,2))&amp;"'!H41")</f>
        <v>8468</v>
      </c>
      <c r="J30" s="37">
        <v>8468</v>
      </c>
      <c r="K30" s="56">
        <f t="shared" ca="1" si="0"/>
        <v>0</v>
      </c>
      <c r="L30" s="9" t="s">
        <v>69</v>
      </c>
      <c r="M30" s="9"/>
      <c r="N30" s="9"/>
      <c r="O30" s="42" t="s">
        <v>71</v>
      </c>
    </row>
    <row r="31" spans="1:15" ht="14.1" customHeight="1">
      <c r="A31" s="6" t="str">
        <f>Navigation!$A33</f>
        <v>MARKETING ADMINISTRATIVE ASSISTANT CERTIFICATE</v>
      </c>
      <c r="B31" s="255" t="str">
        <f ca="1">RIGHT(INDIRECT("'"&amp;(VLOOKUP('CSL Inst Appx'!$A31,Reference!$A:$B,2))&amp;"'!G4"),4)</f>
        <v>1411</v>
      </c>
      <c r="C31" s="256" t="str">
        <f ca="1">INDIRECT("'"&amp;(VLOOKUP('CSL Inst Appx'!$A31,Reference!$A:$B,2))&amp;"'!D3")</f>
        <v>ZCZ8</v>
      </c>
      <c r="D31" s="49">
        <f ca="1">VLOOKUP($A31,Summary!$A$5:$M$54,11)</f>
        <v>38</v>
      </c>
      <c r="E31" s="36" t="s">
        <v>76</v>
      </c>
      <c r="F31" s="36" t="s">
        <v>76</v>
      </c>
      <c r="G31" s="8" t="s">
        <v>73</v>
      </c>
      <c r="H31" s="9" t="s">
        <v>69</v>
      </c>
      <c r="I31" s="37">
        <f ca="1">INDIRECT("'"&amp;(VLOOKUP('CSL Inst Appx'!$A31,Reference!$A:$B,2))&amp;"'!H41")</f>
        <v>10655</v>
      </c>
      <c r="J31" s="37">
        <v>10655</v>
      </c>
      <c r="K31" s="56">
        <f t="shared" ref="K31:K44" ca="1" si="1">ROUNDUP((I31-J31)/J31,4)</f>
        <v>0</v>
      </c>
      <c r="L31" s="9" t="s">
        <v>69</v>
      </c>
      <c r="M31" s="9"/>
      <c r="N31" s="9"/>
      <c r="O31" s="42" t="s">
        <v>71</v>
      </c>
    </row>
    <row r="32" spans="1:15" ht="14.1" customHeight="1">
      <c r="A32" s="6" t="str">
        <f>Navigation!$A34</f>
        <v>MARKETING COORDINATOR DIPLOMA</v>
      </c>
      <c r="B32" s="255" t="str">
        <f ca="1">RIGHT(INDIRECT("'"&amp;(VLOOKUP('CSL Inst Appx'!$A32,Reference!$A:$B,2))&amp;"'!G4"),4)</f>
        <v>1123</v>
      </c>
      <c r="C32" s="256" t="str">
        <f ca="1">INDIRECT("'"&amp;(VLOOKUP('CSL Inst Appx'!$A32,Reference!$A:$B,2))&amp;"'!D3")</f>
        <v>ZDE7</v>
      </c>
      <c r="D32" s="49">
        <f ca="1">VLOOKUP($A32,Summary!$A$5:$M$54,11)</f>
        <v>48</v>
      </c>
      <c r="E32" s="36" t="s">
        <v>76</v>
      </c>
      <c r="F32" s="36" t="s">
        <v>76</v>
      </c>
      <c r="G32" s="8" t="s">
        <v>73</v>
      </c>
      <c r="H32" s="9" t="s">
        <v>69</v>
      </c>
      <c r="I32" s="37">
        <f ca="1">INDIRECT("'"&amp;(VLOOKUP('CSL Inst Appx'!$A32,Reference!$A:$B,2))&amp;"'!H41")</f>
        <v>14242</v>
      </c>
      <c r="J32" s="37">
        <v>14242</v>
      </c>
      <c r="K32" s="56">
        <f t="shared" ca="1" si="1"/>
        <v>0</v>
      </c>
      <c r="L32" s="9" t="s">
        <v>69</v>
      </c>
      <c r="M32" s="9"/>
      <c r="N32" s="9"/>
      <c r="O32" s="42" t="s">
        <v>71</v>
      </c>
    </row>
    <row r="33" spans="1:15" ht="14.1" customHeight="1">
      <c r="A33" s="6" t="str">
        <f>Navigation!$A35</f>
        <v>MEDICAL ADMINISTRATIVE ASSISTANT CERTIFICATE</v>
      </c>
      <c r="B33" s="255" t="str">
        <f ca="1">RIGHT(INDIRECT("'"&amp;(VLOOKUP('CSL Inst Appx'!$A33,Reference!$A:$B,2))&amp;"'!G4"),4)</f>
        <v>1243</v>
      </c>
      <c r="C33" s="256" t="str">
        <f ca="1">INDIRECT("'"&amp;(VLOOKUP('CSL Inst Appx'!$A33,Reference!$A:$B,2))&amp;"'!D3")</f>
        <v>TES8</v>
      </c>
      <c r="D33" s="49">
        <f ca="1">VLOOKUP($A33,Summary!$A$5:$M$54,11)</f>
        <v>44</v>
      </c>
      <c r="E33" s="36" t="s">
        <v>76</v>
      </c>
      <c r="F33" s="36" t="s">
        <v>76</v>
      </c>
      <c r="G33" s="8" t="s">
        <v>73</v>
      </c>
      <c r="H33" s="9" t="s">
        <v>69</v>
      </c>
      <c r="I33" s="37">
        <f ca="1">INDIRECT("'"&amp;(VLOOKUP('CSL Inst Appx'!$A33,Reference!$A:$B,2))&amp;"'!H41")</f>
        <v>10875</v>
      </c>
      <c r="J33" s="37">
        <v>10875</v>
      </c>
      <c r="K33" s="56">
        <f t="shared" ca="1" si="1"/>
        <v>0</v>
      </c>
      <c r="L33" s="9" t="s">
        <v>69</v>
      </c>
      <c r="M33" s="9"/>
      <c r="N33" s="9"/>
      <c r="O33" s="42" t="s">
        <v>71</v>
      </c>
    </row>
    <row r="34" spans="1:15" ht="14.1" customHeight="1">
      <c r="A34" s="6" t="str">
        <f>Navigation!$A36</f>
        <v>MEDICAL OFFICE ASSISTANT DIPLOMA</v>
      </c>
      <c r="B34" s="255" t="str">
        <f ca="1">RIGHT(INDIRECT("'"&amp;(VLOOKUP('CSL Inst Appx'!$A34,Reference!$A:$B,2))&amp;"'!G4"),4)</f>
        <v>1243</v>
      </c>
      <c r="C34" s="256" t="str">
        <f ca="1">INDIRECT("'"&amp;(VLOOKUP('CSL Inst Appx'!$A34,Reference!$A:$B,2))&amp;"'!D3")</f>
        <v>TFZ7</v>
      </c>
      <c r="D34" s="49">
        <f ca="1">VLOOKUP($A34,Summary!$A$5:$M$54,11)</f>
        <v>51</v>
      </c>
      <c r="E34" s="36" t="s">
        <v>76</v>
      </c>
      <c r="F34" s="36" t="s">
        <v>744</v>
      </c>
      <c r="G34" s="8" t="s">
        <v>73</v>
      </c>
      <c r="H34" s="9" t="s">
        <v>69</v>
      </c>
      <c r="I34" s="37">
        <f ca="1">INDIRECT("'"&amp;(VLOOKUP('CSL Inst Appx'!$A34,Reference!$A:$B,2))&amp;"'!H41")</f>
        <v>14133</v>
      </c>
      <c r="J34" s="37">
        <v>14133</v>
      </c>
      <c r="K34" s="56">
        <f t="shared" ca="1" si="1"/>
        <v>0</v>
      </c>
      <c r="L34" s="9" t="s">
        <v>69</v>
      </c>
      <c r="M34" s="9"/>
      <c r="N34" s="9"/>
      <c r="O34" s="42" t="s">
        <v>71</v>
      </c>
    </row>
    <row r="35" spans="1:15" ht="14.1" customHeight="1">
      <c r="A35" s="6" t="str">
        <f>Navigation!$A37</f>
        <v>MEDICAL OFFICE ASSISTANT DIPLOMA W/ UNIT CLERK</v>
      </c>
      <c r="B35" s="255" t="str">
        <f ca="1">RIGHT(INDIRECT("'"&amp;(VLOOKUP('CSL Inst Appx'!$A35,Reference!$A:$B,2))&amp;"'!G4"),4)</f>
        <v>1243</v>
      </c>
      <c r="C35" s="256" t="str">
        <f ca="1">INDIRECT("'"&amp;(VLOOKUP('CSL Inst Appx'!$A35,Reference!$A:$B,2))&amp;"'!D3")</f>
        <v>TGE7</v>
      </c>
      <c r="D35" s="49">
        <f ca="1">VLOOKUP($A35,Summary!$A$5:$M$54,11)</f>
        <v>66</v>
      </c>
      <c r="E35" s="36" t="s">
        <v>76</v>
      </c>
      <c r="F35" s="36" t="s">
        <v>744</v>
      </c>
      <c r="G35" s="8" t="s">
        <v>73</v>
      </c>
      <c r="H35" s="9" t="s">
        <v>69</v>
      </c>
      <c r="I35" s="37">
        <f ca="1">INDIRECT("'"&amp;(VLOOKUP('CSL Inst Appx'!$A35,Reference!$A:$B,2))&amp;"'!H41")</f>
        <v>16455</v>
      </c>
      <c r="J35" s="37">
        <v>16455</v>
      </c>
      <c r="K35" s="56">
        <f t="shared" ca="1" si="1"/>
        <v>0</v>
      </c>
      <c r="L35" s="9" t="s">
        <v>69</v>
      </c>
      <c r="M35" s="62"/>
      <c r="N35" s="62"/>
      <c r="O35" s="63" t="s">
        <v>71</v>
      </c>
    </row>
    <row r="36" spans="1:15" ht="14.1" customHeight="1">
      <c r="A36" s="6" t="str">
        <f>Navigation!$A38</f>
        <v>MEDICAL OFFICE FRONT DESK ASSISTANT CERTIFICATE</v>
      </c>
      <c r="B36" s="255" t="str">
        <f ca="1">RIGHT(INDIRECT("'"&amp;(VLOOKUP('CSL Inst Appx'!$A36,Reference!$A:$B,2))&amp;"'!G4"),4)</f>
        <v>1243</v>
      </c>
      <c r="C36" s="256" t="str">
        <f ca="1">INDIRECT("'"&amp;(VLOOKUP('CSL Inst Appx'!$A36,Reference!$A:$B,2))&amp;"'!D3")</f>
        <v>TER8</v>
      </c>
      <c r="D36" s="49">
        <f ca="1">VLOOKUP($A36,Summary!$A$5:$M$54,11)</f>
        <v>29</v>
      </c>
      <c r="E36" s="36" t="s">
        <v>76</v>
      </c>
      <c r="F36" s="36" t="s">
        <v>76</v>
      </c>
      <c r="G36" s="8" t="s">
        <v>73</v>
      </c>
      <c r="H36" s="9" t="s">
        <v>69</v>
      </c>
      <c r="I36" s="37">
        <f ca="1">INDIRECT("'"&amp;(VLOOKUP('CSL Inst Appx'!$A36,Reference!$A:$B,2))&amp;"'!H41")</f>
        <v>7048</v>
      </c>
      <c r="J36" s="37">
        <v>7048</v>
      </c>
      <c r="K36" s="56">
        <f t="shared" ca="1" si="1"/>
        <v>0</v>
      </c>
      <c r="L36" s="9" t="s">
        <v>69</v>
      </c>
      <c r="M36" s="62"/>
      <c r="N36" s="62"/>
      <c r="O36" s="63" t="s">
        <v>71</v>
      </c>
    </row>
    <row r="37" spans="1:15" ht="14.1" customHeight="1">
      <c r="A37" s="6" t="str">
        <f>Navigation!$A39</f>
        <v>MICROSOFT CERTIFIED SOLUTIONS ASSOCIATE: SERVER CERT.</v>
      </c>
      <c r="B37" s="255" t="str">
        <f ca="1">RIGHT(INDIRECT("'"&amp;(VLOOKUP('CSL Inst Appx'!$A37,Reference!$A:$B,2))&amp;"'!G4"),4)</f>
        <v>2281</v>
      </c>
      <c r="C37" s="256" t="str">
        <f ca="1">INDIRECT("'"&amp;(VLOOKUP('CSL Inst Appx'!$A37,Reference!$A:$B,2))&amp;"'!D3")</f>
        <v>UJA8</v>
      </c>
      <c r="D37" s="49">
        <f ca="1">VLOOKUP($A37,Summary!$A$5:$M$54,11)</f>
        <v>21</v>
      </c>
      <c r="E37" s="36" t="s">
        <v>76</v>
      </c>
      <c r="F37" s="36" t="s">
        <v>76</v>
      </c>
      <c r="G37" s="8" t="s">
        <v>73</v>
      </c>
      <c r="H37" s="9" t="s">
        <v>69</v>
      </c>
      <c r="I37" s="37">
        <f ca="1">INDIRECT("'"&amp;(VLOOKUP('CSL Inst Appx'!$A37,Reference!$A:$B,2))&amp;"'!H41")</f>
        <v>5624</v>
      </c>
      <c r="J37" s="37">
        <v>5624</v>
      </c>
      <c r="K37" s="56">
        <f t="shared" ca="1" si="1"/>
        <v>0</v>
      </c>
      <c r="L37" s="9" t="s">
        <v>69</v>
      </c>
      <c r="M37" s="62"/>
      <c r="N37" s="62"/>
      <c r="O37" s="63" t="s">
        <v>71</v>
      </c>
    </row>
    <row r="38" spans="1:15" ht="14.1" customHeight="1">
      <c r="A38" s="6" t="str">
        <f>Navigation!$A40</f>
        <v>MICROSOFT CERTIFIED SOLUTIONS ASSOCIATE: WINDOWS</v>
      </c>
      <c r="B38" s="255" t="str">
        <f ca="1">RIGHT(INDIRECT("'"&amp;(VLOOKUP('CSL Inst Appx'!$A38,Reference!$A:$B,2))&amp;"'!G4"),4)</f>
        <v>2281</v>
      </c>
      <c r="C38" s="256" t="str">
        <f ca="1">INDIRECT("'"&amp;(VLOOKUP('CSL Inst Appx'!$A38,Reference!$A:$B,2))&amp;"'!D3")</f>
        <v>UJA8</v>
      </c>
      <c r="D38" s="49">
        <f ca="1">VLOOKUP($A38,Summary!$A$5:$M$54,11)</f>
        <v>21</v>
      </c>
      <c r="E38" s="36" t="s">
        <v>76</v>
      </c>
      <c r="F38" s="36" t="s">
        <v>76</v>
      </c>
      <c r="G38" s="8" t="s">
        <v>73</v>
      </c>
      <c r="H38" s="9" t="s">
        <v>69</v>
      </c>
      <c r="I38" s="37">
        <f ca="1">INDIRECT("'"&amp;(VLOOKUP('CSL Inst Appx'!$A38,Reference!$A:$B,2))&amp;"'!H41")</f>
        <v>5624</v>
      </c>
      <c r="J38" s="37">
        <v>5624</v>
      </c>
      <c r="K38" s="56">
        <f t="shared" ca="1" si="1"/>
        <v>0</v>
      </c>
      <c r="L38" s="9" t="s">
        <v>69</v>
      </c>
      <c r="M38" s="62"/>
      <c r="N38" s="62"/>
      <c r="O38" s="63" t="s">
        <v>71</v>
      </c>
    </row>
    <row r="39" spans="1:15" ht="14.1" customHeight="1">
      <c r="A39" s="6" t="str">
        <f>Navigation!$A41</f>
        <v>NETWORK ADMINISTRATOR DIPLOMA (SERVER 2016)</v>
      </c>
      <c r="B39" s="255" t="str">
        <f ca="1">RIGHT(INDIRECT("'"&amp;(VLOOKUP('CSL Inst Appx'!$A39,Reference!$A:$B,2))&amp;"'!G4"),4)</f>
        <v>2281</v>
      </c>
      <c r="C39" s="256" t="str">
        <f ca="1">INDIRECT("'"&amp;(VLOOKUP('CSL Inst Appx'!$A39,Reference!$A:$B,2))&amp;"'!D3")</f>
        <v>UGS7</v>
      </c>
      <c r="D39" s="49">
        <f ca="1">VLOOKUP($A39,Summary!$A$5:$M$54,11)</f>
        <v>88</v>
      </c>
      <c r="E39" s="36" t="s">
        <v>76</v>
      </c>
      <c r="F39" s="36" t="s">
        <v>76</v>
      </c>
      <c r="G39" s="8" t="s">
        <v>73</v>
      </c>
      <c r="H39" s="9" t="s">
        <v>69</v>
      </c>
      <c r="I39" s="37">
        <f ca="1">INDIRECT("'"&amp;(VLOOKUP('CSL Inst Appx'!$A39,Reference!$A:$B,2))&amp;"'!H41")</f>
        <v>20916</v>
      </c>
      <c r="J39" s="37">
        <v>20916</v>
      </c>
      <c r="K39" s="56">
        <f t="shared" ca="1" si="1"/>
        <v>0</v>
      </c>
      <c r="L39" s="9" t="s">
        <v>69</v>
      </c>
      <c r="M39" s="62"/>
      <c r="N39" s="62"/>
      <c r="O39" s="63" t="s">
        <v>71</v>
      </c>
    </row>
    <row r="40" spans="1:15" ht="14.1" customHeight="1">
      <c r="A40" s="6" t="str">
        <f>Navigation!$A42</f>
        <v>OFFICE ADMINISTRATION ASSISTANT CERTIFICATE</v>
      </c>
      <c r="B40" s="255" t="str">
        <f ca="1">RIGHT(INDIRECT("'"&amp;(VLOOKUP('CSL Inst Appx'!$A40,Reference!$A:$B,2))&amp;"'!G4"),4)</f>
        <v>1211</v>
      </c>
      <c r="C40" s="256" t="str">
        <f ca="1">INDIRECT("'"&amp;(VLOOKUP('CSL Inst Appx'!$A40,Reference!$A:$B,2))&amp;"'!D3")</f>
        <v>ZEL8</v>
      </c>
      <c r="D40" s="49">
        <f ca="1">VLOOKUP($A40,Summary!$A$5:$M$54,11)</f>
        <v>24</v>
      </c>
      <c r="E40" s="36" t="s">
        <v>76</v>
      </c>
      <c r="F40" s="36" t="s">
        <v>76</v>
      </c>
      <c r="G40" s="8" t="s">
        <v>73</v>
      </c>
      <c r="H40" s="9" t="s">
        <v>69</v>
      </c>
      <c r="I40" s="37">
        <f ca="1">INDIRECT("'"&amp;(VLOOKUP('CSL Inst Appx'!$A40,Reference!$A:$B,2))&amp;"'!H41")</f>
        <v>6296</v>
      </c>
      <c r="J40" s="37">
        <v>6296</v>
      </c>
      <c r="K40" s="56">
        <f t="shared" ca="1" si="1"/>
        <v>0</v>
      </c>
      <c r="L40" s="9" t="s">
        <v>69</v>
      </c>
      <c r="M40" s="62"/>
      <c r="N40" s="62"/>
      <c r="O40" s="63" t="s">
        <v>71</v>
      </c>
    </row>
    <row r="41" spans="1:15" ht="14.1" customHeight="1">
      <c r="A41" s="6" t="str">
        <f>Navigation!$A43</f>
        <v>OFFICE ADMINISTRATION DIPLOMA</v>
      </c>
      <c r="B41" s="255" t="str">
        <f ca="1">RIGHT(INDIRECT("'"&amp;(VLOOKUP('CSL Inst Appx'!$A41,Reference!$A:$B,2))&amp;"'!G4"),4)</f>
        <v>1211</v>
      </c>
      <c r="C41" s="256" t="str">
        <f ca="1">INDIRECT("'"&amp;(VLOOKUP('CSL Inst Appx'!$A41,Reference!$A:$B,2))&amp;"'!D3")</f>
        <v>ZEY7</v>
      </c>
      <c r="D41" s="49">
        <f ca="1">VLOOKUP($A41,Summary!$A$5:$M$54,11)</f>
        <v>54</v>
      </c>
      <c r="E41" s="36" t="s">
        <v>76</v>
      </c>
      <c r="F41" s="36" t="s">
        <v>76</v>
      </c>
      <c r="G41" s="8"/>
      <c r="H41" s="9" t="s">
        <v>69</v>
      </c>
      <c r="I41" s="37">
        <f ca="1">INDIRECT("'"&amp;(VLOOKUP('CSL Inst Appx'!$A41,Reference!$A:$B,2))&amp;"'!H41")</f>
        <v>14251</v>
      </c>
      <c r="J41" s="37">
        <v>14251</v>
      </c>
      <c r="K41" s="56">
        <f t="shared" ca="1" si="1"/>
        <v>0</v>
      </c>
      <c r="L41" s="9" t="s">
        <v>69</v>
      </c>
      <c r="M41" s="62"/>
      <c r="N41" s="62"/>
      <c r="O41" s="63" t="s">
        <v>71</v>
      </c>
    </row>
    <row r="42" spans="1:15" ht="14.1" customHeight="1">
      <c r="A42" s="6" t="str">
        <f>Navigation!$A44</f>
        <v>OFFICE CLERK CERTIFICATE</v>
      </c>
      <c r="B42" s="255" t="str">
        <f ca="1">RIGHT(INDIRECT("'"&amp;(VLOOKUP('CSL Inst Appx'!$A42,Reference!$A:$B,2))&amp;"'!G4"),4)</f>
        <v>1411</v>
      </c>
      <c r="C42" s="256" t="str">
        <f ca="1">INDIRECT("'"&amp;(VLOOKUP('CSL Inst Appx'!$A42,Reference!$A:$B,2))&amp;"'!D3")</f>
        <v>ZFA8</v>
      </c>
      <c r="D42" s="255">
        <f ca="1">VLOOKUP($A42,Summary!$A$5:$M$54,11)</f>
        <v>22</v>
      </c>
      <c r="E42" s="36" t="s">
        <v>76</v>
      </c>
      <c r="F42" s="36" t="s">
        <v>72</v>
      </c>
      <c r="G42" s="8"/>
      <c r="H42" s="9" t="s">
        <v>69</v>
      </c>
      <c r="I42" s="37">
        <f ca="1">INDIRECT("'"&amp;(VLOOKUP('CSL Inst Appx'!$A42,Reference!$A:$B,2))&amp;"'!H41")</f>
        <v>5487</v>
      </c>
      <c r="J42" s="37">
        <v>5487</v>
      </c>
      <c r="K42" s="275">
        <f t="shared" ca="1" si="1"/>
        <v>0</v>
      </c>
      <c r="L42" s="9" t="s">
        <v>69</v>
      </c>
      <c r="M42" s="9"/>
      <c r="N42" s="9"/>
      <c r="O42" s="42" t="s">
        <v>71</v>
      </c>
    </row>
    <row r="43" spans="1:15" ht="14.1" customHeight="1">
      <c r="A43" s="6" t="str">
        <f>Navigation!$A45</f>
        <v>PAYROLL ADMINISTRATOR CERTIFICATE</v>
      </c>
      <c r="B43" s="255" t="str">
        <f ca="1">RIGHT(INDIRECT("'"&amp;(VLOOKUP('CSL Inst Appx'!$A43,Reference!$A:$B,2))&amp;"'!G4"),4)</f>
        <v>1432</v>
      </c>
      <c r="C43" s="256" t="str">
        <f ca="1">INDIRECT("'"&amp;(VLOOKUP('CSL Inst Appx'!$A43,Reference!$A:$B,2))&amp;"'!D3")</f>
        <v>ZNW8</v>
      </c>
      <c r="D43" s="255">
        <f ca="1">VLOOKUP($A43,Summary!$A$5:$M$54,11)</f>
        <v>38</v>
      </c>
      <c r="E43" s="36" t="s">
        <v>76</v>
      </c>
      <c r="F43" s="36" t="s">
        <v>76</v>
      </c>
      <c r="G43" s="8"/>
      <c r="H43" s="9" t="s">
        <v>69</v>
      </c>
      <c r="I43" s="37">
        <f ca="1">INDIRECT("'"&amp;(VLOOKUP('CSL Inst Appx'!$A43,Reference!$A:$B,2))&amp;"'!H41")</f>
        <v>10882</v>
      </c>
      <c r="J43" s="37">
        <v>10882</v>
      </c>
      <c r="K43" s="275">
        <f t="shared" ca="1" si="1"/>
        <v>0</v>
      </c>
      <c r="L43" s="9" t="s">
        <v>69</v>
      </c>
      <c r="M43" s="9"/>
      <c r="N43" s="9"/>
      <c r="O43" s="42" t="s">
        <v>71</v>
      </c>
    </row>
    <row r="44" spans="1:15" ht="14.1" customHeight="1">
      <c r="A44" s="6" t="str">
        <f>Navigation!$A46</f>
        <v>PAYROLL CLERK CERTIFICATE</v>
      </c>
      <c r="B44" s="255" t="str">
        <f ca="1">RIGHT(INDIRECT("'"&amp;(VLOOKUP('CSL Inst Appx'!$A44,Reference!$A:$B,2))&amp;"'!G4"),4)</f>
        <v>1432</v>
      </c>
      <c r="C44" s="256" t="str">
        <f ca="1">INDIRECT("'"&amp;(VLOOKUP('CSL Inst Appx'!$A44,Reference!$A:$B,2))&amp;"'!D3")</f>
        <v>ZPF8</v>
      </c>
      <c r="D44" s="255">
        <f ca="1">VLOOKUP($A44,Summary!$A$5:$M$54,11)</f>
        <v>27</v>
      </c>
      <c r="E44" s="36" t="s">
        <v>76</v>
      </c>
      <c r="F44" s="36" t="s">
        <v>76</v>
      </c>
      <c r="G44" s="8"/>
      <c r="H44" s="9" t="s">
        <v>69</v>
      </c>
      <c r="I44" s="37">
        <f ca="1">INDIRECT("'"&amp;(VLOOKUP('CSL Inst Appx'!$A44,Reference!$A:$B,2))&amp;"'!H41")</f>
        <v>7656</v>
      </c>
      <c r="J44" s="37">
        <v>7656</v>
      </c>
      <c r="K44" s="275">
        <f t="shared" ca="1" si="1"/>
        <v>0</v>
      </c>
      <c r="L44" s="9" t="s">
        <v>69</v>
      </c>
      <c r="M44" s="9"/>
      <c r="N44" s="9"/>
      <c r="O44" s="42" t="s">
        <v>71</v>
      </c>
    </row>
    <row r="45" spans="1:15" ht="14.1" customHeight="1">
      <c r="A45" s="6" t="str">
        <f>Navigation!$A47</f>
        <v>PC SUPPORT SPECIALIST DIPLOMA</v>
      </c>
      <c r="B45" s="255" t="str">
        <f ca="1">RIGHT(INDIRECT("'"&amp;(VLOOKUP('CSL Inst Appx'!$A45,Reference!$A:$B,2))&amp;"'!G4"),4)</f>
        <v>2282</v>
      </c>
      <c r="C45" s="256" t="str">
        <f ca="1">INDIRECT("'"&amp;(VLOOKUP('CSL Inst Appx'!$A45,Reference!$A:$B,2))&amp;"'!D3")</f>
        <v>UES7</v>
      </c>
      <c r="D45" s="255">
        <f ca="1">VLOOKUP($A45,Summary!$A$5:$M$54,11)</f>
        <v>59</v>
      </c>
      <c r="E45" s="36" t="s">
        <v>76</v>
      </c>
      <c r="F45" s="36" t="s">
        <v>76</v>
      </c>
      <c r="G45" s="8"/>
      <c r="H45" s="9" t="s">
        <v>69</v>
      </c>
      <c r="I45" s="37">
        <f ca="1">INDIRECT("'"&amp;(VLOOKUP('CSL Inst Appx'!$A45,Reference!$A:$B,2))&amp;"'!H41")</f>
        <v>13604</v>
      </c>
      <c r="J45" s="37">
        <v>13604</v>
      </c>
      <c r="K45" s="275">
        <f t="shared" ref="K45:K52" ca="1" si="2">ROUNDUP((I45-J45)/J45,4)</f>
        <v>0</v>
      </c>
      <c r="L45" s="9" t="s">
        <v>69</v>
      </c>
      <c r="M45" s="9"/>
      <c r="N45" s="9"/>
      <c r="O45" s="42" t="s">
        <v>738</v>
      </c>
    </row>
    <row r="46" spans="1:15" ht="14.1" customHeight="1">
      <c r="A46" s="6" t="str">
        <f>Navigation!$A48</f>
        <v>PROJECT ADMINISTRATION DIPLOMA</v>
      </c>
      <c r="B46" s="255" t="str">
        <f ca="1">RIGHT(INDIRECT("'"&amp;(VLOOKUP('CSL Inst Appx'!$A46,Reference!$A:$B,2))&amp;"'!G4"),4)</f>
        <v>1221</v>
      </c>
      <c r="C46" s="256" t="str">
        <f ca="1">INDIRECT("'"&amp;(VLOOKUP('CSL Inst Appx'!$A46,Reference!$A:$B,2))&amp;"'!D3")</f>
        <v>ZOM7</v>
      </c>
      <c r="D46" s="255">
        <f ca="1">VLOOKUP($A46,Summary!$A$5:$M$54,11)</f>
        <v>51</v>
      </c>
      <c r="E46" s="36" t="s">
        <v>76</v>
      </c>
      <c r="F46" s="36" t="s">
        <v>76</v>
      </c>
      <c r="G46" s="8"/>
      <c r="H46" s="9" t="s">
        <v>69</v>
      </c>
      <c r="I46" s="37">
        <f ca="1">INDIRECT("'"&amp;(VLOOKUP('CSL Inst Appx'!$A46,Reference!$A:$B,2))&amp;"'!H41")</f>
        <v>14175</v>
      </c>
      <c r="J46" s="37">
        <v>14175</v>
      </c>
      <c r="K46" s="275">
        <f t="shared" ca="1" si="2"/>
        <v>0</v>
      </c>
      <c r="L46" s="9" t="s">
        <v>69</v>
      </c>
      <c r="M46" s="9"/>
      <c r="N46" s="9"/>
      <c r="O46" s="42" t="s">
        <v>739</v>
      </c>
    </row>
    <row r="47" spans="1:15" ht="14.1" customHeight="1">
      <c r="A47" s="6" t="str">
        <f>Navigation!$A49</f>
        <v>PSA - COMPUTERIZED OFFICE SKILLS CERTIFICATE</v>
      </c>
      <c r="B47" s="255" t="str">
        <f ca="1">RIGHT(INDIRECT("'"&amp;(VLOOKUP('CSL Inst Appx'!$A47,Reference!$A:$B,2))&amp;"'!G4"),4)</f>
        <v/>
      </c>
      <c r="C47" s="256" t="str">
        <f ca="1">INDIRECT("'"&amp;(VLOOKUP('CSL Inst Appx'!$A47,Reference!$A:$B,2))&amp;"'!D3")</f>
        <v>GOVT.</v>
      </c>
      <c r="D47" s="255">
        <f ca="1">VLOOKUP($A47,Summary!$A$5:$M$54,11)</f>
        <v>12</v>
      </c>
      <c r="E47" s="36" t="s">
        <v>76</v>
      </c>
      <c r="F47" s="36" t="s">
        <v>76</v>
      </c>
      <c r="G47" s="8"/>
      <c r="H47" s="9" t="s">
        <v>69</v>
      </c>
      <c r="I47" s="37">
        <f ca="1">INDIRECT("'"&amp;(VLOOKUP('CSL Inst Appx'!$A47,Reference!$A:$B,2))&amp;"'!H41")</f>
        <v>3471</v>
      </c>
      <c r="J47" s="37">
        <v>3471</v>
      </c>
      <c r="K47" s="275">
        <f t="shared" ca="1" si="2"/>
        <v>0</v>
      </c>
      <c r="L47" s="9" t="s">
        <v>69</v>
      </c>
      <c r="M47" s="9"/>
      <c r="N47" s="9"/>
      <c r="O47" s="42" t="s">
        <v>740</v>
      </c>
    </row>
    <row r="48" spans="1:15" ht="14.1" customHeight="1">
      <c r="A48" s="6" t="str">
        <f>Navigation!$A50</f>
        <v>SALES ASSOCIATE CERTIFICATE</v>
      </c>
      <c r="B48" s="255" t="str">
        <f ca="1">RIGHT(INDIRECT("'"&amp;(VLOOKUP('CSL Inst Appx'!$A48,Reference!$A:$B,2))&amp;"'!G4"),4)</f>
        <v>6411</v>
      </c>
      <c r="C48" s="256" t="str">
        <f ca="1">INDIRECT("'"&amp;(VLOOKUP('CSL Inst Appx'!$A48,Reference!$A:$B,2))&amp;"'!D3")</f>
        <v>ZPG8</v>
      </c>
      <c r="D48" s="255">
        <f ca="1">VLOOKUP($A48,Summary!$A$5:$M$54,11)</f>
        <v>21</v>
      </c>
      <c r="E48" s="36" t="s">
        <v>76</v>
      </c>
      <c r="F48" s="36" t="s">
        <v>76</v>
      </c>
      <c r="G48" s="8"/>
      <c r="H48" s="9" t="s">
        <v>69</v>
      </c>
      <c r="I48" s="37">
        <f ca="1">INDIRECT("'"&amp;(VLOOKUP('CSL Inst Appx'!$A48,Reference!$A:$B,2))&amp;"'!H41")</f>
        <v>5651</v>
      </c>
      <c r="J48" s="37">
        <v>5651</v>
      </c>
      <c r="K48" s="275">
        <f t="shared" ca="1" si="2"/>
        <v>0</v>
      </c>
      <c r="L48" s="9" t="s">
        <v>69</v>
      </c>
      <c r="M48" s="9"/>
      <c r="N48" s="9"/>
      <c r="O48" s="42" t="s">
        <v>741</v>
      </c>
    </row>
    <row r="49" spans="1:15" ht="14.1" customHeight="1">
      <c r="A49" s="6" t="str">
        <f>Navigation!$A51</f>
        <v>SALES PROFESSIONAL DIPLOMA</v>
      </c>
      <c r="B49" s="255" t="str">
        <f ca="1">RIGHT(INDIRECT("'"&amp;(VLOOKUP('CSL Inst Appx'!$A49,Reference!$A:$B,2))&amp;"'!G4"),4)</f>
        <v>6411</v>
      </c>
      <c r="C49" s="256" t="str">
        <f ca="1">INDIRECT("'"&amp;(VLOOKUP('CSL Inst Appx'!$A49,Reference!$A:$B,2))&amp;"'!D3")</f>
        <v>ZKE7</v>
      </c>
      <c r="D49" s="255">
        <f ca="1">VLOOKUP($A49,Summary!$A$5:$M$54,11)</f>
        <v>43</v>
      </c>
      <c r="E49" s="36" t="s">
        <v>76</v>
      </c>
      <c r="F49" s="36" t="s">
        <v>76</v>
      </c>
      <c r="G49" s="8"/>
      <c r="H49" s="9" t="s">
        <v>69</v>
      </c>
      <c r="I49" s="37">
        <f ca="1">INDIRECT("'"&amp;(VLOOKUP('CSL Inst Appx'!$A49,Reference!$A:$B,2))&amp;"'!H41")</f>
        <v>11787</v>
      </c>
      <c r="J49" s="37">
        <v>11787</v>
      </c>
      <c r="K49" s="275">
        <f t="shared" ca="1" si="2"/>
        <v>0</v>
      </c>
      <c r="L49" s="9" t="s">
        <v>69</v>
      </c>
      <c r="M49" s="9"/>
      <c r="N49" s="9"/>
      <c r="O49" s="42" t="s">
        <v>742</v>
      </c>
    </row>
    <row r="50" spans="1:15">
      <c r="A50" s="6" t="str">
        <f>Navigation!$A52</f>
        <v>SOFTWARE AND WEB DEVELOPER DIPLOMA</v>
      </c>
      <c r="B50" s="255" t="str">
        <f ca="1">RIGHT(INDIRECT("'"&amp;(VLOOKUP('CSL Inst Appx'!$A50,Reference!$A:$B,2))&amp;"'!G4"),4)</f>
        <v>2175</v>
      </c>
      <c r="C50" s="256" t="str">
        <f ca="1">INDIRECT("'"&amp;(VLOOKUP('CSL Inst Appx'!$A50,Reference!$A:$B,2))&amp;"'!D3")</f>
        <v>UAN7</v>
      </c>
      <c r="D50" s="255">
        <f ca="1">VLOOKUP($A50,Summary!$A$5:$M$54,11)</f>
        <v>48</v>
      </c>
      <c r="E50" s="36" t="s">
        <v>76</v>
      </c>
      <c r="F50" s="36" t="s">
        <v>76</v>
      </c>
      <c r="G50" s="66"/>
      <c r="H50" s="9" t="s">
        <v>69</v>
      </c>
      <c r="I50" s="37">
        <f ca="1">INDIRECT("'"&amp;(VLOOKUP('CSL Inst Appx'!$A50,Reference!$A:$B,2))&amp;"'!H41")</f>
        <v>17063</v>
      </c>
      <c r="J50" s="37">
        <v>17063</v>
      </c>
      <c r="K50" s="275">
        <f t="shared" ca="1" si="2"/>
        <v>0</v>
      </c>
      <c r="L50" s="9" t="s">
        <v>69</v>
      </c>
      <c r="M50" s="9"/>
      <c r="N50" s="9"/>
      <c r="O50" s="42" t="s">
        <v>743</v>
      </c>
    </row>
    <row r="51" spans="1:15">
      <c r="A51" s="6" t="str">
        <f>Navigation!$A53</f>
        <v>WEB DESIGNER DIPLOMA</v>
      </c>
      <c r="B51" s="255" t="str">
        <f ca="1">RIGHT(INDIRECT("'"&amp;(VLOOKUP('CSL Inst Appx'!$A51,Reference!$A:$B,2))&amp;"'!G4"),4)</f>
        <v>2175</v>
      </c>
      <c r="C51" s="256" t="str">
        <f ca="1">INDIRECT("'"&amp;(VLOOKUP('CSL Inst Appx'!$A51,Reference!$A:$B,2))&amp;"'!D3")</f>
        <v>UIE7</v>
      </c>
      <c r="D51" s="255">
        <f ca="1">VLOOKUP($A51,Summary!$A$5:$M$54,11)</f>
        <v>60</v>
      </c>
      <c r="E51" s="36" t="s">
        <v>76</v>
      </c>
      <c r="F51" s="36" t="s">
        <v>76</v>
      </c>
      <c r="G51" s="66"/>
      <c r="H51" s="9" t="s">
        <v>69</v>
      </c>
      <c r="I51" s="37">
        <f ca="1">INDIRECT("'"&amp;(VLOOKUP('CSL Inst Appx'!$A51,Reference!$A:$B,2))&amp;"'!H41")</f>
        <v>17114</v>
      </c>
      <c r="J51" s="37">
        <v>17114</v>
      </c>
      <c r="K51" s="275">
        <f t="shared" ca="1" si="2"/>
        <v>0</v>
      </c>
      <c r="L51" s="9" t="s">
        <v>69</v>
      </c>
      <c r="M51" s="9"/>
      <c r="N51" s="9"/>
      <c r="O51" s="42" t="s">
        <v>746</v>
      </c>
    </row>
    <row r="52" spans="1:15">
      <c r="A52" s="6" t="str">
        <f>Navigation!$A54</f>
        <v>WEB DEVELOPER DIPLOMA</v>
      </c>
      <c r="B52" s="255" t="str">
        <f ca="1">RIGHT(INDIRECT("'"&amp;(VLOOKUP('CSL Inst Appx'!$A52,Reference!$A:$B,2))&amp;"'!G4"),4)</f>
        <v>2175</v>
      </c>
      <c r="C52" s="256" t="str">
        <f ca="1">INDIRECT("'"&amp;(VLOOKUP('CSL Inst Appx'!$A52,Reference!$A:$B,2))&amp;"'!D3")</f>
        <v>UHK7</v>
      </c>
      <c r="D52" s="255">
        <f ca="1">VLOOKUP($A52,Summary!$A$5:$M$54,11)</f>
        <v>30</v>
      </c>
      <c r="E52" s="36" t="s">
        <v>76</v>
      </c>
      <c r="F52" s="36" t="s">
        <v>76</v>
      </c>
      <c r="G52" s="66"/>
      <c r="H52" s="9" t="s">
        <v>69</v>
      </c>
      <c r="I52" s="37">
        <f ca="1">INDIRECT("'"&amp;(VLOOKUP('CSL Inst Appx'!$A52,Reference!$A:$B,2))&amp;"'!H41")</f>
        <v>10774</v>
      </c>
      <c r="J52" s="37">
        <v>10774</v>
      </c>
      <c r="K52" s="275">
        <f t="shared" ca="1" si="2"/>
        <v>0</v>
      </c>
      <c r="L52" s="9" t="s">
        <v>69</v>
      </c>
      <c r="M52" s="9"/>
      <c r="N52" s="9"/>
      <c r="O52" s="42" t="s">
        <v>747</v>
      </c>
    </row>
    <row r="53" spans="1:15">
      <c r="A53" s="43"/>
      <c r="D53" s="50"/>
      <c r="H53"/>
      <c r="I53" s="17"/>
      <c r="J53" s="17"/>
      <c r="K53" s="17"/>
      <c r="L53"/>
      <c r="M53"/>
      <c r="N53"/>
      <c r="O53" s="3"/>
    </row>
    <row r="54" spans="1:15">
      <c r="A54" s="43"/>
      <c r="D54" s="50"/>
      <c r="H54"/>
      <c r="I54" s="17"/>
      <c r="J54" s="17"/>
      <c r="K54" s="17"/>
      <c r="L54"/>
      <c r="M54"/>
      <c r="N54"/>
      <c r="O54" s="3"/>
    </row>
    <row r="55" spans="1:15">
      <c r="A55" s="43"/>
      <c r="D55" s="50"/>
      <c r="H55"/>
      <c r="I55" s="17"/>
      <c r="J55" s="17"/>
      <c r="K55" s="17"/>
      <c r="L55"/>
      <c r="M55"/>
      <c r="N55"/>
      <c r="O55" s="3"/>
    </row>
    <row r="56" spans="1:15">
      <c r="A56" s="43"/>
      <c r="C56" s="246" t="s">
        <v>654</v>
      </c>
      <c r="D56" s="50" t="s">
        <v>82</v>
      </c>
      <c r="H56"/>
      <c r="I56" s="17" t="s">
        <v>83</v>
      </c>
      <c r="J56" s="17"/>
      <c r="K56" s="17"/>
      <c r="L56"/>
      <c r="M56"/>
      <c r="N56"/>
      <c r="O56" s="3"/>
    </row>
    <row r="57" spans="1:15">
      <c r="A57" s="43"/>
      <c r="D57" s="50" t="s">
        <v>81</v>
      </c>
      <c r="H57"/>
      <c r="I57" s="17" t="s">
        <v>132</v>
      </c>
      <c r="J57" s="17"/>
      <c r="K57" s="17"/>
      <c r="L57"/>
      <c r="M57"/>
      <c r="N57"/>
      <c r="O57" s="3"/>
    </row>
    <row r="58" spans="1:15" ht="13.5" thickBot="1">
      <c r="A58" s="4"/>
      <c r="B58" s="20"/>
      <c r="C58" s="20"/>
      <c r="D58" s="22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5"/>
    </row>
  </sheetData>
  <sheetProtection selectLockedCells="1" selectUnlockedCells="1"/>
  <sortState ref="A3:O63">
    <sortCondition ref="A3"/>
  </sortState>
  <mergeCells count="1">
    <mergeCell ref="J1:K1"/>
  </mergeCells>
  <phoneticPr fontId="0" type="noConversion"/>
  <printOptions horizontalCentered="1"/>
  <pageMargins left="0.55118110236220497" right="0.15748031496063" top="1.29" bottom="0.71" header="0.71" footer="0.70866141732283505"/>
  <pageSetup scale="105" orientation="landscape" r:id="rId1"/>
  <headerFooter alignWithMargins="0">
    <oddHeader>&amp;L&amp;"Arial Black,Bold"&amp;16APPENDIX 1&amp;C&amp;"Arial,Bold"&amp;14PRIVATE CAREER TRAINING INSTITUTIONS AGENCY
Program Information Form Summary&amp;REffective March 1, 2010</oddHead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9505-9E3B-45F7-B91B-BAC989829697}">
  <sheetPr codeName="Sheet38"/>
  <dimension ref="A1:C49"/>
  <sheetViews>
    <sheetView zoomScale="130" zoomScaleNormal="130" workbookViewId="0"/>
  </sheetViews>
  <sheetFormatPr defaultColWidth="8.83203125" defaultRowHeight="12.75"/>
  <cols>
    <col min="1" max="1" width="65.5" style="248" bestFit="1" customWidth="1"/>
    <col min="2" max="2" width="13" style="248" bestFit="1" customWidth="1"/>
    <col min="3" max="3" width="22.6640625" style="248" bestFit="1" customWidth="1"/>
    <col min="4" max="16384" width="8.83203125" style="248"/>
  </cols>
  <sheetData>
    <row r="1" spans="1:3" ht="13.5" thickBot="1">
      <c r="A1" s="253" t="s">
        <v>726</v>
      </c>
      <c r="B1" s="254" t="s">
        <v>727</v>
      </c>
    </row>
    <row r="2" spans="1:3">
      <c r="A2" s="251" t="s">
        <v>320</v>
      </c>
      <c r="B2" s="252" t="s">
        <v>678</v>
      </c>
      <c r="C2" s="248" t="str">
        <f ca="1">INDIRECT("'"&amp;B2&amp;"'!A5")</f>
        <v>A+N+MCSA PREP</v>
      </c>
    </row>
    <row r="3" spans="1:3">
      <c r="A3" s="46" t="s">
        <v>648</v>
      </c>
      <c r="B3" s="249" t="s">
        <v>679</v>
      </c>
      <c r="C3" s="248" t="str">
        <f t="shared" ref="C3:C12" ca="1" si="0">INDIRECT("'"&amp;B3&amp;"'!A5")</f>
        <v>ACCT ADMIN</v>
      </c>
    </row>
    <row r="4" spans="1:3">
      <c r="A4" s="46" t="s">
        <v>243</v>
      </c>
      <c r="B4" s="249" t="s">
        <v>680</v>
      </c>
      <c r="C4" s="248" t="str">
        <f t="shared" ca="1" si="0"/>
        <v>ACCT BUS TECH</v>
      </c>
    </row>
    <row r="5" spans="1:3">
      <c r="A5" s="46" t="s">
        <v>399</v>
      </c>
      <c r="B5" s="249" t="s">
        <v>681</v>
      </c>
      <c r="C5" s="248" t="str">
        <f t="shared" ca="1" si="0"/>
        <v>ACCT PAYROLL ADMIN</v>
      </c>
    </row>
    <row r="6" spans="1:3">
      <c r="A6" s="46" t="s">
        <v>395</v>
      </c>
      <c r="B6" s="249" t="s">
        <v>682</v>
      </c>
      <c r="C6" s="248" t="str">
        <f t="shared" ca="1" si="0"/>
        <v>ACCT BK</v>
      </c>
    </row>
    <row r="7" spans="1:3">
      <c r="A7" s="46" t="s">
        <v>260</v>
      </c>
      <c r="B7" s="249" t="s">
        <v>683</v>
      </c>
      <c r="C7" s="248" t="str">
        <f t="shared" ca="1" si="0"/>
        <v>ACCT CLERK CRT</v>
      </c>
    </row>
    <row r="8" spans="1:3">
      <c r="A8" s="46" t="s">
        <v>332</v>
      </c>
      <c r="B8" s="249" t="s">
        <v>684</v>
      </c>
      <c r="C8" s="248" t="str">
        <f t="shared" ca="1" si="0"/>
        <v>ADDIC WORK</v>
      </c>
    </row>
    <row r="9" spans="1:3">
      <c r="A9" s="46" t="s">
        <v>6</v>
      </c>
      <c r="B9" s="249" t="s">
        <v>685</v>
      </c>
      <c r="C9" s="248" t="str">
        <f t="shared" ca="1" si="0"/>
        <v>ADMIN ASST</v>
      </c>
    </row>
    <row r="10" spans="1:3">
      <c r="A10" s="46" t="s">
        <v>470</v>
      </c>
      <c r="B10" s="249" t="s">
        <v>686</v>
      </c>
      <c r="C10" s="248" t="str">
        <f t="shared" ca="1" si="0"/>
        <v>BUS ADMIN COOP</v>
      </c>
    </row>
    <row r="11" spans="1:3">
      <c r="A11" s="46" t="s">
        <v>162</v>
      </c>
      <c r="B11" s="249" t="s">
        <v>687</v>
      </c>
      <c r="C11" s="248" t="str">
        <f t="shared" ca="1" si="0"/>
        <v>BUS ADMIN</v>
      </c>
    </row>
    <row r="12" spans="1:3">
      <c r="A12" s="46" t="s">
        <v>173</v>
      </c>
      <c r="B12" s="249" t="s">
        <v>688</v>
      </c>
      <c r="C12" s="248" t="str">
        <f t="shared" ca="1" si="0"/>
        <v>BUS MGMT CERT</v>
      </c>
    </row>
    <row r="13" spans="1:3">
      <c r="A13" s="46" t="s">
        <v>21</v>
      </c>
      <c r="B13" s="249" t="s">
        <v>689</v>
      </c>
    </row>
    <row r="14" spans="1:3">
      <c r="A14" s="46" t="s">
        <v>362</v>
      </c>
      <c r="B14" s="249" t="s">
        <v>690</v>
      </c>
    </row>
    <row r="15" spans="1:3">
      <c r="A15" s="46" t="s">
        <v>474</v>
      </c>
      <c r="B15" s="249" t="s">
        <v>691</v>
      </c>
    </row>
    <row r="16" spans="1:3">
      <c r="A16" s="46" t="s">
        <v>107</v>
      </c>
      <c r="B16" s="249" t="s">
        <v>692</v>
      </c>
    </row>
    <row r="17" spans="1:2">
      <c r="A17" s="46" t="s">
        <v>405</v>
      </c>
      <c r="B17" s="249" t="s">
        <v>693</v>
      </c>
    </row>
    <row r="18" spans="1:2">
      <c r="A18" s="46" t="s">
        <v>336</v>
      </c>
      <c r="B18" s="249" t="s">
        <v>694</v>
      </c>
    </row>
    <row r="19" spans="1:2">
      <c r="A19" s="46" t="s">
        <v>129</v>
      </c>
      <c r="B19" s="249" t="s">
        <v>695</v>
      </c>
    </row>
    <row r="20" spans="1:2">
      <c r="A20" s="46" t="s">
        <v>106</v>
      </c>
      <c r="B20" s="249" t="s">
        <v>696</v>
      </c>
    </row>
    <row r="21" spans="1:2">
      <c r="A21" s="46" t="s">
        <v>166</v>
      </c>
      <c r="B21" s="249" t="s">
        <v>697</v>
      </c>
    </row>
    <row r="22" spans="1:2">
      <c r="A22" s="46" t="s">
        <v>242</v>
      </c>
      <c r="B22" s="249" t="s">
        <v>698</v>
      </c>
    </row>
    <row r="23" spans="1:2">
      <c r="A23" s="46" t="s">
        <v>241</v>
      </c>
      <c r="B23" s="249" t="s">
        <v>699</v>
      </c>
    </row>
    <row r="24" spans="1:2">
      <c r="A24" s="46" t="s">
        <v>649</v>
      </c>
      <c r="B24" s="249" t="s">
        <v>700</v>
      </c>
    </row>
    <row r="25" spans="1:2">
      <c r="A25" s="46" t="s">
        <v>24</v>
      </c>
      <c r="B25" s="249" t="s">
        <v>701</v>
      </c>
    </row>
    <row r="26" spans="1:2">
      <c r="A26" s="46" t="s">
        <v>187</v>
      </c>
      <c r="B26" s="249" t="s">
        <v>702</v>
      </c>
    </row>
    <row r="27" spans="1:2">
      <c r="A27" s="46" t="s">
        <v>650</v>
      </c>
      <c r="B27" s="249" t="s">
        <v>703</v>
      </c>
    </row>
    <row r="28" spans="1:2">
      <c r="A28" s="46" t="s">
        <v>258</v>
      </c>
      <c r="B28" s="249" t="s">
        <v>704</v>
      </c>
    </row>
    <row r="29" spans="1:2">
      <c r="A29" s="46" t="s">
        <v>160</v>
      </c>
      <c r="B29" s="249" t="s">
        <v>705</v>
      </c>
    </row>
    <row r="30" spans="1:2">
      <c r="A30" s="46" t="s">
        <v>171</v>
      </c>
      <c r="B30" s="249" t="s">
        <v>706</v>
      </c>
    </row>
    <row r="31" spans="1:2">
      <c r="A31" s="46" t="s">
        <v>139</v>
      </c>
      <c r="B31" s="249" t="s">
        <v>707</v>
      </c>
    </row>
    <row r="32" spans="1:2">
      <c r="A32" s="46" t="s">
        <v>144</v>
      </c>
      <c r="B32" s="249" t="s">
        <v>708</v>
      </c>
    </row>
    <row r="33" spans="1:2">
      <c r="A33" s="46" t="s">
        <v>397</v>
      </c>
      <c r="B33" s="249" t="s">
        <v>709</v>
      </c>
    </row>
    <row r="34" spans="1:2">
      <c r="A34" s="46" t="s">
        <v>651</v>
      </c>
      <c r="B34" s="249" t="s">
        <v>710</v>
      </c>
    </row>
    <row r="35" spans="1:2">
      <c r="A35" s="46" t="s">
        <v>652</v>
      </c>
      <c r="B35" s="249" t="s">
        <v>711</v>
      </c>
    </row>
    <row r="36" spans="1:2">
      <c r="A36" s="46" t="s">
        <v>653</v>
      </c>
      <c r="B36" s="249" t="s">
        <v>712</v>
      </c>
    </row>
    <row r="37" spans="1:2">
      <c r="A37" s="46" t="s">
        <v>122</v>
      </c>
      <c r="B37" s="249" t="s">
        <v>713</v>
      </c>
    </row>
    <row r="38" spans="1:2">
      <c r="A38" s="46" t="s">
        <v>25</v>
      </c>
      <c r="B38" s="249" t="s">
        <v>714</v>
      </c>
    </row>
    <row r="39" spans="1:2">
      <c r="A39" s="46" t="s">
        <v>396</v>
      </c>
      <c r="B39" s="249" t="s">
        <v>715</v>
      </c>
    </row>
    <row r="40" spans="1:2">
      <c r="A40" s="46" t="s">
        <v>157</v>
      </c>
      <c r="B40" s="249" t="s">
        <v>716</v>
      </c>
    </row>
    <row r="41" spans="1:2">
      <c r="A41" s="46" t="s">
        <v>398</v>
      </c>
      <c r="B41" s="249" t="s">
        <v>717</v>
      </c>
    </row>
    <row r="42" spans="1:2">
      <c r="A42" s="46" t="s">
        <v>105</v>
      </c>
      <c r="B42" s="249" t="s">
        <v>718</v>
      </c>
    </row>
    <row r="43" spans="1:2">
      <c r="A43" s="46" t="s">
        <v>236</v>
      </c>
      <c r="B43" s="249" t="s">
        <v>719</v>
      </c>
    </row>
    <row r="44" spans="1:2">
      <c r="A44" s="46" t="s">
        <v>182</v>
      </c>
      <c r="B44" s="249" t="s">
        <v>720</v>
      </c>
    </row>
    <row r="45" spans="1:2">
      <c r="A45" s="46" t="s">
        <v>263</v>
      </c>
      <c r="B45" s="249" t="s">
        <v>721</v>
      </c>
    </row>
    <row r="46" spans="1:2">
      <c r="A46" s="46" t="s">
        <v>237</v>
      </c>
      <c r="B46" s="249" t="s">
        <v>722</v>
      </c>
    </row>
    <row r="47" spans="1:2">
      <c r="A47" s="46" t="s">
        <v>639</v>
      </c>
      <c r="B47" s="249" t="s">
        <v>723</v>
      </c>
    </row>
    <row r="48" spans="1:2">
      <c r="A48" s="46" t="s">
        <v>154</v>
      </c>
      <c r="B48" s="249" t="s">
        <v>724</v>
      </c>
    </row>
    <row r="49" spans="1:2" ht="13.5" thickBot="1">
      <c r="A49" s="243" t="s">
        <v>641</v>
      </c>
      <c r="B49" s="250" t="s">
        <v>725</v>
      </c>
    </row>
  </sheetData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9">
    <tabColor indexed="10"/>
    <pageSetUpPr fitToPage="1"/>
  </sheetPr>
  <dimension ref="A1:AG52"/>
  <sheetViews>
    <sheetView showZeros="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158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303" t="s">
        <v>399</v>
      </c>
      <c r="E4" s="303"/>
      <c r="F4" s="303"/>
      <c r="G4" s="92" t="s">
        <v>497</v>
      </c>
      <c r="H4" s="100"/>
      <c r="I4" s="84" t="s">
        <v>7</v>
      </c>
      <c r="P4" s="84"/>
      <c r="Q4" s="84"/>
    </row>
    <row r="5" spans="1:17">
      <c r="A5" s="90" t="s">
        <v>661</v>
      </c>
      <c r="B5" s="90"/>
      <c r="C5" s="90"/>
      <c r="D5" s="94" t="s">
        <v>168</v>
      </c>
      <c r="E5" s="145"/>
      <c r="F5" s="97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/>
      <c r="D6" s="99"/>
      <c r="E6" s="147" t="s">
        <v>584</v>
      </c>
      <c r="F6" s="84"/>
      <c r="G6" s="84" t="str">
        <f t="shared" ref="G6:G39" si="0">I6</f>
        <v/>
      </c>
      <c r="H6" s="100" t="str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/>
      </c>
      <c r="I6" s="84" t="str">
        <f>IF($C6&lt;&gt;"",VLOOKUP($C6,'[1]Course Table'!$A$1:$G$330,5,FALSE),"")</f>
        <v/>
      </c>
      <c r="J6" s="101" t="str">
        <f>IF(AND($C6&lt;&gt;"",A6&lt;&gt;"E"),VLOOKUP($C6,'[1]Course Table'!$A$1:$G$330,6,FALSE),"")</f>
        <v/>
      </c>
      <c r="K6" s="101" t="str">
        <f>IF($C6&lt;&gt;"",VLOOKUP($C6,'[1]Course Table'!$A$1:$G$330,7,FALSE),"")</f>
        <v/>
      </c>
      <c r="L6" s="84">
        <f t="shared" ref="L6:L40" si="1">COUNTIF($J$6:$J$40,$J6)</f>
        <v>9</v>
      </c>
      <c r="M6" s="84">
        <f>COUNTIF($J$6:$J6,$J6)</f>
        <v>1</v>
      </c>
      <c r="N6" s="84" t="str">
        <f>IF($C6&lt;&gt;"",VLOOKUP($C6,'[1]Course Table'!$A$1:$I$330,8,FALSE),"")</f>
        <v/>
      </c>
      <c r="O6" s="84" t="str">
        <f>IF($C6&lt;&gt;"",VLOOKUP($C6,'[1]Course Table'!$A$1:$I$330,9,FALSE),"")</f>
        <v/>
      </c>
      <c r="P6" s="84"/>
      <c r="Q6" s="84"/>
    </row>
    <row r="7" spans="1:17">
      <c r="A7" s="79"/>
      <c r="B7" s="141"/>
      <c r="C7" s="105"/>
      <c r="D7" s="84" t="s">
        <v>8</v>
      </c>
      <c r="E7" s="140"/>
      <c r="F7" s="84"/>
      <c r="G7" s="84" t="str">
        <f t="shared" si="0"/>
        <v/>
      </c>
      <c r="H7" s="100" t="str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/>
      </c>
      <c r="I7" s="84" t="str">
        <f>IF($C7&lt;&gt;"",VLOOKUP($C7,'[1]Course Table'!$A$1:$G$330,5,FALSE),"")</f>
        <v/>
      </c>
      <c r="J7" s="101" t="str">
        <f>IF(AND($C7&lt;&gt;"",A7&lt;&gt;"E"),VLOOKUP($C7,'[1]Course Table'!$A$1:$G$330,6,FALSE),"")</f>
        <v/>
      </c>
      <c r="K7" s="101" t="str">
        <f>IF($C7&lt;&gt;"",VLOOKUP($C7,'[1]Course Table'!$A$1:$G$330,7,FALSE),"")</f>
        <v/>
      </c>
      <c r="L7" s="84">
        <f t="shared" si="1"/>
        <v>9</v>
      </c>
      <c r="M7" s="84">
        <f>COUNTIF($J$6:$J7,$J7)</f>
        <v>2</v>
      </c>
      <c r="N7" s="84" t="str">
        <f>IF($C7&lt;&gt;"",VLOOKUP($C7,'[1]Course Table'!$A$1:$I$330,8,FALSE),"")</f>
        <v/>
      </c>
      <c r="O7" s="84" t="str">
        <f>IF($C7&lt;&gt;"",VLOOKUP($C7,'[1]Course Table'!$A$1:$I$330,9,FALSE),"")</f>
        <v/>
      </c>
      <c r="P7" s="84"/>
      <c r="Q7" s="84"/>
    </row>
    <row r="8" spans="1:17">
      <c r="A8" s="79" t="s">
        <v>0</v>
      </c>
      <c r="B8" s="141"/>
      <c r="C8" s="105" t="s">
        <v>785</v>
      </c>
      <c r="D8" s="84"/>
      <c r="E8" s="140" t="str">
        <f>IF($C8&lt;&gt;0,VLOOKUP($C8,'[1]Course Table'!$A$1:$G$330,2,TRUE),"")</f>
        <v>Thought Patterns for a Successful Career</v>
      </c>
      <c r="F8" s="84"/>
      <c r="G8" s="84">
        <f t="shared" si="0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589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26</v>
      </c>
      <c r="M8" s="84">
        <f>COUNTIF($J$6:$J8,$J8)</f>
        <v>1</v>
      </c>
      <c r="N8" s="84">
        <f>IF($C8&lt;&gt;"",VLOOKUP($C8,'[1]Course Table'!$A$1:$I$330,8,FALSE),"")</f>
        <v>15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0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1"/>
        <v>26</v>
      </c>
      <c r="M9" s="84">
        <f>COUNTIF($J$6:$J9,$J9)</f>
        <v>2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 t="s">
        <v>0</v>
      </c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0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26</v>
      </c>
      <c r="M10" s="84">
        <f>COUNTIF($J$6:$J10,$J10)</f>
        <v>3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41"/>
      <c r="C11" s="105" t="s">
        <v>758</v>
      </c>
      <c r="D11" s="84" t="s">
        <v>458</v>
      </c>
      <c r="E11" s="140" t="str">
        <f>IF($C11&lt;&gt;0,VLOOKUP($C11,'[1]Course Table'!$A$1:$G$330,2,TRUE),"")</f>
        <v>MS Word Level 2</v>
      </c>
      <c r="F11" s="84"/>
      <c r="G11" s="84">
        <f t="shared" si="0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1"/>
        <v>26</v>
      </c>
      <c r="M11" s="84">
        <f>COUNTIF($J$6:$J11,$J11)</f>
        <v>4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 t="s">
        <v>0</v>
      </c>
      <c r="B12" s="141"/>
      <c r="C12" s="105" t="s">
        <v>177</v>
      </c>
      <c r="D12" s="84"/>
      <c r="E12" s="140" t="str">
        <f>IF($C12&lt;&gt;0,VLOOKUP($C12,'[1]Course Table'!$A$1:$G$330,2,TRUE),"")</f>
        <v>Payroll Compliance Legislation</v>
      </c>
      <c r="F12" s="84"/>
      <c r="G12" s="84">
        <f t="shared" si="0"/>
        <v>80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1298</v>
      </c>
      <c r="I12" s="84">
        <f>IF($C12&lt;&gt;"",VLOOKUP($C12,'[1]Course Table'!$A$1:$G$330,5,FALSE),"")</f>
        <v>80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1"/>
        <v>26</v>
      </c>
      <c r="M12" s="84">
        <f>COUNTIF($J$6:$J12,$J12)</f>
        <v>5</v>
      </c>
      <c r="N12" s="84">
        <f>IF($C12&lt;&gt;"",VLOOKUP($C12,'[1]Course Table'!$A$1:$I$330,8,FALSE),"")</f>
        <v>7</v>
      </c>
      <c r="O12" s="84">
        <f>IF($C12&lt;&gt;"",VLOOKUP($C12,'[1]Course Table'!$A$1:$I$330,9,FALSE),"")</f>
        <v>4</v>
      </c>
      <c r="P12" s="84"/>
      <c r="Q12" s="84"/>
    </row>
    <row r="13" spans="1:17">
      <c r="A13" s="79" t="s">
        <v>0</v>
      </c>
      <c r="B13" s="141"/>
      <c r="C13" s="105" t="s">
        <v>763</v>
      </c>
      <c r="D13" s="84"/>
      <c r="E13" s="140" t="str">
        <f>IF($C13&lt;&gt;0,VLOOKUP($C13,'[1]Course Table'!$A$1:$G$330,2,TRUE),"")</f>
        <v>MS Excel Level 1</v>
      </c>
      <c r="F13" s="84"/>
      <c r="G13" s="84">
        <f t="shared" si="0"/>
        <v>28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28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1"/>
        <v>26</v>
      </c>
      <c r="M13" s="84">
        <f>COUNTIF($J$6:$J13,$J13)</f>
        <v>6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41"/>
      <c r="C14" s="105" t="s">
        <v>765</v>
      </c>
      <c r="D14" s="84"/>
      <c r="E14" s="140" t="str">
        <f>IF($C14&lt;&gt;0,VLOOKUP($C14,'[1]Course Table'!$A$1:$G$330,2,TRUE),"")</f>
        <v>MS Excel Level 2</v>
      </c>
      <c r="F14" s="84"/>
      <c r="G14" s="84">
        <f t="shared" si="0"/>
        <v>35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35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1"/>
        <v>26</v>
      </c>
      <c r="M14" s="84">
        <f>COUNTIF($J$6:$J14,$J14)</f>
        <v>7</v>
      </c>
      <c r="N14" s="84">
        <f>IF($C14&lt;&gt;"",VLOOKUP($C14,'[1]Course Table'!$A$1:$I$330,8,FALSE),"")</f>
        <v>4</v>
      </c>
      <c r="O14" s="84">
        <f>IF($C14&lt;&gt;"",VLOOKUP($C14,'[1]Course Table'!$A$1:$I$330,9,FALSE),"")</f>
        <v>2</v>
      </c>
      <c r="P14" s="84"/>
      <c r="Q14" s="84"/>
    </row>
    <row r="15" spans="1:17">
      <c r="A15" s="79" t="s">
        <v>0</v>
      </c>
      <c r="B15" s="141"/>
      <c r="C15" s="105" t="s">
        <v>767</v>
      </c>
      <c r="D15" s="84"/>
      <c r="E15" s="140" t="str">
        <f>IF($C15&lt;&gt;0,VLOOKUP($C15,'[1]Course Table'!$A$1:$G$330,2,TRUE),"")</f>
        <v>MS Access Level 1</v>
      </c>
      <c r="F15" s="84"/>
      <c r="G15" s="84">
        <f t="shared" si="0"/>
        <v>27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27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1"/>
        <v>26</v>
      </c>
      <c r="M15" s="84">
        <f>COUNTIF($J$6:$J15,$J15)</f>
        <v>8</v>
      </c>
      <c r="N15" s="84">
        <f>IF($C15&lt;&gt;"",VLOOKUP($C15,'[1]Course Table'!$A$1:$I$330,8,FALSE),"")</f>
        <v>5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41"/>
      <c r="C16" s="105" t="s">
        <v>328</v>
      </c>
      <c r="D16" s="84"/>
      <c r="E16" s="140" t="str">
        <f>IF($C16&lt;&gt;0,VLOOKUP($C16,'[1]Course Table'!$A$1:$G$330,2,TRUE),"")</f>
        <v>Office Procedures Level 1</v>
      </c>
      <c r="F16" s="84"/>
      <c r="G16" s="84">
        <f t="shared" si="0"/>
        <v>24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24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1"/>
        <v>26</v>
      </c>
      <c r="M16" s="84">
        <f>COUNTIF($J$6:$J16,$J16)</f>
        <v>9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41"/>
      <c r="C17" s="105" t="s">
        <v>361</v>
      </c>
      <c r="D17" s="84"/>
      <c r="E17" s="140" t="str">
        <f>IF($C17&lt;&gt;0,VLOOKUP($C17,'[1]Course Table'!$A$1:$G$330,2,TRUE),"")</f>
        <v>Employment Success Strategies</v>
      </c>
      <c r="F17" s="84"/>
      <c r="G17" s="84">
        <f t="shared" si="0"/>
        <v>40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699</v>
      </c>
      <c r="I17" s="84">
        <f>IF($C17&lt;&gt;"",VLOOKUP($C17,'[1]Course Table'!$A$1:$G$330,5,FALSE),"")</f>
        <v>40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1"/>
        <v>26</v>
      </c>
      <c r="M17" s="84">
        <f>COUNTIF($J$6:$J17,$J17)</f>
        <v>10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2</v>
      </c>
      <c r="P17" s="84"/>
      <c r="Q17" s="84"/>
    </row>
    <row r="18" spans="1:18">
      <c r="A18" s="79" t="s">
        <v>0</v>
      </c>
      <c r="B18" s="141"/>
      <c r="C18" s="105" t="s">
        <v>181</v>
      </c>
      <c r="D18" s="84" t="s">
        <v>458</v>
      </c>
      <c r="E18" s="140" t="str">
        <f>IF($C18&lt;&gt;0,VLOOKUP($C18,'[1]Course Table'!$A$1:$G$330,2,TRUE),"")</f>
        <v>Grammar Essentials for Business Writing</v>
      </c>
      <c r="F18" s="84"/>
      <c r="G18" s="84">
        <f t="shared" si="0"/>
        <v>30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479</v>
      </c>
      <c r="I18" s="84">
        <f>IF($C18&lt;&gt;"",VLOOKUP($C18,'[1]Course Table'!$A$1:$G$330,5,FALSE),"")</f>
        <v>30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1"/>
        <v>26</v>
      </c>
      <c r="M18" s="84">
        <f>COUNTIF($J$6:$J18,$J18)</f>
        <v>11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1.5</v>
      </c>
      <c r="P18" s="84"/>
      <c r="Q18" s="84"/>
    </row>
    <row r="19" spans="1:18">
      <c r="A19" s="79" t="s">
        <v>0</v>
      </c>
      <c r="B19" s="141"/>
      <c r="C19" s="105" t="s">
        <v>178</v>
      </c>
      <c r="D19" s="84"/>
      <c r="E19" s="140" t="str">
        <f>IF($C19&lt;&gt;0,VLOOKUP($C19,'[1]Course Table'!$A$1:$G$330,2,TRUE),"")</f>
        <v>Payroll Fundamentals 1</v>
      </c>
      <c r="F19" s="84"/>
      <c r="G19" s="84">
        <f t="shared" si="0"/>
        <v>80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1298</v>
      </c>
      <c r="I19" s="84">
        <f>IF($C19&lt;&gt;"",VLOOKUP($C19,'[1]Course Table'!$A$1:$G$330,5,FALSE),"")</f>
        <v>80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1"/>
        <v>26</v>
      </c>
      <c r="M19" s="84">
        <f>COUNTIF($J$6:$J19,$J19)</f>
        <v>12</v>
      </c>
      <c r="N19" s="84">
        <f>IF($C19&lt;&gt;"",VLOOKUP($C19,'[1]Course Table'!$A$1:$I$330,8,FALSE),"")</f>
        <v>7</v>
      </c>
      <c r="O19" s="84">
        <f>IF($C19&lt;&gt;"",VLOOKUP($C19,'[1]Course Table'!$A$1:$I$330,9,FALSE),"")</f>
        <v>4</v>
      </c>
      <c r="P19" s="84"/>
      <c r="Q19" s="84"/>
    </row>
    <row r="20" spans="1:18">
      <c r="A20" s="79" t="s">
        <v>0</v>
      </c>
      <c r="B20" s="141"/>
      <c r="C20" s="105" t="s">
        <v>366</v>
      </c>
      <c r="D20" s="84"/>
      <c r="E20" s="140" t="str">
        <f>IF($C20&lt;&gt;0,VLOOKUP($C20,'[1]Course Table'!$A$1:$G$330,2,TRUE),"")</f>
        <v>Business Correspondence Level 1</v>
      </c>
      <c r="F20" s="84"/>
      <c r="G20" s="84">
        <f t="shared" si="0"/>
        <v>32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499</v>
      </c>
      <c r="I20" s="84">
        <f>IF($C20&lt;&gt;"",VLOOKUP($C20,'[1]Course Table'!$A$1:$G$330,5,FALSE),"")</f>
        <v>32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1"/>
        <v>26</v>
      </c>
      <c r="M20" s="84">
        <f>COUNTIF($J$6:$J20,$J20)</f>
        <v>13</v>
      </c>
      <c r="N20" s="84">
        <f>IF($C20&lt;&gt;"",VLOOKUP($C20,'[1]Course Table'!$A$1:$I$330,8,FALSE),"")</f>
        <v>9</v>
      </c>
      <c r="O20" s="84">
        <f>IF($C20&lt;&gt;"",VLOOKUP($C20,'[1]Course Table'!$A$1:$I$330,9,FALSE),"")</f>
        <v>1.5</v>
      </c>
      <c r="P20" s="84"/>
      <c r="Q20" s="84"/>
    </row>
    <row r="21" spans="1:18">
      <c r="A21" s="79" t="s">
        <v>0</v>
      </c>
      <c r="B21" s="141"/>
      <c r="C21" s="105" t="s">
        <v>367</v>
      </c>
      <c r="D21" s="99"/>
      <c r="E21" s="140" t="str">
        <f>IF($C21&lt;&gt;0,VLOOKUP($C21,'[1]Course Table'!$A$1:$G$330,2,TRUE),"")</f>
        <v>Business Correspondence Level 2</v>
      </c>
      <c r="F21" s="84"/>
      <c r="G21" s="84">
        <f t="shared" si="0"/>
        <v>32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499</v>
      </c>
      <c r="I21" s="84">
        <f>IF($C21&lt;&gt;"",VLOOKUP($C21,'[1]Course Table'!$A$1:$G$330,5,FALSE),"")</f>
        <v>32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1"/>
        <v>26</v>
      </c>
      <c r="M21" s="84">
        <f>COUNTIF($J$6:$J21,$J21)</f>
        <v>14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 t="s">
        <v>0</v>
      </c>
      <c r="B22" s="141"/>
      <c r="C22" s="105" t="s">
        <v>123</v>
      </c>
      <c r="D22" s="99"/>
      <c r="E22" s="140" t="str">
        <f>IF($C22&lt;&gt;0,VLOOKUP($C22,'[1]Course Table'!$A$1:$G$330,2,TRUE),"")</f>
        <v>Basic Bookkeeping Level 1</v>
      </c>
      <c r="F22" s="84"/>
      <c r="G22" s="84">
        <f t="shared" si="0"/>
        <v>30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499</v>
      </c>
      <c r="I22" s="84">
        <f>IF($C22&lt;&gt;"",VLOOKUP($C22,'[1]Course Table'!$A$1:$G$330,5,FALSE),"")</f>
        <v>30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1"/>
        <v>26</v>
      </c>
      <c r="M22" s="84">
        <f>COUNTIF($J$6:$J22,$J22)</f>
        <v>15</v>
      </c>
      <c r="N22" s="84">
        <f>IF($C22&lt;&gt;"",VLOOKUP($C22,'[1]Course Table'!$A$1:$I$330,8,FALSE),"")</f>
        <v>9</v>
      </c>
      <c r="O22" s="84">
        <f>IF($C22&lt;&gt;"",VLOOKUP($C22,'[1]Course Table'!$A$1:$I$330,9,FALSE),"")</f>
        <v>1.5</v>
      </c>
    </row>
    <row r="23" spans="1:18">
      <c r="A23" s="79" t="s">
        <v>0</v>
      </c>
      <c r="B23" s="141"/>
      <c r="C23" s="105" t="s">
        <v>124</v>
      </c>
      <c r="D23" s="99"/>
      <c r="E23" s="140" t="str">
        <f>IF($C23&lt;&gt;0,VLOOKUP($C23,'[1]Course Table'!$A$1:$G$330,2,TRUE),"")</f>
        <v>Basic Bookkeeping Level 2</v>
      </c>
      <c r="F23" s="84"/>
      <c r="G23" s="84">
        <f t="shared" si="0"/>
        <v>20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449</v>
      </c>
      <c r="I23" s="84">
        <f>IF($C23&lt;&gt;"",VLOOKUP($C23,'[1]Course Table'!$A$1:$G$330,5,FALSE),"")</f>
        <v>20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1"/>
        <v>26</v>
      </c>
      <c r="M23" s="84">
        <f>COUNTIF($J$6:$J23,$J23)</f>
        <v>16</v>
      </c>
      <c r="N23" s="84">
        <f>IF($C23&lt;&gt;"",VLOOKUP($C23,'[1]Course Table'!$A$1:$I$330,8,FALSE),"")</f>
        <v>9</v>
      </c>
      <c r="O23" s="84">
        <f>IF($C23&lt;&gt;"",VLOOKUP($C23,'[1]Course Table'!$A$1:$I$330,9,FALSE),"")</f>
        <v>1</v>
      </c>
      <c r="P23" s="84"/>
      <c r="Q23" s="84"/>
    </row>
    <row r="24" spans="1:18">
      <c r="A24" s="79" t="s">
        <v>0</v>
      </c>
      <c r="B24" s="141"/>
      <c r="C24" s="104" t="s">
        <v>322</v>
      </c>
      <c r="E24" s="140" t="str">
        <f>IF($C24&lt;&gt;0,VLOOKUP($C24,'[1]Course Table'!$A$1:$G$330,2,TRUE),"")</f>
        <v>Sage 50 Premium Accounting 2013</v>
      </c>
      <c r="F24" s="84"/>
      <c r="G24" s="84">
        <f t="shared" si="0"/>
        <v>46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799</v>
      </c>
      <c r="I24" s="84">
        <f>IF($C24&lt;&gt;"",VLOOKUP($C24,'[1]Course Table'!$A$1:$G$330,5,FALSE),"")</f>
        <v>46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1"/>
        <v>26</v>
      </c>
      <c r="M24" s="84">
        <f>COUNTIF($J$6:$J24,$J24)</f>
        <v>17</v>
      </c>
      <c r="N24" s="84">
        <f>IF($C24&lt;&gt;"",VLOOKUP($C24,'[1]Course Table'!$A$1:$I$330,8,FALSE),"")</f>
        <v>7</v>
      </c>
      <c r="O24" s="84">
        <f>IF($C24&lt;&gt;"",VLOOKUP($C24,'[1]Course Table'!$A$1:$I$330,9,FALSE),"")</f>
        <v>2.5</v>
      </c>
      <c r="P24" s="84"/>
      <c r="Q24" s="84"/>
    </row>
    <row r="25" spans="1:18">
      <c r="A25" s="79" t="s">
        <v>0</v>
      </c>
      <c r="B25" s="141"/>
      <c r="C25" s="105" t="s">
        <v>570</v>
      </c>
      <c r="D25" s="84"/>
      <c r="E25" s="140" t="str">
        <f>IF($C25&lt;&gt;0,VLOOKUP($C25,'[1]Course Table'!$A$1:$G$330,2,TRUE),"")</f>
        <v>QuickBooks Premier 2019</v>
      </c>
      <c r="F25" s="84"/>
      <c r="G25" s="84">
        <f t="shared" si="0"/>
        <v>29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495</v>
      </c>
      <c r="I25" s="84">
        <f>IF($C25&lt;&gt;"",VLOOKUP($C25,'[1]Course Table'!$A$1:$G$330,5,FALSE),"")</f>
        <v>29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1"/>
        <v>26</v>
      </c>
      <c r="M25" s="84">
        <f>COUNTIF($J$6:$J25,$J25)</f>
        <v>18</v>
      </c>
      <c r="N25" s="84">
        <f>IF($C25&lt;&gt;"",VLOOKUP($C25,'[1]Course Table'!$A$1:$I$330,8,FALSE),"")</f>
        <v>7</v>
      </c>
      <c r="O25" s="84">
        <f>IF($C25&lt;&gt;"",VLOOKUP($C25,'[1]Course Table'!$A$1:$I$330,9,FALSE),"")</f>
        <v>1.5</v>
      </c>
      <c r="P25" s="84"/>
      <c r="Q25" s="84"/>
    </row>
    <row r="26" spans="1:18">
      <c r="A26" s="79" t="s">
        <v>0</v>
      </c>
      <c r="B26" s="141"/>
      <c r="C26" s="105" t="s">
        <v>179</v>
      </c>
      <c r="D26" s="84"/>
      <c r="E26" s="140" t="str">
        <f>IF($C26&lt;&gt;0,VLOOKUP($C26,'[1]Course Table'!$A$1:$G$330,2,TRUE),"")</f>
        <v>Payroll Fundamentals 2</v>
      </c>
      <c r="F26" s="84"/>
      <c r="G26" s="84">
        <f t="shared" si="0"/>
        <v>80</v>
      </c>
      <c r="H26" s="100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>1298</v>
      </c>
      <c r="I26" s="84">
        <f>IF($C26&lt;&gt;"",VLOOKUP($C26,'[1]Course Table'!$A$1:$G$330,5,FALSE),"")</f>
        <v>80</v>
      </c>
      <c r="J26" s="101">
        <f>IF(AND($C26&lt;&gt;"",A26&lt;&gt;"E"),VLOOKUP($C26,'[1]Course Table'!$A$1:$G$330,6,FALSE),"")</f>
        <v>0</v>
      </c>
      <c r="K26" s="101">
        <f>IF($C26&lt;&gt;"",VLOOKUP($C26,'[1]Course Table'!$A$1:$G$330,7,FALSE),"")</f>
        <v>0</v>
      </c>
      <c r="L26" s="84">
        <f t="shared" si="1"/>
        <v>26</v>
      </c>
      <c r="M26" s="84">
        <f>COUNTIF($J$6:$J26,$J26)</f>
        <v>19</v>
      </c>
      <c r="N26" s="84">
        <f>IF($C26&lt;&gt;"",VLOOKUP($C26,'[1]Course Table'!$A$1:$I$330,8,FALSE),"")</f>
        <v>7</v>
      </c>
      <c r="O26" s="84">
        <f>IF($C26&lt;&gt;"",VLOOKUP($C26,'[1]Course Table'!$A$1:$I$330,9,FALSE),"")</f>
        <v>4</v>
      </c>
      <c r="P26" s="84"/>
      <c r="Q26" s="84"/>
    </row>
    <row r="27" spans="1:18">
      <c r="A27" s="79" t="s">
        <v>1</v>
      </c>
      <c r="B27" s="141"/>
      <c r="C27" s="105" t="s">
        <v>324</v>
      </c>
      <c r="D27" s="84"/>
      <c r="E27" s="140" t="str">
        <f>IF($C27&lt;&gt;0,VLOOKUP($C27,'[1]Course Table'!$A$1:$G$330,2,TRUE),"")</f>
        <v>Customer Service</v>
      </c>
      <c r="F27" s="84"/>
      <c r="G27" s="84">
        <f t="shared" si="0"/>
        <v>30</v>
      </c>
      <c r="H27" s="100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>549</v>
      </c>
      <c r="I27" s="84">
        <f>IF($C27&lt;&gt;"",VLOOKUP($C27,'[1]Course Table'!$A$1:$G$330,5,FALSE),"")</f>
        <v>30</v>
      </c>
      <c r="J27" s="101">
        <f>IF(AND($C27&lt;&gt;"",A27&lt;&gt;"E"),VLOOKUP($C27,'[1]Course Table'!$A$1:$G$330,6,FALSE),"")</f>
        <v>0</v>
      </c>
      <c r="K27" s="101">
        <f>IF($C27&lt;&gt;"",VLOOKUP($C27,'[1]Course Table'!$A$1:$G$330,7,FALSE),"")</f>
        <v>0</v>
      </c>
      <c r="L27" s="84">
        <f t="shared" si="1"/>
        <v>26</v>
      </c>
      <c r="M27" s="84">
        <f>COUNTIF($J$6:$J27,$J27)</f>
        <v>20</v>
      </c>
      <c r="N27" s="84">
        <f>IF($C27&lt;&gt;"",VLOOKUP($C27,'[1]Course Table'!$A$1:$I$330,8,FALSE),"")</f>
        <v>9</v>
      </c>
      <c r="O27" s="84">
        <f>IF($C27&lt;&gt;"",VLOOKUP($C27,'[1]Course Table'!$A$1:$I$330,9,FALSE),"")</f>
        <v>1.5</v>
      </c>
      <c r="P27" s="84"/>
      <c r="Q27" s="84"/>
    </row>
    <row r="28" spans="1:18">
      <c r="A28" s="79" t="s">
        <v>0</v>
      </c>
      <c r="B28" s="141"/>
      <c r="C28" s="105" t="s">
        <v>762</v>
      </c>
      <c r="D28" s="84"/>
      <c r="E28" s="140" t="str">
        <f>IF($C28&lt;&gt;0,VLOOKUP($C28,'[1]Course Table'!$A$1:$G$330,2,TRUE),"")</f>
        <v>MS Outlook Level 1</v>
      </c>
      <c r="F28" s="84"/>
      <c r="G28" s="84">
        <f t="shared" si="0"/>
        <v>25</v>
      </c>
      <c r="H28" s="100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>389</v>
      </c>
      <c r="I28" s="84">
        <f>IF($C28&lt;&gt;"",VLOOKUP($C28,'[1]Course Table'!$A$1:$G$330,5,FALSE),"")</f>
        <v>25</v>
      </c>
      <c r="J28" s="101">
        <f>IF(AND($C28&lt;&gt;"",A28&lt;&gt;"E"),VLOOKUP($C28,'[1]Course Table'!$A$1:$G$330,6,FALSE),"")</f>
        <v>0</v>
      </c>
      <c r="K28" s="101">
        <f>IF($C28&lt;&gt;"",VLOOKUP($C28,'[1]Course Table'!$A$1:$G$330,7,FALSE),"")</f>
        <v>0</v>
      </c>
      <c r="L28" s="84">
        <f t="shared" si="1"/>
        <v>26</v>
      </c>
      <c r="M28" s="84">
        <f>COUNTIF($J$6:$J28,$J28)</f>
        <v>21</v>
      </c>
      <c r="N28" s="84">
        <f>IF($C28&lt;&gt;"",VLOOKUP($C28,'[1]Course Table'!$A$1:$I$330,8,FALSE),"")</f>
        <v>2</v>
      </c>
      <c r="O28" s="84">
        <f>IF($C28&lt;&gt;"",VLOOKUP($C28,'[1]Course Table'!$A$1:$I$330,9,FALSE),"")</f>
        <v>1.5</v>
      </c>
      <c r="P28" s="84"/>
      <c r="Q28" s="84"/>
    </row>
    <row r="29" spans="1:18">
      <c r="A29" s="79"/>
      <c r="B29" s="141"/>
      <c r="C29" s="105" t="s">
        <v>219</v>
      </c>
      <c r="D29" s="84"/>
      <c r="E29" s="140" t="str">
        <f>IF($C29&lt;&gt;0,VLOOKUP($C29,'[1]Course Table'!$A$1:$G$330,2,TRUE),"")</f>
        <v>Business Verbal Communication</v>
      </c>
      <c r="F29" s="84"/>
      <c r="G29" s="84">
        <f t="shared" si="0"/>
        <v>30</v>
      </c>
      <c r="H29" s="100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>479</v>
      </c>
      <c r="I29" s="84">
        <f>IF($C29&lt;&gt;"",VLOOKUP($C29,'[1]Course Table'!$A$1:$G$330,5,FALSE),"")</f>
        <v>30</v>
      </c>
      <c r="J29" s="101">
        <f>IF(AND($C29&lt;&gt;"",A29&lt;&gt;"E"),VLOOKUP($C29,'[1]Course Table'!$A$1:$G$330,6,FALSE),"")</f>
        <v>0</v>
      </c>
      <c r="K29" s="101">
        <f>IF($C29&lt;&gt;"",VLOOKUP($C29,'[1]Course Table'!$A$1:$G$330,7,FALSE),"")</f>
        <v>0</v>
      </c>
      <c r="L29" s="84">
        <f t="shared" si="1"/>
        <v>26</v>
      </c>
      <c r="M29" s="84">
        <f>COUNTIF($J$6:$J29,$J29)</f>
        <v>22</v>
      </c>
      <c r="N29" s="84">
        <f>IF($C29&lt;&gt;"",VLOOKUP($C29,'[1]Course Table'!$A$1:$I$330,8,FALSE),"")</f>
        <v>9</v>
      </c>
      <c r="O29" s="84">
        <f>IF($C29&lt;&gt;"",VLOOKUP($C29,'[1]Course Table'!$A$1:$I$330,9,FALSE),"")</f>
        <v>1.5</v>
      </c>
      <c r="P29" s="84"/>
      <c r="Q29" s="84"/>
    </row>
    <row r="30" spans="1:18">
      <c r="A30" s="79"/>
      <c r="B30" s="141"/>
      <c r="C30" s="105" t="s">
        <v>174</v>
      </c>
      <c r="D30" s="84"/>
      <c r="E30" s="140" t="str">
        <f>IF($C30&lt;&gt;0,VLOOKUP($C30,'[1]Course Table'!$A$1:$G$330,2,TRUE),"")</f>
        <v>Business Supervisory Skills</v>
      </c>
      <c r="F30" s="84"/>
      <c r="G30" s="84">
        <f t="shared" si="0"/>
        <v>30</v>
      </c>
      <c r="H30" s="100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>479</v>
      </c>
      <c r="I30" s="84">
        <f>IF($C30&lt;&gt;"",VLOOKUP($C30,'[1]Course Table'!$A$1:$G$330,5,FALSE),"")</f>
        <v>30</v>
      </c>
      <c r="J30" s="101">
        <f>IF(AND($C30&lt;&gt;"",A30&lt;&gt;"E"),VLOOKUP($C30,'[1]Course Table'!$A$1:$G$330,6,FALSE),"")</f>
        <v>0</v>
      </c>
      <c r="K30" s="101">
        <f>IF($C30&lt;&gt;"",VLOOKUP($C30,'[1]Course Table'!$A$1:$G$330,7,FALSE),"")</f>
        <v>0</v>
      </c>
      <c r="L30" s="84">
        <f t="shared" si="1"/>
        <v>26</v>
      </c>
      <c r="M30" s="84">
        <f>COUNTIF($J$6:$J30,$J30)</f>
        <v>23</v>
      </c>
      <c r="N30" s="84">
        <f>IF($C30&lt;&gt;"",VLOOKUP($C30,'[1]Course Table'!$A$1:$I$330,8,FALSE),"")</f>
        <v>9</v>
      </c>
      <c r="O30" s="84">
        <f>IF($C30&lt;&gt;"",VLOOKUP($C30,'[1]Course Table'!$A$1:$I$330,9,FALSE),"")</f>
        <v>1.5</v>
      </c>
      <c r="P30" s="84"/>
      <c r="Q30" s="84"/>
    </row>
    <row r="31" spans="1:18">
      <c r="A31" s="79"/>
      <c r="B31" s="141"/>
      <c r="C31" s="105" t="s">
        <v>23</v>
      </c>
      <c r="D31" s="84"/>
      <c r="E31" s="140" t="str">
        <f>IF($C31&lt;&gt;0,VLOOKUP($C31,'[1]Course Table'!$A$1:$G$330,2,TRUE),"")</f>
        <v>Practical Applications - 2 Units</v>
      </c>
      <c r="F31" s="84"/>
      <c r="G31" s="84">
        <f t="shared" si="0"/>
        <v>40</v>
      </c>
      <c r="H31" s="100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>689</v>
      </c>
      <c r="I31" s="84">
        <f>IF($C31&lt;&gt;"",VLOOKUP($C31,'[1]Course Table'!$A$1:$G$330,5,FALSE),"")</f>
        <v>40</v>
      </c>
      <c r="J31" s="101">
        <f>IF(AND($C31&lt;&gt;"",A31&lt;&gt;"E"),VLOOKUP($C31,'[1]Course Table'!$A$1:$G$330,6,FALSE),"")</f>
        <v>0</v>
      </c>
      <c r="K31" s="101">
        <f>IF($C31&lt;&gt;"",VLOOKUP($C31,'[1]Course Table'!$A$1:$G$330,7,FALSE),"")</f>
        <v>0</v>
      </c>
      <c r="L31" s="84">
        <f t="shared" si="1"/>
        <v>26</v>
      </c>
      <c r="M31" s="84">
        <f>COUNTIF($J$6:$J31,$J31)</f>
        <v>24</v>
      </c>
      <c r="N31" s="84">
        <f>IF($C31&lt;&gt;"",VLOOKUP($C31,'[1]Course Table'!$A$1:$I$330,8,FALSE),"")</f>
        <v>2</v>
      </c>
      <c r="O31" s="84">
        <f>IF($C31&lt;&gt;"",VLOOKUP($C31,'[1]Course Table'!$A$1:$I$330,9,FALSE),"")</f>
        <v>0</v>
      </c>
      <c r="P31" s="84"/>
      <c r="Q31" s="84"/>
    </row>
    <row r="32" spans="1:18">
      <c r="A32" s="79" t="s">
        <v>0</v>
      </c>
      <c r="B32" s="141"/>
      <c r="C32" s="105" t="s">
        <v>249</v>
      </c>
      <c r="D32" s="84"/>
      <c r="E32" s="140" t="str">
        <f>IF($C32&lt;&gt;0,VLOOKUP($C32,'[1]Course Table'!$A$1:$G$330,2,TRUE),"")</f>
        <v>Job Search/Resume Writing</v>
      </c>
      <c r="F32" s="84"/>
      <c r="G32" s="84">
        <f t="shared" si="0"/>
        <v>30</v>
      </c>
      <c r="H32" s="100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>579</v>
      </c>
      <c r="I32" s="84">
        <f>IF($C32&lt;&gt;"",VLOOKUP($C32,'[1]Course Table'!$A$1:$G$330,5,FALSE),"")</f>
        <v>30</v>
      </c>
      <c r="J32" s="101">
        <f>IF(AND($C32&lt;&gt;"",A32&lt;&gt;"E"),VLOOKUP($C32,'[1]Course Table'!$A$1:$G$330,6,FALSE),"")</f>
        <v>0</v>
      </c>
      <c r="K32" s="101">
        <f>IF($C32&lt;&gt;"",VLOOKUP($C32,'[1]Course Table'!$A$1:$G$330,7,FALSE),"")</f>
        <v>0</v>
      </c>
      <c r="L32" s="84">
        <f t="shared" si="1"/>
        <v>26</v>
      </c>
      <c r="M32" s="84">
        <f>COUNTIF($J$6:$J32,$J32)</f>
        <v>25</v>
      </c>
      <c r="N32" s="84">
        <f>IF($C32&lt;&gt;"",VLOOKUP($C32,'[1]Course Table'!$A$1:$I$330,8,FALSE),"")</f>
        <v>15</v>
      </c>
      <c r="O32" s="84">
        <f>IF($C32&lt;&gt;"",VLOOKUP($C32,'[1]Course Table'!$A$1:$I$330,9,FALSE),"")</f>
        <v>1.5</v>
      </c>
      <c r="P32" s="84"/>
      <c r="Q32" s="84"/>
      <c r="R32" s="90"/>
    </row>
    <row r="33" spans="1:18">
      <c r="A33" s="79" t="s">
        <v>0</v>
      </c>
      <c r="B33" s="141"/>
      <c r="C33" s="105" t="s">
        <v>428</v>
      </c>
      <c r="D33" s="84"/>
      <c r="E33" s="140" t="str">
        <f>IF($C33&lt;&gt;0,VLOOKUP($C33,'[1]Course Table'!$A$1:$G$330,2,TRUE),"")</f>
        <v>Study/Review - Accounting and Payroll Admin - BC</v>
      </c>
      <c r="F33" s="84"/>
      <c r="G33" s="84">
        <f t="shared" si="0"/>
        <v>88</v>
      </c>
      <c r="H33" s="100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>382</v>
      </c>
      <c r="I33" s="84">
        <f>IF($C33&lt;&gt;"",VLOOKUP($C33,'[1]Course Table'!$A$1:$G$330,5,FALSE),"")</f>
        <v>88</v>
      </c>
      <c r="J33" s="101">
        <f>IF(AND($C33&lt;&gt;"",A33&lt;&gt;"E"),VLOOKUP($C33,'[1]Course Table'!$A$1:$G$330,6,FALSE),"")</f>
        <v>0</v>
      </c>
      <c r="K33" s="101">
        <f>IF($C33&lt;&gt;"",VLOOKUP($C33,'[1]Course Table'!$A$1:$G$330,7,FALSE),"")</f>
        <v>0</v>
      </c>
      <c r="L33" s="84">
        <f t="shared" si="1"/>
        <v>26</v>
      </c>
      <c r="M33" s="84">
        <f>COUNTIF($J$6:$J33,$J33)</f>
        <v>26</v>
      </c>
      <c r="N33" s="84">
        <f>IF($C33&lt;&gt;"",VLOOKUP($C33,'[1]Course Table'!$A$1:$I$330,8,FALSE),"")</f>
        <v>99</v>
      </c>
      <c r="O33" s="84">
        <f>IF($C33&lt;&gt;"",VLOOKUP($C33,'[1]Course Table'!$A$1:$I$330,9,FALSE),"")</f>
        <v>4.5</v>
      </c>
      <c r="P33" s="84"/>
      <c r="Q33" s="84"/>
      <c r="R33" s="90"/>
    </row>
    <row r="34" spans="1:18">
      <c r="A34" s="79" t="s">
        <v>0</v>
      </c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9</v>
      </c>
      <c r="M34" s="84">
        <f>COUNTIF($J$6:$J34,$J34)</f>
        <v>3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 t="s">
        <v>0</v>
      </c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9</v>
      </c>
      <c r="M35" s="84">
        <f>COUNTIF($J$6:$J35,$J35)</f>
        <v>4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9</v>
      </c>
      <c r="M36" s="84">
        <f>COUNTIF($J$6:$J36,$J36)</f>
        <v>5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9</v>
      </c>
      <c r="M37" s="84">
        <f>COUNTIF($J$6:$J37,$J37)</f>
        <v>6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9</v>
      </c>
      <c r="M38" s="84">
        <f>COUNTIF($J$6:$J38,$J38)</f>
        <v>7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9</v>
      </c>
      <c r="M39" s="84">
        <f>COUNTIF($J$6:$J39,$J39)</f>
        <v>8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>I40</f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9</v>
      </c>
      <c r="M40" s="84">
        <f>COUNTIF($J$6:$J40,$J40)</f>
        <v>9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15180</v>
      </c>
      <c r="I41" s="115">
        <f>SUM(I6:I40)</f>
        <v>996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- 908          Exam &amp; Review Hours - 88          Total Course Hours - 996</v>
      </c>
      <c r="E42" s="301"/>
      <c r="F42" s="301"/>
      <c r="G42" s="301"/>
      <c r="H42" s="117">
        <f>ROUNDUP(H41/(I41+C43),2)</f>
        <v>15.25</v>
      </c>
    </row>
    <row r="43" spans="1:18" s="90" customFormat="1" ht="12.6" customHeight="1">
      <c r="C43" s="90">
        <f>ROUNDUP(I41*C42,0)</f>
        <v>0</v>
      </c>
      <c r="D43" s="300" t="str">
        <f>CONCATENATE("Duration at 20 Hrs/Week:",ROUND((I41+C43)/(20.5*4.33),1)," Months (",ROUND((I41+C43)/20.5,0)," Weeks); at 25 Hrs/Week:",ROUND((I41+C43)/(25*4.33),1)," Months (",ROUND((I41+C43)/25,0)," Weeks)","; +2 weeks holiday")</f>
        <v>Duration at 20 Hrs/Week:11.2 Months (49 Weeks); at 25 Hrs/Week:9.2 Months (40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88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$15534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H48" s="302"/>
      <c r="I48" s="302"/>
      <c r="J48" s="144"/>
      <c r="N48" s="84" t="s">
        <v>19</v>
      </c>
      <c r="O48" s="78">
        <f>SUM(O6:O40)</f>
        <v>48.5</v>
      </c>
    </row>
    <row r="49" spans="4:33" ht="13.5" customHeight="1">
      <c r="D49" s="113"/>
      <c r="E49" s="145"/>
      <c r="F49" s="74"/>
      <c r="G49" s="74"/>
      <c r="H49" s="302"/>
      <c r="I49" s="302"/>
      <c r="J49" s="144"/>
      <c r="N49" s="78">
        <f>SUMIF($N$6:$N$40,Summary!N4,$O$6:$O$40)</f>
        <v>0</v>
      </c>
      <c r="O49" s="78">
        <f>SUMIF($N$6:$N$40,Summary!O4,$O$6:$O$40)</f>
        <v>2.5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1.5</v>
      </c>
      <c r="S49" s="78">
        <f>SUMIF($N$6:$N$40,Summary!S4,$O$6:$O$40)</f>
        <v>0</v>
      </c>
      <c r="T49" s="78">
        <f>SUMIF($N$6:$N$40,Summary!T4,$O$6:$O$40)</f>
        <v>16</v>
      </c>
      <c r="U49" s="78">
        <f>SUMIF($N$6:$N$40,Summary!U4,$O$6:$O$40)</f>
        <v>1</v>
      </c>
      <c r="V49" s="78">
        <f>SUMIF($N$6:$N$40,Summary!V4,$O$6:$O$40)</f>
        <v>13.5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2.5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145"/>
      <c r="F50" s="74"/>
      <c r="G50" s="74"/>
      <c r="H50" s="302"/>
      <c r="I50" s="302"/>
      <c r="J50" s="144"/>
    </row>
    <row r="51" spans="4:33" ht="13.5" customHeight="1">
      <c r="D51" s="113"/>
      <c r="E51" s="145"/>
      <c r="F51" s="74"/>
      <c r="G51" s="74"/>
      <c r="H51" s="302"/>
      <c r="I51" s="302"/>
      <c r="J51" s="144"/>
    </row>
    <row r="52" spans="4:33">
      <c r="D52" s="113"/>
      <c r="E52" s="74"/>
      <c r="F52" s="74"/>
      <c r="G52" s="74"/>
    </row>
  </sheetData>
  <sheetProtection selectLockedCells="1" selectUnlockedCells="1"/>
  <mergeCells count="10">
    <mergeCell ref="H48:I48"/>
    <mergeCell ref="H49:I49"/>
    <mergeCell ref="H50:I50"/>
    <mergeCell ref="H51:I51"/>
    <mergeCell ref="F1:G1"/>
    <mergeCell ref="D45:G45"/>
    <mergeCell ref="F2:G2"/>
    <mergeCell ref="D42:G42"/>
    <mergeCell ref="D43:G43"/>
    <mergeCell ref="D4:F4"/>
  </mergeCells>
  <phoneticPr fontId="0" type="noConversion"/>
  <pageMargins left="0.74803149606299213" right="0.70866141732283472" top="0.6" bottom="0.27559055118110237" header="0" footer="0"/>
  <pageSetup orientation="portrait" horizontalDpi="36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tabColor indexed="10"/>
    <pageSetUpPr fitToPage="1"/>
  </sheetPr>
  <dimension ref="A1:AG52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193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395</v>
      </c>
      <c r="E4" s="299"/>
      <c r="F4" s="299"/>
      <c r="G4" s="92" t="s">
        <v>499</v>
      </c>
      <c r="H4" s="100"/>
      <c r="I4" s="84" t="s">
        <v>7</v>
      </c>
      <c r="P4" s="84"/>
      <c r="Q4" s="84"/>
    </row>
    <row r="5" spans="1:17">
      <c r="A5" s="90" t="s">
        <v>658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138"/>
      <c r="B6" s="139"/>
      <c r="C6" s="73" t="s">
        <v>388</v>
      </c>
      <c r="D6" s="99"/>
      <c r="E6" s="140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20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/>
      <c r="B7" s="141"/>
      <c r="C7" s="105" t="s">
        <v>390</v>
      </c>
      <c r="D7" s="99"/>
      <c r="E7" s="140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20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/>
      <c r="B8" s="141"/>
      <c r="C8" s="105" t="s">
        <v>580</v>
      </c>
      <c r="D8" s="84"/>
      <c r="E8" s="140" t="str">
        <f>IF($C8&lt;&gt;0,VLOOKUP($C8,'[1]Course Table'!$A$1:$G$330,2,TRUE),"")</f>
        <v>Personal Computer Fundamentals</v>
      </c>
      <c r="F8" s="84"/>
      <c r="G8" s="84">
        <f t="shared" si="1"/>
        <v>24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24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20</v>
      </c>
      <c r="M8" s="84">
        <f>COUNTIF($J$6:$J8,$J8)</f>
        <v>3</v>
      </c>
      <c r="N8" s="84">
        <f>IF($C8&lt;&gt;"",VLOOKUP($C8,'[1]Course Table'!$A$1:$I$330,8,FALSE),"")</f>
        <v>2</v>
      </c>
      <c r="O8" s="84">
        <f>IF($C8&lt;&gt;"",VLOOKUP($C8,'[1]Course Table'!$A$1:$I$330,9,FALSE),"")</f>
        <v>1</v>
      </c>
      <c r="P8" s="84"/>
      <c r="Q8" s="84"/>
    </row>
    <row r="9" spans="1:17">
      <c r="A9" s="79"/>
      <c r="B9" s="141"/>
      <c r="C9" s="105" t="s">
        <v>463</v>
      </c>
      <c r="D9" s="84"/>
      <c r="E9" s="140" t="str">
        <f>IF($C9&lt;&gt;0,VLOOKUP($C9,'[1]Course Table'!$A$1:$G$330,2,TRUE),"")</f>
        <v>Windows 10 Level 1</v>
      </c>
      <c r="F9" s="84"/>
      <c r="G9" s="84">
        <f t="shared" si="1"/>
        <v>21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21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20</v>
      </c>
      <c r="M9" s="84">
        <f>COUNTIF($J$6:$J9,$J9)</f>
        <v>4</v>
      </c>
      <c r="N9" s="84">
        <f>IF($C9&lt;&gt;"",VLOOKUP($C9,'[1]Course Table'!$A$1:$I$330,8,FALSE),"")</f>
        <v>8</v>
      </c>
      <c r="O9" s="84">
        <f>IF($C9&lt;&gt;"",VLOOKUP($C9,'[1]Course Table'!$A$1:$I$330,9,FALSE),"")</f>
        <v>1</v>
      </c>
      <c r="P9" s="84"/>
      <c r="Q9" s="84"/>
    </row>
    <row r="10" spans="1:17">
      <c r="A10" s="79"/>
      <c r="B10" s="141"/>
      <c r="C10" s="105" t="s">
        <v>757</v>
      </c>
      <c r="D10" s="84"/>
      <c r="E10" s="140" t="str">
        <f>IF($C10&lt;&gt;0,VLOOKUP($C10,'[1]Course Table'!$A$1:$G$330,2,TRUE),"")</f>
        <v>MS Word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20</v>
      </c>
      <c r="M10" s="84">
        <f>COUNTIF($J$6:$J10,$J10)</f>
        <v>5</v>
      </c>
      <c r="N10" s="84">
        <f>IF($C10&lt;&gt;"",VLOOKUP($C10,'[1]Course Table'!$A$1:$I$330,8,FALSE),"")</f>
        <v>3</v>
      </c>
      <c r="O10" s="84">
        <f>IF($C10&lt;&gt;"",VLOOKUP($C10,'[1]Course Table'!$A$1:$I$330,9,FALSE),"")</f>
        <v>1.5</v>
      </c>
      <c r="P10" s="84"/>
      <c r="Q10" s="84"/>
    </row>
    <row r="11" spans="1:17">
      <c r="A11" s="79"/>
      <c r="B11" s="141"/>
      <c r="C11" s="105" t="s">
        <v>758</v>
      </c>
      <c r="D11" s="84"/>
      <c r="E11" s="140" t="str">
        <f>IF($C11&lt;&gt;0,VLOOKUP($C11,'[1]Course Table'!$A$1:$G$330,2,TRUE),"")</f>
        <v>MS Word Level 2</v>
      </c>
      <c r="F11" s="84"/>
      <c r="G11" s="84">
        <f t="shared" si="1"/>
        <v>37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37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20</v>
      </c>
      <c r="M11" s="84">
        <f>COUNTIF($J$6:$J11,$J11)</f>
        <v>6</v>
      </c>
      <c r="N11" s="84">
        <f>IF($C11&lt;&gt;"",VLOOKUP($C11,'[1]Course Table'!$A$1:$I$330,8,FALSE),"")</f>
        <v>3</v>
      </c>
      <c r="O11" s="84">
        <f>IF($C11&lt;&gt;"",VLOOKUP($C11,'[1]Course Table'!$A$1:$I$330,9,FALSE),"")</f>
        <v>2</v>
      </c>
      <c r="P11" s="84"/>
      <c r="Q11" s="84"/>
    </row>
    <row r="12" spans="1:17">
      <c r="A12" s="79"/>
      <c r="B12" s="141"/>
      <c r="C12" s="105" t="s">
        <v>763</v>
      </c>
      <c r="D12" s="84"/>
      <c r="E12" s="140" t="str">
        <f>IF($C12&lt;&gt;0,VLOOKUP($C12,'[1]Course Table'!$A$1:$G$330,2,TRUE),"")</f>
        <v>MS Excel Level 1</v>
      </c>
      <c r="F12" s="84"/>
      <c r="G12" s="84">
        <f t="shared" si="1"/>
        <v>28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28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20</v>
      </c>
      <c r="M12" s="84">
        <f>COUNTIF($J$6:$J12,$J12)</f>
        <v>7</v>
      </c>
      <c r="N12" s="84">
        <f>IF($C12&lt;&gt;"",VLOOKUP($C12,'[1]Course Table'!$A$1:$I$330,8,FALSE),"")</f>
        <v>4</v>
      </c>
      <c r="O12" s="84">
        <f>IF($C12&lt;&gt;"",VLOOKUP($C12,'[1]Course Table'!$A$1:$I$330,9,FALSE),"")</f>
        <v>1.5</v>
      </c>
      <c r="P12" s="84"/>
      <c r="Q12" s="84"/>
    </row>
    <row r="13" spans="1:17">
      <c r="A13" s="79"/>
      <c r="B13" s="141"/>
      <c r="C13" s="105" t="s">
        <v>765</v>
      </c>
      <c r="D13" s="84"/>
      <c r="E13" s="140" t="str">
        <f>IF($C13&lt;&gt;0,VLOOKUP($C13,'[1]Course Table'!$A$1:$G$330,2,TRUE),"")</f>
        <v>MS Excel Level 2</v>
      </c>
      <c r="F13" s="84"/>
      <c r="G13" s="84">
        <f t="shared" si="1"/>
        <v>35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389</v>
      </c>
      <c r="I13" s="84">
        <f>IF($C13&lt;&gt;"",VLOOKUP($C13,'[1]Course Table'!$A$1:$G$330,5,FALSE),"")</f>
        <v>35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20</v>
      </c>
      <c r="M13" s="84">
        <f>COUNTIF($J$6:$J13,$J13)</f>
        <v>8</v>
      </c>
      <c r="N13" s="84">
        <f>IF($C13&lt;&gt;"",VLOOKUP($C13,'[1]Course Table'!$A$1:$I$330,8,FALSE),"")</f>
        <v>4</v>
      </c>
      <c r="O13" s="84">
        <f>IF($C13&lt;&gt;"",VLOOKUP($C13,'[1]Course Table'!$A$1:$I$330,9,FALSE),"")</f>
        <v>2</v>
      </c>
      <c r="P13" s="84"/>
      <c r="Q13" s="84"/>
    </row>
    <row r="14" spans="1:17">
      <c r="A14" s="79"/>
      <c r="B14" s="141"/>
      <c r="C14" s="105" t="s">
        <v>462</v>
      </c>
      <c r="D14" s="84"/>
      <c r="E14" s="140" t="str">
        <f>IF($C14&lt;&gt;0,VLOOKUP($C14,'[1]Course Table'!$A$1:$G$330,2,TRUE),"")</f>
        <v>Internet Fundamentals</v>
      </c>
      <c r="F14" s="84"/>
      <c r="G14" s="84">
        <f t="shared" si="1"/>
        <v>22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389</v>
      </c>
      <c r="I14" s="84">
        <f>IF($C14&lt;&gt;"",VLOOKUP($C14,'[1]Course Table'!$A$1:$G$330,5,FALSE),"")</f>
        <v>22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20</v>
      </c>
      <c r="M14" s="84">
        <f>COUNTIF($J$6:$J14,$J14)</f>
        <v>9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</v>
      </c>
      <c r="P14" s="84"/>
      <c r="Q14" s="84"/>
    </row>
    <row r="15" spans="1:17">
      <c r="A15" s="79"/>
      <c r="B15" s="141"/>
      <c r="C15" s="105" t="s">
        <v>762</v>
      </c>
      <c r="D15" s="84"/>
      <c r="E15" s="140" t="str">
        <f>IF($C15&lt;&gt;0,VLOOKUP($C15,'[1]Course Table'!$A$1:$G$330,2,TRUE),"")</f>
        <v>MS Outlook Level 1</v>
      </c>
      <c r="F15" s="84"/>
      <c r="G15" s="84">
        <f t="shared" si="1"/>
        <v>25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389</v>
      </c>
      <c r="I15" s="84">
        <f>IF($C15&lt;&gt;"",VLOOKUP($C15,'[1]Course Table'!$A$1:$G$330,5,FALSE),"")</f>
        <v>25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20</v>
      </c>
      <c r="M15" s="84">
        <f>COUNTIF($J$6:$J15,$J15)</f>
        <v>10</v>
      </c>
      <c r="N15" s="84">
        <f>IF($C15&lt;&gt;"",VLOOKUP($C15,'[1]Course Table'!$A$1:$I$330,8,FALSE),"")</f>
        <v>2</v>
      </c>
      <c r="O15" s="84">
        <f>IF($C15&lt;&gt;"",VLOOKUP($C15,'[1]Course Table'!$A$1:$I$330,9,FALSE),"")</f>
        <v>1.5</v>
      </c>
      <c r="P15" s="84"/>
      <c r="Q15" s="84"/>
    </row>
    <row r="16" spans="1:17">
      <c r="A16" s="79"/>
      <c r="B16" s="141"/>
      <c r="C16" s="105" t="s">
        <v>180</v>
      </c>
      <c r="D16" s="84"/>
      <c r="E16" s="140" t="str">
        <f>IF($C16&lt;&gt;0,VLOOKUP($C16,'[1]Course Table'!$A$1:$G$330,2,TRUE),"")</f>
        <v>Business Math</v>
      </c>
      <c r="F16" s="84"/>
      <c r="G16" s="84">
        <f t="shared" si="1"/>
        <v>22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399</v>
      </c>
      <c r="I16" s="84">
        <f>IF($C16&lt;&gt;"",VLOOKUP($C16,'[1]Course Table'!$A$1:$G$330,5,FALSE),"")</f>
        <v>22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20</v>
      </c>
      <c r="M16" s="84">
        <f>COUNTIF($J$6:$J16,$J16)</f>
        <v>11</v>
      </c>
      <c r="N16" s="84">
        <f>IF($C16&lt;&gt;"",VLOOKUP($C16,'[1]Course Table'!$A$1:$I$330,8,FALSE),"")</f>
        <v>2</v>
      </c>
      <c r="O16" s="84">
        <f>IF($C16&lt;&gt;"",VLOOKUP($C16,'[1]Course Table'!$A$1:$I$330,9,FALSE),"")</f>
        <v>1</v>
      </c>
      <c r="P16" s="84"/>
      <c r="Q16" s="84"/>
    </row>
    <row r="17" spans="1:18">
      <c r="A17" s="79"/>
      <c r="B17" s="141"/>
      <c r="C17" s="105" t="s">
        <v>123</v>
      </c>
      <c r="D17" s="84"/>
      <c r="E17" s="140" t="str">
        <f>IF($C17&lt;&gt;0,VLOOKUP($C17,'[1]Course Table'!$A$1:$G$330,2,TRUE),"")</f>
        <v>Basic Bookkeeping Level 1</v>
      </c>
      <c r="F17" s="84"/>
      <c r="G17" s="84">
        <f t="shared" si="1"/>
        <v>30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499</v>
      </c>
      <c r="I17" s="84">
        <f>IF($C17&lt;&gt;"",VLOOKUP($C17,'[1]Course Table'!$A$1:$G$330,5,FALSE),"")</f>
        <v>30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20</v>
      </c>
      <c r="M17" s="84">
        <f>COUNTIF($J$6:$J17,$J17)</f>
        <v>12</v>
      </c>
      <c r="N17" s="84">
        <f>IF($C17&lt;&gt;"",VLOOKUP($C17,'[1]Course Table'!$A$1:$I$330,8,FALSE),"")</f>
        <v>9</v>
      </c>
      <c r="O17" s="84">
        <f>IF($C17&lt;&gt;"",VLOOKUP($C17,'[1]Course Table'!$A$1:$I$330,9,FALSE),"")</f>
        <v>1.5</v>
      </c>
      <c r="P17" s="84"/>
      <c r="Q17" s="84"/>
    </row>
    <row r="18" spans="1:18">
      <c r="A18" s="79"/>
      <c r="B18" s="141"/>
      <c r="C18" s="105" t="s">
        <v>124</v>
      </c>
      <c r="D18" s="84"/>
      <c r="E18" s="140" t="str">
        <f>IF($C18&lt;&gt;0,VLOOKUP($C18,'[1]Course Table'!$A$1:$G$330,2,TRUE),"")</f>
        <v>Basic Bookkeeping Level 2</v>
      </c>
      <c r="F18" s="84"/>
      <c r="G18" s="84">
        <f t="shared" si="1"/>
        <v>20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449</v>
      </c>
      <c r="I18" s="84">
        <f>IF($C18&lt;&gt;"",VLOOKUP($C18,'[1]Course Table'!$A$1:$G$330,5,FALSE),"")</f>
        <v>20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20</v>
      </c>
      <c r="M18" s="84">
        <f>COUNTIF($J$6:$J18,$J18)</f>
        <v>13</v>
      </c>
      <c r="N18" s="84">
        <f>IF($C18&lt;&gt;"",VLOOKUP($C18,'[1]Course Table'!$A$1:$I$330,8,FALSE),"")</f>
        <v>9</v>
      </c>
      <c r="O18" s="84">
        <f>IF($C18&lt;&gt;"",VLOOKUP($C18,'[1]Course Table'!$A$1:$I$330,9,FALSE),"")</f>
        <v>1</v>
      </c>
      <c r="P18" s="84"/>
      <c r="Q18" s="84"/>
    </row>
    <row r="19" spans="1:18">
      <c r="A19" s="79"/>
      <c r="B19" s="141"/>
      <c r="C19" s="105" t="s">
        <v>322</v>
      </c>
      <c r="D19" s="84"/>
      <c r="E19" s="140" t="str">
        <f>IF($C19&lt;&gt;0,VLOOKUP($C19,'[1]Course Table'!$A$1:$G$330,2,TRUE),"")</f>
        <v>Sage 50 Premium Accounting 2013</v>
      </c>
      <c r="F19" s="84"/>
      <c r="G19" s="84">
        <f t="shared" si="1"/>
        <v>46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799</v>
      </c>
      <c r="I19" s="84">
        <f>IF($C19&lt;&gt;"",VLOOKUP($C19,'[1]Course Table'!$A$1:$G$330,5,FALSE),"")</f>
        <v>46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20</v>
      </c>
      <c r="M19" s="84">
        <f>COUNTIF($J$6:$J19,$J19)</f>
        <v>14</v>
      </c>
      <c r="N19" s="84">
        <f>IF($C19&lt;&gt;"",VLOOKUP($C19,'[1]Course Table'!$A$1:$I$330,8,FALSE),"")</f>
        <v>7</v>
      </c>
      <c r="O19" s="84">
        <f>IF($C19&lt;&gt;"",VLOOKUP($C19,'[1]Course Table'!$A$1:$I$330,9,FALSE),"")</f>
        <v>2.5</v>
      </c>
      <c r="P19" s="84"/>
      <c r="Q19" s="84"/>
    </row>
    <row r="20" spans="1:18">
      <c r="A20" s="79"/>
      <c r="B20" s="141"/>
      <c r="C20" s="105" t="s">
        <v>570</v>
      </c>
      <c r="D20" s="84"/>
      <c r="E20" s="140" t="str">
        <f>IF($C20&lt;&gt;0,VLOOKUP($C20,'[1]Course Table'!$A$1:$G$330,2,TRUE),"")</f>
        <v>QuickBooks Premier 2019</v>
      </c>
      <c r="F20" s="84"/>
      <c r="G20" s="84">
        <f t="shared" si="1"/>
        <v>29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495</v>
      </c>
      <c r="I20" s="84">
        <f>IF($C20&lt;&gt;"",VLOOKUP($C20,'[1]Course Table'!$A$1:$G$330,5,FALSE),"")</f>
        <v>29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20</v>
      </c>
      <c r="M20" s="84">
        <f>COUNTIF($J$6:$J20,$J20)</f>
        <v>15</v>
      </c>
      <c r="N20" s="84">
        <f>IF($C20&lt;&gt;"",VLOOKUP($C20,'[1]Course Table'!$A$1:$I$330,8,FALSE),"")</f>
        <v>7</v>
      </c>
      <c r="O20" s="84">
        <f>IF($C20&lt;&gt;"",VLOOKUP($C20,'[1]Course Table'!$A$1:$I$330,9,FALSE),"")</f>
        <v>1.5</v>
      </c>
      <c r="P20" s="84"/>
      <c r="Q20" s="84"/>
    </row>
    <row r="21" spans="1:18">
      <c r="A21" s="79"/>
      <c r="B21" s="141"/>
      <c r="C21" s="104" t="s">
        <v>324</v>
      </c>
      <c r="D21" s="99"/>
      <c r="E21" s="140" t="str">
        <f>IF($C21&lt;&gt;0,VLOOKUP($C21,'[1]Course Table'!$A$1:$G$330,2,TRUE),"")</f>
        <v>Customer Service</v>
      </c>
      <c r="F21" s="84"/>
      <c r="G21" s="84">
        <f t="shared" si="1"/>
        <v>30</v>
      </c>
      <c r="H21" s="100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>549</v>
      </c>
      <c r="I21" s="84">
        <f>IF($C21&lt;&gt;"",VLOOKUP($C21,'[1]Course Table'!$A$1:$G$330,5,FALSE),"")</f>
        <v>30</v>
      </c>
      <c r="J21" s="101">
        <f>IF(AND($C21&lt;&gt;"",A21&lt;&gt;"E"),VLOOKUP($C21,'[1]Course Table'!$A$1:$G$330,6,FALSE),"")</f>
        <v>0</v>
      </c>
      <c r="K21" s="101">
        <f>IF($C21&lt;&gt;"",VLOOKUP($C21,'[1]Course Table'!$A$1:$G$330,7,FALSE),"")</f>
        <v>0</v>
      </c>
      <c r="L21" s="84">
        <f t="shared" si="0"/>
        <v>20</v>
      </c>
      <c r="M21" s="84">
        <f>COUNTIF($J$6:$J21,$J21)</f>
        <v>16</v>
      </c>
      <c r="N21" s="84">
        <f>IF($C21&lt;&gt;"",VLOOKUP($C21,'[1]Course Table'!$A$1:$I$330,8,FALSE),"")</f>
        <v>9</v>
      </c>
      <c r="O21" s="84">
        <f>IF($C21&lt;&gt;"",VLOOKUP($C21,'[1]Course Table'!$A$1:$I$330,9,FALSE),"")</f>
        <v>1.5</v>
      </c>
      <c r="P21" s="84"/>
      <c r="Q21" s="84"/>
    </row>
    <row r="22" spans="1:18">
      <c r="A22" s="79"/>
      <c r="B22" s="141"/>
      <c r="C22" s="105" t="s">
        <v>328</v>
      </c>
      <c r="D22" s="99"/>
      <c r="E22" s="140" t="str">
        <f>IF($C22&lt;&gt;0,VLOOKUP($C22,'[1]Course Table'!$A$1:$G$330,2,TRUE),"")</f>
        <v>Office Procedures Level 1</v>
      </c>
      <c r="F22" s="84"/>
      <c r="G22" s="84">
        <f t="shared" si="1"/>
        <v>24</v>
      </c>
      <c r="H22" s="100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>399</v>
      </c>
      <c r="I22" s="84">
        <f>IF($C22&lt;&gt;"",VLOOKUP($C22,'[1]Course Table'!$A$1:$G$330,5,FALSE),"")</f>
        <v>24</v>
      </c>
      <c r="J22" s="101">
        <f>IF(AND($C22&lt;&gt;"",A22&lt;&gt;"E"),VLOOKUP($C22,'[1]Course Table'!$A$1:$G$330,6,FALSE),"")</f>
        <v>0</v>
      </c>
      <c r="K22" s="101">
        <f>IF($C22&lt;&gt;"",VLOOKUP($C22,'[1]Course Table'!$A$1:$G$330,7,FALSE),"")</f>
        <v>0</v>
      </c>
      <c r="L22" s="84">
        <f t="shared" si="0"/>
        <v>20</v>
      </c>
      <c r="M22" s="84">
        <f>COUNTIF($J$6:$J22,$J22)</f>
        <v>17</v>
      </c>
      <c r="N22" s="84">
        <f>IF($C22&lt;&gt;"",VLOOKUP($C22,'[1]Course Table'!$A$1:$I$330,8,FALSE),"")</f>
        <v>2</v>
      </c>
      <c r="O22" s="84">
        <f>IF($C22&lt;&gt;"",VLOOKUP($C22,'[1]Course Table'!$A$1:$I$330,9,FALSE),"")</f>
        <v>1</v>
      </c>
    </row>
    <row r="23" spans="1:18">
      <c r="A23" s="79"/>
      <c r="B23" s="141"/>
      <c r="C23" s="105" t="s">
        <v>23</v>
      </c>
      <c r="D23" s="99"/>
      <c r="E23" s="140" t="str">
        <f>IF($C23&lt;&gt;0,VLOOKUP($C23,'[1]Course Table'!$A$1:$G$330,2,TRUE),"")</f>
        <v>Practical Applications - 2 Units</v>
      </c>
      <c r="F23" s="84"/>
      <c r="G23" s="84">
        <f t="shared" si="1"/>
        <v>40</v>
      </c>
      <c r="H23" s="100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>689</v>
      </c>
      <c r="I23" s="84">
        <f>IF($C23&lt;&gt;"",VLOOKUP($C23,'[1]Course Table'!$A$1:$G$330,5,FALSE),"")</f>
        <v>40</v>
      </c>
      <c r="J23" s="101">
        <f>IF(AND($C23&lt;&gt;"",A23&lt;&gt;"E"),VLOOKUP($C23,'[1]Course Table'!$A$1:$G$330,6,FALSE),"")</f>
        <v>0</v>
      </c>
      <c r="K23" s="101">
        <f>IF($C23&lt;&gt;"",VLOOKUP($C23,'[1]Course Table'!$A$1:$G$330,7,FALSE),"")</f>
        <v>0</v>
      </c>
      <c r="L23" s="84">
        <f t="shared" si="0"/>
        <v>20</v>
      </c>
      <c r="M23" s="84">
        <f>COUNTIF($J$6:$J23,$J23)</f>
        <v>18</v>
      </c>
      <c r="N23" s="84">
        <f>IF($C23&lt;&gt;"",VLOOKUP($C23,'[1]Course Table'!$A$1:$I$330,8,FALSE),"")</f>
        <v>2</v>
      </c>
      <c r="O23" s="84">
        <f>IF($C23&lt;&gt;"",VLOOKUP($C23,'[1]Course Table'!$A$1:$I$330,9,FALSE),"")</f>
        <v>0</v>
      </c>
      <c r="P23" s="84"/>
      <c r="Q23" s="84"/>
    </row>
    <row r="24" spans="1:18">
      <c r="A24" s="79"/>
      <c r="B24" s="141"/>
      <c r="C24" s="105" t="s">
        <v>249</v>
      </c>
      <c r="E24" s="140" t="str">
        <f>IF($C24&lt;&gt;0,VLOOKUP($C24,'[1]Course Table'!$A$1:$G$330,2,TRUE),"")</f>
        <v>Job Search/Resume Writing</v>
      </c>
      <c r="F24" s="84"/>
      <c r="G24" s="84">
        <f t="shared" si="1"/>
        <v>30</v>
      </c>
      <c r="H24" s="100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>579</v>
      </c>
      <c r="I24" s="84">
        <f>IF($C24&lt;&gt;"",VLOOKUP($C24,'[1]Course Table'!$A$1:$G$330,5,FALSE),"")</f>
        <v>30</v>
      </c>
      <c r="J24" s="101">
        <f>IF(AND($C24&lt;&gt;"",A24&lt;&gt;"E"),VLOOKUP($C24,'[1]Course Table'!$A$1:$G$330,6,FALSE),"")</f>
        <v>0</v>
      </c>
      <c r="K24" s="101">
        <f>IF($C24&lt;&gt;"",VLOOKUP($C24,'[1]Course Table'!$A$1:$G$330,7,FALSE),"")</f>
        <v>0</v>
      </c>
      <c r="L24" s="84">
        <f t="shared" si="0"/>
        <v>20</v>
      </c>
      <c r="M24" s="84">
        <f>COUNTIF($J$6:$J24,$J24)</f>
        <v>19</v>
      </c>
      <c r="N24" s="84">
        <f>IF($C24&lt;&gt;"",VLOOKUP($C24,'[1]Course Table'!$A$1:$I$330,8,FALSE),"")</f>
        <v>15</v>
      </c>
      <c r="O24" s="84">
        <f>IF($C24&lt;&gt;"",VLOOKUP($C24,'[1]Course Table'!$A$1:$I$330,9,FALSE),"")</f>
        <v>1.5</v>
      </c>
      <c r="P24" s="84"/>
      <c r="Q24" s="84"/>
    </row>
    <row r="25" spans="1:18">
      <c r="A25" s="79"/>
      <c r="B25" s="141"/>
      <c r="C25" s="105" t="s">
        <v>434</v>
      </c>
      <c r="D25" s="84"/>
      <c r="E25" s="140" t="str">
        <f>IF($C25&lt;&gt;0,VLOOKUP($C25,'[1]Course Table'!$A$1:$G$330,2,TRUE),"")</f>
        <v>Study/Review - Accounting Bookeepers - Cert - BC</v>
      </c>
      <c r="F25" s="84"/>
      <c r="G25" s="84">
        <f t="shared" si="1"/>
        <v>54</v>
      </c>
      <c r="H25" s="100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>0</v>
      </c>
      <c r="I25" s="84">
        <f>IF($C25&lt;&gt;"",VLOOKUP($C25,'[1]Course Table'!$A$1:$G$330,5,FALSE),"")</f>
        <v>54</v>
      </c>
      <c r="J25" s="101">
        <f>IF(AND($C25&lt;&gt;"",A25&lt;&gt;"E"),VLOOKUP($C25,'[1]Course Table'!$A$1:$G$330,6,FALSE),"")</f>
        <v>0</v>
      </c>
      <c r="K25" s="101">
        <f>IF($C25&lt;&gt;"",VLOOKUP($C25,'[1]Course Table'!$A$1:$G$330,7,FALSE),"")</f>
        <v>0</v>
      </c>
      <c r="L25" s="84">
        <f t="shared" si="0"/>
        <v>20</v>
      </c>
      <c r="M25" s="84">
        <f>COUNTIF($J$6:$J25,$J25)</f>
        <v>20</v>
      </c>
      <c r="N25" s="84">
        <f>IF($C25&lt;&gt;"",VLOOKUP($C25,'[1]Course Table'!$A$1:$I$330,8,FALSE),"")</f>
        <v>99</v>
      </c>
      <c r="O25" s="84">
        <f>IF($C25&lt;&gt;"",VLOOKUP($C25,'[1]Course Table'!$A$1:$I$330,9,FALSE),"")</f>
        <v>2.5</v>
      </c>
      <c r="P25" s="84"/>
      <c r="Q25" s="84"/>
    </row>
    <row r="26" spans="1:18">
      <c r="A26" s="79"/>
      <c r="B26" s="141"/>
      <c r="C26" s="105"/>
      <c r="D26" s="84"/>
      <c r="E26" s="140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15</v>
      </c>
      <c r="M26" s="84">
        <f>COUNTIF($J$6:$J26,$J26)</f>
        <v>1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41"/>
      <c r="C27" s="105"/>
      <c r="D27" s="84"/>
      <c r="E27" s="140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15</v>
      </c>
      <c r="M27" s="84">
        <f>COUNTIF($J$6:$J27,$J27)</f>
        <v>2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41"/>
      <c r="C28" s="105"/>
      <c r="D28" s="84"/>
      <c r="E28" s="140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15</v>
      </c>
      <c r="M28" s="84">
        <f>COUNTIF($J$6:$J28,$J28)</f>
        <v>3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41"/>
      <c r="C29" s="105"/>
      <c r="D29" s="84"/>
      <c r="E29" s="140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15</v>
      </c>
      <c r="M29" s="84">
        <f>COUNTIF($J$6:$J29,$J29)</f>
        <v>4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41"/>
      <c r="C30" s="105"/>
      <c r="D30" s="84"/>
      <c r="E30" s="140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15</v>
      </c>
      <c r="M30" s="84">
        <f>COUNTIF($J$6:$J30,$J30)</f>
        <v>5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41"/>
      <c r="C31" s="105"/>
      <c r="D31" s="84"/>
      <c r="E31" s="140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15</v>
      </c>
      <c r="M31" s="84">
        <f>COUNTIF($J$6:$J31,$J31)</f>
        <v>6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41"/>
      <c r="C32" s="105"/>
      <c r="D32" s="84"/>
      <c r="E32" s="140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15</v>
      </c>
      <c r="M32" s="84">
        <f>COUNTIF($J$6:$J32,$J32)</f>
        <v>7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18">
      <c r="A33" s="79"/>
      <c r="B33" s="141"/>
      <c r="C33" s="105"/>
      <c r="D33" s="84"/>
      <c r="E33" s="140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15</v>
      </c>
      <c r="M33" s="84">
        <f>COUNTIF($J$6:$J33,$J33)</f>
        <v>8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18">
      <c r="A34" s="79"/>
      <c r="B34" s="141"/>
      <c r="C34" s="105"/>
      <c r="D34" s="84"/>
      <c r="E34" s="140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15</v>
      </c>
      <c r="M34" s="84">
        <f>COUNTIF($J$6:$J34,$J34)</f>
        <v>9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18">
      <c r="A35" s="79"/>
      <c r="B35" s="141"/>
      <c r="C35" s="105"/>
      <c r="D35" s="84"/>
      <c r="E35" s="140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15</v>
      </c>
      <c r="M35" s="84">
        <f>COUNTIF($J$6:$J35,$J35)</f>
        <v>10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18">
      <c r="A36" s="79"/>
      <c r="B36" s="141"/>
      <c r="C36" s="105"/>
      <c r="D36" s="84"/>
      <c r="E36" s="140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15</v>
      </c>
      <c r="M36" s="84">
        <f>COUNTIF($J$6:$J36,$J36)</f>
        <v>11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18">
      <c r="A37" s="79"/>
      <c r="B37" s="141"/>
      <c r="C37" s="105"/>
      <c r="D37" s="84"/>
      <c r="E37" s="140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15</v>
      </c>
      <c r="M37" s="84">
        <f>COUNTIF($J$6:$J37,$J37)</f>
        <v>12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18">
      <c r="A38" s="79"/>
      <c r="B38" s="141"/>
      <c r="C38" s="105"/>
      <c r="D38" s="84"/>
      <c r="E38" s="140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15</v>
      </c>
      <c r="M38" s="84">
        <f>COUNTIF($J$6:$J38,$J38)</f>
        <v>13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18">
      <c r="A39" s="79"/>
      <c r="B39" s="141"/>
      <c r="C39" s="105"/>
      <c r="D39" s="84"/>
      <c r="E39" s="140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15</v>
      </c>
      <c r="M39" s="84">
        <f>COUNTIF($J$6:$J39,$J39)</f>
        <v>14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18" ht="17.25" thickBot="1">
      <c r="A40" s="108"/>
      <c r="B40" s="142"/>
      <c r="C40" s="110"/>
      <c r="D40" s="111"/>
      <c r="E40" s="143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15</v>
      </c>
      <c r="M40" s="84">
        <f>COUNTIF($J$6:$J40,$J40)</f>
        <v>15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18" s="90" customFormat="1" ht="13.5" customHeight="1" thickBot="1">
      <c r="C41" s="90" t="s">
        <v>17</v>
      </c>
      <c r="D41" s="113" t="s">
        <v>136</v>
      </c>
      <c r="E41" s="89"/>
      <c r="F41" s="89"/>
      <c r="G41" s="89"/>
      <c r="H41" s="114">
        <f>SUM(H6:H40)</f>
        <v>8707</v>
      </c>
      <c r="I41" s="115">
        <f>SUM(I6:I40)</f>
        <v>589</v>
      </c>
    </row>
    <row r="42" spans="1:18" s="90" customFormat="1" ht="12.75">
      <c r="C42" s="135">
        <v>0</v>
      </c>
      <c r="D42" s="301" t="str">
        <f>CONCATENATE("Course Hours - ",I41-C44,"          Exam &amp; Review Hours - ",C44,"          Total Course Hours - ",I41)</f>
        <v>Course Hours - 535          Exam &amp; Review Hours - 54          Total Course Hours - 589</v>
      </c>
      <c r="E42" s="301"/>
      <c r="F42" s="301"/>
      <c r="G42" s="301"/>
      <c r="H42" s="117">
        <f>ROUNDUP(H41/(I41+C43),2)</f>
        <v>14.79</v>
      </c>
    </row>
    <row r="43" spans="1:18" s="90" customFormat="1" ht="13.5" customHeight="1">
      <c r="C43" s="90">
        <f>ROUNDUP(I41*C42,0)</f>
        <v>0</v>
      </c>
      <c r="D43" s="300" t="str">
        <f>CONCATENATE("Duration at 20 Hrs/Week:",ROUND((I41+C43)/(20.5*4.33),1)," Months (",ROUND((I41+C43)/20.5,0)," Weeks); at 25 Hrs/Week:",ROUND((I41+C43)/(25*4.33),1)," Months (",ROUND((I41+C43)/25,0)," Weeks)","; +2 weeks holiday")</f>
        <v>Duration at 20 Hrs/Week:6.6 Months (29 Weeks); at 25 Hrs/Week:5.4 Months (24 Weeks); +2 weeks holiday</v>
      </c>
      <c r="E43" s="300"/>
      <c r="F43" s="300"/>
      <c r="G43" s="300"/>
      <c r="H43" s="118"/>
    </row>
    <row r="44" spans="1:18" s="84" customFormat="1" ht="13.5">
      <c r="C44" s="90">
        <f>VLOOKUP("SR"&amp;"*",$C$6:$G$40,5,FALSE)</f>
        <v>54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$9061</v>
      </c>
      <c r="E44" s="120"/>
      <c r="F44" s="120"/>
      <c r="G44" s="120"/>
      <c r="H44" s="100"/>
    </row>
    <row r="45" spans="1:18" s="84" customFormat="1" ht="13.5">
      <c r="D45" s="298" t="s">
        <v>150</v>
      </c>
      <c r="E45" s="298"/>
      <c r="F45" s="298"/>
      <c r="G45" s="298"/>
      <c r="H45" s="100"/>
    </row>
    <row r="46" spans="1:18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18" s="90" customFormat="1">
      <c r="A47" s="84"/>
      <c r="B47" s="84"/>
      <c r="C47" s="78"/>
      <c r="D47" s="113"/>
      <c r="E47" s="74"/>
      <c r="F47" s="74"/>
      <c r="G47" s="74"/>
      <c r="H47" s="93"/>
      <c r="I47" s="78"/>
    </row>
    <row r="48" spans="1:18" ht="13.5" customHeight="1">
      <c r="D48" s="113"/>
      <c r="E48" s="74"/>
      <c r="F48" s="74"/>
      <c r="G48" s="74"/>
      <c r="N48" s="84" t="s">
        <v>19</v>
      </c>
      <c r="O48" s="78">
        <f>SUM(O6:O40)</f>
        <v>28</v>
      </c>
    </row>
    <row r="49" spans="4:33" ht="13.5" customHeight="1">
      <c r="D49" s="113"/>
      <c r="E49" s="74"/>
      <c r="F49" s="74"/>
      <c r="G49" s="74"/>
      <c r="N49" s="78">
        <f>SUMIF($N$6:$N$40,Summary!N4,$O$6:$O$40)</f>
        <v>2.5</v>
      </c>
      <c r="O49" s="78">
        <f>SUMIF($N$6:$N$40,Summary!O4,$O$6:$O$40)</f>
        <v>5.5</v>
      </c>
      <c r="P49" s="78">
        <f>SUMIF($N$6:$N$40,Summary!P4,$O$6:$O$40)</f>
        <v>3.5</v>
      </c>
      <c r="Q49" s="78">
        <f>SUMIF($N$6:$N$40,Summary!Q4,$O$6:$O$40)</f>
        <v>3.5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1</v>
      </c>
      <c r="V49" s="78">
        <f>SUMIF($N$6:$N$40,Summary!V4,$O$6:$O$40)</f>
        <v>4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4:33" ht="13.5" customHeight="1">
      <c r="D50" s="113"/>
      <c r="E50" s="74"/>
      <c r="F50" s="74"/>
      <c r="G50" s="74"/>
    </row>
    <row r="51" spans="4:33" ht="13.5" customHeight="1">
      <c r="D51" s="113"/>
      <c r="E51" s="74"/>
      <c r="F51" s="74"/>
      <c r="G51" s="74"/>
    </row>
    <row r="52" spans="4:33">
      <c r="D52" s="113"/>
      <c r="E52" s="74"/>
      <c r="F52" s="74"/>
      <c r="G52" s="74"/>
    </row>
  </sheetData>
  <sheetProtection selectLockedCells="1" selectUnlockedCells="1"/>
  <mergeCells count="6">
    <mergeCell ref="F1:G1"/>
    <mergeCell ref="D45:G45"/>
    <mergeCell ref="F2:G2"/>
    <mergeCell ref="D4:F4"/>
    <mergeCell ref="D43:G43"/>
    <mergeCell ref="D42:G42"/>
  </mergeCells>
  <phoneticPr fontId="0" type="noConversion"/>
  <pageMargins left="0.74803149606299213" right="0.70866141732283472" top="0.6" bottom="0" header="0" footer="0"/>
  <pageSetup orientation="portrait" horizontalDpi="36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5">
    <tabColor indexed="10"/>
    <pageSetUpPr fitToPage="1"/>
  </sheetPr>
  <dimension ref="A1:AG51"/>
  <sheetViews>
    <sheetView zoomScaleNormal="100"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82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262</v>
      </c>
      <c r="E3" s="85" t="str">
        <f>'[1]Franchise Info'!$B$4</f>
        <v>#204 - 2692 Clearbrook Road, Abbotsford, BC, V2T 2Y8</v>
      </c>
      <c r="F3" s="84"/>
      <c r="G3" s="87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260</v>
      </c>
      <c r="E4" s="299"/>
      <c r="F4" s="299"/>
      <c r="G4" s="92" t="s">
        <v>500</v>
      </c>
      <c r="I4" s="84" t="s">
        <v>7</v>
      </c>
      <c r="P4" s="84"/>
      <c r="Q4" s="84"/>
    </row>
    <row r="5" spans="1:17">
      <c r="A5" s="90" t="s">
        <v>261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9" t="s">
        <v>0</v>
      </c>
      <c r="B6" s="98"/>
      <c r="C6" s="73" t="s">
        <v>388</v>
      </c>
      <c r="D6" s="84"/>
      <c r="E6" s="99" t="str">
        <f>IF($C6&lt;&gt;0,VLOOKUP($C6,'[1]Course Table'!$A$1:$G$330,2,TRUE),"")</f>
        <v>Introduction to Keyboarding</v>
      </c>
      <c r="F6" s="84"/>
      <c r="G6" s="84">
        <f>I6</f>
        <v>19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349</v>
      </c>
      <c r="I6" s="84">
        <f>IF($C6&lt;&gt;"",VLOOKUP($C6,'[1]Course Table'!$A$1:$G$330,5,FALSE),"")</f>
        <v>19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0">COUNTIF($J$6:$J$40,$J6)</f>
        <v>15</v>
      </c>
      <c r="M6" s="84">
        <f>COUNTIF($J$6:$J6,$J6)</f>
        <v>1</v>
      </c>
      <c r="N6" s="84">
        <f>IF($C6&lt;&gt;"",VLOOKUP($C6,'[1]Course Table'!$A$1:$I$330,8,FALSE),"")</f>
        <v>1</v>
      </c>
      <c r="O6" s="84">
        <f>IF($C6&lt;&gt;"",VLOOKUP($C6,'[1]Course Table'!$A$1:$I$330,9,FALSE),"")</f>
        <v>1</v>
      </c>
      <c r="P6" s="84"/>
      <c r="Q6" s="84"/>
    </row>
    <row r="7" spans="1:17">
      <c r="A7" s="79" t="s">
        <v>0</v>
      </c>
      <c r="B7" s="103"/>
      <c r="C7" s="105" t="s">
        <v>390</v>
      </c>
      <c r="D7" s="84"/>
      <c r="E7" s="99" t="str">
        <f>IF($C7&lt;&gt;0,VLOOKUP($C7,'[1]Course Table'!$A$1:$G$330,2,TRUE),"")</f>
        <v>Keyboard Skill Building Level 1 (25 WPM)</v>
      </c>
      <c r="F7" s="84"/>
      <c r="G7" s="84">
        <f t="shared" ref="G7:G40" si="1">I7</f>
        <v>25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389</v>
      </c>
      <c r="I7" s="84">
        <f>IF($C7&lt;&gt;"",VLOOKUP($C7,'[1]Course Table'!$A$1:$G$330,5,FALSE),"")</f>
        <v>25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0"/>
        <v>15</v>
      </c>
      <c r="M7" s="84">
        <f>COUNTIF($J$6:$J7,$J7)</f>
        <v>2</v>
      </c>
      <c r="N7" s="84">
        <f>IF($C7&lt;&gt;"",VLOOKUP($C7,'[1]Course Table'!$A$1:$I$330,8,FALSE),"")</f>
        <v>1</v>
      </c>
      <c r="O7" s="84">
        <f>IF($C7&lt;&gt;"",VLOOKUP($C7,'[1]Course Table'!$A$1:$I$330,9,FALSE),"")</f>
        <v>1.5</v>
      </c>
      <c r="P7" s="84"/>
      <c r="Q7" s="84"/>
    </row>
    <row r="8" spans="1:17">
      <c r="A8" s="79" t="s">
        <v>0</v>
      </c>
      <c r="B8" s="103"/>
      <c r="C8" s="105" t="s">
        <v>463</v>
      </c>
      <c r="D8" s="84"/>
      <c r="E8" s="99" t="str">
        <f>IF($C8&lt;&gt;0,VLOOKUP($C8,'[1]Course Table'!$A$1:$G$330,2,TRUE),"")</f>
        <v>Windows 10 Level 1</v>
      </c>
      <c r="F8" s="84"/>
      <c r="G8" s="84">
        <f t="shared" si="1"/>
        <v>21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389</v>
      </c>
      <c r="I8" s="84">
        <f>IF($C8&lt;&gt;"",VLOOKUP($C8,'[1]Course Table'!$A$1:$G$330,5,FALSE),"")</f>
        <v>21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0"/>
        <v>15</v>
      </c>
      <c r="M8" s="84">
        <f>COUNTIF($J$6:$J8,$J8)</f>
        <v>3</v>
      </c>
      <c r="N8" s="84">
        <f>IF($C8&lt;&gt;"",VLOOKUP($C8,'[1]Course Table'!$A$1:$I$330,8,FALSE),"")</f>
        <v>8</v>
      </c>
      <c r="O8" s="84">
        <f>IF($C8&lt;&gt;"",VLOOKUP($C8,'[1]Course Table'!$A$1:$I$330,9,FALSE),"")</f>
        <v>1</v>
      </c>
      <c r="P8" s="84"/>
      <c r="Q8" s="84"/>
    </row>
    <row r="9" spans="1:17">
      <c r="A9" s="79" t="s">
        <v>0</v>
      </c>
      <c r="B9" s="103"/>
      <c r="C9" s="105" t="s">
        <v>757</v>
      </c>
      <c r="D9" s="84"/>
      <c r="E9" s="99" t="str">
        <f>IF($C9&lt;&gt;0,VLOOKUP($C9,'[1]Course Table'!$A$1:$G$330,2,TRUE),"")</f>
        <v>MS Word Level 1</v>
      </c>
      <c r="F9" s="84"/>
      <c r="G9" s="84">
        <f t="shared" si="1"/>
        <v>28</v>
      </c>
      <c r="H9" s="100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>389</v>
      </c>
      <c r="I9" s="84">
        <f>IF($C9&lt;&gt;"",VLOOKUP($C9,'[1]Course Table'!$A$1:$G$330,5,FALSE),"")</f>
        <v>28</v>
      </c>
      <c r="J9" s="101">
        <f>IF(AND($C9&lt;&gt;"",A9&lt;&gt;"E"),VLOOKUP($C9,'[1]Course Table'!$A$1:$G$330,6,FALSE),"")</f>
        <v>0</v>
      </c>
      <c r="K9" s="101">
        <f>IF($C9&lt;&gt;"",VLOOKUP($C9,'[1]Course Table'!$A$1:$G$330,7,FALSE),"")</f>
        <v>0</v>
      </c>
      <c r="L9" s="84">
        <f t="shared" si="0"/>
        <v>15</v>
      </c>
      <c r="M9" s="84">
        <f>COUNTIF($J$6:$J9,$J9)</f>
        <v>4</v>
      </c>
      <c r="N9" s="84">
        <f>IF($C9&lt;&gt;"",VLOOKUP($C9,'[1]Course Table'!$A$1:$I$330,8,FALSE),"")</f>
        <v>3</v>
      </c>
      <c r="O9" s="84">
        <f>IF($C9&lt;&gt;"",VLOOKUP($C9,'[1]Course Table'!$A$1:$I$330,9,FALSE),"")</f>
        <v>1.5</v>
      </c>
      <c r="P9" s="84"/>
      <c r="Q9" s="84"/>
    </row>
    <row r="10" spans="1:17">
      <c r="A10" s="79" t="s">
        <v>0</v>
      </c>
      <c r="B10" s="103"/>
      <c r="C10" s="105" t="s">
        <v>763</v>
      </c>
      <c r="D10" s="84"/>
      <c r="E10" s="99" t="str">
        <f>IF($C10&lt;&gt;0,VLOOKUP($C10,'[1]Course Table'!$A$1:$G$330,2,TRUE),"")</f>
        <v>MS Excel Level 1</v>
      </c>
      <c r="F10" s="84"/>
      <c r="G10" s="84">
        <f t="shared" si="1"/>
        <v>28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389</v>
      </c>
      <c r="I10" s="84">
        <f>IF($C10&lt;&gt;"",VLOOKUP($C10,'[1]Course Table'!$A$1:$G$330,5,FALSE),"")</f>
        <v>28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0"/>
        <v>15</v>
      </c>
      <c r="M10" s="84">
        <f>COUNTIF($J$6:$J10,$J10)</f>
        <v>5</v>
      </c>
      <c r="N10" s="84">
        <f>IF($C10&lt;&gt;"",VLOOKUP($C10,'[1]Course Table'!$A$1:$I$330,8,FALSE),"")</f>
        <v>4</v>
      </c>
      <c r="O10" s="84">
        <f>IF($C10&lt;&gt;"",VLOOKUP($C10,'[1]Course Table'!$A$1:$I$330,9,FALSE),"")</f>
        <v>1.5</v>
      </c>
      <c r="P10" s="84"/>
      <c r="Q10" s="84"/>
    </row>
    <row r="11" spans="1:17">
      <c r="A11" s="79" t="s">
        <v>0</v>
      </c>
      <c r="B11" s="103"/>
      <c r="C11" s="105" t="s">
        <v>765</v>
      </c>
      <c r="D11" s="84"/>
      <c r="E11" s="99" t="str">
        <f>IF($C11&lt;&gt;0,VLOOKUP($C11,'[1]Course Table'!$A$1:$G$330,2,TRUE),"")</f>
        <v>MS Excel Level 2</v>
      </c>
      <c r="F11" s="84"/>
      <c r="G11" s="84">
        <f t="shared" si="1"/>
        <v>35</v>
      </c>
      <c r="H11" s="100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>389</v>
      </c>
      <c r="I11" s="84">
        <f>IF($C11&lt;&gt;"",VLOOKUP($C11,'[1]Course Table'!$A$1:$G$330,5,FALSE),"")</f>
        <v>35</v>
      </c>
      <c r="J11" s="101">
        <f>IF(AND($C11&lt;&gt;"",A11&lt;&gt;"E"),VLOOKUP($C11,'[1]Course Table'!$A$1:$G$330,6,FALSE),"")</f>
        <v>0</v>
      </c>
      <c r="K11" s="101">
        <f>IF($C11&lt;&gt;"",VLOOKUP($C11,'[1]Course Table'!$A$1:$G$330,7,FALSE),"")</f>
        <v>0</v>
      </c>
      <c r="L11" s="84">
        <f t="shared" si="0"/>
        <v>15</v>
      </c>
      <c r="M11" s="84">
        <f>COUNTIF($J$6:$J11,$J11)</f>
        <v>6</v>
      </c>
      <c r="N11" s="84">
        <f>IF($C11&lt;&gt;"",VLOOKUP($C11,'[1]Course Table'!$A$1:$I$330,8,FALSE),"")</f>
        <v>4</v>
      </c>
      <c r="O11" s="84">
        <f>IF($C11&lt;&gt;"",VLOOKUP($C11,'[1]Course Table'!$A$1:$I$330,9,FALSE),"")</f>
        <v>2</v>
      </c>
      <c r="P11" s="84"/>
      <c r="Q11" s="84"/>
    </row>
    <row r="12" spans="1:17">
      <c r="A12" s="79" t="s">
        <v>0</v>
      </c>
      <c r="B12" s="103"/>
      <c r="C12" s="105" t="s">
        <v>762</v>
      </c>
      <c r="D12" s="84"/>
      <c r="E12" s="99" t="str">
        <f>IF($C12&lt;&gt;0,VLOOKUP($C12,'[1]Course Table'!$A$1:$G$330,2,TRUE),"")</f>
        <v>MS Outlook Level 1</v>
      </c>
      <c r="F12" s="84"/>
      <c r="G12" s="84">
        <f t="shared" si="1"/>
        <v>25</v>
      </c>
      <c r="H12" s="100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>389</v>
      </c>
      <c r="I12" s="84">
        <f>IF($C12&lt;&gt;"",VLOOKUP($C12,'[1]Course Table'!$A$1:$G$330,5,FALSE),"")</f>
        <v>25</v>
      </c>
      <c r="J12" s="101">
        <f>IF(AND($C12&lt;&gt;"",A12&lt;&gt;"E"),VLOOKUP($C12,'[1]Course Table'!$A$1:$G$330,6,FALSE),"")</f>
        <v>0</v>
      </c>
      <c r="K12" s="101">
        <f>IF($C12&lt;&gt;"",VLOOKUP($C12,'[1]Course Table'!$A$1:$G$330,7,FALSE),"")</f>
        <v>0</v>
      </c>
      <c r="L12" s="84">
        <f t="shared" si="0"/>
        <v>15</v>
      </c>
      <c r="M12" s="84">
        <f>COUNTIF($J$6:$J12,$J12)</f>
        <v>7</v>
      </c>
      <c r="N12" s="84">
        <f>IF($C12&lt;&gt;"",VLOOKUP($C12,'[1]Course Table'!$A$1:$I$330,8,FALSE),"")</f>
        <v>2</v>
      </c>
      <c r="O12" s="84">
        <f>IF($C12&lt;&gt;"",VLOOKUP($C12,'[1]Course Table'!$A$1:$I$330,9,FALSE),"")</f>
        <v>1.5</v>
      </c>
      <c r="P12" s="84"/>
      <c r="Q12" s="84"/>
    </row>
    <row r="13" spans="1:17">
      <c r="A13" s="79" t="s">
        <v>0</v>
      </c>
      <c r="B13" s="103"/>
      <c r="C13" s="105" t="s">
        <v>324</v>
      </c>
      <c r="D13" s="84"/>
      <c r="E13" s="99" t="str">
        <f>IF($C13&lt;&gt;0,VLOOKUP($C13,'[1]Course Table'!$A$1:$G$330,2,TRUE),"")</f>
        <v>Customer Service</v>
      </c>
      <c r="F13" s="84"/>
      <c r="G13" s="84">
        <f t="shared" si="1"/>
        <v>30</v>
      </c>
      <c r="H13" s="100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>549</v>
      </c>
      <c r="I13" s="84">
        <f>IF($C13&lt;&gt;"",VLOOKUP($C13,'[1]Course Table'!$A$1:$G$330,5,FALSE),"")</f>
        <v>30</v>
      </c>
      <c r="J13" s="101">
        <f>IF(AND($C13&lt;&gt;"",A13&lt;&gt;"E"),VLOOKUP($C13,'[1]Course Table'!$A$1:$G$330,6,FALSE),"")</f>
        <v>0</v>
      </c>
      <c r="K13" s="101">
        <f>IF($C13&lt;&gt;"",VLOOKUP($C13,'[1]Course Table'!$A$1:$G$330,7,FALSE),"")</f>
        <v>0</v>
      </c>
      <c r="L13" s="84">
        <f t="shared" si="0"/>
        <v>15</v>
      </c>
      <c r="M13" s="84">
        <f>COUNTIF($J$6:$J13,$J13)</f>
        <v>8</v>
      </c>
      <c r="N13" s="84">
        <f>IF($C13&lt;&gt;"",VLOOKUP($C13,'[1]Course Table'!$A$1:$I$330,8,FALSE),"")</f>
        <v>9</v>
      </c>
      <c r="O13" s="84">
        <f>IF($C13&lt;&gt;"",VLOOKUP($C13,'[1]Course Table'!$A$1:$I$330,9,FALSE),"")</f>
        <v>1.5</v>
      </c>
      <c r="P13" s="84"/>
      <c r="Q13" s="84"/>
    </row>
    <row r="14" spans="1:17">
      <c r="A14" s="79" t="s">
        <v>0</v>
      </c>
      <c r="B14" s="103"/>
      <c r="C14" s="105" t="s">
        <v>180</v>
      </c>
      <c r="D14" s="84"/>
      <c r="E14" s="99" t="str">
        <f>IF($C14&lt;&gt;0,VLOOKUP($C14,'[1]Course Table'!$A$1:$G$330,2,TRUE),"")</f>
        <v>Business Math</v>
      </c>
      <c r="F14" s="84"/>
      <c r="G14" s="84">
        <f t="shared" si="1"/>
        <v>22</v>
      </c>
      <c r="H14" s="100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>399</v>
      </c>
      <c r="I14" s="84">
        <f>IF($C14&lt;&gt;"",VLOOKUP($C14,'[1]Course Table'!$A$1:$G$330,5,FALSE),"")</f>
        <v>22</v>
      </c>
      <c r="J14" s="101">
        <f>IF(AND($C14&lt;&gt;"",A14&lt;&gt;"E"),VLOOKUP($C14,'[1]Course Table'!$A$1:$G$330,6,FALSE),"")</f>
        <v>0</v>
      </c>
      <c r="K14" s="101">
        <f>IF($C14&lt;&gt;"",VLOOKUP($C14,'[1]Course Table'!$A$1:$G$330,7,FALSE),"")</f>
        <v>0</v>
      </c>
      <c r="L14" s="84">
        <f t="shared" si="0"/>
        <v>15</v>
      </c>
      <c r="M14" s="84">
        <f>COUNTIF($J$6:$J14,$J14)</f>
        <v>9</v>
      </c>
      <c r="N14" s="84">
        <f>IF($C14&lt;&gt;"",VLOOKUP($C14,'[1]Course Table'!$A$1:$I$330,8,FALSE),"")</f>
        <v>2</v>
      </c>
      <c r="O14" s="84">
        <f>IF($C14&lt;&gt;"",VLOOKUP($C14,'[1]Course Table'!$A$1:$I$330,9,FALSE),"")</f>
        <v>1</v>
      </c>
      <c r="P14" s="84"/>
      <c r="Q14" s="84"/>
    </row>
    <row r="15" spans="1:17">
      <c r="A15" s="79" t="s">
        <v>0</v>
      </c>
      <c r="B15" s="103"/>
      <c r="C15" s="105" t="s">
        <v>123</v>
      </c>
      <c r="D15" s="84"/>
      <c r="E15" s="99" t="str">
        <f>IF($C15&lt;&gt;0,VLOOKUP($C15,'[1]Course Table'!$A$1:$G$330,2,TRUE),"")</f>
        <v>Basic Bookkeeping Level 1</v>
      </c>
      <c r="F15" s="84"/>
      <c r="G15" s="84">
        <f t="shared" si="1"/>
        <v>30</v>
      </c>
      <c r="H15" s="100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>499</v>
      </c>
      <c r="I15" s="84">
        <f>IF($C15&lt;&gt;"",VLOOKUP($C15,'[1]Course Table'!$A$1:$G$330,5,FALSE),"")</f>
        <v>30</v>
      </c>
      <c r="J15" s="101">
        <f>IF(AND($C15&lt;&gt;"",A15&lt;&gt;"E"),VLOOKUP($C15,'[1]Course Table'!$A$1:$G$330,6,FALSE),"")</f>
        <v>0</v>
      </c>
      <c r="K15" s="101">
        <f>IF($C15&lt;&gt;"",VLOOKUP($C15,'[1]Course Table'!$A$1:$G$330,7,FALSE),"")</f>
        <v>0</v>
      </c>
      <c r="L15" s="84">
        <f t="shared" si="0"/>
        <v>15</v>
      </c>
      <c r="M15" s="84">
        <f>COUNTIF($J$6:$J15,$J15)</f>
        <v>10</v>
      </c>
      <c r="N15" s="84">
        <f>IF($C15&lt;&gt;"",VLOOKUP($C15,'[1]Course Table'!$A$1:$I$330,8,FALSE),"")</f>
        <v>9</v>
      </c>
      <c r="O15" s="84">
        <f>IF($C15&lt;&gt;"",VLOOKUP($C15,'[1]Course Table'!$A$1:$I$330,9,FALSE),"")</f>
        <v>1.5</v>
      </c>
      <c r="P15" s="84"/>
      <c r="Q15" s="84"/>
    </row>
    <row r="16" spans="1:17">
      <c r="A16" s="79" t="s">
        <v>0</v>
      </c>
      <c r="B16" s="103"/>
      <c r="C16" s="105" t="s">
        <v>124</v>
      </c>
      <c r="D16" s="84"/>
      <c r="E16" s="99" t="str">
        <f>IF($C16&lt;&gt;0,VLOOKUP($C16,'[1]Course Table'!$A$1:$G$330,2,TRUE),"")</f>
        <v>Basic Bookkeeping Level 2</v>
      </c>
      <c r="F16" s="84"/>
      <c r="G16" s="84">
        <f t="shared" si="1"/>
        <v>20</v>
      </c>
      <c r="H16" s="100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>449</v>
      </c>
      <c r="I16" s="84">
        <f>IF($C16&lt;&gt;"",VLOOKUP($C16,'[1]Course Table'!$A$1:$G$330,5,FALSE),"")</f>
        <v>20</v>
      </c>
      <c r="J16" s="101">
        <f>IF(AND($C16&lt;&gt;"",A16&lt;&gt;"E"),VLOOKUP($C16,'[1]Course Table'!$A$1:$G$330,6,FALSE),"")</f>
        <v>0</v>
      </c>
      <c r="K16" s="101">
        <f>IF($C16&lt;&gt;"",VLOOKUP($C16,'[1]Course Table'!$A$1:$G$330,7,FALSE),"")</f>
        <v>0</v>
      </c>
      <c r="L16" s="84">
        <f t="shared" si="0"/>
        <v>15</v>
      </c>
      <c r="M16" s="84">
        <f>COUNTIF($J$6:$J16,$J16)</f>
        <v>11</v>
      </c>
      <c r="N16" s="84">
        <f>IF($C16&lt;&gt;"",VLOOKUP($C16,'[1]Course Table'!$A$1:$I$330,8,FALSE),"")</f>
        <v>9</v>
      </c>
      <c r="O16" s="84">
        <f>IF($C16&lt;&gt;"",VLOOKUP($C16,'[1]Course Table'!$A$1:$I$330,9,FALSE),"")</f>
        <v>1</v>
      </c>
      <c r="P16" s="84"/>
      <c r="Q16" s="84"/>
    </row>
    <row r="17" spans="1:18">
      <c r="A17" s="79" t="s">
        <v>0</v>
      </c>
      <c r="B17" s="103"/>
      <c r="C17" s="105" t="s">
        <v>322</v>
      </c>
      <c r="D17" s="84"/>
      <c r="E17" s="99" t="str">
        <f>IF($C17&lt;&gt;0,VLOOKUP($C17,'[1]Course Table'!$A$1:$G$330,2,TRUE),"")</f>
        <v>Sage 50 Premium Accounting 2013</v>
      </c>
      <c r="F17" s="84"/>
      <c r="G17" s="84">
        <f t="shared" si="1"/>
        <v>46</v>
      </c>
      <c r="H17" s="100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>799</v>
      </c>
      <c r="I17" s="84">
        <f>IF($C17&lt;&gt;"",VLOOKUP($C17,'[1]Course Table'!$A$1:$G$330,5,FALSE),"")</f>
        <v>46</v>
      </c>
      <c r="J17" s="101">
        <f>IF(AND($C17&lt;&gt;"",A17&lt;&gt;"E"),VLOOKUP($C17,'[1]Course Table'!$A$1:$G$330,6,FALSE),"")</f>
        <v>0</v>
      </c>
      <c r="K17" s="101">
        <f>IF($C17&lt;&gt;"",VLOOKUP($C17,'[1]Course Table'!$A$1:$G$330,7,FALSE),"")</f>
        <v>0</v>
      </c>
      <c r="L17" s="84">
        <f t="shared" si="0"/>
        <v>15</v>
      </c>
      <c r="M17" s="84">
        <f>COUNTIF($J$6:$J17,$J17)</f>
        <v>12</v>
      </c>
      <c r="N17" s="84">
        <f>IF($C17&lt;&gt;"",VLOOKUP($C17,'[1]Course Table'!$A$1:$I$330,8,FALSE),"")</f>
        <v>7</v>
      </c>
      <c r="O17" s="84">
        <f>IF($C17&lt;&gt;"",VLOOKUP($C17,'[1]Course Table'!$A$1:$I$330,9,FALSE),"")</f>
        <v>2.5</v>
      </c>
      <c r="P17" s="84"/>
      <c r="Q17" s="84"/>
    </row>
    <row r="18" spans="1:18">
      <c r="A18" s="79" t="s">
        <v>0</v>
      </c>
      <c r="B18" s="103"/>
      <c r="C18" s="105" t="s">
        <v>570</v>
      </c>
      <c r="D18" s="84"/>
      <c r="E18" s="99" t="str">
        <f>IF($C18&lt;&gt;0,VLOOKUP($C18,'[1]Course Table'!$A$1:$G$330,2,TRUE),"")</f>
        <v>QuickBooks Premier 2019</v>
      </c>
      <c r="F18" s="84"/>
      <c r="G18" s="84">
        <f t="shared" si="1"/>
        <v>29</v>
      </c>
      <c r="H18" s="100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>495</v>
      </c>
      <c r="I18" s="84">
        <f>IF($C18&lt;&gt;"",VLOOKUP($C18,'[1]Course Table'!$A$1:$G$330,5,FALSE),"")</f>
        <v>29</v>
      </c>
      <c r="J18" s="101">
        <f>IF(AND($C18&lt;&gt;"",A18&lt;&gt;"E"),VLOOKUP($C18,'[1]Course Table'!$A$1:$G$330,6,FALSE),"")</f>
        <v>0</v>
      </c>
      <c r="K18" s="101">
        <f>IF($C18&lt;&gt;"",VLOOKUP($C18,'[1]Course Table'!$A$1:$G$330,7,FALSE),"")</f>
        <v>0</v>
      </c>
      <c r="L18" s="84">
        <f t="shared" si="0"/>
        <v>15</v>
      </c>
      <c r="M18" s="84">
        <f>COUNTIF($J$6:$J18,$J18)</f>
        <v>13</v>
      </c>
      <c r="N18" s="84">
        <f>IF($C18&lt;&gt;"",VLOOKUP($C18,'[1]Course Table'!$A$1:$I$330,8,FALSE),"")</f>
        <v>7</v>
      </c>
      <c r="O18" s="84">
        <f>IF($C18&lt;&gt;"",VLOOKUP($C18,'[1]Course Table'!$A$1:$I$330,9,FALSE),"")</f>
        <v>1.5</v>
      </c>
      <c r="P18" s="84"/>
      <c r="Q18" s="84"/>
    </row>
    <row r="19" spans="1:18">
      <c r="A19" s="79"/>
      <c r="B19" s="103"/>
      <c r="C19" s="105" t="s">
        <v>249</v>
      </c>
      <c r="D19" s="84"/>
      <c r="E19" s="99" t="str">
        <f>IF($C19&lt;&gt;0,VLOOKUP($C19,'[1]Course Table'!$A$1:$G$330,2,TRUE),"")</f>
        <v>Job Search/Resume Writing</v>
      </c>
      <c r="F19" s="84"/>
      <c r="G19" s="84">
        <f t="shared" si="1"/>
        <v>30</v>
      </c>
      <c r="H19" s="100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>579</v>
      </c>
      <c r="I19" s="84">
        <f>IF($C19&lt;&gt;"",VLOOKUP($C19,'[1]Course Table'!$A$1:$G$330,5,FALSE),"")</f>
        <v>30</v>
      </c>
      <c r="J19" s="101">
        <f>IF(AND($C19&lt;&gt;"",A19&lt;&gt;"E"),VLOOKUP($C19,'[1]Course Table'!$A$1:$G$330,6,FALSE),"")</f>
        <v>0</v>
      </c>
      <c r="K19" s="101">
        <f>IF($C19&lt;&gt;"",VLOOKUP($C19,'[1]Course Table'!$A$1:$G$330,7,FALSE),"")</f>
        <v>0</v>
      </c>
      <c r="L19" s="84">
        <f t="shared" si="0"/>
        <v>15</v>
      </c>
      <c r="M19" s="84">
        <f>COUNTIF($J$6:$J19,$J19)</f>
        <v>14</v>
      </c>
      <c r="N19" s="84">
        <f>IF($C19&lt;&gt;"",VLOOKUP($C19,'[1]Course Table'!$A$1:$I$330,8,FALSE),"")</f>
        <v>15</v>
      </c>
      <c r="O19" s="84">
        <f>IF($C19&lt;&gt;"",VLOOKUP($C19,'[1]Course Table'!$A$1:$I$330,9,FALSE),"")</f>
        <v>1.5</v>
      </c>
      <c r="P19" s="84"/>
      <c r="Q19" s="84"/>
    </row>
    <row r="20" spans="1:18">
      <c r="A20" s="79"/>
      <c r="B20" s="103"/>
      <c r="C20" s="105" t="s">
        <v>435</v>
      </c>
      <c r="D20" s="84"/>
      <c r="E20" s="99" t="str">
        <f>IF($C20&lt;&gt;0,VLOOKUP($C20,'[1]Course Table'!$A$1:$G$330,2,TRUE),"")</f>
        <v>Study/Review - Accounting Clerk Cert - BC</v>
      </c>
      <c r="F20" s="84"/>
      <c r="G20" s="84">
        <f t="shared" si="1"/>
        <v>36</v>
      </c>
      <c r="H20" s="100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>0</v>
      </c>
      <c r="I20" s="84">
        <f>IF($C20&lt;&gt;"",VLOOKUP($C20,'[1]Course Table'!$A$1:$G$330,5,FALSE),"")</f>
        <v>36</v>
      </c>
      <c r="J20" s="101">
        <f>IF(AND($C20&lt;&gt;"",A20&lt;&gt;"E"),VLOOKUP($C20,'[1]Course Table'!$A$1:$G$330,6,FALSE),"")</f>
        <v>0</v>
      </c>
      <c r="K20" s="101">
        <f>IF($C20&lt;&gt;"",VLOOKUP($C20,'[1]Course Table'!$A$1:$G$330,7,FALSE),"")</f>
        <v>0</v>
      </c>
      <c r="L20" s="84">
        <f t="shared" si="0"/>
        <v>15</v>
      </c>
      <c r="M20" s="84">
        <f>COUNTIF($J$6:$J20,$J20)</f>
        <v>15</v>
      </c>
      <c r="N20" s="84">
        <f>IF($C20&lt;&gt;"",VLOOKUP($C20,'[1]Course Table'!$A$1:$I$330,8,FALSE),"")</f>
        <v>99</v>
      </c>
      <c r="O20" s="84">
        <f>IF($C20&lt;&gt;"",VLOOKUP($C20,'[1]Course Table'!$A$1:$I$330,9,FALSE),"")</f>
        <v>2</v>
      </c>
      <c r="P20" s="84"/>
      <c r="Q20" s="84"/>
    </row>
    <row r="21" spans="1:18">
      <c r="A21" s="79"/>
      <c r="B21" s="103"/>
      <c r="C21" s="105"/>
      <c r="D21" s="84"/>
      <c r="E21" s="99" t="str">
        <f>IF($C21&lt;&gt;0,VLOOKUP($C21,'[1]Course Table'!$A$1:$G$330,2,TRUE),"")</f>
        <v/>
      </c>
      <c r="F21" s="84"/>
      <c r="G21" s="84" t="str">
        <f t="shared" si="1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0"/>
        <v>20</v>
      </c>
      <c r="M21" s="84">
        <f>COUNTIF($J$6:$J21,$J21)</f>
        <v>1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1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0"/>
        <v>20</v>
      </c>
      <c r="M22" s="84">
        <f>COUNTIF($J$6:$J22,$J22)</f>
        <v>2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1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0"/>
        <v>20</v>
      </c>
      <c r="M23" s="84">
        <f>COUNTIF($J$6:$J23,$J23)</f>
        <v>3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1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0"/>
        <v>20</v>
      </c>
      <c r="M24" s="84">
        <f>COUNTIF($J$6:$J24,$J24)</f>
        <v>4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1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0"/>
        <v>20</v>
      </c>
      <c r="M25" s="84">
        <f>COUNTIF($J$6:$J25,$J25)</f>
        <v>5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1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0"/>
        <v>20</v>
      </c>
      <c r="M26" s="84">
        <f>COUNTIF($J$6:$J26,$J26)</f>
        <v>6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1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0"/>
        <v>20</v>
      </c>
      <c r="M27" s="84">
        <f>COUNTIF($J$6:$J27,$J27)</f>
        <v>7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1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0"/>
        <v>20</v>
      </c>
      <c r="M28" s="84">
        <f>COUNTIF($J$6:$J28,$J28)</f>
        <v>8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1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0"/>
        <v>20</v>
      </c>
      <c r="M29" s="84">
        <f>COUNTIF($J$6:$J29,$J29)</f>
        <v>9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1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0"/>
        <v>20</v>
      </c>
      <c r="M30" s="84">
        <f>COUNTIF($J$6:$J30,$J30)</f>
        <v>10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1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0"/>
        <v>20</v>
      </c>
      <c r="M31" s="84">
        <f>COUNTIF($J$6:$J31,$J31)</f>
        <v>11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1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0"/>
        <v>20</v>
      </c>
      <c r="M32" s="84">
        <f>COUNTIF($J$6:$J32,$J32)</f>
        <v>12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2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1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0"/>
        <v>20</v>
      </c>
      <c r="M33" s="84">
        <f>COUNTIF($J$6:$J33,$J33)</f>
        <v>13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2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1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0"/>
        <v>20</v>
      </c>
      <c r="M34" s="84">
        <f>COUNTIF($J$6:$J34,$J34)</f>
        <v>14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2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1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0"/>
        <v>20</v>
      </c>
      <c r="M35" s="84">
        <f>COUNTIF($J$6:$J35,$J35)</f>
        <v>15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2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1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0"/>
        <v>20</v>
      </c>
      <c r="M36" s="84">
        <f>COUNTIF($J$6:$J36,$J36)</f>
        <v>16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2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1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0"/>
        <v>20</v>
      </c>
      <c r="M37" s="84">
        <f>COUNTIF($J$6:$J37,$J37)</f>
        <v>17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2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1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0"/>
        <v>20</v>
      </c>
      <c r="M38" s="84">
        <f>COUNTIF($J$6:$J38,$J38)</f>
        <v>18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2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1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0"/>
        <v>20</v>
      </c>
      <c r="M39" s="84">
        <f>COUNTIF($J$6:$J39,$J39)</f>
        <v>19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2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1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0"/>
        <v>20</v>
      </c>
      <c r="M40" s="84">
        <f>COUNTIF($J$6:$J40,$J40)</f>
        <v>20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23" s="90" customFormat="1" ht="13.5" customHeight="1" thickBot="1">
      <c r="C41" s="90" t="s">
        <v>17</v>
      </c>
      <c r="D41" s="113" t="s">
        <v>22</v>
      </c>
      <c r="E41" s="89"/>
      <c r="F41" s="89"/>
      <c r="G41" s="89"/>
      <c r="H41" s="114">
        <f>SUM(H6:H40)</f>
        <v>6452</v>
      </c>
      <c r="I41" s="115">
        <f>SUM(I6:I40)</f>
        <v>424</v>
      </c>
    </row>
    <row r="42" spans="1:23" s="90" customFormat="1" ht="12.75">
      <c r="C42" s="116">
        <v>0</v>
      </c>
      <c r="D42" s="301" t="str">
        <f>CONCATENATE("Course Hours - ",I41-C44,"          Exam &amp; Review Hours - ",C44,"          Total Course Hours - ",I41)</f>
        <v>Course Hours - 388          Exam &amp; Review Hours - 36          Total Course Hours - 424</v>
      </c>
      <c r="E42" s="301"/>
      <c r="F42" s="301"/>
      <c r="G42" s="301"/>
      <c r="H42" s="117">
        <f>ROUNDUP(H41/(I41+C43),2)</f>
        <v>15.22</v>
      </c>
    </row>
    <row r="43" spans="1:23" s="90" customFormat="1" ht="13.5" customHeight="1">
      <c r="C43" s="90">
        <f>ROUNDUP(I41*C42,0)</f>
        <v>0</v>
      </c>
      <c r="D43" s="300" t="str">
        <f>CONCATENATE("Duration at 20 Hrs/Week:",ROUND((I41+C43)/(20*4.33),1)," Months (",ROUND((I41+C43)/20,0)," Weeks); at 25 Hrs/Week:",ROUND((I41+C43)/(25*4.33),1)," Months (",ROUND((I41+C43)/25,0)," Weeks)","; +2 weeks holiday")</f>
        <v>Duration at 20 Hrs/Week:4.9 Months (21 Weeks); at 25 Hrs/Week:3.9 Months (17 Weeks); +2 weeks holiday</v>
      </c>
      <c r="E43" s="300"/>
      <c r="F43" s="300"/>
      <c r="G43" s="300"/>
      <c r="H43" s="118"/>
    </row>
    <row r="44" spans="1:23" s="84" customFormat="1" ht="13.5">
      <c r="C44" s="90">
        <f>VLOOKUP("SR"&amp;"*",$C$6:$G$40,5,FALSE)</f>
        <v>36</v>
      </c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$6806</v>
      </c>
      <c r="E44" s="120"/>
      <c r="F44" s="120"/>
      <c r="G44" s="120"/>
      <c r="H44" s="100"/>
    </row>
    <row r="45" spans="1:23" s="84" customFormat="1" ht="13.5">
      <c r="D45" s="298" t="s">
        <v>150</v>
      </c>
      <c r="E45" s="298"/>
      <c r="F45" s="298"/>
      <c r="G45" s="298"/>
      <c r="H45" s="100"/>
    </row>
    <row r="46" spans="1:2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23">
      <c r="N47" s="90"/>
      <c r="O47" s="90"/>
      <c r="P47" s="90"/>
      <c r="Q47" s="90"/>
      <c r="R47" s="90"/>
      <c r="S47" s="90"/>
      <c r="T47" s="90"/>
      <c r="U47" s="90"/>
      <c r="V47" s="90"/>
      <c r="W47" s="90"/>
    </row>
    <row r="48" spans="1:23" ht="13.5" customHeight="1">
      <c r="N48" s="84" t="s">
        <v>19</v>
      </c>
      <c r="O48" s="78">
        <f>SUM(O6:O40)</f>
        <v>22.5</v>
      </c>
    </row>
    <row r="49" spans="14:33" ht="13.5" customHeight="1">
      <c r="N49" s="78">
        <f>SUMIF($N$6:$N$40,Summary!N4,$O$6:$O$40)</f>
        <v>2.5</v>
      </c>
      <c r="O49" s="78">
        <f>SUMIF($N$6:$N$40,Summary!O4,$O$6:$O$40)</f>
        <v>2.5</v>
      </c>
      <c r="P49" s="78">
        <f>SUMIF($N$6:$N$40,Summary!P4,$O$6:$O$40)</f>
        <v>1.5</v>
      </c>
      <c r="Q49" s="78">
        <f>SUMIF($N$6:$N$40,Summary!Q4,$O$6:$O$40)</f>
        <v>3.5</v>
      </c>
      <c r="R49" s="78">
        <f>SUMIF($N$6:$N$40,Summary!R4,$O$6:$O$40)</f>
        <v>0</v>
      </c>
      <c r="S49" s="78">
        <f>SUMIF($N$6:$N$40,Summary!S4,$O$6:$O$40)</f>
        <v>0</v>
      </c>
      <c r="T49" s="78">
        <f>SUMIF($N$6:$N$40,Summary!T4,$O$6:$O$40)</f>
        <v>4</v>
      </c>
      <c r="U49" s="78">
        <f>SUMIF($N$6:$N$40,Summary!U4,$O$6:$O$40)</f>
        <v>1</v>
      </c>
      <c r="V49" s="78">
        <f>SUMIF($N$6:$N$40,Summary!V4,$O$6:$O$40)</f>
        <v>4</v>
      </c>
      <c r="W49" s="78">
        <f>SUMIF($N$6:$N$40,Summary!W4,$O$6:$O$40)</f>
        <v>0</v>
      </c>
      <c r="X49" s="78">
        <f>SUMIF($N$6:$N$40,Summary!X4,$O$6:$O$40)</f>
        <v>0</v>
      </c>
      <c r="Y49" s="78">
        <f>SUMIF($N$6:$N$40,Summary!Y4,$O$6:$O$40)</f>
        <v>0</v>
      </c>
      <c r="Z49" s="78">
        <f>SUMIF($N$6:$N$40,Summary!Z4,$O$6:$O$40)</f>
        <v>0</v>
      </c>
      <c r="AA49" s="78">
        <f>SUMIF($N$6:$N$40,Summary!AA4,$O$6:$O$40)</f>
        <v>0</v>
      </c>
      <c r="AB49" s="78">
        <f>SUMIF($N$6:$N$40,Summary!AB4,$O$6:$O$40)</f>
        <v>1.5</v>
      </c>
      <c r="AC49" s="78">
        <f>SUMIF($N$6:$N$40,Summary!AC4,$O$6:$O$40)</f>
        <v>0</v>
      </c>
      <c r="AD49" s="78">
        <f>SUMIF($N$6:$N$40,Summary!AD4,$O$6:$O$40)</f>
        <v>0</v>
      </c>
      <c r="AE49" s="78">
        <f>SUMIF($N$6:$N$40,Summary!AE4,$O$6:$O$40)</f>
        <v>0</v>
      </c>
      <c r="AF49" s="78">
        <f>SUMIF($N$6:$N$40,Summary!AF4,$O$6:$O$40)</f>
        <v>0</v>
      </c>
      <c r="AG49" s="78">
        <f>SUMIF($N$6:$N$40,Summary!AG4,$O$6:$O$40)</f>
        <v>0</v>
      </c>
    </row>
    <row r="50" spans="14:33" ht="13.5" customHeight="1"/>
    <row r="51" spans="14:33" ht="13.5" customHeight="1"/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70866141732283472" top="0.6" bottom="0" header="0.11811023622047245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>
    <tabColor indexed="10"/>
    <pageSetUpPr fitToPage="1"/>
  </sheetPr>
  <dimension ref="A1:AG51"/>
  <sheetViews>
    <sheetView workbookViewId="0"/>
  </sheetViews>
  <sheetFormatPr defaultColWidth="9.33203125" defaultRowHeight="16.5"/>
  <cols>
    <col min="1" max="1" width="3.1640625" style="84" customWidth="1"/>
    <col min="2" max="2" width="1.83203125" style="84" customWidth="1"/>
    <col min="3" max="3" width="11.33203125" style="78" customWidth="1"/>
    <col min="4" max="4" width="10.83203125" style="78" customWidth="1"/>
    <col min="5" max="5" width="62.83203125" style="78" customWidth="1"/>
    <col min="6" max="6" width="7.5" style="78" customWidth="1"/>
    <col min="7" max="7" width="15.83203125" style="78" customWidth="1"/>
    <col min="8" max="8" width="7.33203125" style="93" customWidth="1"/>
    <col min="9" max="9" width="9.33203125" style="78"/>
    <col min="10" max="10" width="11.33203125" style="78" customWidth="1"/>
    <col min="11" max="11" width="11.1640625" style="78" customWidth="1"/>
    <col min="12" max="12" width="10.83203125" style="78" customWidth="1"/>
    <col min="13" max="14" width="13.1640625" style="78" customWidth="1"/>
    <col min="15" max="15" width="11.83203125" style="78" customWidth="1"/>
    <col min="16" max="16" width="10.83203125" style="78" customWidth="1"/>
    <col min="17" max="16384" width="9.33203125" style="78"/>
  </cols>
  <sheetData>
    <row r="1" spans="1:17" ht="42" customHeight="1">
      <c r="A1" s="71" t="s">
        <v>2</v>
      </c>
      <c r="B1" s="72"/>
      <c r="C1" s="73"/>
      <c r="D1" s="84"/>
      <c r="E1" s="122"/>
      <c r="F1" s="296" t="str">
        <f>'[1]Franchise Info'!$B$8</f>
        <v>Abbotsford</v>
      </c>
      <c r="G1" s="296"/>
      <c r="H1" s="76"/>
      <c r="I1" s="77"/>
    </row>
    <row r="2" spans="1:17" ht="15.75" customHeight="1">
      <c r="A2" s="79" t="s">
        <v>3</v>
      </c>
      <c r="B2" s="80"/>
      <c r="C2" s="80"/>
      <c r="D2" s="81"/>
      <c r="E2" s="123"/>
      <c r="F2" s="297" t="str">
        <f>'[1]Franchise Info'!$B$6</f>
        <v>(o/b 0833917 B.C. Ltd.)</v>
      </c>
      <c r="G2" s="297"/>
      <c r="H2" s="83"/>
      <c r="I2" s="74"/>
    </row>
    <row r="3" spans="1:17" ht="14.25" customHeight="1">
      <c r="A3" s="79" t="s">
        <v>4</v>
      </c>
      <c r="B3" s="80"/>
      <c r="C3" s="80"/>
      <c r="D3" s="84" t="s">
        <v>356</v>
      </c>
      <c r="E3" s="85" t="str">
        <f>'[1]Franchise Info'!$B$4</f>
        <v>#204 - 2692 Clearbrook Road, Abbotsford, BC, V2T 2Y8</v>
      </c>
      <c r="F3" s="84"/>
      <c r="G3" s="124" t="str">
        <f>'[1]Franchise Info'!$B$5</f>
        <v>Eff. October 1, 2016</v>
      </c>
      <c r="H3" s="88"/>
      <c r="I3" s="89"/>
      <c r="J3" s="90"/>
      <c r="K3" s="90"/>
      <c r="L3" s="90"/>
      <c r="M3" s="90"/>
      <c r="N3" s="90"/>
      <c r="O3" s="90"/>
      <c r="P3" s="90"/>
      <c r="Q3" s="90"/>
    </row>
    <row r="4" spans="1:17" ht="18.75">
      <c r="A4" s="79" t="s">
        <v>5</v>
      </c>
      <c r="B4" s="91"/>
      <c r="C4" s="91"/>
      <c r="D4" s="299" t="s">
        <v>332</v>
      </c>
      <c r="E4" s="299"/>
      <c r="F4" s="299"/>
      <c r="G4" s="92" t="s">
        <v>501</v>
      </c>
      <c r="H4" s="100"/>
      <c r="I4" s="84" t="s">
        <v>7</v>
      </c>
      <c r="P4" s="84"/>
      <c r="Q4" s="84"/>
    </row>
    <row r="5" spans="1:17">
      <c r="A5" s="90" t="s">
        <v>330</v>
      </c>
      <c r="B5" s="90"/>
      <c r="C5" s="90"/>
      <c r="D5" s="94" t="s">
        <v>8</v>
      </c>
      <c r="E5" s="90"/>
      <c r="F5" s="90"/>
      <c r="G5" s="95" t="s">
        <v>9</v>
      </c>
      <c r="H5" s="96" t="s">
        <v>10</v>
      </c>
      <c r="I5" s="97" t="s">
        <v>9</v>
      </c>
      <c r="J5" s="90" t="s">
        <v>11</v>
      </c>
      <c r="K5" s="90" t="s">
        <v>12</v>
      </c>
      <c r="L5" s="90" t="s">
        <v>11</v>
      </c>
      <c r="M5" s="90" t="s">
        <v>13</v>
      </c>
      <c r="N5" s="90" t="s">
        <v>14</v>
      </c>
      <c r="O5" s="90" t="s">
        <v>15</v>
      </c>
      <c r="P5" s="84"/>
      <c r="Q5" s="84"/>
    </row>
    <row r="6" spans="1:17">
      <c r="A6" s="71"/>
      <c r="B6" s="98"/>
      <c r="C6" s="289" t="s">
        <v>563</v>
      </c>
      <c r="D6" s="84"/>
      <c r="E6" s="99" t="str">
        <f>IF($C6&lt;&gt;0,VLOOKUP($C6,'[1]Course Table'!$A$1:$G$330,2,TRUE),"")</f>
        <v>Addition Workers Specialty Level 1</v>
      </c>
      <c r="F6" s="84"/>
      <c r="G6" s="84">
        <f t="shared" ref="G6:G40" si="0">I6</f>
        <v>100</v>
      </c>
      <c r="H6" s="100">
        <f>IF($C6&lt;&gt;"",IF(AND($L6=$K6,$K6&lt;&gt;0),IF($M6=1,VLOOKUP($J6,'[1]Course Table'!$A$1:$G$330,4,FALSE)*IF('[1]Student Info'!$B$9="Y",1.3,1),""),VLOOKUP($C6,'[1]Course Table'!$A$1:$G$330,4,FALSE)*IF('[1]Student Info'!$B$9="Y",IF(OR(MID($C6,1,5)="BOOKS",MID($C6,1,3)="LAB",RIGHT($C6,5)="BOOKS",RIGHT($C6,3)="LAB"),1,1+'[1]Franchise Info'!$C$12),1)),"")</f>
        <v>988</v>
      </c>
      <c r="I6" s="84">
        <f>IF($C6&lt;&gt;"",VLOOKUP($C6,'[1]Course Table'!$A$1:$G$330,5,FALSE),"")</f>
        <v>100</v>
      </c>
      <c r="J6" s="101">
        <f>IF(AND($C6&lt;&gt;"",A6&lt;&gt;"E"),VLOOKUP($C6,'[1]Course Table'!$A$1:$G$330,6,FALSE),"")</f>
        <v>0</v>
      </c>
      <c r="K6" s="101">
        <f>IF($C6&lt;&gt;"",VLOOKUP($C6,'[1]Course Table'!$A$1:$G$330,7,FALSE),"")</f>
        <v>0</v>
      </c>
      <c r="L6" s="84">
        <f t="shared" ref="L6:L40" si="1">COUNTIF($J$6:$J$40,$J6)</f>
        <v>4</v>
      </c>
      <c r="M6" s="84">
        <f>COUNTIF($J$6:$J6,$J6)</f>
        <v>1</v>
      </c>
      <c r="N6" s="84">
        <f>IF($C6&lt;&gt;"",VLOOKUP($C6,'[1]Course Table'!$A$1:$I$330,8,FALSE),"")</f>
        <v>18</v>
      </c>
      <c r="O6" s="84">
        <f>IF($C6&lt;&gt;"",VLOOKUP($C6,'[1]Course Table'!$A$1:$I$330,9,FALSE),"")</f>
        <v>5</v>
      </c>
      <c r="P6" s="84"/>
      <c r="Q6" s="84"/>
    </row>
    <row r="7" spans="1:17">
      <c r="A7" s="79"/>
      <c r="B7" s="103"/>
      <c r="C7" s="104" t="s">
        <v>564</v>
      </c>
      <c r="D7" s="84"/>
      <c r="E7" s="99" t="str">
        <f>IF($C7&lt;&gt;0,VLOOKUP($C7,'[1]Course Table'!$A$1:$G$330,2,TRUE),"")</f>
        <v>Addition Workers Specialty Level 2</v>
      </c>
      <c r="F7" s="84"/>
      <c r="G7" s="84">
        <f t="shared" si="0"/>
        <v>100</v>
      </c>
      <c r="H7" s="100">
        <f>IF($C7&lt;&gt;"",IF(AND($L7=$K7,$K7&lt;&gt;0),IF($M7=1,VLOOKUP($J7,'[1]Course Table'!$A$1:$G$330,4,FALSE)*IF('[1]Student Info'!$B$9="Y",1.3,1),""),VLOOKUP($C7,'[1]Course Table'!$A$1:$G$330,4,FALSE)*IF('[1]Student Info'!$B$9="Y",IF(OR(MID($C7,1,5)="BOOKS",MID($C7,1,3)="LAB",RIGHT($C7,5)="BOOKS",RIGHT($C7,3)="LAB"),1,1+'[1]Franchise Info'!$C$12),1)),"")</f>
        <v>988</v>
      </c>
      <c r="I7" s="84">
        <f>IF($C7&lt;&gt;"",VLOOKUP($C7,'[1]Course Table'!$A$1:$G$330,5,FALSE),"")</f>
        <v>100</v>
      </c>
      <c r="J7" s="101">
        <f>IF(AND($C7&lt;&gt;"",A7&lt;&gt;"E"),VLOOKUP($C7,'[1]Course Table'!$A$1:$G$330,6,FALSE),"")</f>
        <v>0</v>
      </c>
      <c r="K7" s="101">
        <f>IF($C7&lt;&gt;"",VLOOKUP($C7,'[1]Course Table'!$A$1:$G$330,7,FALSE),"")</f>
        <v>0</v>
      </c>
      <c r="L7" s="84">
        <f t="shared" si="1"/>
        <v>4</v>
      </c>
      <c r="M7" s="84">
        <f>COUNTIF($J$6:$J7,$J7)</f>
        <v>2</v>
      </c>
      <c r="N7" s="84">
        <f>IF($C7&lt;&gt;"",VLOOKUP($C7,'[1]Course Table'!$A$1:$I$330,8,FALSE),"")</f>
        <v>18</v>
      </c>
      <c r="O7" s="84">
        <f>IF($C7&lt;&gt;"",VLOOKUP($C7,'[1]Course Table'!$A$1:$I$330,9,FALSE),"")</f>
        <v>5</v>
      </c>
      <c r="P7" s="84"/>
      <c r="Q7" s="84"/>
    </row>
    <row r="8" spans="1:17">
      <c r="A8" s="79"/>
      <c r="B8" s="103"/>
      <c r="C8" s="104" t="s">
        <v>565</v>
      </c>
      <c r="D8" s="84"/>
      <c r="E8" s="99" t="str">
        <f>IF($C8&lt;&gt;0,VLOOKUP($C8,'[1]Course Table'!$A$1:$G$330,2,TRUE),"")</f>
        <v>Addition Workers Specialty Level 3</v>
      </c>
      <c r="F8" s="84"/>
      <c r="G8" s="84">
        <f t="shared" si="0"/>
        <v>100</v>
      </c>
      <c r="H8" s="100">
        <f>IF($C8&lt;&gt;"",IF(AND($L8=$K8,$K8&lt;&gt;0),IF($M8=1,VLOOKUP($J8,'[1]Course Table'!$A$1:$G$330,4,FALSE)*IF('[1]Student Info'!$B$9="Y",1.3,1),""),VLOOKUP($C8,'[1]Course Table'!$A$1:$G$330,4,FALSE)*IF('[1]Student Info'!$B$9="Y",IF(OR(MID($C8,1,5)="BOOKS",MID($C8,1,3)="LAB",RIGHT($C8,5)="BOOKS",RIGHT($C8,3)="LAB"),1,1+'[1]Franchise Info'!$C$12),1)),"")</f>
        <v>988</v>
      </c>
      <c r="I8" s="84">
        <f>IF($C8&lt;&gt;"",VLOOKUP($C8,'[1]Course Table'!$A$1:$G$330,5,FALSE),"")</f>
        <v>100</v>
      </c>
      <c r="J8" s="101">
        <f>IF(AND($C8&lt;&gt;"",A8&lt;&gt;"E"),VLOOKUP($C8,'[1]Course Table'!$A$1:$G$330,6,FALSE),"")</f>
        <v>0</v>
      </c>
      <c r="K8" s="101">
        <f>IF($C8&lt;&gt;"",VLOOKUP($C8,'[1]Course Table'!$A$1:$G$330,7,FALSE),"")</f>
        <v>0</v>
      </c>
      <c r="L8" s="84">
        <f t="shared" si="1"/>
        <v>4</v>
      </c>
      <c r="M8" s="84">
        <f>COUNTIF($J$6:$J8,$J8)</f>
        <v>3</v>
      </c>
      <c r="N8" s="84">
        <f>IF($C8&lt;&gt;"",VLOOKUP($C8,'[1]Course Table'!$A$1:$I$330,8,FALSE),"")</f>
        <v>18</v>
      </c>
      <c r="O8" s="84">
        <f>IF($C8&lt;&gt;"",VLOOKUP($C8,'[1]Course Table'!$A$1:$I$330,9,FALSE),"")</f>
        <v>5</v>
      </c>
      <c r="P8" s="84"/>
      <c r="Q8" s="84"/>
    </row>
    <row r="9" spans="1:17">
      <c r="A9" s="79"/>
      <c r="B9" s="103"/>
      <c r="C9" s="105"/>
      <c r="D9" s="84"/>
      <c r="E9" s="99" t="str">
        <f>IF($C9&lt;&gt;0,VLOOKUP($C9,'[1]Course Table'!$A$1:$G$330,2,TRUE),"")</f>
        <v/>
      </c>
      <c r="F9" s="84"/>
      <c r="G9" s="84" t="str">
        <f t="shared" si="0"/>
        <v/>
      </c>
      <c r="H9" s="100" t="str">
        <f>IF($C9&lt;&gt;"",IF(AND($L9=$K9,$K9&lt;&gt;0),IF($M9=1,VLOOKUP($J9,'[1]Course Table'!$A$1:$G$330,4,FALSE)*IF('[1]Student Info'!$B$9="Y",1.3,1),""),VLOOKUP($C9,'[1]Course Table'!$A$1:$G$330,4,FALSE)*IF('[1]Student Info'!$B$9="Y",IF(OR(MID($C9,1,5)="BOOKS",MID($C9,1,3)="LAB",RIGHT($C9,5)="BOOKS",RIGHT($C9,3)="LAB"),1,1+'[1]Franchise Info'!$C$12),1)),"")</f>
        <v/>
      </c>
      <c r="I9" s="84" t="str">
        <f>IF($C9&lt;&gt;"",VLOOKUP($C9,'[1]Course Table'!$A$1:$G$330,5,FALSE),"")</f>
        <v/>
      </c>
      <c r="J9" s="101" t="str">
        <f>IF(AND($C9&lt;&gt;"",A9&lt;&gt;"E"),VLOOKUP($C9,'[1]Course Table'!$A$1:$G$330,6,FALSE),"")</f>
        <v/>
      </c>
      <c r="K9" s="101" t="str">
        <f>IF($C9&lt;&gt;"",VLOOKUP($C9,'[1]Course Table'!$A$1:$G$330,7,FALSE),"")</f>
        <v/>
      </c>
      <c r="L9" s="84">
        <f t="shared" si="1"/>
        <v>31</v>
      </c>
      <c r="M9" s="84">
        <f>COUNTIF($J$6:$J9,$J9)</f>
        <v>1</v>
      </c>
      <c r="N9" s="84" t="str">
        <f>IF($C9&lt;&gt;"",VLOOKUP($C9,'[1]Course Table'!$A$1:$I$330,8,FALSE),"")</f>
        <v/>
      </c>
      <c r="O9" s="84" t="str">
        <f>IF($C9&lt;&gt;"",VLOOKUP($C9,'[1]Course Table'!$A$1:$I$330,9,FALSE),"")</f>
        <v/>
      </c>
      <c r="P9" s="84"/>
      <c r="Q9" s="84"/>
    </row>
    <row r="10" spans="1:17">
      <c r="A10" s="79"/>
      <c r="B10" s="103"/>
      <c r="C10" s="105" t="s">
        <v>331</v>
      </c>
      <c r="D10" s="84"/>
      <c r="E10" s="99" t="str">
        <f>IF($C10&lt;&gt;0,VLOOKUP($C10,'[1]Course Table'!$A$1:$G$330,2,TRUE),"")</f>
        <v>Books Fee (Addiction Worker)</v>
      </c>
      <c r="F10" s="84"/>
      <c r="G10" s="84">
        <f t="shared" si="0"/>
        <v>0</v>
      </c>
      <c r="H10" s="100">
        <f>IF($C10&lt;&gt;"",IF(AND($L10=$K10,$K10&lt;&gt;0),IF($M10=1,VLOOKUP($J10,'[1]Course Table'!$A$1:$G$330,4,FALSE)*IF('[1]Student Info'!$B$9="Y",1.3,1),""),VLOOKUP($C10,'[1]Course Table'!$A$1:$G$330,4,FALSE)*IF('[1]Student Info'!$B$9="Y",IF(OR(MID($C10,1,5)="BOOKS",MID($C10,1,3)="LAB",RIGHT($C10,5)="BOOKS",RIGHT($C10,3)="LAB"),1,1+'[1]Franchise Info'!$C$12),1)),"")</f>
        <v>115</v>
      </c>
      <c r="I10" s="84">
        <f>IF($C10&lt;&gt;"",VLOOKUP($C10,'[1]Course Table'!$A$1:$G$330,5,FALSE),"")</f>
        <v>0</v>
      </c>
      <c r="J10" s="101">
        <f>IF(AND($C10&lt;&gt;"",A10&lt;&gt;"E"),VLOOKUP($C10,'[1]Course Table'!$A$1:$G$330,6,FALSE),"")</f>
        <v>0</v>
      </c>
      <c r="K10" s="101">
        <f>IF($C10&lt;&gt;"",VLOOKUP($C10,'[1]Course Table'!$A$1:$G$330,7,FALSE),"")</f>
        <v>0</v>
      </c>
      <c r="L10" s="84">
        <f t="shared" si="1"/>
        <v>4</v>
      </c>
      <c r="M10" s="84">
        <f>COUNTIF($J$6:$J10,$J10)</f>
        <v>4</v>
      </c>
      <c r="N10" s="84">
        <f>IF($C10&lt;&gt;"",VLOOKUP($C10,'[1]Course Table'!$A$1:$I$330,8,FALSE),"")</f>
        <v>98</v>
      </c>
      <c r="O10" s="84">
        <f>IF($C10&lt;&gt;"",VLOOKUP($C10,'[1]Course Table'!$A$1:$I$330,9,FALSE),"")</f>
        <v>0</v>
      </c>
      <c r="P10" s="84"/>
      <c r="Q10" s="84"/>
    </row>
    <row r="11" spans="1:17">
      <c r="A11" s="79"/>
      <c r="B11" s="103"/>
      <c r="C11" s="105"/>
      <c r="D11" s="84"/>
      <c r="E11" s="99" t="str">
        <f>IF($C11&lt;&gt;0,VLOOKUP($C11,'[1]Course Table'!$A$1:$G$330,2,TRUE),"")</f>
        <v/>
      </c>
      <c r="F11" s="84"/>
      <c r="G11" s="84" t="str">
        <f t="shared" si="0"/>
        <v/>
      </c>
      <c r="H11" s="100" t="str">
        <f>IF($C11&lt;&gt;"",IF(AND($L11=$K11,$K11&lt;&gt;0),IF($M11=1,VLOOKUP($J11,'[1]Course Table'!$A$1:$G$330,4,FALSE)*IF('[1]Student Info'!$B$9="Y",1.3,1),""),VLOOKUP($C11,'[1]Course Table'!$A$1:$G$330,4,FALSE)*IF('[1]Student Info'!$B$9="Y",IF(OR(MID($C11,1,5)="BOOKS",MID($C11,1,3)="LAB",RIGHT($C11,5)="BOOKS",RIGHT($C11,3)="LAB"),1,1+'[1]Franchise Info'!$C$12),1)),"")</f>
        <v/>
      </c>
      <c r="I11" s="84" t="str">
        <f>IF($C11&lt;&gt;"",VLOOKUP($C11,'[1]Course Table'!$A$1:$G$330,5,FALSE),"")</f>
        <v/>
      </c>
      <c r="J11" s="101" t="str">
        <f>IF(AND($C11&lt;&gt;"",A11&lt;&gt;"E"),VLOOKUP($C11,'[1]Course Table'!$A$1:$G$330,6,FALSE),"")</f>
        <v/>
      </c>
      <c r="K11" s="101" t="str">
        <f>IF($C11&lt;&gt;"",VLOOKUP($C11,'[1]Course Table'!$A$1:$G$330,7,FALSE),"")</f>
        <v/>
      </c>
      <c r="L11" s="84">
        <f t="shared" si="1"/>
        <v>31</v>
      </c>
      <c r="M11" s="84">
        <f>COUNTIF($J$6:$J11,$J11)</f>
        <v>2</v>
      </c>
      <c r="N11" s="84" t="str">
        <f>IF($C11&lt;&gt;"",VLOOKUP($C11,'[1]Course Table'!$A$1:$I$330,8,FALSE),"")</f>
        <v/>
      </c>
      <c r="O11" s="84" t="str">
        <f>IF($C11&lt;&gt;"",VLOOKUP($C11,'[1]Course Table'!$A$1:$I$330,9,FALSE),"")</f>
        <v/>
      </c>
      <c r="P11" s="84"/>
      <c r="Q11" s="84"/>
    </row>
    <row r="12" spans="1:17">
      <c r="A12" s="79"/>
      <c r="B12" s="103"/>
      <c r="C12" s="105"/>
      <c r="D12" s="84"/>
      <c r="E12" s="99" t="str">
        <f>IF($C12&lt;&gt;0,VLOOKUP($C12,'[1]Course Table'!$A$1:$G$330,2,TRUE),"")</f>
        <v/>
      </c>
      <c r="F12" s="84"/>
      <c r="G12" s="84" t="str">
        <f>I12</f>
        <v/>
      </c>
      <c r="H12" s="100" t="str">
        <f>IF($C12&lt;&gt;"",IF(AND($L12=$K12,$K12&lt;&gt;0),IF($M12=1,VLOOKUP($J12,'[1]Course Table'!$A$1:$G$330,4,FALSE)*IF('[1]Student Info'!$B$9="Y",1.3,1),""),VLOOKUP($C12,'[1]Course Table'!$A$1:$G$330,4,FALSE)*IF('[1]Student Info'!$B$9="Y",IF(OR(MID($C12,1,5)="BOOKS",MID($C12,1,3)="LAB",RIGHT($C12,5)="BOOKS",RIGHT($C12,3)="LAB"),1,1+'[1]Franchise Info'!$C$12),1)),"")</f>
        <v/>
      </c>
      <c r="I12" s="84" t="str">
        <f>IF($C12&lt;&gt;"",VLOOKUP($C12,'[1]Course Table'!$A$1:$G$330,5,FALSE),"")</f>
        <v/>
      </c>
      <c r="J12" s="101" t="str">
        <f>IF(AND($C12&lt;&gt;"",A12&lt;&gt;"E"),VLOOKUP($C12,'[1]Course Table'!$A$1:$G$330,6,FALSE),"")</f>
        <v/>
      </c>
      <c r="K12" s="101" t="str">
        <f>IF($C12&lt;&gt;"",VLOOKUP($C12,'[1]Course Table'!$A$1:$G$330,7,FALSE),"")</f>
        <v/>
      </c>
      <c r="L12" s="84">
        <f t="shared" si="1"/>
        <v>31</v>
      </c>
      <c r="M12" s="84">
        <f>COUNTIF($J$6:$J12,$J12)</f>
        <v>3</v>
      </c>
      <c r="N12" s="84" t="str">
        <f>IF($C12&lt;&gt;"",VLOOKUP($C12,'[1]Course Table'!$A$1:$I$330,8,FALSE),"")</f>
        <v/>
      </c>
      <c r="O12" s="84" t="str">
        <f>IF($C12&lt;&gt;"",VLOOKUP($C12,'[1]Course Table'!$A$1:$I$330,9,FALSE),"")</f>
        <v/>
      </c>
      <c r="P12" s="84"/>
      <c r="Q12" s="84"/>
    </row>
    <row r="13" spans="1:17">
      <c r="A13" s="79"/>
      <c r="B13" s="103"/>
      <c r="C13" s="105"/>
      <c r="D13" s="84"/>
      <c r="E13" s="99" t="str">
        <f>IF($C13&lt;&gt;0,VLOOKUP($C13,'[1]Course Table'!$A$1:$G$330,2,TRUE),"")</f>
        <v/>
      </c>
      <c r="F13" s="84"/>
      <c r="G13" s="84" t="str">
        <f t="shared" si="0"/>
        <v/>
      </c>
      <c r="H13" s="100" t="str">
        <f>IF($C13&lt;&gt;"",IF(AND($L13=$K13,$K13&lt;&gt;0),IF($M13=1,VLOOKUP($J13,'[1]Course Table'!$A$1:$G$330,4,FALSE)*IF('[1]Student Info'!$B$9="Y",1.3,1),""),VLOOKUP($C13,'[1]Course Table'!$A$1:$G$330,4,FALSE)*IF('[1]Student Info'!$B$9="Y",IF(OR(MID($C13,1,5)="BOOKS",MID($C13,1,3)="LAB",RIGHT($C13,5)="BOOKS",RIGHT($C13,3)="LAB"),1,1+'[1]Franchise Info'!$C$12),1)),"")</f>
        <v/>
      </c>
      <c r="I13" s="84" t="str">
        <f>IF($C13&lt;&gt;"",VLOOKUP($C13,'[1]Course Table'!$A$1:$G$330,5,FALSE),"")</f>
        <v/>
      </c>
      <c r="J13" s="101" t="str">
        <f>IF(AND($C13&lt;&gt;"",A13&lt;&gt;"E"),VLOOKUP($C13,'[1]Course Table'!$A$1:$G$330,6,FALSE),"")</f>
        <v/>
      </c>
      <c r="K13" s="101" t="str">
        <f>IF($C13&lt;&gt;"",VLOOKUP($C13,'[1]Course Table'!$A$1:$G$330,7,FALSE),"")</f>
        <v/>
      </c>
      <c r="L13" s="84">
        <f t="shared" si="1"/>
        <v>31</v>
      </c>
      <c r="M13" s="84">
        <f>COUNTIF($J$6:$J13,$J13)</f>
        <v>4</v>
      </c>
      <c r="N13" s="84" t="str">
        <f>IF($C13&lt;&gt;"",VLOOKUP($C13,'[1]Course Table'!$A$1:$I$330,8,FALSE),"")</f>
        <v/>
      </c>
      <c r="O13" s="84" t="str">
        <f>IF($C13&lt;&gt;"",VLOOKUP($C13,'[1]Course Table'!$A$1:$I$330,9,FALSE),"")</f>
        <v/>
      </c>
      <c r="P13" s="84"/>
      <c r="Q13" s="84"/>
    </row>
    <row r="14" spans="1:17">
      <c r="A14" s="79"/>
      <c r="B14" s="103"/>
      <c r="C14" s="105"/>
      <c r="D14" s="84"/>
      <c r="E14" s="99" t="str">
        <f>IF($C14&lt;&gt;0,VLOOKUP($C14,'[1]Course Table'!$A$1:$G$330,2,TRUE),"")</f>
        <v/>
      </c>
      <c r="F14" s="84"/>
      <c r="G14" s="84" t="str">
        <f t="shared" si="0"/>
        <v/>
      </c>
      <c r="H14" s="100" t="str">
        <f>IF($C14&lt;&gt;"",IF(AND($L14=$K14,$K14&lt;&gt;0),IF($M14=1,VLOOKUP($J14,'[1]Course Table'!$A$1:$G$330,4,FALSE)*IF('[1]Student Info'!$B$9="Y",1.3,1),""),VLOOKUP($C14,'[1]Course Table'!$A$1:$G$330,4,FALSE)*IF('[1]Student Info'!$B$9="Y",IF(OR(MID($C14,1,5)="BOOKS",MID($C14,1,3)="LAB",RIGHT($C14,5)="BOOKS",RIGHT($C14,3)="LAB"),1,1+'[1]Franchise Info'!$C$12),1)),"")</f>
        <v/>
      </c>
      <c r="I14" s="84" t="str">
        <f>IF($C14&lt;&gt;"",VLOOKUP($C14,'[1]Course Table'!$A$1:$G$330,5,FALSE),"")</f>
        <v/>
      </c>
      <c r="J14" s="101" t="str">
        <f>IF(AND($C14&lt;&gt;"",A14&lt;&gt;"E"),VLOOKUP($C14,'[1]Course Table'!$A$1:$G$330,6,FALSE),"")</f>
        <v/>
      </c>
      <c r="K14" s="101" t="str">
        <f>IF($C14&lt;&gt;"",VLOOKUP($C14,'[1]Course Table'!$A$1:$G$330,7,FALSE),"")</f>
        <v/>
      </c>
      <c r="L14" s="84">
        <f t="shared" si="1"/>
        <v>31</v>
      </c>
      <c r="M14" s="84">
        <f>COUNTIF($J$6:$J14,$J14)</f>
        <v>5</v>
      </c>
      <c r="N14" s="84" t="str">
        <f>IF($C14&lt;&gt;"",VLOOKUP($C14,'[1]Course Table'!$A$1:$I$330,8,FALSE),"")</f>
        <v/>
      </c>
      <c r="O14" s="84" t="str">
        <f>IF($C14&lt;&gt;"",VLOOKUP($C14,'[1]Course Table'!$A$1:$I$330,9,FALSE),"")</f>
        <v/>
      </c>
      <c r="P14" s="84"/>
      <c r="Q14" s="84"/>
    </row>
    <row r="15" spans="1:17">
      <c r="A15" s="79"/>
      <c r="B15" s="103"/>
      <c r="C15" s="105"/>
      <c r="D15" s="84"/>
      <c r="E15" s="99" t="str">
        <f>IF($C15&lt;&gt;0,VLOOKUP($C15,'[1]Course Table'!$A$1:$G$330,2,TRUE),"")</f>
        <v/>
      </c>
      <c r="F15" s="84"/>
      <c r="G15" s="84" t="str">
        <f t="shared" si="0"/>
        <v/>
      </c>
      <c r="H15" s="100" t="str">
        <f>IF($C15&lt;&gt;"",IF(AND($L15=$K15,$K15&lt;&gt;0),IF($M15=1,VLOOKUP($J15,'[1]Course Table'!$A$1:$G$330,4,FALSE)*IF('[1]Student Info'!$B$9="Y",1.3,1),""),VLOOKUP($C15,'[1]Course Table'!$A$1:$G$330,4,FALSE)*IF('[1]Student Info'!$B$9="Y",IF(OR(MID($C15,1,5)="BOOKS",MID($C15,1,3)="LAB",RIGHT($C15,5)="BOOKS",RIGHT($C15,3)="LAB"),1,1+'[1]Franchise Info'!$C$12),1)),"")</f>
        <v/>
      </c>
      <c r="I15" s="84" t="str">
        <f>IF($C15&lt;&gt;"",VLOOKUP($C15,'[1]Course Table'!$A$1:$G$330,5,FALSE),"")</f>
        <v/>
      </c>
      <c r="J15" s="101" t="str">
        <f>IF(AND($C15&lt;&gt;"",A15&lt;&gt;"E"),VLOOKUP($C15,'[1]Course Table'!$A$1:$G$330,6,FALSE),"")</f>
        <v/>
      </c>
      <c r="K15" s="101" t="str">
        <f>IF($C15&lt;&gt;"",VLOOKUP($C15,'[1]Course Table'!$A$1:$G$330,7,FALSE),"")</f>
        <v/>
      </c>
      <c r="L15" s="84">
        <f t="shared" si="1"/>
        <v>31</v>
      </c>
      <c r="M15" s="84">
        <f>COUNTIF($J$6:$J15,$J15)</f>
        <v>6</v>
      </c>
      <c r="N15" s="84" t="str">
        <f>IF($C15&lt;&gt;"",VLOOKUP($C15,'[1]Course Table'!$A$1:$I$330,8,FALSE),"")</f>
        <v/>
      </c>
      <c r="O15" s="84" t="str">
        <f>IF($C15&lt;&gt;"",VLOOKUP($C15,'[1]Course Table'!$A$1:$I$330,9,FALSE),"")</f>
        <v/>
      </c>
      <c r="P15" s="84"/>
      <c r="Q15" s="84"/>
    </row>
    <row r="16" spans="1:17">
      <c r="A16" s="79"/>
      <c r="B16" s="103"/>
      <c r="C16" s="105"/>
      <c r="D16" s="84"/>
      <c r="E16" s="99" t="str">
        <f>IF($C16&lt;&gt;0,VLOOKUP($C16,'[1]Course Table'!$A$1:$G$330,2,TRUE),"")</f>
        <v/>
      </c>
      <c r="F16" s="84"/>
      <c r="G16" s="84" t="str">
        <f t="shared" si="0"/>
        <v/>
      </c>
      <c r="H16" s="100" t="str">
        <f>IF($C16&lt;&gt;"",IF(AND($L16=$K16,$K16&lt;&gt;0),IF($M16=1,VLOOKUP($J16,'[1]Course Table'!$A$1:$G$330,4,FALSE)*IF('[1]Student Info'!$B$9="Y",1.3,1),""),VLOOKUP($C16,'[1]Course Table'!$A$1:$G$330,4,FALSE)*IF('[1]Student Info'!$B$9="Y",IF(OR(MID($C16,1,5)="BOOKS",MID($C16,1,3)="LAB",RIGHT($C16,5)="BOOKS",RIGHT($C16,3)="LAB"),1,1+'[1]Franchise Info'!$C$12),1)),"")</f>
        <v/>
      </c>
      <c r="I16" s="84" t="str">
        <f>IF($C16&lt;&gt;"",VLOOKUP($C16,'[1]Course Table'!$A$1:$G$330,5,FALSE),"")</f>
        <v/>
      </c>
      <c r="J16" s="101" t="str">
        <f>IF(AND($C16&lt;&gt;"",A16&lt;&gt;"E"),VLOOKUP($C16,'[1]Course Table'!$A$1:$G$330,6,FALSE),"")</f>
        <v/>
      </c>
      <c r="K16" s="101" t="str">
        <f>IF($C16&lt;&gt;"",VLOOKUP($C16,'[1]Course Table'!$A$1:$G$330,7,FALSE),"")</f>
        <v/>
      </c>
      <c r="L16" s="84">
        <f t="shared" si="1"/>
        <v>31</v>
      </c>
      <c r="M16" s="84">
        <f>COUNTIF($J$6:$J16,$J16)</f>
        <v>7</v>
      </c>
      <c r="N16" s="84" t="str">
        <f>IF($C16&lt;&gt;"",VLOOKUP($C16,'[1]Course Table'!$A$1:$I$330,8,FALSE),"")</f>
        <v/>
      </c>
      <c r="O16" s="84" t="str">
        <f>IF($C16&lt;&gt;"",VLOOKUP($C16,'[1]Course Table'!$A$1:$I$330,9,FALSE),"")</f>
        <v/>
      </c>
      <c r="P16" s="84"/>
      <c r="Q16" s="84"/>
    </row>
    <row r="17" spans="1:18">
      <c r="A17" s="79"/>
      <c r="B17" s="103"/>
      <c r="C17" s="105"/>
      <c r="D17" s="84"/>
      <c r="E17" s="99" t="str">
        <f>IF($C17&lt;&gt;0,VLOOKUP($C17,'[1]Course Table'!$A$1:$G$330,2,TRUE),"")</f>
        <v/>
      </c>
      <c r="F17" s="84"/>
      <c r="G17" s="84" t="str">
        <f t="shared" si="0"/>
        <v/>
      </c>
      <c r="H17" s="100" t="str">
        <f>IF($C17&lt;&gt;"",IF(AND($L17=$K17,$K17&lt;&gt;0),IF($M17=1,VLOOKUP($J17,'[1]Course Table'!$A$1:$G$330,4,FALSE)*IF('[1]Student Info'!$B$9="Y",1.3,1),""),VLOOKUP($C17,'[1]Course Table'!$A$1:$G$330,4,FALSE)*IF('[1]Student Info'!$B$9="Y",IF(OR(MID($C17,1,5)="BOOKS",MID($C17,1,3)="LAB",RIGHT($C17,5)="BOOKS",RIGHT($C17,3)="LAB"),1,1+'[1]Franchise Info'!$C$12),1)),"")</f>
        <v/>
      </c>
      <c r="I17" s="84" t="str">
        <f>IF($C17&lt;&gt;"",VLOOKUP($C17,'[1]Course Table'!$A$1:$G$330,5,FALSE),"")</f>
        <v/>
      </c>
      <c r="J17" s="101" t="str">
        <f>IF(AND($C17&lt;&gt;"",A17&lt;&gt;"E"),VLOOKUP($C17,'[1]Course Table'!$A$1:$G$330,6,FALSE),"")</f>
        <v/>
      </c>
      <c r="K17" s="101" t="str">
        <f>IF($C17&lt;&gt;"",VLOOKUP($C17,'[1]Course Table'!$A$1:$G$330,7,FALSE),"")</f>
        <v/>
      </c>
      <c r="L17" s="84">
        <f t="shared" si="1"/>
        <v>31</v>
      </c>
      <c r="M17" s="84">
        <f>COUNTIF($J$6:$J17,$J17)</f>
        <v>8</v>
      </c>
      <c r="N17" s="84" t="str">
        <f>IF($C17&lt;&gt;"",VLOOKUP($C17,'[1]Course Table'!$A$1:$I$330,8,FALSE),"")</f>
        <v/>
      </c>
      <c r="O17" s="84" t="str">
        <f>IF($C17&lt;&gt;"",VLOOKUP($C17,'[1]Course Table'!$A$1:$I$330,9,FALSE),"")</f>
        <v/>
      </c>
      <c r="P17" s="84"/>
      <c r="Q17" s="84"/>
    </row>
    <row r="18" spans="1:18">
      <c r="A18" s="79"/>
      <c r="B18" s="103"/>
      <c r="C18" s="105"/>
      <c r="D18" s="84"/>
      <c r="E18" s="99" t="str">
        <f>IF($C18&lt;&gt;0,VLOOKUP($C18,'[1]Course Table'!$A$1:$G$330,2,TRUE),"")</f>
        <v/>
      </c>
      <c r="F18" s="84"/>
      <c r="G18" s="84" t="str">
        <f t="shared" si="0"/>
        <v/>
      </c>
      <c r="H18" s="100" t="str">
        <f>IF($C18&lt;&gt;"",IF(AND($L18=$K18,$K18&lt;&gt;0),IF($M18=1,VLOOKUP($J18,'[1]Course Table'!$A$1:$G$330,4,FALSE)*IF('[1]Student Info'!$B$9="Y",1.3,1),""),VLOOKUP($C18,'[1]Course Table'!$A$1:$G$330,4,FALSE)*IF('[1]Student Info'!$B$9="Y",IF(OR(MID($C18,1,5)="BOOKS",MID($C18,1,3)="LAB",RIGHT($C18,5)="BOOKS",RIGHT($C18,3)="LAB"),1,1+'[1]Franchise Info'!$C$12),1)),"")</f>
        <v/>
      </c>
      <c r="I18" s="84" t="str">
        <f>IF($C18&lt;&gt;"",VLOOKUP($C18,'[1]Course Table'!$A$1:$G$330,5,FALSE),"")</f>
        <v/>
      </c>
      <c r="J18" s="101" t="str">
        <f>IF(AND($C18&lt;&gt;"",A18&lt;&gt;"E"),VLOOKUP($C18,'[1]Course Table'!$A$1:$G$330,6,FALSE),"")</f>
        <v/>
      </c>
      <c r="K18" s="101" t="str">
        <f>IF($C18&lt;&gt;"",VLOOKUP($C18,'[1]Course Table'!$A$1:$G$330,7,FALSE),"")</f>
        <v/>
      </c>
      <c r="L18" s="84">
        <f t="shared" si="1"/>
        <v>31</v>
      </c>
      <c r="M18" s="84">
        <f>COUNTIF($J$6:$J18,$J18)</f>
        <v>9</v>
      </c>
      <c r="N18" s="84" t="str">
        <f>IF($C18&lt;&gt;"",VLOOKUP($C18,'[1]Course Table'!$A$1:$I$330,8,FALSE),"")</f>
        <v/>
      </c>
      <c r="O18" s="84" t="str">
        <f>IF($C18&lt;&gt;"",VLOOKUP($C18,'[1]Course Table'!$A$1:$I$330,9,FALSE),"")</f>
        <v/>
      </c>
      <c r="P18" s="84"/>
      <c r="Q18" s="84"/>
    </row>
    <row r="19" spans="1:18">
      <c r="A19" s="79"/>
      <c r="B19" s="103"/>
      <c r="C19" s="105"/>
      <c r="D19" s="84"/>
      <c r="E19" s="99" t="str">
        <f>IF($C19&lt;&gt;0,VLOOKUP($C19,'[1]Course Table'!$A$1:$G$330,2,TRUE),"")</f>
        <v/>
      </c>
      <c r="F19" s="84"/>
      <c r="G19" s="84" t="str">
        <f t="shared" si="0"/>
        <v/>
      </c>
      <c r="H19" s="100" t="str">
        <f>IF($C19&lt;&gt;"",IF(AND($L19=$K19,$K19&lt;&gt;0),IF($M19=1,VLOOKUP($J19,'[1]Course Table'!$A$1:$G$330,4,FALSE)*IF('[1]Student Info'!$B$9="Y",1.3,1),""),VLOOKUP($C19,'[1]Course Table'!$A$1:$G$330,4,FALSE)*IF('[1]Student Info'!$B$9="Y",IF(OR(MID($C19,1,5)="BOOKS",MID($C19,1,3)="LAB",RIGHT($C19,5)="BOOKS",RIGHT($C19,3)="LAB"),1,1+'[1]Franchise Info'!$C$12),1)),"")</f>
        <v/>
      </c>
      <c r="I19" s="84" t="str">
        <f>IF($C19&lt;&gt;"",VLOOKUP($C19,'[1]Course Table'!$A$1:$G$330,5,FALSE),"")</f>
        <v/>
      </c>
      <c r="J19" s="101" t="str">
        <f>IF(AND($C19&lt;&gt;"",A19&lt;&gt;"E"),VLOOKUP($C19,'[1]Course Table'!$A$1:$G$330,6,FALSE),"")</f>
        <v/>
      </c>
      <c r="K19" s="101" t="str">
        <f>IF($C19&lt;&gt;"",VLOOKUP($C19,'[1]Course Table'!$A$1:$G$330,7,FALSE),"")</f>
        <v/>
      </c>
      <c r="L19" s="84">
        <f t="shared" si="1"/>
        <v>31</v>
      </c>
      <c r="M19" s="84">
        <f>COUNTIF($J$6:$J19,$J19)</f>
        <v>10</v>
      </c>
      <c r="N19" s="84" t="str">
        <f>IF($C19&lt;&gt;"",VLOOKUP($C19,'[1]Course Table'!$A$1:$I$330,8,FALSE),"")</f>
        <v/>
      </c>
      <c r="O19" s="84" t="str">
        <f>IF($C19&lt;&gt;"",VLOOKUP($C19,'[1]Course Table'!$A$1:$I$330,9,FALSE),"")</f>
        <v/>
      </c>
      <c r="P19" s="84"/>
      <c r="Q19" s="84"/>
    </row>
    <row r="20" spans="1:18">
      <c r="A20" s="79"/>
      <c r="B20" s="103"/>
      <c r="C20" s="105"/>
      <c r="D20" s="84"/>
      <c r="E20" s="99" t="str">
        <f>IF($C20&lt;&gt;0,VLOOKUP($C20,'[1]Course Table'!$A$1:$G$330,2,TRUE),"")</f>
        <v/>
      </c>
      <c r="F20" s="84"/>
      <c r="G20" s="84" t="str">
        <f t="shared" si="0"/>
        <v/>
      </c>
      <c r="H20" s="100" t="str">
        <f>IF($C20&lt;&gt;"",IF(AND($L20=$K20,$K20&lt;&gt;0),IF($M20=1,VLOOKUP($J20,'[1]Course Table'!$A$1:$G$330,4,FALSE)*IF('[1]Student Info'!$B$9="Y",1.3,1),""),VLOOKUP($C20,'[1]Course Table'!$A$1:$G$330,4,FALSE)*IF('[1]Student Info'!$B$9="Y",IF(OR(MID($C20,1,5)="BOOKS",MID($C20,1,3)="LAB",RIGHT($C20,5)="BOOKS",RIGHT($C20,3)="LAB"),1,1+'[1]Franchise Info'!$C$12),1)),"")</f>
        <v/>
      </c>
      <c r="I20" s="84" t="str">
        <f>IF($C20&lt;&gt;"",VLOOKUP($C20,'[1]Course Table'!$A$1:$G$330,5,FALSE),"")</f>
        <v/>
      </c>
      <c r="J20" s="101" t="str">
        <f>IF(AND($C20&lt;&gt;"",A20&lt;&gt;"E"),VLOOKUP($C20,'[1]Course Table'!$A$1:$G$330,6,FALSE),"")</f>
        <v/>
      </c>
      <c r="K20" s="101" t="str">
        <f>IF($C20&lt;&gt;"",VLOOKUP($C20,'[1]Course Table'!$A$1:$G$330,7,FALSE),"")</f>
        <v/>
      </c>
      <c r="L20" s="84">
        <f t="shared" si="1"/>
        <v>31</v>
      </c>
      <c r="M20" s="84">
        <f>COUNTIF($J$6:$J20,$J20)</f>
        <v>11</v>
      </c>
      <c r="N20" s="84" t="str">
        <f>IF($C20&lt;&gt;"",VLOOKUP($C20,'[1]Course Table'!$A$1:$I$330,8,FALSE),"")</f>
        <v/>
      </c>
      <c r="O20" s="84" t="str">
        <f>IF($C20&lt;&gt;"",VLOOKUP($C20,'[1]Course Table'!$A$1:$I$330,9,FALSE),"")</f>
        <v/>
      </c>
      <c r="P20" s="84"/>
      <c r="Q20" s="84"/>
    </row>
    <row r="21" spans="1:18">
      <c r="A21" s="79"/>
      <c r="B21" s="103"/>
      <c r="C21" s="105"/>
      <c r="E21" s="99" t="str">
        <f>IF($C21&lt;&gt;0,VLOOKUP($C21,'[1]Course Table'!$A$1:$G$330,2,TRUE),"")</f>
        <v/>
      </c>
      <c r="F21" s="84"/>
      <c r="G21" s="84" t="str">
        <f t="shared" si="0"/>
        <v/>
      </c>
      <c r="H21" s="100" t="str">
        <f>IF($C21&lt;&gt;"",IF(AND($L21=$K21,$K21&lt;&gt;0),IF($M21=1,VLOOKUP($J21,'[1]Course Table'!$A$1:$G$330,4,FALSE)*IF('[1]Student Info'!$B$9="Y",1.3,1),""),VLOOKUP($C21,'[1]Course Table'!$A$1:$G$330,4,FALSE)*IF('[1]Student Info'!$B$9="Y",IF(OR(MID($C21,1,5)="BOOKS",MID($C21,1,3)="LAB",RIGHT($C21,5)="BOOKS",RIGHT($C21,3)="LAB"),1,1+'[1]Franchise Info'!$C$12),1)),"")</f>
        <v/>
      </c>
      <c r="I21" s="84" t="str">
        <f>IF($C21&lt;&gt;"",VLOOKUP($C21,'[1]Course Table'!$A$1:$G$330,5,FALSE),"")</f>
        <v/>
      </c>
      <c r="J21" s="101" t="str">
        <f>IF(AND($C21&lt;&gt;"",A21&lt;&gt;"E"),VLOOKUP($C21,'[1]Course Table'!$A$1:$G$330,6,FALSE),"")</f>
        <v/>
      </c>
      <c r="K21" s="101" t="str">
        <f>IF($C21&lt;&gt;"",VLOOKUP($C21,'[1]Course Table'!$A$1:$G$330,7,FALSE),"")</f>
        <v/>
      </c>
      <c r="L21" s="84">
        <f t="shared" si="1"/>
        <v>31</v>
      </c>
      <c r="M21" s="84">
        <f>COUNTIF($J$6:$J21,$J21)</f>
        <v>12</v>
      </c>
      <c r="N21" s="84" t="str">
        <f>IF($C21&lt;&gt;"",VLOOKUP($C21,'[1]Course Table'!$A$1:$I$330,8,FALSE),"")</f>
        <v/>
      </c>
      <c r="O21" s="84" t="str">
        <f>IF($C21&lt;&gt;"",VLOOKUP($C21,'[1]Course Table'!$A$1:$I$330,9,FALSE),"")</f>
        <v/>
      </c>
      <c r="P21" s="84"/>
      <c r="Q21" s="84"/>
    </row>
    <row r="22" spans="1:18">
      <c r="A22" s="79"/>
      <c r="B22" s="103"/>
      <c r="C22" s="105"/>
      <c r="D22" s="84"/>
      <c r="E22" s="99" t="str">
        <f>IF($C22&lt;&gt;0,VLOOKUP($C22,'[1]Course Table'!$A$1:$G$330,2,TRUE),"")</f>
        <v/>
      </c>
      <c r="F22" s="84"/>
      <c r="G22" s="84" t="str">
        <f t="shared" si="0"/>
        <v/>
      </c>
      <c r="H22" s="100" t="str">
        <f>IF($C22&lt;&gt;"",IF(AND($L22=$K22,$K22&lt;&gt;0),IF($M22=1,VLOOKUP($J22,'[1]Course Table'!$A$1:$G$330,4,FALSE)*IF('[1]Student Info'!$B$9="Y",1.3,1),""),VLOOKUP($C22,'[1]Course Table'!$A$1:$G$330,4,FALSE)*IF('[1]Student Info'!$B$9="Y",IF(OR(MID($C22,1,5)="BOOKS",MID($C22,1,3)="LAB",RIGHT($C22,5)="BOOKS",RIGHT($C22,3)="LAB"),1,1+'[1]Franchise Info'!$C$12),1)),"")</f>
        <v/>
      </c>
      <c r="I22" s="84" t="str">
        <f>IF($C22&lt;&gt;"",VLOOKUP($C22,'[1]Course Table'!$A$1:$G$330,5,FALSE),"")</f>
        <v/>
      </c>
      <c r="J22" s="101" t="str">
        <f>IF(AND($C22&lt;&gt;"",A22&lt;&gt;"E"),VLOOKUP($C22,'[1]Course Table'!$A$1:$G$330,6,FALSE),"")</f>
        <v/>
      </c>
      <c r="K22" s="101" t="str">
        <f>IF($C22&lt;&gt;"",VLOOKUP($C22,'[1]Course Table'!$A$1:$G$330,7,FALSE),"")</f>
        <v/>
      </c>
      <c r="L22" s="84">
        <f t="shared" si="1"/>
        <v>31</v>
      </c>
      <c r="M22" s="84">
        <f>COUNTIF($J$6:$J22,$J22)</f>
        <v>13</v>
      </c>
      <c r="N22" s="84" t="str">
        <f>IF($C22&lt;&gt;"",VLOOKUP($C22,'[1]Course Table'!$A$1:$I$330,8,FALSE),"")</f>
        <v/>
      </c>
      <c r="O22" s="84" t="str">
        <f>IF($C22&lt;&gt;"",VLOOKUP($C22,'[1]Course Table'!$A$1:$I$330,9,FALSE),"")</f>
        <v/>
      </c>
    </row>
    <row r="23" spans="1:18">
      <c r="A23" s="79"/>
      <c r="B23" s="103"/>
      <c r="C23" s="105"/>
      <c r="D23" s="84"/>
      <c r="E23" s="99" t="str">
        <f>IF($C23&lt;&gt;0,VLOOKUP($C23,'[1]Course Table'!$A$1:$G$330,2,TRUE),"")</f>
        <v/>
      </c>
      <c r="F23" s="84"/>
      <c r="G23" s="84" t="str">
        <f t="shared" si="0"/>
        <v/>
      </c>
      <c r="H23" s="100" t="str">
        <f>IF($C23&lt;&gt;"",IF(AND($L23=$K23,$K23&lt;&gt;0),IF($M23=1,VLOOKUP($J23,'[1]Course Table'!$A$1:$G$330,4,FALSE)*IF('[1]Student Info'!$B$9="Y",1.3,1),""),VLOOKUP($C23,'[1]Course Table'!$A$1:$G$330,4,FALSE)*IF('[1]Student Info'!$B$9="Y",IF(OR(MID($C23,1,5)="BOOKS",MID($C23,1,3)="LAB",RIGHT($C23,5)="BOOKS",RIGHT($C23,3)="LAB"),1,1+'[1]Franchise Info'!$C$12),1)),"")</f>
        <v/>
      </c>
      <c r="I23" s="84" t="str">
        <f>IF($C23&lt;&gt;"",VLOOKUP($C23,'[1]Course Table'!$A$1:$G$330,5,FALSE),"")</f>
        <v/>
      </c>
      <c r="J23" s="101" t="str">
        <f>IF(AND($C23&lt;&gt;"",A23&lt;&gt;"E"),VLOOKUP($C23,'[1]Course Table'!$A$1:$G$330,6,FALSE),"")</f>
        <v/>
      </c>
      <c r="K23" s="101" t="str">
        <f>IF($C23&lt;&gt;"",VLOOKUP($C23,'[1]Course Table'!$A$1:$G$330,7,FALSE),"")</f>
        <v/>
      </c>
      <c r="L23" s="84">
        <f t="shared" si="1"/>
        <v>31</v>
      </c>
      <c r="M23" s="84">
        <f>COUNTIF($J$6:$J23,$J23)</f>
        <v>14</v>
      </c>
      <c r="N23" s="84" t="str">
        <f>IF($C23&lt;&gt;"",VLOOKUP($C23,'[1]Course Table'!$A$1:$I$330,8,FALSE),"")</f>
        <v/>
      </c>
      <c r="O23" s="84" t="str">
        <f>IF($C23&lt;&gt;"",VLOOKUP($C23,'[1]Course Table'!$A$1:$I$330,9,FALSE),"")</f>
        <v/>
      </c>
      <c r="P23" s="84"/>
      <c r="Q23" s="84"/>
    </row>
    <row r="24" spans="1:18">
      <c r="A24" s="79"/>
      <c r="B24" s="103"/>
      <c r="C24" s="105"/>
      <c r="D24" s="84"/>
      <c r="E24" s="99" t="str">
        <f>IF($C24&lt;&gt;0,VLOOKUP($C24,'[1]Course Table'!$A$1:$G$330,2,TRUE),"")</f>
        <v/>
      </c>
      <c r="F24" s="84"/>
      <c r="G24" s="84" t="str">
        <f t="shared" si="0"/>
        <v/>
      </c>
      <c r="H24" s="100" t="str">
        <f>IF($C24&lt;&gt;"",IF(AND($L24=$K24,$K24&lt;&gt;0),IF($M24=1,VLOOKUP($J24,'[1]Course Table'!$A$1:$G$330,4,FALSE)*IF('[1]Student Info'!$B$9="Y",1.3,1),""),VLOOKUP($C24,'[1]Course Table'!$A$1:$G$330,4,FALSE)*IF('[1]Student Info'!$B$9="Y",IF(OR(MID($C24,1,5)="BOOKS",MID($C24,1,3)="LAB",RIGHT($C24,5)="BOOKS",RIGHT($C24,3)="LAB"),1,1+'[1]Franchise Info'!$C$12),1)),"")</f>
        <v/>
      </c>
      <c r="I24" s="84" t="str">
        <f>IF($C24&lt;&gt;"",VLOOKUP($C24,'[1]Course Table'!$A$1:$G$330,5,FALSE),"")</f>
        <v/>
      </c>
      <c r="J24" s="101" t="str">
        <f>IF(AND($C24&lt;&gt;"",A24&lt;&gt;"E"),VLOOKUP($C24,'[1]Course Table'!$A$1:$G$330,6,FALSE),"")</f>
        <v/>
      </c>
      <c r="K24" s="101" t="str">
        <f>IF($C24&lt;&gt;"",VLOOKUP($C24,'[1]Course Table'!$A$1:$G$330,7,FALSE),"")</f>
        <v/>
      </c>
      <c r="L24" s="84">
        <f t="shared" si="1"/>
        <v>31</v>
      </c>
      <c r="M24" s="84">
        <f>COUNTIF($J$6:$J24,$J24)</f>
        <v>15</v>
      </c>
      <c r="N24" s="84" t="str">
        <f>IF($C24&lt;&gt;"",VLOOKUP($C24,'[1]Course Table'!$A$1:$I$330,8,FALSE),"")</f>
        <v/>
      </c>
      <c r="O24" s="84" t="str">
        <f>IF($C24&lt;&gt;"",VLOOKUP($C24,'[1]Course Table'!$A$1:$I$330,9,FALSE),"")</f>
        <v/>
      </c>
      <c r="P24" s="84"/>
      <c r="Q24" s="84"/>
    </row>
    <row r="25" spans="1:18">
      <c r="A25" s="79"/>
      <c r="B25" s="103"/>
      <c r="C25" s="105"/>
      <c r="D25" s="84"/>
      <c r="E25" s="99" t="str">
        <f>IF($C25&lt;&gt;0,VLOOKUP($C25,'[1]Course Table'!$A$1:$G$330,2,TRUE),"")</f>
        <v/>
      </c>
      <c r="F25" s="84"/>
      <c r="G25" s="84" t="str">
        <f t="shared" si="0"/>
        <v/>
      </c>
      <c r="H25" s="100" t="str">
        <f>IF($C25&lt;&gt;"",IF(AND($L25=$K25,$K25&lt;&gt;0),IF($M25=1,VLOOKUP($J25,'[1]Course Table'!$A$1:$G$330,4,FALSE)*IF('[1]Student Info'!$B$9="Y",1.3,1),""),VLOOKUP($C25,'[1]Course Table'!$A$1:$G$330,4,FALSE)*IF('[1]Student Info'!$B$9="Y",IF(OR(MID($C25,1,5)="BOOKS",MID($C25,1,3)="LAB",RIGHT($C25,5)="BOOKS",RIGHT($C25,3)="LAB"),1,1+'[1]Franchise Info'!$C$12),1)),"")</f>
        <v/>
      </c>
      <c r="I25" s="84" t="str">
        <f>IF($C25&lt;&gt;"",VLOOKUP($C25,'[1]Course Table'!$A$1:$G$330,5,FALSE),"")</f>
        <v/>
      </c>
      <c r="J25" s="101" t="str">
        <f>IF(AND($C25&lt;&gt;"",A25&lt;&gt;"E"),VLOOKUP($C25,'[1]Course Table'!$A$1:$G$330,6,FALSE),"")</f>
        <v/>
      </c>
      <c r="K25" s="101" t="str">
        <f>IF($C25&lt;&gt;"",VLOOKUP($C25,'[1]Course Table'!$A$1:$G$330,7,FALSE),"")</f>
        <v/>
      </c>
      <c r="L25" s="84">
        <f t="shared" si="1"/>
        <v>31</v>
      </c>
      <c r="M25" s="84">
        <f>COUNTIF($J$6:$J25,$J25)</f>
        <v>16</v>
      </c>
      <c r="N25" s="84" t="str">
        <f>IF($C25&lt;&gt;"",VLOOKUP($C25,'[1]Course Table'!$A$1:$I$330,8,FALSE),"")</f>
        <v/>
      </c>
      <c r="O25" s="84" t="str">
        <f>IF($C25&lt;&gt;"",VLOOKUP($C25,'[1]Course Table'!$A$1:$I$330,9,FALSE),"")</f>
        <v/>
      </c>
      <c r="P25" s="84"/>
      <c r="Q25" s="84"/>
    </row>
    <row r="26" spans="1:18">
      <c r="A26" s="79"/>
      <c r="B26" s="103"/>
      <c r="C26" s="105"/>
      <c r="D26" s="84"/>
      <c r="E26" s="99" t="str">
        <f>IF($C26&lt;&gt;0,VLOOKUP($C26,'[1]Course Table'!$A$1:$G$330,2,TRUE),"")</f>
        <v/>
      </c>
      <c r="F26" s="84"/>
      <c r="G26" s="84" t="str">
        <f t="shared" si="0"/>
        <v/>
      </c>
      <c r="H26" s="100" t="str">
        <f>IF($C26&lt;&gt;"",IF(AND($L26=$K26,$K26&lt;&gt;0),IF($M26=1,VLOOKUP($J26,'[1]Course Table'!$A$1:$G$330,4,FALSE)*IF('[1]Student Info'!$B$9="Y",1.3,1),""),VLOOKUP($C26,'[1]Course Table'!$A$1:$G$330,4,FALSE)*IF('[1]Student Info'!$B$9="Y",IF(OR(MID($C26,1,5)="BOOKS",MID($C26,1,3)="LAB",RIGHT($C26,5)="BOOKS",RIGHT($C26,3)="LAB"),1,1+'[1]Franchise Info'!$C$12),1)),"")</f>
        <v/>
      </c>
      <c r="I26" s="84" t="str">
        <f>IF($C26&lt;&gt;"",VLOOKUP($C26,'[1]Course Table'!$A$1:$G$330,5,FALSE),"")</f>
        <v/>
      </c>
      <c r="J26" s="101" t="str">
        <f>IF(AND($C26&lt;&gt;"",A26&lt;&gt;"E"),VLOOKUP($C26,'[1]Course Table'!$A$1:$G$330,6,FALSE),"")</f>
        <v/>
      </c>
      <c r="K26" s="101" t="str">
        <f>IF($C26&lt;&gt;"",VLOOKUP($C26,'[1]Course Table'!$A$1:$G$330,7,FALSE),"")</f>
        <v/>
      </c>
      <c r="L26" s="84">
        <f t="shared" si="1"/>
        <v>31</v>
      </c>
      <c r="M26" s="84">
        <f>COUNTIF($J$6:$J26,$J26)</f>
        <v>17</v>
      </c>
      <c r="N26" s="84" t="str">
        <f>IF($C26&lt;&gt;"",VLOOKUP($C26,'[1]Course Table'!$A$1:$I$330,8,FALSE),"")</f>
        <v/>
      </c>
      <c r="O26" s="84" t="str">
        <f>IF($C26&lt;&gt;"",VLOOKUP($C26,'[1]Course Table'!$A$1:$I$330,9,FALSE),"")</f>
        <v/>
      </c>
      <c r="P26" s="84"/>
      <c r="Q26" s="84"/>
    </row>
    <row r="27" spans="1:18" ht="13.5" customHeight="1">
      <c r="A27" s="79"/>
      <c r="B27" s="103"/>
      <c r="C27" s="105"/>
      <c r="D27" s="84"/>
      <c r="E27" s="99" t="str">
        <f>IF($C27&lt;&gt;0,VLOOKUP($C27,'[1]Course Table'!$A$1:$G$330,2,TRUE),"")</f>
        <v/>
      </c>
      <c r="F27" s="84"/>
      <c r="G27" s="84" t="str">
        <f t="shared" si="0"/>
        <v/>
      </c>
      <c r="H27" s="100" t="str">
        <f>IF($C27&lt;&gt;"",IF(AND($L27=$K27,$K27&lt;&gt;0),IF($M27=1,VLOOKUP($J27,'[1]Course Table'!$A$1:$G$330,4,FALSE)*IF('[1]Student Info'!$B$9="Y",1.3,1),""),VLOOKUP($C27,'[1]Course Table'!$A$1:$G$330,4,FALSE)*IF('[1]Student Info'!$B$9="Y",IF(OR(MID($C27,1,5)="BOOKS",MID($C27,1,3)="LAB",RIGHT($C27,5)="BOOKS",RIGHT($C27,3)="LAB"),1,1+'[1]Franchise Info'!$C$12),1)),"")</f>
        <v/>
      </c>
      <c r="I27" s="84" t="str">
        <f>IF($C27&lt;&gt;"",VLOOKUP($C27,'[1]Course Table'!$A$1:$G$330,5,FALSE),"")</f>
        <v/>
      </c>
      <c r="J27" s="101" t="str">
        <f>IF(AND($C27&lt;&gt;"",A27&lt;&gt;"E"),VLOOKUP($C27,'[1]Course Table'!$A$1:$G$330,6,FALSE),"")</f>
        <v/>
      </c>
      <c r="K27" s="101" t="str">
        <f>IF($C27&lt;&gt;"",VLOOKUP($C27,'[1]Course Table'!$A$1:$G$330,7,FALSE),"")</f>
        <v/>
      </c>
      <c r="L27" s="84">
        <f t="shared" si="1"/>
        <v>31</v>
      </c>
      <c r="M27" s="84">
        <f>COUNTIF($J$6:$J27,$J27)</f>
        <v>18</v>
      </c>
      <c r="N27" s="84" t="str">
        <f>IF($C27&lt;&gt;"",VLOOKUP($C27,'[1]Course Table'!$A$1:$I$330,8,FALSE),"")</f>
        <v/>
      </c>
      <c r="O27" s="84" t="str">
        <f>IF($C27&lt;&gt;"",VLOOKUP($C27,'[1]Course Table'!$A$1:$I$330,9,FALSE),"")</f>
        <v/>
      </c>
      <c r="P27" s="84"/>
      <c r="Q27" s="84"/>
    </row>
    <row r="28" spans="1:18">
      <c r="A28" s="79"/>
      <c r="B28" s="103"/>
      <c r="C28" s="105"/>
      <c r="D28" s="84"/>
      <c r="E28" s="99" t="str">
        <f>IF($C28&lt;&gt;0,VLOOKUP($C28,'[1]Course Table'!$A$1:$G$330,2,TRUE),"")</f>
        <v/>
      </c>
      <c r="F28" s="84"/>
      <c r="G28" s="84" t="str">
        <f t="shared" si="0"/>
        <v/>
      </c>
      <c r="H28" s="100" t="str">
        <f>IF($C28&lt;&gt;"",IF(AND($L28=$K28,$K28&lt;&gt;0),IF($M28=1,VLOOKUP($J28,'[1]Course Table'!$A$1:$G$330,4,FALSE)*IF('[1]Student Info'!$B$9="Y",1.3,1),""),VLOOKUP($C28,'[1]Course Table'!$A$1:$G$330,4,FALSE)*IF('[1]Student Info'!$B$9="Y",IF(OR(MID($C28,1,5)="BOOKS",MID($C28,1,3)="LAB",RIGHT($C28,5)="BOOKS",RIGHT($C28,3)="LAB"),1,1+'[1]Franchise Info'!$C$12),1)),"")</f>
        <v/>
      </c>
      <c r="I28" s="84" t="str">
        <f>IF($C28&lt;&gt;"",VLOOKUP($C28,'[1]Course Table'!$A$1:$G$330,5,FALSE),"")</f>
        <v/>
      </c>
      <c r="J28" s="101" t="str">
        <f>IF(AND($C28&lt;&gt;"",A28&lt;&gt;"E"),VLOOKUP($C28,'[1]Course Table'!$A$1:$G$330,6,FALSE),"")</f>
        <v/>
      </c>
      <c r="K28" s="101" t="str">
        <f>IF($C28&lt;&gt;"",VLOOKUP($C28,'[1]Course Table'!$A$1:$G$330,7,FALSE),"")</f>
        <v/>
      </c>
      <c r="L28" s="84">
        <f t="shared" si="1"/>
        <v>31</v>
      </c>
      <c r="M28" s="84">
        <f>COUNTIF($J$6:$J28,$J28)</f>
        <v>19</v>
      </c>
      <c r="N28" s="84" t="str">
        <f>IF($C28&lt;&gt;"",VLOOKUP($C28,'[1]Course Table'!$A$1:$I$330,8,FALSE),"")</f>
        <v/>
      </c>
      <c r="O28" s="84" t="str">
        <f>IF($C28&lt;&gt;"",VLOOKUP($C28,'[1]Course Table'!$A$1:$I$330,9,FALSE),"")</f>
        <v/>
      </c>
      <c r="P28" s="84"/>
      <c r="Q28" s="84"/>
    </row>
    <row r="29" spans="1:18">
      <c r="A29" s="79"/>
      <c r="B29" s="103"/>
      <c r="C29" s="105"/>
      <c r="D29" s="84"/>
      <c r="E29" s="99" t="str">
        <f>IF($C29&lt;&gt;0,VLOOKUP($C29,'[1]Course Table'!$A$1:$G$330,2,TRUE),"")</f>
        <v/>
      </c>
      <c r="F29" s="84"/>
      <c r="G29" s="84" t="str">
        <f t="shared" si="0"/>
        <v/>
      </c>
      <c r="H29" s="100" t="str">
        <f>IF($C29&lt;&gt;"",IF(AND($L29=$K29,$K29&lt;&gt;0),IF($M29=1,VLOOKUP($J29,'[1]Course Table'!$A$1:$G$330,4,FALSE)*IF('[1]Student Info'!$B$9="Y",1.3,1),""),VLOOKUP($C29,'[1]Course Table'!$A$1:$G$330,4,FALSE)*IF('[1]Student Info'!$B$9="Y",IF(OR(MID($C29,1,5)="BOOKS",MID($C29,1,3)="LAB",RIGHT($C29,5)="BOOKS",RIGHT($C29,3)="LAB"),1,1+'[1]Franchise Info'!$C$12),1)),"")</f>
        <v/>
      </c>
      <c r="I29" s="84" t="str">
        <f>IF($C29&lt;&gt;"",VLOOKUP($C29,'[1]Course Table'!$A$1:$G$330,5,FALSE),"")</f>
        <v/>
      </c>
      <c r="J29" s="101" t="str">
        <f>IF(AND($C29&lt;&gt;"",A29&lt;&gt;"E"),VLOOKUP($C29,'[1]Course Table'!$A$1:$G$330,6,FALSE),"")</f>
        <v/>
      </c>
      <c r="K29" s="101" t="str">
        <f>IF($C29&lt;&gt;"",VLOOKUP($C29,'[1]Course Table'!$A$1:$G$330,7,FALSE),"")</f>
        <v/>
      </c>
      <c r="L29" s="84">
        <f t="shared" si="1"/>
        <v>31</v>
      </c>
      <c r="M29" s="84">
        <f>COUNTIF($J$6:$J29,$J29)</f>
        <v>20</v>
      </c>
      <c r="N29" s="84" t="str">
        <f>IF($C29&lt;&gt;"",VLOOKUP($C29,'[1]Course Table'!$A$1:$I$330,8,FALSE),"")</f>
        <v/>
      </c>
      <c r="O29" s="84" t="str">
        <f>IF($C29&lt;&gt;"",VLOOKUP($C29,'[1]Course Table'!$A$1:$I$330,9,FALSE),"")</f>
        <v/>
      </c>
      <c r="P29" s="84"/>
      <c r="Q29" s="84"/>
    </row>
    <row r="30" spans="1:18">
      <c r="A30" s="79"/>
      <c r="B30" s="103"/>
      <c r="C30" s="105"/>
      <c r="D30" s="84"/>
      <c r="E30" s="99" t="str">
        <f>IF($C30&lt;&gt;0,VLOOKUP($C30,'[1]Course Table'!$A$1:$G$330,2,TRUE),"")</f>
        <v/>
      </c>
      <c r="F30" s="84"/>
      <c r="G30" s="84" t="str">
        <f t="shared" si="0"/>
        <v/>
      </c>
      <c r="H30" s="100" t="str">
        <f>IF($C30&lt;&gt;"",IF(AND($L30=$K30,$K30&lt;&gt;0),IF($M30=1,VLOOKUP($J30,'[1]Course Table'!$A$1:$G$330,4,FALSE)*IF('[1]Student Info'!$B$9="Y",1.3,1),""),VLOOKUP($C30,'[1]Course Table'!$A$1:$G$330,4,FALSE)*IF('[1]Student Info'!$B$9="Y",IF(OR(MID($C30,1,5)="BOOKS",MID($C30,1,3)="LAB",RIGHT($C30,5)="BOOKS",RIGHT($C30,3)="LAB"),1,1+'[1]Franchise Info'!$C$12),1)),"")</f>
        <v/>
      </c>
      <c r="I30" s="84" t="str">
        <f>IF($C30&lt;&gt;"",VLOOKUP($C30,'[1]Course Table'!$A$1:$G$330,5,FALSE),"")</f>
        <v/>
      </c>
      <c r="J30" s="101" t="str">
        <f>IF(AND($C30&lt;&gt;"",A30&lt;&gt;"E"),VLOOKUP($C30,'[1]Course Table'!$A$1:$G$330,6,FALSE),"")</f>
        <v/>
      </c>
      <c r="K30" s="101" t="str">
        <f>IF($C30&lt;&gt;"",VLOOKUP($C30,'[1]Course Table'!$A$1:$G$330,7,FALSE),"")</f>
        <v/>
      </c>
      <c r="L30" s="84">
        <f t="shared" si="1"/>
        <v>31</v>
      </c>
      <c r="M30" s="84">
        <f>COUNTIF($J$6:$J30,$J30)</f>
        <v>21</v>
      </c>
      <c r="N30" s="84" t="str">
        <f>IF($C30&lt;&gt;"",VLOOKUP($C30,'[1]Course Table'!$A$1:$I$330,8,FALSE),"")</f>
        <v/>
      </c>
      <c r="O30" s="84" t="str">
        <f>IF($C30&lt;&gt;"",VLOOKUP($C30,'[1]Course Table'!$A$1:$I$330,9,FALSE),"")</f>
        <v/>
      </c>
      <c r="P30" s="84"/>
      <c r="Q30" s="84"/>
    </row>
    <row r="31" spans="1:18">
      <c r="A31" s="79"/>
      <c r="B31" s="103"/>
      <c r="C31" s="105"/>
      <c r="D31" s="84"/>
      <c r="E31" s="99" t="str">
        <f>IF($C31&lt;&gt;0,VLOOKUP($C31,'[1]Course Table'!$A$1:$G$330,2,TRUE),"")</f>
        <v/>
      </c>
      <c r="F31" s="84"/>
      <c r="G31" s="84" t="str">
        <f t="shared" si="0"/>
        <v/>
      </c>
      <c r="H31" s="100" t="str">
        <f>IF($C31&lt;&gt;"",IF(AND($L31=$K31,$K31&lt;&gt;0),IF($M31=1,VLOOKUP($J31,'[1]Course Table'!$A$1:$G$330,4,FALSE)*IF('[1]Student Info'!$B$9="Y",1.3,1),""),VLOOKUP($C31,'[1]Course Table'!$A$1:$G$330,4,FALSE)*IF('[1]Student Info'!$B$9="Y",IF(OR(MID($C31,1,5)="BOOKS",MID($C31,1,3)="LAB",RIGHT($C31,5)="BOOKS",RIGHT($C31,3)="LAB"),1,1+'[1]Franchise Info'!$C$12),1)),"")</f>
        <v/>
      </c>
      <c r="I31" s="84" t="str">
        <f>IF($C31&lt;&gt;"",VLOOKUP($C31,'[1]Course Table'!$A$1:$G$330,5,FALSE),"")</f>
        <v/>
      </c>
      <c r="J31" s="101" t="str">
        <f>IF(AND($C31&lt;&gt;"",A31&lt;&gt;"E"),VLOOKUP($C31,'[1]Course Table'!$A$1:$G$330,6,FALSE),"")</f>
        <v/>
      </c>
      <c r="K31" s="101" t="str">
        <f>IF($C31&lt;&gt;"",VLOOKUP($C31,'[1]Course Table'!$A$1:$G$330,7,FALSE),"")</f>
        <v/>
      </c>
      <c r="L31" s="84">
        <f t="shared" si="1"/>
        <v>31</v>
      </c>
      <c r="M31" s="84">
        <f>COUNTIF($J$6:$J31,$J31)</f>
        <v>22</v>
      </c>
      <c r="N31" s="84" t="str">
        <f>IF($C31&lt;&gt;"",VLOOKUP($C31,'[1]Course Table'!$A$1:$I$330,8,FALSE),"")</f>
        <v/>
      </c>
      <c r="O31" s="84" t="str">
        <f>IF($C31&lt;&gt;"",VLOOKUP($C31,'[1]Course Table'!$A$1:$I$330,9,FALSE),"")</f>
        <v/>
      </c>
      <c r="P31" s="84"/>
      <c r="Q31" s="84"/>
    </row>
    <row r="32" spans="1:18">
      <c r="A32" s="79"/>
      <c r="B32" s="103"/>
      <c r="C32" s="105"/>
      <c r="D32" s="84"/>
      <c r="E32" s="99" t="str">
        <f>IF($C32&lt;&gt;0,VLOOKUP($C32,'[1]Course Table'!$A$1:$G$330,2,TRUE),"")</f>
        <v/>
      </c>
      <c r="F32" s="84"/>
      <c r="G32" s="84" t="str">
        <f t="shared" si="0"/>
        <v/>
      </c>
      <c r="H32" s="100" t="str">
        <f>IF($C32&lt;&gt;"",IF(AND($L32=$K32,$K32&lt;&gt;0),IF($M32=1,VLOOKUP($J32,'[1]Course Table'!$A$1:$G$330,4,FALSE)*IF('[1]Student Info'!$B$9="Y",1.3,1),""),VLOOKUP($C32,'[1]Course Table'!$A$1:$G$330,4,FALSE)*IF('[1]Student Info'!$B$9="Y",IF(OR(MID($C32,1,5)="BOOKS",MID($C32,1,3)="LAB",RIGHT($C32,5)="BOOKS",RIGHT($C32,3)="LAB"),1,1+'[1]Franchise Info'!$C$12),1)),"")</f>
        <v/>
      </c>
      <c r="I32" s="84" t="str">
        <f>IF($C32&lt;&gt;"",VLOOKUP($C32,'[1]Course Table'!$A$1:$G$330,5,FALSE),"")</f>
        <v/>
      </c>
      <c r="J32" s="101" t="str">
        <f>IF(AND($C32&lt;&gt;"",A32&lt;&gt;"E"),VLOOKUP($C32,'[1]Course Table'!$A$1:$G$330,6,FALSE),"")</f>
        <v/>
      </c>
      <c r="K32" s="101" t="str">
        <f>IF($C32&lt;&gt;"",VLOOKUP($C32,'[1]Course Table'!$A$1:$G$330,7,FALSE),"")</f>
        <v/>
      </c>
      <c r="L32" s="84">
        <f t="shared" si="1"/>
        <v>31</v>
      </c>
      <c r="M32" s="84">
        <f>COUNTIF($J$6:$J32,$J32)</f>
        <v>23</v>
      </c>
      <c r="N32" s="84" t="str">
        <f>IF($C32&lt;&gt;"",VLOOKUP($C32,'[1]Course Table'!$A$1:$I$330,8,FALSE),"")</f>
        <v/>
      </c>
      <c r="O32" s="84" t="str">
        <f>IF($C32&lt;&gt;"",VLOOKUP($C32,'[1]Course Table'!$A$1:$I$330,9,FALSE),"")</f>
        <v/>
      </c>
      <c r="P32" s="84"/>
      <c r="Q32" s="84"/>
      <c r="R32" s="90"/>
    </row>
    <row r="33" spans="1:33">
      <c r="A33" s="79"/>
      <c r="B33" s="103"/>
      <c r="C33" s="105"/>
      <c r="D33" s="84"/>
      <c r="E33" s="99" t="str">
        <f>IF($C33&lt;&gt;0,VLOOKUP($C33,'[1]Course Table'!$A$1:$G$330,2,TRUE),"")</f>
        <v/>
      </c>
      <c r="F33" s="84"/>
      <c r="G33" s="84" t="str">
        <f t="shared" si="0"/>
        <v/>
      </c>
      <c r="H33" s="100" t="str">
        <f>IF($C33&lt;&gt;"",IF(AND($L33=$K33,$K33&lt;&gt;0),IF($M33=1,VLOOKUP($J33,'[1]Course Table'!$A$1:$G$330,4,FALSE)*IF('[1]Student Info'!$B$9="Y",1.3,1),""),VLOOKUP($C33,'[1]Course Table'!$A$1:$G$330,4,FALSE)*IF('[1]Student Info'!$B$9="Y",IF(OR(MID($C33,1,5)="BOOKS",MID($C33,1,3)="LAB",RIGHT($C33,5)="BOOKS",RIGHT($C33,3)="LAB"),1,1+'[1]Franchise Info'!$C$12),1)),"")</f>
        <v/>
      </c>
      <c r="I33" s="84" t="str">
        <f>IF($C33&lt;&gt;"",VLOOKUP($C33,'[1]Course Table'!$A$1:$G$330,5,FALSE),"")</f>
        <v/>
      </c>
      <c r="J33" s="101" t="str">
        <f>IF(AND($C33&lt;&gt;"",A33&lt;&gt;"E"),VLOOKUP($C33,'[1]Course Table'!$A$1:$G$330,6,FALSE),"")</f>
        <v/>
      </c>
      <c r="K33" s="101" t="str">
        <f>IF($C33&lt;&gt;"",VLOOKUP($C33,'[1]Course Table'!$A$1:$G$330,7,FALSE),"")</f>
        <v/>
      </c>
      <c r="L33" s="84">
        <f t="shared" si="1"/>
        <v>31</v>
      </c>
      <c r="M33" s="84">
        <f>COUNTIF($J$6:$J33,$J33)</f>
        <v>24</v>
      </c>
      <c r="N33" s="84" t="str">
        <f>IF($C33&lt;&gt;"",VLOOKUP($C33,'[1]Course Table'!$A$1:$I$330,8,FALSE),"")</f>
        <v/>
      </c>
      <c r="O33" s="84" t="str">
        <f>IF($C33&lt;&gt;"",VLOOKUP($C33,'[1]Course Table'!$A$1:$I$330,9,FALSE),"")</f>
        <v/>
      </c>
      <c r="P33" s="84"/>
      <c r="Q33" s="84"/>
      <c r="R33" s="90"/>
    </row>
    <row r="34" spans="1:33">
      <c r="A34" s="79"/>
      <c r="B34" s="103"/>
      <c r="C34" s="105"/>
      <c r="D34" s="84"/>
      <c r="E34" s="99" t="str">
        <f>IF($C34&lt;&gt;0,VLOOKUP($C34,'[1]Course Table'!$A$1:$G$330,2,TRUE),"")</f>
        <v/>
      </c>
      <c r="F34" s="84"/>
      <c r="G34" s="84" t="str">
        <f t="shared" si="0"/>
        <v/>
      </c>
      <c r="H34" s="100" t="str">
        <f>IF($C34&lt;&gt;"",IF(AND($L34=$K34,$K34&lt;&gt;0),IF($M34=1,VLOOKUP($J34,'[1]Course Table'!$A$1:$G$330,4,FALSE)*IF('[1]Student Info'!$B$9="Y",1.3,1),""),VLOOKUP($C34,'[1]Course Table'!$A$1:$G$330,4,FALSE)*IF('[1]Student Info'!$B$9="Y",IF(OR(MID($C34,1,5)="BOOKS",MID($C34,1,3)="LAB",RIGHT($C34,5)="BOOKS",RIGHT($C34,3)="LAB"),1,1+'[1]Franchise Info'!$C$12),1)),"")</f>
        <v/>
      </c>
      <c r="I34" s="84" t="str">
        <f>IF($C34&lt;&gt;"",VLOOKUP($C34,'[1]Course Table'!$A$1:$G$330,5,FALSE),"")</f>
        <v/>
      </c>
      <c r="J34" s="101" t="str">
        <f>IF(AND($C34&lt;&gt;"",A34&lt;&gt;"E"),VLOOKUP($C34,'[1]Course Table'!$A$1:$G$330,6,FALSE),"")</f>
        <v/>
      </c>
      <c r="K34" s="101" t="str">
        <f>IF($C34&lt;&gt;"",VLOOKUP($C34,'[1]Course Table'!$A$1:$G$330,7,FALSE),"")</f>
        <v/>
      </c>
      <c r="L34" s="84">
        <f t="shared" si="1"/>
        <v>31</v>
      </c>
      <c r="M34" s="84">
        <f>COUNTIF($J$6:$J34,$J34)</f>
        <v>25</v>
      </c>
      <c r="N34" s="84" t="str">
        <f>IF($C34&lt;&gt;"",VLOOKUP($C34,'[1]Course Table'!$A$1:$I$330,8,FALSE),"")</f>
        <v/>
      </c>
      <c r="O34" s="84" t="str">
        <f>IF($C34&lt;&gt;"",VLOOKUP($C34,'[1]Course Table'!$A$1:$I$330,9,FALSE),"")</f>
        <v/>
      </c>
      <c r="P34" s="84"/>
      <c r="Q34" s="84"/>
      <c r="R34" s="90"/>
    </row>
    <row r="35" spans="1:33">
      <c r="A35" s="79"/>
      <c r="B35" s="103"/>
      <c r="C35" s="105"/>
      <c r="D35" s="84"/>
      <c r="E35" s="99" t="str">
        <f>IF($C35&lt;&gt;0,VLOOKUP($C35,'[1]Course Table'!$A$1:$G$330,2,TRUE),"")</f>
        <v/>
      </c>
      <c r="F35" s="84"/>
      <c r="G35" s="84" t="str">
        <f t="shared" si="0"/>
        <v/>
      </c>
      <c r="H35" s="100" t="str">
        <f>IF($C35&lt;&gt;"",IF(AND($L35=$K35,$K35&lt;&gt;0),IF($M35=1,VLOOKUP($J35,'[1]Course Table'!$A$1:$G$330,4,FALSE)*IF('[1]Student Info'!$B$9="Y",1.3,1),""),VLOOKUP($C35,'[1]Course Table'!$A$1:$G$330,4,FALSE)*IF('[1]Student Info'!$B$9="Y",IF(OR(MID($C35,1,5)="BOOKS",MID($C35,1,3)="LAB",RIGHT($C35,5)="BOOKS",RIGHT($C35,3)="LAB"),1,1+'[1]Franchise Info'!$C$12),1)),"")</f>
        <v/>
      </c>
      <c r="I35" s="84" t="str">
        <f>IF($C35&lt;&gt;"",VLOOKUP($C35,'[1]Course Table'!$A$1:$G$330,5,FALSE),"")</f>
        <v/>
      </c>
      <c r="J35" s="101" t="str">
        <f>IF(AND($C35&lt;&gt;"",A35&lt;&gt;"E"),VLOOKUP($C35,'[1]Course Table'!$A$1:$G$330,6,FALSE),"")</f>
        <v/>
      </c>
      <c r="K35" s="101" t="str">
        <f>IF($C35&lt;&gt;"",VLOOKUP($C35,'[1]Course Table'!$A$1:$G$330,7,FALSE),"")</f>
        <v/>
      </c>
      <c r="L35" s="84">
        <f t="shared" si="1"/>
        <v>31</v>
      </c>
      <c r="M35" s="84">
        <f>COUNTIF($J$6:$J35,$J35)</f>
        <v>26</v>
      </c>
      <c r="N35" s="84" t="str">
        <f>IF($C35&lt;&gt;"",VLOOKUP($C35,'[1]Course Table'!$A$1:$I$330,8,FALSE),"")</f>
        <v/>
      </c>
      <c r="O35" s="84" t="str">
        <f>IF($C35&lt;&gt;"",VLOOKUP($C35,'[1]Course Table'!$A$1:$I$330,9,FALSE),"")</f>
        <v/>
      </c>
      <c r="P35" s="84"/>
      <c r="Q35" s="84"/>
      <c r="R35" s="90"/>
    </row>
    <row r="36" spans="1:33">
      <c r="A36" s="79"/>
      <c r="B36" s="103"/>
      <c r="C36" s="105"/>
      <c r="D36" s="84"/>
      <c r="E36" s="99" t="str">
        <f>IF($C36&lt;&gt;0,VLOOKUP($C36,'[1]Course Table'!$A$1:$G$330,2,TRUE),"")</f>
        <v/>
      </c>
      <c r="F36" s="84"/>
      <c r="G36" s="84" t="str">
        <f t="shared" si="0"/>
        <v/>
      </c>
      <c r="H36" s="100" t="str">
        <f>IF($C36&lt;&gt;"",IF(AND($L36=$K36,$K36&lt;&gt;0),IF($M36=1,VLOOKUP($J36,'[1]Course Table'!$A$1:$G$330,4,FALSE)*IF('[1]Student Info'!$B$9="Y",1.3,1),""),VLOOKUP($C36,'[1]Course Table'!$A$1:$G$330,4,FALSE)*IF('[1]Student Info'!$B$9="Y",IF(OR(MID($C36,1,5)="BOOKS",MID($C36,1,3)="LAB",RIGHT($C36,5)="BOOKS",RIGHT($C36,3)="LAB"),1,1+'[1]Franchise Info'!$C$12),1)),"")</f>
        <v/>
      </c>
      <c r="I36" s="84" t="str">
        <f>IF($C36&lt;&gt;"",VLOOKUP($C36,'[1]Course Table'!$A$1:$G$330,5,FALSE),"")</f>
        <v/>
      </c>
      <c r="J36" s="101" t="str">
        <f>IF(AND($C36&lt;&gt;"",A36&lt;&gt;"E"),VLOOKUP($C36,'[1]Course Table'!$A$1:$G$330,6,FALSE),"")</f>
        <v/>
      </c>
      <c r="K36" s="101" t="str">
        <f>IF($C36&lt;&gt;"",VLOOKUP($C36,'[1]Course Table'!$A$1:$G$330,7,FALSE),"")</f>
        <v/>
      </c>
      <c r="L36" s="84">
        <f t="shared" si="1"/>
        <v>31</v>
      </c>
      <c r="M36" s="84">
        <f>COUNTIF($J$6:$J36,$J36)</f>
        <v>27</v>
      </c>
      <c r="N36" s="84" t="str">
        <f>IF($C36&lt;&gt;"",VLOOKUP($C36,'[1]Course Table'!$A$1:$I$330,8,FALSE),"")</f>
        <v/>
      </c>
      <c r="O36" s="84" t="str">
        <f>IF($C36&lt;&gt;"",VLOOKUP($C36,'[1]Course Table'!$A$1:$I$330,9,FALSE),"")</f>
        <v/>
      </c>
      <c r="P36" s="84"/>
      <c r="Q36" s="84"/>
      <c r="R36" s="90"/>
    </row>
    <row r="37" spans="1:33">
      <c r="A37" s="79"/>
      <c r="B37" s="103"/>
      <c r="C37" s="105"/>
      <c r="D37" s="84"/>
      <c r="E37" s="99" t="str">
        <f>IF($C37&lt;&gt;0,VLOOKUP($C37,'[1]Course Table'!$A$1:$G$330,2,TRUE),"")</f>
        <v/>
      </c>
      <c r="F37" s="84"/>
      <c r="G37" s="84" t="str">
        <f t="shared" si="0"/>
        <v/>
      </c>
      <c r="H37" s="100" t="str">
        <f>IF($C37&lt;&gt;"",IF(AND($L37=$K37,$K37&lt;&gt;0),IF($M37=1,VLOOKUP($J37,'[1]Course Table'!$A$1:$G$330,4,FALSE)*IF('[1]Student Info'!$B$9="Y",1.3,1),""),VLOOKUP($C37,'[1]Course Table'!$A$1:$G$330,4,FALSE)*IF('[1]Student Info'!$B$9="Y",IF(OR(MID($C37,1,5)="BOOKS",MID($C37,1,3)="LAB",RIGHT($C37,5)="BOOKS",RIGHT($C37,3)="LAB"),1,1+'[1]Franchise Info'!$C$12),1)),"")</f>
        <v/>
      </c>
      <c r="I37" s="84" t="str">
        <f>IF($C37&lt;&gt;"",VLOOKUP($C37,'[1]Course Table'!$A$1:$G$330,5,FALSE),"")</f>
        <v/>
      </c>
      <c r="J37" s="101" t="str">
        <f>IF(AND($C37&lt;&gt;"",A37&lt;&gt;"E"),VLOOKUP($C37,'[1]Course Table'!$A$1:$G$330,6,FALSE),"")</f>
        <v/>
      </c>
      <c r="K37" s="101" t="str">
        <f>IF($C37&lt;&gt;"",VLOOKUP($C37,'[1]Course Table'!$A$1:$G$330,7,FALSE),"")</f>
        <v/>
      </c>
      <c r="L37" s="84">
        <f t="shared" si="1"/>
        <v>31</v>
      </c>
      <c r="M37" s="84">
        <f>COUNTIF($J$6:$J37,$J37)</f>
        <v>28</v>
      </c>
      <c r="N37" s="84" t="str">
        <f>IF($C37&lt;&gt;"",VLOOKUP($C37,'[1]Course Table'!$A$1:$I$330,8,FALSE),"")</f>
        <v/>
      </c>
      <c r="O37" s="84" t="str">
        <f>IF($C37&lt;&gt;"",VLOOKUP($C37,'[1]Course Table'!$A$1:$I$330,9,FALSE),"")</f>
        <v/>
      </c>
      <c r="P37" s="84"/>
      <c r="Q37" s="84"/>
      <c r="R37" s="90"/>
    </row>
    <row r="38" spans="1:33">
      <c r="A38" s="79"/>
      <c r="B38" s="103"/>
      <c r="C38" s="105"/>
      <c r="D38" s="84"/>
      <c r="E38" s="99" t="str">
        <f>IF($C38&lt;&gt;0,VLOOKUP($C38,'[1]Course Table'!$A$1:$G$330,2,TRUE),"")</f>
        <v/>
      </c>
      <c r="F38" s="84"/>
      <c r="G38" s="84" t="str">
        <f t="shared" si="0"/>
        <v/>
      </c>
      <c r="H38" s="100" t="str">
        <f>IF($C38&lt;&gt;"",IF(AND($L38=$K38,$K38&lt;&gt;0),IF($M38=1,VLOOKUP($J38,'[1]Course Table'!$A$1:$G$330,4,FALSE)*IF('[1]Student Info'!$B$9="Y",1.3,1),""),VLOOKUP($C38,'[1]Course Table'!$A$1:$G$330,4,FALSE)*IF('[1]Student Info'!$B$9="Y",IF(OR(MID($C38,1,5)="BOOKS",MID($C38,1,3)="LAB",RIGHT($C38,5)="BOOKS",RIGHT($C38,3)="LAB"),1,1+'[1]Franchise Info'!$C$12),1)),"")</f>
        <v/>
      </c>
      <c r="I38" s="84" t="str">
        <f>IF($C38&lt;&gt;"",VLOOKUP($C38,'[1]Course Table'!$A$1:$G$330,5,FALSE),"")</f>
        <v/>
      </c>
      <c r="J38" s="101" t="str">
        <f>IF(AND($C38&lt;&gt;"",A38&lt;&gt;"E"),VLOOKUP($C38,'[1]Course Table'!$A$1:$G$330,6,FALSE),"")</f>
        <v/>
      </c>
      <c r="K38" s="101" t="str">
        <f>IF($C38&lt;&gt;"",VLOOKUP($C38,'[1]Course Table'!$A$1:$G$330,7,FALSE),"")</f>
        <v/>
      </c>
      <c r="L38" s="84">
        <f t="shared" si="1"/>
        <v>31</v>
      </c>
      <c r="M38" s="84">
        <f>COUNTIF($J$6:$J38,$J38)</f>
        <v>29</v>
      </c>
      <c r="N38" s="84" t="str">
        <f>IF($C38&lt;&gt;"",VLOOKUP($C38,'[1]Course Table'!$A$1:$I$330,8,FALSE),"")</f>
        <v/>
      </c>
      <c r="O38" s="84" t="str">
        <f>IF($C38&lt;&gt;"",VLOOKUP($C38,'[1]Course Table'!$A$1:$I$330,9,FALSE),"")</f>
        <v/>
      </c>
      <c r="P38" s="84"/>
      <c r="Q38" s="84"/>
    </row>
    <row r="39" spans="1:33">
      <c r="A39" s="79"/>
      <c r="B39" s="103"/>
      <c r="C39" s="105"/>
      <c r="D39" s="84"/>
      <c r="E39" s="99" t="str">
        <f>IF($C39&lt;&gt;0,VLOOKUP($C39,'[1]Course Table'!$A$1:$G$330,2,TRUE),"")</f>
        <v/>
      </c>
      <c r="F39" s="84"/>
      <c r="G39" s="84" t="str">
        <f t="shared" si="0"/>
        <v/>
      </c>
      <c r="H39" s="100" t="str">
        <f>IF($C39&lt;&gt;"",IF(AND($L39=$K39,$K39&lt;&gt;0),IF($M39=1,VLOOKUP($J39,'[1]Course Table'!$A$1:$G$330,4,FALSE)*IF('[1]Student Info'!$B$9="Y",1.3,1),""),VLOOKUP($C39,'[1]Course Table'!$A$1:$G$330,4,FALSE)*IF('[1]Student Info'!$B$9="Y",IF(OR(MID($C39,1,5)="BOOKS",MID($C39,1,3)="LAB",RIGHT($C39,5)="BOOKS",RIGHT($C39,3)="LAB"),1,1+'[1]Franchise Info'!$C$12),1)),"")</f>
        <v/>
      </c>
      <c r="I39" s="84" t="str">
        <f>IF($C39&lt;&gt;"",VLOOKUP($C39,'[1]Course Table'!$A$1:$G$330,5,FALSE),"")</f>
        <v/>
      </c>
      <c r="J39" s="101" t="str">
        <f>IF(AND($C39&lt;&gt;"",A39&lt;&gt;"E"),VLOOKUP($C39,'[1]Course Table'!$A$1:$G$330,6,FALSE),"")</f>
        <v/>
      </c>
      <c r="K39" s="101" t="str">
        <f>IF($C39&lt;&gt;"",VLOOKUP($C39,'[1]Course Table'!$A$1:$G$330,7,FALSE),"")</f>
        <v/>
      </c>
      <c r="L39" s="84">
        <f t="shared" si="1"/>
        <v>31</v>
      </c>
      <c r="M39" s="84">
        <f>COUNTIF($J$6:$J39,$J39)</f>
        <v>30</v>
      </c>
      <c r="N39" s="84" t="str">
        <f>IF($C39&lt;&gt;"",VLOOKUP($C39,'[1]Course Table'!$A$1:$I$330,8,FALSE),"")</f>
        <v/>
      </c>
      <c r="O39" s="84" t="str">
        <f>IF($C39&lt;&gt;"",VLOOKUP($C39,'[1]Course Table'!$A$1:$I$330,9,FALSE),"")</f>
        <v/>
      </c>
      <c r="P39" s="84"/>
      <c r="Q39" s="84"/>
    </row>
    <row r="40" spans="1:33" ht="17.25" thickBot="1">
      <c r="A40" s="108"/>
      <c r="B40" s="109"/>
      <c r="C40" s="110"/>
      <c r="D40" s="111"/>
      <c r="E40" s="112" t="str">
        <f>IF($C40&lt;&gt;0,VLOOKUP($C40,'[1]Course Table'!$A$1:$G$330,2,TRUE),"")</f>
        <v/>
      </c>
      <c r="F40" s="111"/>
      <c r="G40" s="111" t="str">
        <f t="shared" si="0"/>
        <v/>
      </c>
      <c r="H40" s="100" t="str">
        <f>IF($C40&lt;&gt;"",IF(AND($L40=$K40,$K40&lt;&gt;0),IF($M40=1,VLOOKUP($J40,'[1]Course Table'!$A$1:$G$330,4,FALSE)*IF('[1]Student Info'!$B$9="Y",1.3,1),""),VLOOKUP($C40,'[1]Course Table'!$A$1:$G$330,4,FALSE)*IF('[1]Student Info'!$B$9="Y",IF(OR(MID($C40,1,5)="BOOKS",MID($C40,1,3)="LAB",RIGHT($C40,5)="BOOKS",RIGHT($C40,3)="LAB"),1,1+'[1]Franchise Info'!$C$12),1)),"")</f>
        <v/>
      </c>
      <c r="I40" s="84" t="str">
        <f>IF($C40&lt;&gt;"",VLOOKUP($C40,'[1]Course Table'!$A$1:$G$330,5,FALSE),"")</f>
        <v/>
      </c>
      <c r="J40" s="101" t="str">
        <f>IF(AND($C40&lt;&gt;"",A40&lt;&gt;"E"),VLOOKUP($C40,'[1]Course Table'!$A$1:$G$330,6,FALSE),"")</f>
        <v/>
      </c>
      <c r="K40" s="101" t="str">
        <f>IF($C40&lt;&gt;"",VLOOKUP($C40,'[1]Course Table'!$A$1:$G$330,7,FALSE),"")</f>
        <v/>
      </c>
      <c r="L40" s="84">
        <f t="shared" si="1"/>
        <v>31</v>
      </c>
      <c r="M40" s="84">
        <f>COUNTIF($J$6:$J40,$J40)</f>
        <v>31</v>
      </c>
      <c r="N40" s="84" t="str">
        <f>IF($C40&lt;&gt;"",VLOOKUP($C40,'[1]Course Table'!$A$1:$I$330,8,FALSE),"")</f>
        <v/>
      </c>
      <c r="O40" s="84" t="str">
        <f>IF($C40&lt;&gt;"",VLOOKUP($C40,'[1]Course Table'!$A$1:$I$330,9,FALSE),"")</f>
        <v/>
      </c>
      <c r="P40" s="84"/>
      <c r="Q40" s="84"/>
    </row>
    <row r="41" spans="1:33" s="90" customFormat="1" ht="13.5" customHeight="1" thickBot="1">
      <c r="C41" s="90" t="s">
        <v>17</v>
      </c>
      <c r="D41" s="113" t="s">
        <v>18</v>
      </c>
      <c r="E41" s="89"/>
      <c r="F41" s="89"/>
      <c r="G41" s="89"/>
      <c r="H41" s="114">
        <f>SUM(H6:H40)</f>
        <v>3079</v>
      </c>
      <c r="I41" s="115">
        <f>SUM(I6:I40)</f>
        <v>300</v>
      </c>
    </row>
    <row r="42" spans="1:33" s="90" customFormat="1" ht="12.75">
      <c r="C42" s="146">
        <v>0</v>
      </c>
      <c r="D42" s="301" t="str">
        <f>CONCATENATE("Course Hours - ",I41,"          Exam &amp; Review Hours - ",C43,"          Total Course Hours - ",I41+C43)</f>
        <v>Course Hours - 300          Exam &amp; Review Hours - 0          Total Course Hours - 300</v>
      </c>
      <c r="E42" s="301"/>
      <c r="F42" s="301"/>
      <c r="G42" s="301"/>
      <c r="H42" s="117">
        <f>ROUNDUP(H41/(I41+C43),2)</f>
        <v>10.27</v>
      </c>
    </row>
    <row r="43" spans="1:33" s="90" customFormat="1" ht="13.5" customHeight="1">
      <c r="C43" s="90">
        <f>ROUNDUP(I41*C42,0)</f>
        <v>0</v>
      </c>
      <c r="D43" s="300" t="str">
        <f>CONCATENATE("Only available at 25 Hrs/Week : ",ROUNDUP((I41+C43)/(25*4.33),1)," Months  (",ROUNDUP((I41+C43)/25,0)," Weeks)")</f>
        <v>Only available at 25 Hrs/Week : 2.8 Months  (12 Weeks)</v>
      </c>
      <c r="E43" s="300"/>
      <c r="F43" s="300"/>
      <c r="G43" s="300"/>
      <c r="H43" s="118"/>
    </row>
    <row r="44" spans="1:33" s="84" customFormat="1" ht="13.5">
      <c r="D44" s="119" t="str">
        <f>CONCATENATE("Total Costs (including e-manuals, registration &amp; assessment fees) -  $",ROUND(H41,0)+'[1]Outline Info'!$B$14+'[1]Outline Info'!$B$15+'[1]Outline Info'!$C$15)</f>
        <v>Total Costs (including e-manuals, registration &amp; assessment fees) -  $3433</v>
      </c>
      <c r="E44" s="120"/>
      <c r="F44" s="120"/>
      <c r="G44" s="120"/>
      <c r="H44" s="100"/>
    </row>
    <row r="45" spans="1:33" s="84" customFormat="1" ht="13.5">
      <c r="D45" s="298" t="s">
        <v>150</v>
      </c>
      <c r="E45" s="298"/>
      <c r="F45" s="298"/>
      <c r="G45" s="298"/>
      <c r="H45" s="100"/>
    </row>
    <row r="46" spans="1:33" s="90" customFormat="1" ht="12.75">
      <c r="D46" s="121" t="str">
        <f>'[1]Franchise Info'!$B$7</f>
        <v>Phone : (604) 855-3315                                            E-Mail : admin.abbotsford@aolccbc.com                                             Fax : (604) 855-3365</v>
      </c>
      <c r="E46" s="121"/>
      <c r="F46" s="121"/>
      <c r="G46" s="121"/>
      <c r="H46" s="118"/>
    </row>
    <row r="47" spans="1:33" ht="13.5" customHeight="1">
      <c r="D47" s="113"/>
      <c r="E47" s="74"/>
      <c r="F47" s="74"/>
      <c r="G47" s="74"/>
      <c r="N47" s="84" t="s">
        <v>19</v>
      </c>
      <c r="O47" s="78">
        <f>SUM(O6:O40)</f>
        <v>15</v>
      </c>
    </row>
    <row r="48" spans="1:33" ht="13.5" customHeight="1">
      <c r="D48" s="121"/>
      <c r="E48" s="121"/>
      <c r="F48" s="121"/>
      <c r="G48" s="121"/>
      <c r="H48" s="78"/>
      <c r="N48" s="78">
        <f>SUMIF($N$6:$N$40,Summary!N4,$O$6:$O$40)</f>
        <v>0</v>
      </c>
      <c r="O48" s="78">
        <f>SUMIF($N$6:$N$40,Summary!O4,$O$6:$O$40)</f>
        <v>0</v>
      </c>
      <c r="P48" s="78">
        <f>SUMIF($N$6:$N$40,Summary!P4,$O$6:$O$40)</f>
        <v>0</v>
      </c>
      <c r="Q48" s="78">
        <f>SUMIF($N$6:$N$40,Summary!Q4,$O$6:$O$40)</f>
        <v>0</v>
      </c>
      <c r="R48" s="78">
        <f>SUMIF($N$6:$N$40,Summary!R4,$O$6:$O$40)</f>
        <v>0</v>
      </c>
      <c r="S48" s="78">
        <f>SUMIF($N$6:$N$40,Summary!S4,$O$6:$O$40)</f>
        <v>0</v>
      </c>
      <c r="T48" s="78">
        <f>SUMIF($N$6:$N$40,Summary!T4,$O$6:$O$40)</f>
        <v>0</v>
      </c>
      <c r="U48" s="78">
        <f>SUMIF($N$6:$N$40,Summary!U4,$O$6:$O$40)</f>
        <v>0</v>
      </c>
      <c r="V48" s="78">
        <f>SUMIF($N$6:$N$40,Summary!V4,$O$6:$O$40)</f>
        <v>0</v>
      </c>
      <c r="W48" s="78">
        <f>SUMIF($N$6:$N$40,Summary!W4,$O$6:$O$40)</f>
        <v>0</v>
      </c>
      <c r="X48" s="78">
        <f>SUMIF($N$6:$N$40,Summary!X4,$O$6:$O$40)</f>
        <v>0</v>
      </c>
      <c r="Y48" s="78">
        <f>SUMIF($N$6:$N$40,Summary!Y4,$O$6:$O$40)</f>
        <v>0</v>
      </c>
      <c r="Z48" s="78">
        <f>SUMIF($N$6:$N$40,Summary!Z4,$O$6:$O$40)</f>
        <v>0</v>
      </c>
      <c r="AA48" s="78">
        <f>SUMIF($N$6:$N$40,Summary!AA4,$O$6:$O$40)</f>
        <v>0</v>
      </c>
      <c r="AB48" s="78">
        <f>SUMIF($N$6:$N$40,Summary!AB4,$O$6:$O$40)</f>
        <v>0</v>
      </c>
      <c r="AC48" s="78">
        <f>SUMIF($N$6:$N$40,Summary!AC4,$O$6:$O$40)</f>
        <v>0</v>
      </c>
      <c r="AD48" s="78">
        <f>SUMIF($N$6:$N$40,Summary!AD4,$O$6:$O$40)</f>
        <v>0</v>
      </c>
      <c r="AE48" s="78">
        <f>SUMIF($N$6:$N$40,Summary!AE4,$O$6:$O$40)</f>
        <v>15</v>
      </c>
      <c r="AF48" s="78">
        <f>SUMIF($N$6:$N$40,Summary!AF4,$O$6:$O$40)</f>
        <v>0</v>
      </c>
      <c r="AG48" s="78">
        <f>SUMIF($N$6:$N$40,Summary!AG4,$O$6:$O$40)</f>
        <v>0</v>
      </c>
    </row>
    <row r="49" spans="4:7" ht="13.5" customHeight="1">
      <c r="D49" s="121"/>
      <c r="E49" s="121"/>
      <c r="F49" s="121"/>
      <c r="G49" s="121"/>
    </row>
    <row r="50" spans="4:7" ht="13.5" customHeight="1">
      <c r="D50" s="121"/>
      <c r="E50" s="121"/>
      <c r="F50" s="121"/>
      <c r="G50" s="121"/>
    </row>
    <row r="51" spans="4:7">
      <c r="D51" s="113"/>
      <c r="E51" s="74"/>
      <c r="F51" s="74"/>
      <c r="G51" s="74"/>
    </row>
  </sheetData>
  <sheetProtection selectLockedCells="1" selectUnlockedCells="1"/>
  <mergeCells count="6">
    <mergeCell ref="F1:G1"/>
    <mergeCell ref="F2:G2"/>
    <mergeCell ref="D45:G45"/>
    <mergeCell ref="D4:F4"/>
    <mergeCell ref="D43:G43"/>
    <mergeCell ref="D42:G42"/>
  </mergeCells>
  <phoneticPr fontId="36" type="noConversion"/>
  <pageMargins left="0.74803149606299213" right="0.55118110236220474" top="0.6" bottom="0.35433070866141736" header="0.11811023622047245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54</vt:i4>
      </vt:variant>
    </vt:vector>
  </HeadingPairs>
  <TitlesOfParts>
    <vt:vector size="111" baseType="lpstr">
      <vt:lpstr>Update Log</vt:lpstr>
      <vt:lpstr>Navigation</vt:lpstr>
      <vt:lpstr>A+N+MCPCrt</vt:lpstr>
      <vt:lpstr>AccAdminDip</vt:lpstr>
      <vt:lpstr>AccBusTechDip</vt:lpstr>
      <vt:lpstr>AccPayAdmDip</vt:lpstr>
      <vt:lpstr>AccBkCrt</vt:lpstr>
      <vt:lpstr>AccClrkCrt</vt:lpstr>
      <vt:lpstr>AddWrkCrt</vt:lpstr>
      <vt:lpstr>AdminAsstDip</vt:lpstr>
      <vt:lpstr>BusAdminDip</vt:lpstr>
      <vt:lpstr>BusAdminCoop</vt:lpstr>
      <vt:lpstr>BusManCrt</vt:lpstr>
      <vt:lpstr>BusOffSkillsDip</vt:lpstr>
      <vt:lpstr>BusRecCrt</vt:lpstr>
      <vt:lpstr>BusSrvEssCoop</vt:lpstr>
      <vt:lpstr>CalCtrCstRepDip</vt:lpstr>
      <vt:lpstr>ComSrvWrkDip</vt:lpstr>
      <vt:lpstr>CsAwWrkDip</vt:lpstr>
      <vt:lpstr>CmpSrvTechCrt</vt:lpstr>
      <vt:lpstr>CmpSrvTechDip</vt:lpstr>
      <vt:lpstr>CmpSftSupDip</vt:lpstr>
      <vt:lpstr>CmpOffProCrt</vt:lpstr>
      <vt:lpstr>ConEvtPlnDip</vt:lpstr>
      <vt:lpstr>CusSrvRepCrt</vt:lpstr>
      <vt:lpstr>EntBusAppDip</vt:lpstr>
      <vt:lpstr>ExecAssDip</vt:lpstr>
      <vt:lpstr>GrphDesDip</vt:lpstr>
      <vt:lpstr>HRAdmCrt</vt:lpstr>
      <vt:lpstr>MrkAdmAssCrt</vt:lpstr>
      <vt:lpstr>MrkCordDip</vt:lpstr>
      <vt:lpstr>MCSASrvCrt</vt:lpstr>
      <vt:lpstr>MCSAWinCrt</vt:lpstr>
      <vt:lpstr>MedAdmAssCrt</vt:lpstr>
      <vt:lpstr>MOADip</vt:lpstr>
      <vt:lpstr>MOADipHUC</vt:lpstr>
      <vt:lpstr>MOFDACrt</vt:lpstr>
      <vt:lpstr>NetAdminDip</vt:lpstr>
      <vt:lpstr>OffAdminDip</vt:lpstr>
      <vt:lpstr>OffAdmAssCrt</vt:lpstr>
      <vt:lpstr>OffClkCrt</vt:lpstr>
      <vt:lpstr>PayAdmCrt</vt:lpstr>
      <vt:lpstr>PayClkCrt</vt:lpstr>
      <vt:lpstr>PCSupSpecDip</vt:lpstr>
      <vt:lpstr>PrjAdminDip</vt:lpstr>
      <vt:lpstr>PSACrt</vt:lpstr>
      <vt:lpstr>SalesAscCrt</vt:lpstr>
      <vt:lpstr>SalesProfDip</vt:lpstr>
      <vt:lpstr>SoftWebDevDip</vt:lpstr>
      <vt:lpstr>WebDesDip</vt:lpstr>
      <vt:lpstr>WebDevDip</vt:lpstr>
      <vt:lpstr>IndividualProgram</vt:lpstr>
      <vt:lpstr>ESLCourses</vt:lpstr>
      <vt:lpstr>Summary</vt:lpstr>
      <vt:lpstr>CSL Inst Appx</vt:lpstr>
      <vt:lpstr>PTIB Prog Info</vt:lpstr>
      <vt:lpstr>Reference</vt:lpstr>
      <vt:lpstr>D</vt:lpstr>
      <vt:lpstr>'A+N+MCPCrt'!Print_Area</vt:lpstr>
      <vt:lpstr>AccAdminDip!Print_Area</vt:lpstr>
      <vt:lpstr>AccBkCrt!Print_Area</vt:lpstr>
      <vt:lpstr>AccBusTechDip!Print_Area</vt:lpstr>
      <vt:lpstr>AccClrkCrt!Print_Area</vt:lpstr>
      <vt:lpstr>AccPayAdmDip!Print_Area</vt:lpstr>
      <vt:lpstr>AddWrkCrt!Print_Area</vt:lpstr>
      <vt:lpstr>AdminAsstDip!Print_Area</vt:lpstr>
      <vt:lpstr>BusAdminCoop!Print_Area</vt:lpstr>
      <vt:lpstr>BusAdminDip!Print_Area</vt:lpstr>
      <vt:lpstr>BusManCrt!Print_Area</vt:lpstr>
      <vt:lpstr>BusOffSkillsDip!Print_Area</vt:lpstr>
      <vt:lpstr>BusRecCrt!Print_Area</vt:lpstr>
      <vt:lpstr>BusSrvEssCoop!Print_Area</vt:lpstr>
      <vt:lpstr>CalCtrCstRepDip!Print_Area</vt:lpstr>
      <vt:lpstr>CmpOffProCrt!Print_Area</vt:lpstr>
      <vt:lpstr>CmpSftSupDip!Print_Area</vt:lpstr>
      <vt:lpstr>CmpSrvTechCrt!Print_Area</vt:lpstr>
      <vt:lpstr>CmpSrvTechDip!Print_Area</vt:lpstr>
      <vt:lpstr>ComSrvWrkDip!Print_Area</vt:lpstr>
      <vt:lpstr>ConEvtPlnDip!Print_Area</vt:lpstr>
      <vt:lpstr>CsAwWrkDip!Print_Area</vt:lpstr>
      <vt:lpstr>CusSrvRepCrt!Print_Area</vt:lpstr>
      <vt:lpstr>EntBusAppDip!Print_Area</vt:lpstr>
      <vt:lpstr>ESLCourses!Print_Area</vt:lpstr>
      <vt:lpstr>ExecAssDip!Print_Area</vt:lpstr>
      <vt:lpstr>GrphDesDip!Print_Area</vt:lpstr>
      <vt:lpstr>HRAdmCrt!Print_Area</vt:lpstr>
      <vt:lpstr>IndividualProgram!Print_Area</vt:lpstr>
      <vt:lpstr>MCSASrvCrt!Print_Area</vt:lpstr>
      <vt:lpstr>MCSAWinCrt!Print_Area</vt:lpstr>
      <vt:lpstr>MedAdmAssCrt!Print_Area</vt:lpstr>
      <vt:lpstr>MOADip!Print_Area</vt:lpstr>
      <vt:lpstr>MOADipHUC!Print_Area</vt:lpstr>
      <vt:lpstr>MOFDACrt!Print_Area</vt:lpstr>
      <vt:lpstr>MrkAdmAssCrt!Print_Area</vt:lpstr>
      <vt:lpstr>MrkCordDip!Print_Area</vt:lpstr>
      <vt:lpstr>NetAdminDip!Print_Area</vt:lpstr>
      <vt:lpstr>OffAdmAssCrt!Print_Area</vt:lpstr>
      <vt:lpstr>OffAdminDip!Print_Area</vt:lpstr>
      <vt:lpstr>OffClkCrt!Print_Area</vt:lpstr>
      <vt:lpstr>PayAdmCrt!Print_Area</vt:lpstr>
      <vt:lpstr>PayClkCrt!Print_Area</vt:lpstr>
      <vt:lpstr>PCSupSpecDip!Print_Area</vt:lpstr>
      <vt:lpstr>PrjAdminDip!Print_Area</vt:lpstr>
      <vt:lpstr>PSACrt!Print_Area</vt:lpstr>
      <vt:lpstr>'PTIB Prog Info'!Print_Area</vt:lpstr>
      <vt:lpstr>SalesAscCrt!Print_Area</vt:lpstr>
      <vt:lpstr>SalesProfDip!Print_Area</vt:lpstr>
      <vt:lpstr>SoftWebDevDip!Print_Area</vt:lpstr>
      <vt:lpstr>Summary!Print_Area</vt:lpstr>
      <vt:lpstr>WebDesDip!Print_Area</vt:lpstr>
      <vt:lpstr>WebDevDip!Print_Area</vt:lpstr>
    </vt:vector>
  </TitlesOfParts>
  <Company>Academy of Learning - Burnaby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Academy of Learning</dc:creator>
  <cp:lastModifiedBy>MikeRoss</cp:lastModifiedBy>
  <cp:lastPrinted>2018-05-29T14:10:19Z</cp:lastPrinted>
  <dcterms:created xsi:type="dcterms:W3CDTF">1996-12-01T19:54:46Z</dcterms:created>
  <dcterms:modified xsi:type="dcterms:W3CDTF">2023-07-27T16:27:44Z</dcterms:modified>
</cp:coreProperties>
</file>