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nzodona/Dropbox/tesi_dona/MSSC2022_DFT/advanced_DFT/grid_size/"/>
    </mc:Choice>
  </mc:AlternateContent>
  <xr:revisionPtr revIDLastSave="0" documentId="13_ncr:1_{0438E565-F0CB-7145-9968-866FA7A9E16D}" xr6:coauthVersionLast="47" xr6:coauthVersionMax="47" xr10:uidLastSave="{00000000-0000-0000-0000-000000000000}"/>
  <bookViews>
    <workbookView xWindow="2600" yWindow="760" windowWidth="27640" windowHeight="16940" xr2:uid="{E00552EB-E476-2245-97F1-BE166DDD7568}"/>
  </bookViews>
  <sheets>
    <sheet name="MgO_DFT_gr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" i="1" l="1"/>
  <c r="V7" i="1"/>
  <c r="V8" i="1"/>
  <c r="V9" i="1"/>
  <c r="V10" i="1"/>
  <c r="V11" i="1"/>
  <c r="V12" i="1"/>
  <c r="V13" i="1"/>
  <c r="V5" i="1"/>
  <c r="U6" i="1"/>
  <c r="U7" i="1"/>
  <c r="U8" i="1"/>
  <c r="U9" i="1"/>
  <c r="U10" i="1"/>
  <c r="U11" i="1"/>
  <c r="U12" i="1"/>
  <c r="U13" i="1"/>
  <c r="U5" i="1"/>
  <c r="V24" i="1"/>
  <c r="V25" i="1"/>
  <c r="V26" i="1"/>
  <c r="V27" i="1"/>
  <c r="V28" i="1"/>
  <c r="V29" i="1"/>
  <c r="V30" i="1"/>
  <c r="V31" i="1"/>
  <c r="V23" i="1"/>
  <c r="U24" i="1"/>
  <c r="U25" i="1"/>
  <c r="U26" i="1"/>
  <c r="U27" i="1"/>
  <c r="U28" i="1"/>
  <c r="U29" i="1"/>
  <c r="U30" i="1"/>
  <c r="U31" i="1"/>
  <c r="U23" i="1"/>
  <c r="N24" i="1"/>
  <c r="N25" i="1"/>
  <c r="N26" i="1"/>
  <c r="N27" i="1"/>
  <c r="N28" i="1"/>
  <c r="N29" i="1"/>
  <c r="N30" i="1"/>
  <c r="N31" i="1"/>
  <c r="N23" i="1"/>
  <c r="M24" i="1"/>
  <c r="M25" i="1"/>
  <c r="M26" i="1"/>
  <c r="M27" i="1"/>
  <c r="M28" i="1"/>
  <c r="M29" i="1"/>
  <c r="M30" i="1"/>
  <c r="M31" i="1"/>
  <c r="M23" i="1"/>
  <c r="N6" i="1"/>
  <c r="N7" i="1"/>
  <c r="N8" i="1"/>
  <c r="N9" i="1"/>
  <c r="N10" i="1"/>
  <c r="N11" i="1"/>
  <c r="N12" i="1"/>
  <c r="N13" i="1"/>
  <c r="N5" i="1"/>
  <c r="M6" i="1"/>
  <c r="M7" i="1"/>
  <c r="M8" i="1"/>
  <c r="M9" i="1"/>
  <c r="M10" i="1"/>
  <c r="M11" i="1"/>
  <c r="M12" i="1"/>
  <c r="M13" i="1"/>
  <c r="M5" i="1"/>
  <c r="F24" i="1"/>
  <c r="F25" i="1"/>
  <c r="F26" i="1"/>
  <c r="F27" i="1"/>
  <c r="F28" i="1"/>
  <c r="F29" i="1"/>
  <c r="F30" i="1"/>
  <c r="F31" i="1"/>
  <c r="F23" i="1"/>
  <c r="E24" i="1"/>
  <c r="E25" i="1"/>
  <c r="E26" i="1"/>
  <c r="E27" i="1"/>
  <c r="E28" i="1"/>
  <c r="E29" i="1"/>
  <c r="E30" i="1"/>
  <c r="E31" i="1"/>
  <c r="E23" i="1"/>
  <c r="F6" i="1"/>
  <c r="F7" i="1"/>
  <c r="F8" i="1"/>
  <c r="F9" i="1"/>
  <c r="F10" i="1"/>
  <c r="F11" i="1"/>
  <c r="F12" i="1"/>
  <c r="F13" i="1"/>
  <c r="F5" i="1"/>
  <c r="E6" i="1"/>
  <c r="E7" i="1"/>
  <c r="E8" i="1"/>
  <c r="E9" i="1"/>
  <c r="E10" i="1"/>
  <c r="E11" i="1"/>
  <c r="E12" i="1"/>
  <c r="E13" i="1"/>
  <c r="E5" i="1"/>
  <c r="C11" i="1"/>
  <c r="T28" i="1"/>
  <c r="T27" i="1"/>
  <c r="T26" i="1"/>
  <c r="T25" i="1"/>
  <c r="T24" i="1"/>
  <c r="T23" i="1"/>
  <c r="T22" i="1"/>
  <c r="T31" i="1"/>
  <c r="T30" i="1"/>
  <c r="T29" i="1"/>
  <c r="S28" i="1"/>
  <c r="S27" i="1"/>
  <c r="S26" i="1"/>
  <c r="S25" i="1"/>
  <c r="S24" i="1"/>
  <c r="S23" i="1"/>
  <c r="S22" i="1"/>
  <c r="S31" i="1"/>
  <c r="S30" i="1"/>
  <c r="S29" i="1"/>
  <c r="R31" i="1"/>
  <c r="R30" i="1"/>
  <c r="R29" i="1"/>
  <c r="R28" i="1"/>
  <c r="R27" i="1"/>
  <c r="R26" i="1"/>
  <c r="R25" i="1"/>
  <c r="R24" i="1"/>
  <c r="R23" i="1"/>
  <c r="R22" i="1"/>
  <c r="L28" i="1"/>
  <c r="L27" i="1"/>
  <c r="L26" i="1"/>
  <c r="L25" i="1"/>
  <c r="L24" i="1"/>
  <c r="L23" i="1"/>
  <c r="L22" i="1"/>
  <c r="L31" i="1"/>
  <c r="L30" i="1"/>
  <c r="L29" i="1"/>
  <c r="K28" i="1"/>
  <c r="K27" i="1"/>
  <c r="K26" i="1"/>
  <c r="K25" i="1"/>
  <c r="K24" i="1"/>
  <c r="K23" i="1"/>
  <c r="K22" i="1"/>
  <c r="K31" i="1"/>
  <c r="K30" i="1"/>
  <c r="K29" i="1"/>
  <c r="J31" i="1"/>
  <c r="J30" i="1"/>
  <c r="J29" i="1"/>
  <c r="J28" i="1"/>
  <c r="J27" i="1"/>
  <c r="J26" i="1"/>
  <c r="J25" i="1"/>
  <c r="J24" i="1"/>
  <c r="J23" i="1"/>
  <c r="J22" i="1"/>
  <c r="D28" i="1"/>
  <c r="D27" i="1"/>
  <c r="D26" i="1"/>
  <c r="D25" i="1"/>
  <c r="D24" i="1"/>
  <c r="D23" i="1"/>
  <c r="D22" i="1"/>
  <c r="D31" i="1"/>
  <c r="D30" i="1"/>
  <c r="D29" i="1"/>
  <c r="C28" i="1"/>
  <c r="C27" i="1"/>
  <c r="C26" i="1"/>
  <c r="C25" i="1"/>
  <c r="C24" i="1"/>
  <c r="C23" i="1"/>
  <c r="C22" i="1"/>
  <c r="C31" i="1"/>
  <c r="C30" i="1"/>
  <c r="C29" i="1"/>
  <c r="B31" i="1"/>
  <c r="B30" i="1"/>
  <c r="B29" i="1"/>
  <c r="B28" i="1"/>
  <c r="B27" i="1"/>
  <c r="B26" i="1"/>
  <c r="B25" i="1"/>
  <c r="B24" i="1"/>
  <c r="B23" i="1"/>
  <c r="B22" i="1"/>
  <c r="T10" i="1"/>
  <c r="T9" i="1"/>
  <c r="T8" i="1"/>
  <c r="T7" i="1"/>
  <c r="T6" i="1"/>
  <c r="T5" i="1"/>
  <c r="T4" i="1"/>
  <c r="T13" i="1"/>
  <c r="T12" i="1"/>
  <c r="T11" i="1"/>
  <c r="S10" i="1"/>
  <c r="S9" i="1"/>
  <c r="S8" i="1"/>
  <c r="S7" i="1"/>
  <c r="S6" i="1"/>
  <c r="S5" i="1"/>
  <c r="S4" i="1"/>
  <c r="S13" i="1"/>
  <c r="S12" i="1"/>
  <c r="S11" i="1"/>
  <c r="R13" i="1"/>
  <c r="R12" i="1"/>
  <c r="R11" i="1"/>
  <c r="R10" i="1"/>
  <c r="R9" i="1"/>
  <c r="R8" i="1"/>
  <c r="R7" i="1"/>
  <c r="R6" i="1"/>
  <c r="R5" i="1"/>
  <c r="R4" i="1"/>
  <c r="L10" i="1"/>
  <c r="L9" i="1"/>
  <c r="L8" i="1"/>
  <c r="L7" i="1"/>
  <c r="L6" i="1"/>
  <c r="L5" i="1"/>
  <c r="L4" i="1"/>
  <c r="L13" i="1"/>
  <c r="L12" i="1"/>
  <c r="L11" i="1"/>
  <c r="K10" i="1"/>
  <c r="K9" i="1"/>
  <c r="K8" i="1"/>
  <c r="K7" i="1"/>
  <c r="K6" i="1"/>
  <c r="K5" i="1"/>
  <c r="K4" i="1"/>
  <c r="K13" i="1"/>
  <c r="K12" i="1"/>
  <c r="K11" i="1"/>
  <c r="J13" i="1"/>
  <c r="J12" i="1"/>
  <c r="J11" i="1"/>
  <c r="J10" i="1"/>
  <c r="J9" i="1"/>
  <c r="J8" i="1"/>
  <c r="J7" i="1"/>
  <c r="J6" i="1"/>
  <c r="J5" i="1"/>
  <c r="J4" i="1"/>
  <c r="D10" i="1"/>
  <c r="D9" i="1"/>
  <c r="D8" i="1"/>
  <c r="D7" i="1"/>
  <c r="D6" i="1"/>
  <c r="D5" i="1"/>
  <c r="D4" i="1"/>
  <c r="D11" i="1"/>
  <c r="D12" i="1"/>
  <c r="D13" i="1"/>
  <c r="C12" i="1"/>
  <c r="C13" i="1"/>
  <c r="C4" i="1"/>
  <c r="C5" i="1"/>
  <c r="C6" i="1"/>
  <c r="C7" i="1"/>
  <c r="C8" i="1"/>
  <c r="C9" i="1"/>
  <c r="C10" i="1"/>
  <c r="B9" i="1"/>
  <c r="B10" i="1"/>
  <c r="B8" i="1"/>
  <c r="B7" i="1"/>
  <c r="B6" i="1"/>
  <c r="B5" i="1"/>
  <c r="B4" i="1"/>
  <c r="B11" i="1"/>
  <c r="B12" i="1"/>
  <c r="B13" i="1"/>
</calcChain>
</file>

<file path=xl/sharedStrings.xml><?xml version="1.0" encoding="utf-8"?>
<sst xmlns="http://schemas.openxmlformats.org/spreadsheetml/2006/main" count="42" uniqueCount="12">
  <si>
    <t>RADIAL GRID</t>
  </si>
  <si>
    <t>GRID SIZE</t>
  </si>
  <si>
    <t>ENERGY</t>
  </si>
  <si>
    <t>GRAD NORM</t>
  </si>
  <si>
    <r>
      <rPr>
        <b/>
        <sz val="14"/>
        <color rgb="FFFF0000"/>
        <rFont val="Calibri (Corpo)"/>
      </rPr>
      <t>PBE</t>
    </r>
    <r>
      <rPr>
        <sz val="14"/>
        <color rgb="FFFF0000"/>
        <rFont val="Calibri (Corpo)"/>
      </rPr>
      <t xml:space="preserve">  UP TO 1454 ANGULAR POINTS</t>
    </r>
  </si>
  <si>
    <t>𝝙 ENERGY</t>
  </si>
  <si>
    <t>𝝙 GRAD NORM</t>
  </si>
  <si>
    <r>
      <rPr>
        <b/>
        <sz val="14"/>
        <color rgb="FFFF0000"/>
        <rFont val="Calibri (Corpo)"/>
      </rPr>
      <t>PBE0</t>
    </r>
    <r>
      <rPr>
        <sz val="14"/>
        <color rgb="FFFF0000"/>
        <rFont val="Calibri (Corpo)"/>
      </rPr>
      <t xml:space="preserve">  UP TO 1454 ANGULAR POINTS</t>
    </r>
  </si>
  <si>
    <r>
      <rPr>
        <b/>
        <sz val="14"/>
        <color rgb="FFFF0000"/>
        <rFont val="Calibri (Corpo)"/>
      </rPr>
      <t>B3LYP</t>
    </r>
    <r>
      <rPr>
        <sz val="14"/>
        <color rgb="FFFF0000"/>
        <rFont val="Calibri (Corpo)"/>
      </rPr>
      <t xml:space="preserve">  UP TO 1454 ANGULAR POINTS</t>
    </r>
  </si>
  <si>
    <r>
      <rPr>
        <b/>
        <sz val="14"/>
        <color rgb="FFFF0000"/>
        <rFont val="Calibri (Corpo)"/>
      </rPr>
      <t>HSEsol</t>
    </r>
    <r>
      <rPr>
        <sz val="14"/>
        <color rgb="FFFF0000"/>
        <rFont val="Calibri (Corpo)"/>
      </rPr>
      <t xml:space="preserve">  UP TO 1454 ANGULAR POINTS</t>
    </r>
  </si>
  <si>
    <r>
      <rPr>
        <b/>
        <sz val="14"/>
        <color rgb="FFFF0000"/>
        <rFont val="Calibri (Corpo)"/>
      </rPr>
      <t>M06L</t>
    </r>
    <r>
      <rPr>
        <sz val="14"/>
        <color rgb="FFFF0000"/>
        <rFont val="Calibri (Corpo)"/>
      </rPr>
      <t xml:space="preserve">  UP TO 1454 ANGULAR POINTS</t>
    </r>
  </si>
  <si>
    <r>
      <rPr>
        <b/>
        <sz val="14"/>
        <color rgb="FFFF0000"/>
        <rFont val="Calibri (Corpo)"/>
      </rPr>
      <t>M06</t>
    </r>
    <r>
      <rPr>
        <sz val="14"/>
        <color rgb="FFFF0000"/>
        <rFont val="Calibri (Corpo)"/>
      </rPr>
      <t xml:space="preserve">  UP TO 1454 ANGULAR POINTS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</si>
</sst>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E+00"/>
    <numFmt numFmtId="165" formatCode="0.0000E+00"/>
    <numFmt numFmtId="166" formatCode="0.00000"/>
    <numFmt numFmtId="167" formatCode="0.000000"/>
  </numFmts>
  <fonts count="4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 (Corpo)"/>
    </font>
    <font>
      <sz val="14"/>
      <color rgb="FFFF0000"/>
      <name val="Calibri (Corpo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222E-4A7A-8F40-8FEA-599E2EB5824A}">
  <dimension ref="A1:BD31"/>
  <sheetViews>
    <sheetView tabSelected="1" topLeftCell="J1" workbookViewId="0">
      <selection activeCell="V5" sqref="V5:V13"/>
    </sheetView>
  </sheetViews>
  <sheetFormatPr baseColWidth="10" defaultRowHeight="16" x14ac:dyDescent="0.2"/>
  <cols>
    <col min="4" max="4" width="12" bestFit="1" customWidth="1"/>
    <col min="5" max="5" width="9.5" bestFit="1" customWidth="1"/>
    <col min="6" max="6" width="13.6640625" bestFit="1" customWidth="1"/>
    <col min="14" max="14" width="13.6640625" bestFit="1" customWidth="1"/>
    <col min="19" max="19" width="10.33203125" bestFit="1" customWidth="1"/>
    <col min="20" max="20" width="12" bestFit="1" customWidth="1"/>
    <col min="21" max="21" width="9.5" bestFit="1" customWidth="1"/>
    <col min="22" max="22" width="13.6640625" bestFit="1" customWidth="1"/>
  </cols>
  <sheetData>
    <row r="1" spans="1:56" ht="19" x14ac:dyDescent="0.25">
      <c r="A1" s="9" t="s">
        <v>4</v>
      </c>
      <c r="B1" s="1"/>
      <c r="C1" s="1"/>
      <c r="D1" s="1"/>
      <c r="E1" s="1"/>
      <c r="F1" s="1"/>
      <c r="G1" s="1"/>
      <c r="H1" s="1"/>
      <c r="I1" s="9" t="s">
        <v>7</v>
      </c>
      <c r="J1" s="1"/>
      <c r="K1" s="1"/>
      <c r="L1" s="1"/>
      <c r="M1" s="1"/>
      <c r="N1" s="1"/>
      <c r="O1" s="1"/>
      <c r="P1" s="1"/>
      <c r="Q1" s="9" t="s">
        <v>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2"/>
      <c r="AO1" s="1"/>
      <c r="AP1" s="1"/>
      <c r="AQ1" s="1"/>
      <c r="AR1" s="1"/>
      <c r="AS1" s="1"/>
      <c r="AT1" s="1"/>
      <c r="AU1" s="1"/>
      <c r="AV1" s="1"/>
      <c r="AW1" s="3"/>
      <c r="AX1" s="1"/>
      <c r="AY1" s="1"/>
      <c r="AZ1" s="1"/>
      <c r="BA1" s="1"/>
      <c r="BB1" s="1"/>
      <c r="BC1" s="1"/>
      <c r="BD1" s="1"/>
    </row>
    <row r="3" spans="1:56" x14ac:dyDescent="0.2">
      <c r="A3" s="6" t="s">
        <v>0</v>
      </c>
      <c r="B3" t="s">
        <v>1</v>
      </c>
      <c r="C3" s="6" t="s">
        <v>2</v>
      </c>
      <c r="D3" s="6" t="s">
        <v>3</v>
      </c>
      <c r="E3" s="6" t="s">
        <v>5</v>
      </c>
      <c r="F3" s="6" t="s">
        <v>6</v>
      </c>
      <c r="I3" s="6" t="s">
        <v>0</v>
      </c>
      <c r="J3" t="s">
        <v>1</v>
      </c>
      <c r="K3" s="6" t="s">
        <v>2</v>
      </c>
      <c r="L3" s="6" t="s">
        <v>3</v>
      </c>
      <c r="M3" s="6" t="s">
        <v>5</v>
      </c>
      <c r="N3" s="6" t="s">
        <v>6</v>
      </c>
      <c r="O3" s="6"/>
      <c r="P3" s="6"/>
      <c r="Q3" s="6" t="s">
        <v>0</v>
      </c>
      <c r="R3" t="s">
        <v>1</v>
      </c>
      <c r="S3" s="6" t="s">
        <v>2</v>
      </c>
      <c r="T3" s="6" t="s">
        <v>3</v>
      </c>
      <c r="U3" s="6" t="s">
        <v>5</v>
      </c>
      <c r="V3" s="6" t="s">
        <v>6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I3" s="6"/>
      <c r="AJ3" s="6"/>
      <c r="AK3" s="6"/>
      <c r="AL3" s="6"/>
      <c r="AM3" s="6"/>
      <c r="AN3" s="6"/>
      <c r="AO3" s="6"/>
      <c r="AQ3" s="6"/>
      <c r="AR3" s="6"/>
      <c r="AS3" s="6"/>
      <c r="AT3" s="6"/>
      <c r="AU3" s="6"/>
      <c r="AV3" s="6"/>
      <c r="AW3" s="6"/>
      <c r="AY3" s="6"/>
      <c r="AZ3" s="6"/>
      <c r="BA3" s="6"/>
      <c r="BB3" s="6"/>
      <c r="BC3" s="6"/>
      <c r="BD3" s="6"/>
    </row>
    <row r="4" spans="1:56" x14ac:dyDescent="0.2">
      <c r="A4" s="10">
        <v>250</v>
      </c>
      <c r="B4" s="10">
        <f>5874</f>
        <v>5874</v>
      </c>
      <c r="C4" s="12">
        <f>-275.22825803064</f>
        <v>-275.22825803064001</v>
      </c>
      <c r="D4" s="13">
        <f>0.034769</f>
        <v>3.4769000000000001E-2</v>
      </c>
      <c r="E4" s="10"/>
      <c r="F4" s="10"/>
      <c r="I4" s="10">
        <v>250</v>
      </c>
      <c r="J4" s="10">
        <f>5874</f>
        <v>5874</v>
      </c>
      <c r="K4" s="12">
        <f>-275.25029894599</f>
        <v>-275.25029894598998</v>
      </c>
      <c r="L4" s="13">
        <f>0.00612</f>
        <v>6.1199999999999996E-3</v>
      </c>
      <c r="M4" s="10"/>
      <c r="N4" s="10"/>
      <c r="Q4" s="10">
        <v>250</v>
      </c>
      <c r="R4" s="10">
        <f>5874</f>
        <v>5874</v>
      </c>
      <c r="S4" s="12">
        <f>-275.36984032779</f>
        <v>-275.36984032778997</v>
      </c>
      <c r="T4" s="13">
        <f>0.017052</f>
        <v>1.7052000000000001E-2</v>
      </c>
      <c r="U4" s="10"/>
      <c r="V4" s="10"/>
      <c r="AI4" s="7"/>
      <c r="AQ4" s="7"/>
      <c r="AY4" s="7"/>
    </row>
    <row r="5" spans="1:56" x14ac:dyDescent="0.2">
      <c r="A5" s="10">
        <v>225</v>
      </c>
      <c r="B5" s="10">
        <f>5291</f>
        <v>5291</v>
      </c>
      <c r="C5" s="12">
        <f>-275.22825810684</f>
        <v>-275.22825810683997</v>
      </c>
      <c r="D5" s="13">
        <f>0.034769</f>
        <v>3.4769000000000001E-2</v>
      </c>
      <c r="E5" s="11">
        <f>ABS(C5-$C$4)</f>
        <v>7.6199967224965803E-8</v>
      </c>
      <c r="F5" s="11">
        <f>ABS(D5-$D$4)</f>
        <v>0</v>
      </c>
      <c r="I5" s="10">
        <v>225</v>
      </c>
      <c r="J5" s="10">
        <f>5291</f>
        <v>5291</v>
      </c>
      <c r="K5" s="12">
        <f>-275.25029902131</f>
        <v>-275.25029902131001</v>
      </c>
      <c r="L5" s="13">
        <f>0.00612</f>
        <v>6.1199999999999996E-3</v>
      </c>
      <c r="M5" s="11">
        <f>ABS(K5-$K$4)</f>
        <v>7.5320031101000495E-8</v>
      </c>
      <c r="N5" s="11">
        <f>ABS(L5-$L$4)</f>
        <v>0</v>
      </c>
      <c r="O5" s="8"/>
      <c r="P5" s="8"/>
      <c r="Q5" s="10">
        <v>225</v>
      </c>
      <c r="R5" s="10">
        <f>5291</f>
        <v>5291</v>
      </c>
      <c r="S5" s="12">
        <f>-275.36984030984</f>
        <v>-275.36984030984001</v>
      </c>
      <c r="T5" s="13">
        <f>0.017053</f>
        <v>1.7052999999999999E-2</v>
      </c>
      <c r="U5" s="11">
        <f>ABS(S5-$S$4)</f>
        <v>1.7949957964447094E-8</v>
      </c>
      <c r="V5" s="11">
        <f>ABS(T5-$T$4)</f>
        <v>9.9999999999753064E-7</v>
      </c>
      <c r="W5" s="8"/>
      <c r="X5" s="8"/>
      <c r="AE5" s="8"/>
      <c r="AF5" s="8"/>
      <c r="AI5" s="7"/>
      <c r="AM5" s="4"/>
      <c r="AN5" s="4"/>
      <c r="AQ5" s="7"/>
      <c r="AU5" s="4"/>
      <c r="AV5" s="4"/>
      <c r="AY5" s="7"/>
      <c r="BC5" s="4"/>
      <c r="BD5" s="4"/>
    </row>
    <row r="6" spans="1:56" x14ac:dyDescent="0.2">
      <c r="A6" s="10">
        <v>200</v>
      </c>
      <c r="B6" s="10">
        <f>4697</f>
        <v>4697</v>
      </c>
      <c r="C6" s="12">
        <f>-275.22825811655</f>
        <v>-275.22825811655002</v>
      </c>
      <c r="D6" s="13">
        <f>0.034777</f>
        <v>3.4777000000000002E-2</v>
      </c>
      <c r="E6" s="11">
        <f t="shared" ref="E6:E13" si="0">ABS(C6-$C$4)</f>
        <v>8.5910016878187889E-8</v>
      </c>
      <c r="F6" s="11">
        <f t="shared" ref="F6:F13" si="1">ABS(D6-$D$4)</f>
        <v>8.0000000000010618E-6</v>
      </c>
      <c r="I6" s="10">
        <v>200</v>
      </c>
      <c r="J6" s="10">
        <f>4697</f>
        <v>4697</v>
      </c>
      <c r="K6" s="12">
        <f>-275.25029905322</f>
        <v>-275.25029905321998</v>
      </c>
      <c r="L6" s="13">
        <f>0.006114</f>
        <v>6.1139999999999996E-3</v>
      </c>
      <c r="M6" s="11">
        <f t="shared" ref="M6:M13" si="2">ABS(K6-$K$4)</f>
        <v>1.0722999377321685E-7</v>
      </c>
      <c r="N6" s="11">
        <f t="shared" ref="N6:N13" si="3">ABS(L6-$L$4)</f>
        <v>5.999999999999929E-6</v>
      </c>
      <c r="O6" s="8"/>
      <c r="P6" s="8"/>
      <c r="Q6" s="10">
        <v>200</v>
      </c>
      <c r="R6" s="10">
        <f>4697</f>
        <v>4697</v>
      </c>
      <c r="S6" s="12">
        <f>-275.36984023592</f>
        <v>-275.36984023591998</v>
      </c>
      <c r="T6" s="13">
        <f>0.017059</f>
        <v>1.7059000000000001E-2</v>
      </c>
      <c r="U6" s="11">
        <f t="shared" ref="U6:U13" si="4">ABS(S6-$S$4)</f>
        <v>9.1869992502324749E-8</v>
      </c>
      <c r="V6" s="11">
        <f t="shared" ref="V6:V13" si="5">ABS(T6-$T$4)</f>
        <v>7.0000000000000617E-6</v>
      </c>
      <c r="W6" s="8"/>
      <c r="X6" s="8"/>
      <c r="AE6" s="8"/>
      <c r="AF6" s="8"/>
      <c r="AI6" s="7"/>
      <c r="AM6" s="4"/>
      <c r="AN6" s="4"/>
      <c r="AQ6" s="7"/>
      <c r="AU6" s="4"/>
      <c r="AV6" s="4"/>
      <c r="AY6" s="7"/>
      <c r="BC6" s="4"/>
      <c r="BD6" s="4"/>
    </row>
    <row r="7" spans="1:56" x14ac:dyDescent="0.2">
      <c r="A7" s="10">
        <v>175</v>
      </c>
      <c r="B7" s="10">
        <f>4115</f>
        <v>4115</v>
      </c>
      <c r="C7" s="12">
        <f>-275.22825753517</f>
        <v>-275.22825753516997</v>
      </c>
      <c r="D7" s="13">
        <f>0.034782</f>
        <v>3.4782E-2</v>
      </c>
      <c r="E7" s="11">
        <f t="shared" si="0"/>
        <v>4.9547003300176584E-7</v>
      </c>
      <c r="F7" s="11">
        <f t="shared" si="1"/>
        <v>1.2999999999999123E-5</v>
      </c>
      <c r="I7" s="10">
        <v>175</v>
      </c>
      <c r="J7" s="10">
        <f>4115</f>
        <v>4115</v>
      </c>
      <c r="K7" s="12">
        <f>-275.25029863144</f>
        <v>-275.25029863143999</v>
      </c>
      <c r="L7" s="13">
        <f>0.00611</f>
        <v>6.11E-3</v>
      </c>
      <c r="M7" s="11">
        <f t="shared" si="2"/>
        <v>3.1454999316338217E-7</v>
      </c>
      <c r="N7" s="11">
        <f t="shared" si="3"/>
        <v>9.9999999999995925E-6</v>
      </c>
      <c r="O7" s="8"/>
      <c r="P7" s="8"/>
      <c r="Q7" s="10">
        <v>175</v>
      </c>
      <c r="R7" s="10">
        <f>4115</f>
        <v>4115</v>
      </c>
      <c r="S7" s="12">
        <f>-275.36983960917</f>
        <v>-275.36983960917001</v>
      </c>
      <c r="T7" s="13">
        <f>0.017064</f>
        <v>1.7063999999999999E-2</v>
      </c>
      <c r="U7" s="11">
        <f t="shared" si="4"/>
        <v>7.1861995820654556E-7</v>
      </c>
      <c r="V7" s="11">
        <f t="shared" si="5"/>
        <v>1.1999999999998123E-5</v>
      </c>
      <c r="W7" s="8"/>
      <c r="X7" s="8"/>
      <c r="AE7" s="8"/>
      <c r="AF7" s="8"/>
      <c r="AI7" s="7"/>
      <c r="AM7" s="4"/>
      <c r="AN7" s="4"/>
      <c r="AQ7" s="7"/>
      <c r="AU7" s="4"/>
      <c r="AV7" s="4"/>
      <c r="AY7" s="7"/>
      <c r="BC7" s="4"/>
      <c r="BD7" s="4"/>
    </row>
    <row r="8" spans="1:56" x14ac:dyDescent="0.2">
      <c r="A8" s="10">
        <v>150</v>
      </c>
      <c r="B8" s="10">
        <f>3524</f>
        <v>3524</v>
      </c>
      <c r="C8" s="12">
        <f>-275.22825650305</f>
        <v>-275.22825650304998</v>
      </c>
      <c r="D8" s="13">
        <f>0.034794</f>
        <v>3.4793999999999999E-2</v>
      </c>
      <c r="E8" s="11">
        <f t="shared" si="0"/>
        <v>1.5275900295819156E-6</v>
      </c>
      <c r="F8" s="11">
        <f t="shared" si="1"/>
        <v>2.4999999999997247E-5</v>
      </c>
      <c r="I8" s="10">
        <v>150</v>
      </c>
      <c r="J8" s="10">
        <f>3524</f>
        <v>3524</v>
      </c>
      <c r="K8" s="12">
        <f>-275.25029787402</f>
        <v>-275.25029787402002</v>
      </c>
      <c r="L8" s="13">
        <f>0.006101</f>
        <v>6.1009999999999997E-3</v>
      </c>
      <c r="M8" s="11">
        <f t="shared" si="2"/>
        <v>1.0719699616856815E-6</v>
      </c>
      <c r="N8" s="11">
        <f t="shared" si="3"/>
        <v>1.899999999999992E-5</v>
      </c>
      <c r="O8" s="8"/>
      <c r="P8" s="8"/>
      <c r="Q8" s="10">
        <v>150</v>
      </c>
      <c r="R8" s="10">
        <f>3524</f>
        <v>3524</v>
      </c>
      <c r="S8" s="12">
        <f>-275.36983863896</f>
        <v>-275.36983863896</v>
      </c>
      <c r="T8" s="13">
        <f>0.017074</f>
        <v>1.7073999999999999E-2</v>
      </c>
      <c r="U8" s="11">
        <f t="shared" si="4"/>
        <v>1.6888299683159858E-6</v>
      </c>
      <c r="V8" s="11">
        <f t="shared" si="5"/>
        <v>2.1999999999997716E-5</v>
      </c>
      <c r="W8" s="8"/>
      <c r="X8" s="8"/>
      <c r="AE8" s="8"/>
      <c r="AF8" s="8"/>
      <c r="AI8" s="7"/>
      <c r="AM8" s="4"/>
      <c r="AN8" s="4"/>
      <c r="AQ8" s="7"/>
      <c r="AU8" s="4"/>
      <c r="AV8" s="4"/>
      <c r="AY8" s="7"/>
      <c r="BC8" s="4"/>
      <c r="BD8" s="4"/>
    </row>
    <row r="9" spans="1:56" x14ac:dyDescent="0.2">
      <c r="A9" s="10">
        <v>125</v>
      </c>
      <c r="B9" s="10">
        <f>2989</f>
        <v>2989</v>
      </c>
      <c r="C9" s="12">
        <f>-275.22825962448</f>
        <v>-275.22825962448002</v>
      </c>
      <c r="D9" s="13">
        <f>0.034743</f>
        <v>3.4743000000000003E-2</v>
      </c>
      <c r="E9" s="11">
        <f t="shared" si="0"/>
        <v>1.5938400110826478E-6</v>
      </c>
      <c r="F9" s="11">
        <f t="shared" si="1"/>
        <v>2.5999999999998247E-5</v>
      </c>
      <c r="I9" s="10">
        <v>125</v>
      </c>
      <c r="J9" s="10">
        <f>2989</f>
        <v>2989</v>
      </c>
      <c r="K9" s="12">
        <f>-275.25030004329</f>
        <v>-275.25030004329</v>
      </c>
      <c r="L9" s="13">
        <f>0.00614</f>
        <v>6.1399999999999996E-3</v>
      </c>
      <c r="M9" s="11">
        <f t="shared" si="2"/>
        <v>1.097300014407665E-6</v>
      </c>
      <c r="N9" s="11">
        <f t="shared" si="3"/>
        <v>2.0000000000000052E-5</v>
      </c>
      <c r="O9" s="8"/>
      <c r="P9" s="8"/>
      <c r="Q9" s="10">
        <v>125</v>
      </c>
      <c r="R9" s="10">
        <f>2989</f>
        <v>2989</v>
      </c>
      <c r="S9" s="12">
        <f>-275.36984214305</f>
        <v>-275.36984214304999</v>
      </c>
      <c r="T9" s="13">
        <f>0.01703</f>
        <v>1.703E-2</v>
      </c>
      <c r="U9" s="11">
        <f t="shared" si="4"/>
        <v>1.8152600205212366E-6</v>
      </c>
      <c r="V9" s="11">
        <f t="shared" si="5"/>
        <v>2.2000000000001185E-5</v>
      </c>
      <c r="W9" s="8"/>
      <c r="X9" s="8"/>
      <c r="AE9" s="8"/>
      <c r="AF9" s="8"/>
      <c r="AI9" s="7"/>
      <c r="AM9" s="4"/>
      <c r="AN9" s="4"/>
      <c r="AQ9" s="7"/>
      <c r="AU9" s="4"/>
      <c r="AV9" s="4"/>
      <c r="AY9" s="7"/>
      <c r="BC9" s="4"/>
      <c r="BD9" s="4"/>
    </row>
    <row r="10" spans="1:56" x14ac:dyDescent="0.2">
      <c r="A10" s="10">
        <v>100</v>
      </c>
      <c r="B10" s="10">
        <f>2402</f>
        <v>2402</v>
      </c>
      <c r="C10" s="12">
        <f>-275.2282590249</f>
        <v>-275.22825902490001</v>
      </c>
      <c r="D10" s="13">
        <f>0.034752</f>
        <v>3.4751999999999998E-2</v>
      </c>
      <c r="E10" s="11">
        <f t="shared" si="0"/>
        <v>9.9426000588209718E-7</v>
      </c>
      <c r="F10" s="11">
        <f t="shared" si="1"/>
        <v>1.7000000000003124E-5</v>
      </c>
      <c r="I10" s="10">
        <v>100</v>
      </c>
      <c r="J10" s="10">
        <f>2402</f>
        <v>2402</v>
      </c>
      <c r="K10" s="12">
        <f>-275.25029952506</f>
        <v>-275.25029952505997</v>
      </c>
      <c r="L10" s="13">
        <f>0.006136</f>
        <v>6.136E-3</v>
      </c>
      <c r="M10" s="11">
        <f t="shared" si="2"/>
        <v>5.7906999018086935E-7</v>
      </c>
      <c r="N10" s="11">
        <f t="shared" si="3"/>
        <v>1.6000000000000389E-5</v>
      </c>
      <c r="O10" s="8"/>
      <c r="P10" s="8"/>
      <c r="Q10" s="10">
        <v>100</v>
      </c>
      <c r="R10" s="10">
        <f>2402</f>
        <v>2402</v>
      </c>
      <c r="S10" s="12">
        <f>-275.36984245669</f>
        <v>-275.36984245668998</v>
      </c>
      <c r="T10" s="13">
        <f>0.017031</f>
        <v>1.7031000000000001E-2</v>
      </c>
      <c r="U10" s="11">
        <f t="shared" si="4"/>
        <v>2.1289000073920761E-6</v>
      </c>
      <c r="V10" s="11">
        <f t="shared" si="5"/>
        <v>2.1000000000000185E-5</v>
      </c>
      <c r="W10" s="8"/>
      <c r="X10" s="8"/>
      <c r="AE10" s="8"/>
      <c r="AF10" s="8"/>
      <c r="AI10" s="7"/>
      <c r="AM10" s="4"/>
      <c r="AN10" s="4"/>
      <c r="AQ10" s="7"/>
      <c r="AU10" s="4"/>
      <c r="AV10" s="4"/>
      <c r="AY10" s="7"/>
      <c r="BC10" s="4"/>
      <c r="BD10" s="4"/>
    </row>
    <row r="11" spans="1:56" x14ac:dyDescent="0.2">
      <c r="A11" s="10">
        <v>75</v>
      </c>
      <c r="B11" s="10">
        <f>1815</f>
        <v>1815</v>
      </c>
      <c r="C11" s="12">
        <f>-275.22826047652</f>
        <v>-275.22826047652001</v>
      </c>
      <c r="D11" s="13">
        <f>0.034752</f>
        <v>3.4751999999999998E-2</v>
      </c>
      <c r="E11" s="11">
        <f t="shared" si="0"/>
        <v>2.4458799998683389E-6</v>
      </c>
      <c r="F11" s="11">
        <f t="shared" si="1"/>
        <v>1.7000000000003124E-5</v>
      </c>
      <c r="I11" s="10">
        <v>75</v>
      </c>
      <c r="J11" s="10">
        <f>1815</f>
        <v>1815</v>
      </c>
      <c r="K11" s="12">
        <f>-275.25030186539</f>
        <v>-275.25030186538999</v>
      </c>
      <c r="L11" s="13">
        <f>0.006119</f>
        <v>6.1190000000000003E-3</v>
      </c>
      <c r="M11" s="11">
        <f t="shared" si="2"/>
        <v>2.9194000035204226E-6</v>
      </c>
      <c r="N11" s="11">
        <f t="shared" si="3"/>
        <v>9.9999999999926537E-7</v>
      </c>
      <c r="O11" s="8"/>
      <c r="P11" s="8"/>
      <c r="Q11" s="10">
        <v>75</v>
      </c>
      <c r="R11" s="10">
        <f>1815</f>
        <v>1815</v>
      </c>
      <c r="S11" s="12">
        <f>-275.36983781701</f>
        <v>-275.36983781701002</v>
      </c>
      <c r="T11" s="13">
        <f>0.017069</f>
        <v>1.7069000000000001E-2</v>
      </c>
      <c r="U11" s="11">
        <f t="shared" si="4"/>
        <v>2.510779950171127E-6</v>
      </c>
      <c r="V11" s="11">
        <f t="shared" si="5"/>
        <v>1.6999999999999654E-5</v>
      </c>
      <c r="W11" s="8"/>
      <c r="X11" s="8"/>
      <c r="AE11" s="8"/>
      <c r="AF11" s="8"/>
      <c r="AI11" s="7"/>
      <c r="AM11" s="4"/>
      <c r="AN11" s="4"/>
      <c r="AQ11" s="7"/>
      <c r="AU11" s="4"/>
      <c r="AV11" s="4"/>
      <c r="AY11" s="7"/>
      <c r="BC11" s="4"/>
      <c r="BD11" s="4"/>
    </row>
    <row r="12" spans="1:56" x14ac:dyDescent="0.2">
      <c r="A12" s="10">
        <v>50</v>
      </c>
      <c r="B12" s="10">
        <f>1225</f>
        <v>1225</v>
      </c>
      <c r="C12" s="12">
        <f xml:space="preserve"> -275.22851613569</f>
        <v>-275.22851613568997</v>
      </c>
      <c r="D12" s="13">
        <f>0.037143</f>
        <v>3.7143000000000002E-2</v>
      </c>
      <c r="E12" s="11">
        <f t="shared" si="0"/>
        <v>2.5810504996570671E-4</v>
      </c>
      <c r="F12" s="11">
        <f t="shared" si="1"/>
        <v>2.3740000000000011E-3</v>
      </c>
      <c r="I12" s="10">
        <v>50</v>
      </c>
      <c r="J12" s="10">
        <f>1225</f>
        <v>1225</v>
      </c>
      <c r="K12" s="12">
        <f xml:space="preserve"> -275.25048878298</f>
        <v>-275.25048878298003</v>
      </c>
      <c r="L12" s="13">
        <f>0.004208</f>
        <v>4.2079999999999999E-3</v>
      </c>
      <c r="M12" s="11">
        <f t="shared" si="2"/>
        <v>1.8983699004593291E-4</v>
      </c>
      <c r="N12" s="11">
        <f t="shared" si="3"/>
        <v>1.9119999999999996E-3</v>
      </c>
      <c r="O12" s="8"/>
      <c r="P12" s="8"/>
      <c r="Q12" s="10">
        <v>50</v>
      </c>
      <c r="R12" s="10">
        <f>1225</f>
        <v>1225</v>
      </c>
      <c r="S12" s="12">
        <f>-275.3700087052</f>
        <v>-275.37000870520001</v>
      </c>
      <c r="T12" s="13">
        <f>0.018479</f>
        <v>1.8478999999999999E-2</v>
      </c>
      <c r="U12" s="11">
        <f t="shared" si="4"/>
        <v>1.6837741003428164E-4</v>
      </c>
      <c r="V12" s="11">
        <f t="shared" si="5"/>
        <v>1.4269999999999977E-3</v>
      </c>
      <c r="W12" s="8"/>
      <c r="X12" s="8"/>
      <c r="AE12" s="8"/>
      <c r="AF12" s="8"/>
      <c r="AI12" s="7"/>
      <c r="AM12" s="4"/>
      <c r="AN12" s="4"/>
      <c r="AQ12" s="7"/>
      <c r="AU12" s="4"/>
      <c r="AV12" s="4"/>
      <c r="AY12" s="7"/>
      <c r="BC12" s="4"/>
      <c r="BD12" s="4"/>
    </row>
    <row r="13" spans="1:56" x14ac:dyDescent="0.2">
      <c r="A13" s="10">
        <v>25</v>
      </c>
      <c r="B13" s="10">
        <f>625</f>
        <v>625</v>
      </c>
      <c r="C13" s="12">
        <f>-275.27779788944</f>
        <v>-275.27779788944002</v>
      </c>
      <c r="D13" s="13">
        <f>0.500153</f>
        <v>0.50015299999999996</v>
      </c>
      <c r="E13" s="11">
        <f t="shared" si="0"/>
        <v>4.95398588000171E-2</v>
      </c>
      <c r="F13" s="11">
        <f t="shared" si="1"/>
        <v>0.46538399999999996</v>
      </c>
      <c r="I13" s="10">
        <v>25</v>
      </c>
      <c r="J13" s="10">
        <f>625</f>
        <v>625</v>
      </c>
      <c r="K13" s="12">
        <f xml:space="preserve"> -275.28850788222</f>
        <v>-275.28850788222002</v>
      </c>
      <c r="L13" s="13">
        <f>0.355004</f>
        <v>0.35500399999999999</v>
      </c>
      <c r="M13" s="11">
        <f t="shared" si="2"/>
        <v>3.8208936230034851E-2</v>
      </c>
      <c r="N13" s="11">
        <f t="shared" si="3"/>
        <v>0.34888399999999997</v>
      </c>
      <c r="O13" s="8"/>
      <c r="P13" s="8"/>
      <c r="Q13" s="10">
        <v>25</v>
      </c>
      <c r="R13" s="10">
        <f>625</f>
        <v>625</v>
      </c>
      <c r="S13" s="12">
        <f>-275.40721006842</f>
        <v>-275.40721006842</v>
      </c>
      <c r="T13" s="13">
        <f>0.41479</f>
        <v>0.41478999999999999</v>
      </c>
      <c r="U13" s="11">
        <f t="shared" si="4"/>
        <v>3.7369740630026627E-2</v>
      </c>
      <c r="V13" s="11">
        <f t="shared" si="5"/>
        <v>0.39773799999999998</v>
      </c>
      <c r="W13" s="8"/>
      <c r="X13" s="8"/>
      <c r="AE13" s="8"/>
      <c r="AF13" s="8"/>
      <c r="AI13" s="7"/>
      <c r="AM13" s="4"/>
      <c r="AN13" s="4"/>
      <c r="AQ13" s="7"/>
      <c r="AU13" s="4"/>
      <c r="AV13" s="4"/>
      <c r="AY13" s="7"/>
      <c r="BC13" s="4"/>
      <c r="BD13" s="4"/>
    </row>
    <row r="15" spans="1:56" x14ac:dyDescent="0.2">
      <c r="G15" s="5"/>
      <c r="H15" s="5"/>
      <c r="O15" s="5"/>
      <c r="P15" s="5"/>
      <c r="W15" s="5"/>
      <c r="X15" s="5"/>
      <c r="AE15" s="5"/>
      <c r="AF15" s="5"/>
      <c r="AM15" s="5"/>
      <c r="AN15" s="5"/>
      <c r="AU15" s="5"/>
      <c r="AV15" s="5"/>
      <c r="BC15" s="5"/>
      <c r="BD15" s="5"/>
    </row>
    <row r="16" spans="1:56" x14ac:dyDescent="0.2">
      <c r="G16" s="4"/>
      <c r="H16" s="4"/>
      <c r="O16" s="4"/>
      <c r="P16" s="4"/>
      <c r="W16" s="4"/>
      <c r="X16" s="4"/>
      <c r="AE16" s="4"/>
      <c r="AF16" s="4"/>
      <c r="AM16" s="4"/>
      <c r="AN16" s="4"/>
      <c r="AU16" s="4"/>
      <c r="AV16" s="4"/>
      <c r="BC16" s="4"/>
      <c r="BD16" s="4"/>
    </row>
    <row r="17" spans="1:56" x14ac:dyDescent="0.2">
      <c r="G17" s="4"/>
      <c r="H17" s="4"/>
      <c r="O17" s="4"/>
      <c r="P17" s="4"/>
      <c r="W17" s="4"/>
      <c r="X17" s="4"/>
      <c r="AE17" s="4"/>
      <c r="AF17" s="4"/>
      <c r="AM17" s="4"/>
      <c r="AN17" s="4"/>
      <c r="AU17" s="4"/>
      <c r="AV17" s="4"/>
      <c r="BC17" s="4"/>
      <c r="BD17" s="4"/>
    </row>
    <row r="18" spans="1:56" x14ac:dyDescent="0.2">
      <c r="G18" s="4"/>
      <c r="H18" s="4"/>
      <c r="O18" s="4"/>
      <c r="P18" s="4"/>
      <c r="W18" s="4"/>
      <c r="X18" s="4"/>
      <c r="AE18" s="4"/>
      <c r="AF18" s="4"/>
      <c r="AM18" s="4"/>
      <c r="AN18" s="4"/>
      <c r="AU18" s="4"/>
      <c r="AV18" s="4"/>
      <c r="BC18" s="4"/>
      <c r="BD18" s="4"/>
    </row>
    <row r="19" spans="1:56" ht="19" x14ac:dyDescent="0.25">
      <c r="A19" s="9" t="s">
        <v>9</v>
      </c>
      <c r="B19" s="1"/>
      <c r="C19" s="1"/>
      <c r="D19" s="1"/>
      <c r="E19" s="1"/>
      <c r="F19" s="1"/>
      <c r="G19" s="4"/>
      <c r="H19" s="4"/>
      <c r="I19" s="9" t="s">
        <v>10</v>
      </c>
      <c r="J19" s="1"/>
      <c r="K19" s="1"/>
      <c r="L19" s="1"/>
      <c r="M19" s="1"/>
      <c r="N19" s="1"/>
      <c r="O19" s="4"/>
      <c r="P19" s="4"/>
      <c r="Q19" s="9" t="s">
        <v>11</v>
      </c>
      <c r="R19" s="1"/>
      <c r="S19" s="1"/>
      <c r="T19" s="1"/>
      <c r="U19" s="1"/>
      <c r="V19" s="1"/>
      <c r="W19" s="4"/>
      <c r="X19" s="4"/>
      <c r="AE19" s="4"/>
      <c r="AF19" s="4"/>
      <c r="AM19" s="4"/>
      <c r="AN19" s="4"/>
      <c r="AU19" s="4"/>
      <c r="AV19" s="4"/>
      <c r="BC19" s="4"/>
      <c r="BD19" s="4"/>
    </row>
    <row r="20" spans="1:56" x14ac:dyDescent="0.2">
      <c r="G20" s="4"/>
      <c r="H20" s="4"/>
      <c r="O20" s="4"/>
      <c r="P20" s="4"/>
      <c r="W20" s="4"/>
      <c r="X20" s="4"/>
      <c r="AE20" s="4"/>
      <c r="AF20" s="4"/>
      <c r="AM20" s="4"/>
      <c r="AN20" s="4"/>
      <c r="AU20" s="4"/>
      <c r="AV20" s="4"/>
      <c r="BC20" s="4"/>
      <c r="BD20" s="4"/>
    </row>
    <row r="21" spans="1:56" x14ac:dyDescent="0.2">
      <c r="A21" s="6" t="s">
        <v>0</v>
      </c>
      <c r="B21" t="s">
        <v>1</v>
      </c>
      <c r="C21" s="6" t="s">
        <v>2</v>
      </c>
      <c r="D21" s="6" t="s">
        <v>3</v>
      </c>
      <c r="E21" s="6" t="s">
        <v>5</v>
      </c>
      <c r="F21" s="6" t="s">
        <v>6</v>
      </c>
      <c r="G21" s="4"/>
      <c r="H21" s="4"/>
      <c r="I21" s="6" t="s">
        <v>0</v>
      </c>
      <c r="J21" t="s">
        <v>1</v>
      </c>
      <c r="K21" s="6" t="s">
        <v>2</v>
      </c>
      <c r="L21" s="6" t="s">
        <v>3</v>
      </c>
      <c r="M21" s="6" t="s">
        <v>5</v>
      </c>
      <c r="N21" s="6" t="s">
        <v>6</v>
      </c>
      <c r="O21" s="4"/>
      <c r="P21" s="4"/>
      <c r="Q21" s="6" t="s">
        <v>0</v>
      </c>
      <c r="R21" t="s">
        <v>1</v>
      </c>
      <c r="S21" s="6" t="s">
        <v>2</v>
      </c>
      <c r="T21" s="6" t="s">
        <v>3</v>
      </c>
      <c r="U21" s="6" t="s">
        <v>5</v>
      </c>
      <c r="V21" s="6" t="s">
        <v>6</v>
      </c>
      <c r="W21" s="4"/>
      <c r="X21" s="4"/>
      <c r="AE21" s="4"/>
      <c r="AF21" s="4"/>
      <c r="AM21" s="4"/>
      <c r="AN21" s="4"/>
      <c r="AU21" s="4"/>
      <c r="AV21" s="4"/>
      <c r="BC21" s="4"/>
      <c r="BD21" s="4"/>
    </row>
    <row r="22" spans="1:56" x14ac:dyDescent="0.2">
      <c r="A22" s="10">
        <v>250</v>
      </c>
      <c r="B22" s="10">
        <f>5874</f>
        <v>5874</v>
      </c>
      <c r="C22" s="12">
        <f>-274.77658369871</f>
        <v>-274.77658369871</v>
      </c>
      <c r="D22" s="13">
        <f>0.028975</f>
        <v>2.8975000000000001E-2</v>
      </c>
      <c r="E22" s="10"/>
      <c r="F22" s="10"/>
      <c r="G22" s="4"/>
      <c r="H22" s="4"/>
      <c r="I22" s="10">
        <v>250</v>
      </c>
      <c r="J22" s="10">
        <f>5874</f>
        <v>5874</v>
      </c>
      <c r="K22" s="12">
        <f xml:space="preserve"> -275.43636799239</f>
        <v>-275.43636799238999</v>
      </c>
      <c r="L22" s="13">
        <f>0.01851</f>
        <v>1.8509999999999999E-2</v>
      </c>
      <c r="M22" s="10"/>
      <c r="N22" s="10"/>
      <c r="O22" s="4"/>
      <c r="P22" s="4"/>
      <c r="Q22" s="10">
        <v>250</v>
      </c>
      <c r="R22" s="10">
        <f>5874</f>
        <v>5874</v>
      </c>
      <c r="S22" s="12">
        <f>-275.3905349141</f>
        <v>-275.39053491409999</v>
      </c>
      <c r="T22" s="13">
        <f>0.011092</f>
        <v>1.1091999999999999E-2</v>
      </c>
      <c r="U22" s="10"/>
      <c r="V22" s="10"/>
      <c r="W22" s="4"/>
      <c r="X22" s="4"/>
      <c r="AE22" s="4"/>
      <c r="AF22" s="4"/>
      <c r="AM22" s="4"/>
      <c r="AN22" s="4"/>
      <c r="AU22" s="4"/>
      <c r="AV22" s="4"/>
      <c r="BC22" s="4"/>
      <c r="BD22" s="4"/>
    </row>
    <row r="23" spans="1:56" x14ac:dyDescent="0.2">
      <c r="A23" s="10">
        <v>225</v>
      </c>
      <c r="B23" s="10">
        <f>5291</f>
        <v>5291</v>
      </c>
      <c r="C23" s="12">
        <f>-274.77658376159</f>
        <v>-274.77658376159002</v>
      </c>
      <c r="D23" s="13">
        <f>0.028975</f>
        <v>2.8975000000000001E-2</v>
      </c>
      <c r="E23" s="11">
        <f>ABS(C23-$C$22)</f>
        <v>6.2880019413569244E-8</v>
      </c>
      <c r="F23" s="11">
        <f>ABS(D23-$D$22)</f>
        <v>0</v>
      </c>
      <c r="G23" s="4"/>
      <c r="H23" s="4"/>
      <c r="I23" s="10">
        <v>225</v>
      </c>
      <c r="J23" s="10">
        <f>5291</f>
        <v>5291</v>
      </c>
      <c r="K23" s="12">
        <f>-275.43636863816</f>
        <v>-275.43636863815999</v>
      </c>
      <c r="L23" s="13">
        <f>0.018464</f>
        <v>1.8464000000000001E-2</v>
      </c>
      <c r="M23" s="11">
        <f>ABS(K23-$K$22)</f>
        <v>6.4577000102872262E-7</v>
      </c>
      <c r="N23" s="11">
        <f>ABS(L23-$L$22)</f>
        <v>4.5999999999997432E-5</v>
      </c>
      <c r="O23" s="4"/>
      <c r="P23" s="4"/>
      <c r="Q23" s="10">
        <v>225</v>
      </c>
      <c r="R23" s="10">
        <f>5291</f>
        <v>5291</v>
      </c>
      <c r="S23" s="12">
        <f>-275.39053283038</f>
        <v>-275.39053283037998</v>
      </c>
      <c r="T23" s="13">
        <f>0.011071</f>
        <v>1.1070999999999999E-2</v>
      </c>
      <c r="U23" s="11">
        <f>ABS(S23-$S$22)</f>
        <v>2.083720005430223E-6</v>
      </c>
      <c r="V23" s="11">
        <f>ABS(T23-$T$22)</f>
        <v>2.1000000000000185E-5</v>
      </c>
      <c r="W23" s="4"/>
      <c r="X23" s="4"/>
      <c r="AE23" s="4"/>
      <c r="AF23" s="4"/>
      <c r="AM23" s="4"/>
      <c r="AN23" s="4"/>
      <c r="AU23" s="4"/>
      <c r="AV23" s="4"/>
      <c r="BC23" s="4"/>
      <c r="BD23" s="4"/>
    </row>
    <row r="24" spans="1:56" x14ac:dyDescent="0.2">
      <c r="A24" s="10">
        <v>200</v>
      </c>
      <c r="B24" s="10">
        <f>4697</f>
        <v>4697</v>
      </c>
      <c r="C24" s="12">
        <f>-274.77658376657</f>
        <v>-274.77658376657001</v>
      </c>
      <c r="D24" s="13">
        <f>0.028968</f>
        <v>2.8968000000000001E-2</v>
      </c>
      <c r="E24" s="11">
        <f t="shared" ref="E24:E31" si="6">ABS(C24-$C$22)</f>
        <v>6.7860014496545773E-8</v>
      </c>
      <c r="F24" s="11">
        <f t="shared" ref="F24:F31" si="7">ABS(D24-$D$22)</f>
        <v>7.0000000000000617E-6</v>
      </c>
      <c r="I24" s="10">
        <v>200</v>
      </c>
      <c r="J24" s="10">
        <f>4697</f>
        <v>4697</v>
      </c>
      <c r="K24" s="12">
        <f>-275.43637533709</f>
        <v>-275.43637533709</v>
      </c>
      <c r="L24" s="13">
        <f>0.018604</f>
        <v>1.8603999999999999E-2</v>
      </c>
      <c r="M24" s="11">
        <f t="shared" ref="M24:M31" si="8">ABS(K24-$K$22)</f>
        <v>7.344700009070948E-6</v>
      </c>
      <c r="N24" s="11">
        <f t="shared" ref="N24:N31" si="9">ABS(L24-$L$22)</f>
        <v>9.4000000000000333E-5</v>
      </c>
      <c r="Q24" s="10">
        <v>200</v>
      </c>
      <c r="R24" s="10">
        <f>4697</f>
        <v>4697</v>
      </c>
      <c r="S24" s="12">
        <f>-275.39052623555</f>
        <v>-275.39052623555</v>
      </c>
      <c r="T24" s="13">
        <f>0.011162</f>
        <v>1.1162E-2</v>
      </c>
      <c r="U24" s="11">
        <f t="shared" ref="U24:U31" si="10">ABS(S24-$S$22)</f>
        <v>8.6785499888719642E-6</v>
      </c>
      <c r="V24" s="11">
        <f t="shared" ref="V24:V31" si="11">ABS(T24-$T$22)</f>
        <v>7.0000000000000617E-5</v>
      </c>
    </row>
    <row r="25" spans="1:56" x14ac:dyDescent="0.2">
      <c r="A25" s="10">
        <v>175</v>
      </c>
      <c r="B25" s="10">
        <f>4115</f>
        <v>4115</v>
      </c>
      <c r="C25" s="12">
        <f xml:space="preserve"> -274.77658330233</f>
        <v>-274.77658330232998</v>
      </c>
      <c r="D25" s="13">
        <f>0.028964</f>
        <v>2.8964E-2</v>
      </c>
      <c r="E25" s="11">
        <f t="shared" si="6"/>
        <v>3.963800168094167E-7</v>
      </c>
      <c r="F25" s="11">
        <f t="shared" si="7"/>
        <v>1.1000000000000593E-5</v>
      </c>
      <c r="I25" s="10">
        <v>175</v>
      </c>
      <c r="J25" s="10">
        <f>4115</f>
        <v>4115</v>
      </c>
      <c r="K25" s="12">
        <f>-275.43636955214</f>
        <v>-275.43636955213998</v>
      </c>
      <c r="L25" s="13">
        <f>0.018189</f>
        <v>1.8189E-2</v>
      </c>
      <c r="M25" s="11">
        <f t="shared" si="8"/>
        <v>1.5597499896102818E-6</v>
      </c>
      <c r="N25" s="11">
        <f t="shared" si="9"/>
        <v>3.2099999999999837E-4</v>
      </c>
      <c r="Q25" s="10">
        <v>175</v>
      </c>
      <c r="R25" s="10">
        <f>4115</f>
        <v>4115</v>
      </c>
      <c r="S25" s="12">
        <f>-275.39052580076</f>
        <v>-275.39052580075997</v>
      </c>
      <c r="T25" s="13">
        <f>0.010951</f>
        <v>1.0951000000000001E-2</v>
      </c>
      <c r="U25" s="11">
        <f t="shared" si="10"/>
        <v>9.1133400133003306E-6</v>
      </c>
      <c r="V25" s="11">
        <f t="shared" si="11"/>
        <v>1.4099999999999877E-4</v>
      </c>
    </row>
    <row r="26" spans="1:56" x14ac:dyDescent="0.2">
      <c r="A26" s="10">
        <v>150</v>
      </c>
      <c r="B26" s="10">
        <f>3524</f>
        <v>3524</v>
      </c>
      <c r="C26" s="12">
        <f>-274.77658246819</f>
        <v>-274.77658246818999</v>
      </c>
      <c r="D26" s="13">
        <f>0.028955</f>
        <v>2.8955000000000002E-2</v>
      </c>
      <c r="E26" s="11">
        <f t="shared" si="6"/>
        <v>1.2305200129958394E-6</v>
      </c>
      <c r="F26" s="11">
        <f t="shared" si="7"/>
        <v>1.9999999999999185E-5</v>
      </c>
      <c r="I26" s="10">
        <v>150</v>
      </c>
      <c r="J26" s="10">
        <f>3524</f>
        <v>3524</v>
      </c>
      <c r="K26" s="12">
        <f>-275.43639094546</f>
        <v>-275.43639094546</v>
      </c>
      <c r="L26" s="13">
        <f>0.019032</f>
        <v>1.9032E-2</v>
      </c>
      <c r="M26" s="11">
        <f t="shared" si="8"/>
        <v>2.2953070015319099E-5</v>
      </c>
      <c r="N26" s="11">
        <f t="shared" si="9"/>
        <v>5.2200000000000163E-4</v>
      </c>
      <c r="Q26" s="10">
        <v>150</v>
      </c>
      <c r="R26" s="10">
        <f>3524</f>
        <v>3524</v>
      </c>
      <c r="S26" s="12">
        <f>-275.39050944176</f>
        <v>-275.39050944176</v>
      </c>
      <c r="T26" s="13">
        <f>0.011382</f>
        <v>1.1382E-2</v>
      </c>
      <c r="U26" s="11">
        <f t="shared" si="10"/>
        <v>2.5472339984844439E-5</v>
      </c>
      <c r="V26" s="11">
        <f t="shared" si="11"/>
        <v>2.9000000000000033E-4</v>
      </c>
    </row>
    <row r="27" spans="1:56" x14ac:dyDescent="0.2">
      <c r="A27" s="10">
        <v>125</v>
      </c>
      <c r="B27" s="10">
        <f>2989</f>
        <v>2989</v>
      </c>
      <c r="C27" s="12">
        <f>-274.7765849823</f>
        <v>-274.77658498229999</v>
      </c>
      <c r="D27" s="13">
        <f>0.028996</f>
        <v>2.8996000000000001E-2</v>
      </c>
      <c r="E27" s="11">
        <f t="shared" si="6"/>
        <v>1.2835899951824103E-6</v>
      </c>
      <c r="F27" s="11">
        <f t="shared" si="7"/>
        <v>2.1000000000000185E-5</v>
      </c>
      <c r="I27" s="10">
        <v>125</v>
      </c>
      <c r="J27" s="10">
        <f>2989</f>
        <v>2989</v>
      </c>
      <c r="K27" s="12">
        <f xml:space="preserve"> -275.43633534346</f>
        <v>-275.43633534345997</v>
      </c>
      <c r="L27" s="13">
        <f>0.017678</f>
        <v>1.7677999999999999E-2</v>
      </c>
      <c r="M27" s="11">
        <f t="shared" si="8"/>
        <v>3.2648930016421218E-5</v>
      </c>
      <c r="N27" s="11">
        <f t="shared" si="9"/>
        <v>8.3199999999999941E-4</v>
      </c>
      <c r="Q27" s="10">
        <v>125</v>
      </c>
      <c r="R27" s="10">
        <f>2989</f>
        <v>2989</v>
      </c>
      <c r="S27" s="12">
        <f>-275.3905690613</f>
        <v>-275.39056906130003</v>
      </c>
      <c r="T27" s="13">
        <f>0.010865</f>
        <v>1.0865E-2</v>
      </c>
      <c r="U27" s="11">
        <f t="shared" si="10"/>
        <v>3.4147200040024472E-5</v>
      </c>
      <c r="V27" s="11">
        <f t="shared" si="11"/>
        <v>2.2699999999999977E-4</v>
      </c>
    </row>
    <row r="28" spans="1:56" x14ac:dyDescent="0.2">
      <c r="A28" s="10">
        <v>100</v>
      </c>
      <c r="B28" s="10">
        <f>2402</f>
        <v>2402</v>
      </c>
      <c r="C28" s="12">
        <f>-274.77658467845</f>
        <v>-274.77658467844998</v>
      </c>
      <c r="D28" s="13">
        <f>0.028989</f>
        <v>2.8989000000000001E-2</v>
      </c>
      <c r="E28" s="11">
        <f t="shared" si="6"/>
        <v>9.7973997981171124E-7</v>
      </c>
      <c r="F28" s="11">
        <f t="shared" si="7"/>
        <v>1.4000000000000123E-5</v>
      </c>
      <c r="I28" s="10">
        <v>100</v>
      </c>
      <c r="J28" s="10">
        <f>2402</f>
        <v>2402</v>
      </c>
      <c r="K28" s="12">
        <f>-275.43636475221</f>
        <v>-275.43636475221001</v>
      </c>
      <c r="L28" s="13">
        <f>0.018457</f>
        <v>1.8457000000000001E-2</v>
      </c>
      <c r="M28" s="11">
        <f t="shared" si="8"/>
        <v>3.2401799785475305E-6</v>
      </c>
      <c r="N28" s="11">
        <f t="shared" si="9"/>
        <v>5.2999999999997494E-5</v>
      </c>
      <c r="Q28" s="10">
        <v>100</v>
      </c>
      <c r="R28" s="10">
        <f>2402</f>
        <v>2402</v>
      </c>
      <c r="S28" s="12">
        <f>-275.39056837918</f>
        <v>-275.39056837918002</v>
      </c>
      <c r="T28" s="13">
        <f>0.010721</f>
        <v>1.0721E-2</v>
      </c>
      <c r="U28" s="11">
        <f t="shared" si="10"/>
        <v>3.3465080036876316E-5</v>
      </c>
      <c r="V28" s="11">
        <f t="shared" si="11"/>
        <v>3.709999999999998E-4</v>
      </c>
    </row>
    <row r="29" spans="1:56" x14ac:dyDescent="0.2">
      <c r="A29" s="10">
        <v>75</v>
      </c>
      <c r="B29" s="10">
        <f>1815</f>
        <v>1815</v>
      </c>
      <c r="C29" s="12">
        <f xml:space="preserve"> -274.7765862553</f>
        <v>-274.7765862553</v>
      </c>
      <c r="D29" s="13">
        <f>0.028971</f>
        <v>2.8971E-2</v>
      </c>
      <c r="E29" s="11">
        <f t="shared" si="6"/>
        <v>2.5565900045876333E-6</v>
      </c>
      <c r="F29" s="11">
        <f t="shared" si="7"/>
        <v>4.0000000000005309E-6</v>
      </c>
      <c r="I29" s="10">
        <v>75</v>
      </c>
      <c r="J29" s="10">
        <f>1815</f>
        <v>1815</v>
      </c>
      <c r="K29" s="12">
        <f>-275.43649051418</f>
        <v>-275.43649051417998</v>
      </c>
      <c r="L29" s="13">
        <f>0.022585</f>
        <v>2.2585000000000001E-2</v>
      </c>
      <c r="M29" s="11">
        <f t="shared" si="8"/>
        <v>1.2252178999005991E-4</v>
      </c>
      <c r="N29" s="11">
        <f t="shared" si="9"/>
        <v>4.0750000000000022E-3</v>
      </c>
      <c r="Q29" s="10">
        <v>75</v>
      </c>
      <c r="R29" s="10">
        <f>1815</f>
        <v>1815</v>
      </c>
      <c r="S29" s="12">
        <f>-275.39055034455</f>
        <v>-275.39055034454998</v>
      </c>
      <c r="T29" s="13">
        <f>0.011961</f>
        <v>1.1960999999999999E-2</v>
      </c>
      <c r="U29" s="11">
        <f t="shared" si="10"/>
        <v>1.5430449991526984E-5</v>
      </c>
      <c r="V29" s="11">
        <f t="shared" si="11"/>
        <v>8.6899999999999998E-4</v>
      </c>
    </row>
    <row r="30" spans="1:56" x14ac:dyDescent="0.2">
      <c r="A30" s="10">
        <v>50</v>
      </c>
      <c r="B30" s="10">
        <f>1225</f>
        <v>1225</v>
      </c>
      <c r="C30" s="12">
        <f>-274.77677379977</f>
        <v>-274.77677379977001</v>
      </c>
      <c r="D30" s="13">
        <f>0.027395</f>
        <v>2.7394999999999999E-2</v>
      </c>
      <c r="E30" s="11">
        <f t="shared" si="6"/>
        <v>1.9010106001360327E-4</v>
      </c>
      <c r="F30" s="11">
        <f t="shared" si="7"/>
        <v>1.5800000000000015E-3</v>
      </c>
      <c r="I30" s="10">
        <v>50</v>
      </c>
      <c r="J30" s="10">
        <f>1225</f>
        <v>1225</v>
      </c>
      <c r="K30" s="12">
        <f>-275.42992962223</f>
        <v>-275.42992962223002</v>
      </c>
      <c r="L30" s="13">
        <f>0.004522</f>
        <v>4.522E-3</v>
      </c>
      <c r="M30" s="11">
        <f t="shared" si="8"/>
        <v>6.4383701599695087E-3</v>
      </c>
      <c r="N30" s="11">
        <f t="shared" si="9"/>
        <v>1.3987999999999999E-2</v>
      </c>
      <c r="Q30" s="10">
        <v>50</v>
      </c>
      <c r="R30" s="10">
        <f>1225</f>
        <v>1225</v>
      </c>
      <c r="S30" s="12">
        <f>-275.38804089517</f>
        <v>-275.38804089516998</v>
      </c>
      <c r="T30" s="13">
        <f>0.007395</f>
        <v>7.3949999999999997E-3</v>
      </c>
      <c r="U30" s="11">
        <f t="shared" si="10"/>
        <v>2.4940189300082238E-3</v>
      </c>
      <c r="V30" s="11">
        <f t="shared" si="11"/>
        <v>3.6969999999999998E-3</v>
      </c>
    </row>
    <row r="31" spans="1:56" x14ac:dyDescent="0.2">
      <c r="A31" s="10">
        <v>25</v>
      </c>
      <c r="B31" s="10">
        <f>625</f>
        <v>625</v>
      </c>
      <c r="C31" s="12">
        <f>-274.8160770495</f>
        <v>-274.8160770495</v>
      </c>
      <c r="D31" s="13">
        <f>0.341733</f>
        <v>0.34173300000000001</v>
      </c>
      <c r="E31" s="11">
        <f t="shared" si="6"/>
        <v>3.9493350789996384E-2</v>
      </c>
      <c r="F31" s="11">
        <f t="shared" si="7"/>
        <v>0.31275799999999998</v>
      </c>
      <c r="I31" s="10">
        <v>25</v>
      </c>
      <c r="J31" s="10">
        <f>625</f>
        <v>625</v>
      </c>
      <c r="K31" s="12">
        <f xml:space="preserve"> -275.50804002669</f>
        <v>-275.50804002669003</v>
      </c>
      <c r="L31" s="13">
        <f>0.422948</f>
        <v>0.42294799999999999</v>
      </c>
      <c r="M31" s="11">
        <f t="shared" si="8"/>
        <v>7.1672034300036103E-2</v>
      </c>
      <c r="N31" s="11">
        <f t="shared" si="9"/>
        <v>0.40443799999999996</v>
      </c>
      <c r="Q31" s="10">
        <v>25</v>
      </c>
      <c r="R31" s="10">
        <f>625</f>
        <v>625</v>
      </c>
      <c r="S31" s="12">
        <f>-275.42216120501</f>
        <v>-275.42216120501001</v>
      </c>
      <c r="T31" s="13">
        <f>0.358256</f>
        <v>0.35825600000000002</v>
      </c>
      <c r="U31" s="11">
        <f t="shared" si="10"/>
        <v>3.1626290910026E-2</v>
      </c>
      <c r="V31" s="11">
        <f t="shared" si="11"/>
        <v>0.34716400000000003</v>
      </c>
    </row>
  </sheetData>
  <pageMargins left="0.7" right="0.7" top="0.75" bottom="0.75" header="0.3" footer="0.3"/>
  <ignoredErrors>
    <ignoredError sqref="C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MgO_DFT_grid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2022-09-15T15:57:38Z</dcterms:created>
  <dcterms:modified xsi:type="dcterms:W3CDTF">2022-09-18T16:44:56Z</dcterms:modified>
</cp:coreProperties>
</file>