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6_semester\Business\"/>
    </mc:Choice>
  </mc:AlternateContent>
  <xr:revisionPtr revIDLastSave="0" documentId="13_ncr:1_{F251DEBF-5CCB-4DB5-B1EA-065FBA2AF94E}" xr6:coauthVersionLast="47" xr6:coauthVersionMax="47" xr10:uidLastSave="{00000000-0000-0000-0000-000000000000}"/>
  <bookViews>
    <workbookView xWindow="-120" yWindow="-120" windowWidth="29040" windowHeight="15720" firstSheet="4" activeTab="11" xr2:uid="{00000000-000D-0000-FFFF-FFFF00000000}"/>
  </bookViews>
  <sheets>
    <sheet name="Ресурсы" sheetId="1" r:id="rId1"/>
    <sheet name="Амортизация" sheetId="2" r:id="rId2"/>
    <sheet name="Зарплаты" sheetId="3" r:id="rId3"/>
    <sheet name="Издержки" sheetId="4" r:id="rId4"/>
    <sheet name="Реализация" sheetId="5" r:id="rId5"/>
    <sheet name="ЧП" sheetId="6" r:id="rId6"/>
    <sheet name="Обязательные отчисления" sheetId="7" r:id="rId7"/>
    <sheet name="Инвестиции" sheetId="8" r:id="rId8"/>
    <sheet name="Потребности" sheetId="9" r:id="rId9"/>
    <sheet name="Кридиты" sheetId="10" r:id="rId10"/>
    <sheet name="Источники" sheetId="11" r:id="rId11"/>
    <sheet name="Эффективность" sheetId="12" r:id="rId12"/>
    <sheet name="Дисконт доход" sheetId="13" r:id="rId13"/>
    <sheet name="Итог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1" l="1"/>
  <c r="B6" i="11" s="1"/>
  <c r="B13" i="8"/>
  <c r="B12" i="8"/>
  <c r="F12" i="9"/>
  <c r="F9" i="9" s="1"/>
  <c r="F14" i="9" s="1"/>
  <c r="F15" i="9" s="1"/>
  <c r="G12" i="9"/>
  <c r="G9" i="9" s="1"/>
  <c r="H12" i="9"/>
  <c r="H9" i="9" s="1"/>
  <c r="E12" i="9"/>
  <c r="D12" i="9"/>
  <c r="D9" i="9" s="1"/>
  <c r="C12" i="9"/>
  <c r="B15" i="9"/>
  <c r="B14" i="9"/>
  <c r="C9" i="9"/>
  <c r="C13" i="9" s="1"/>
  <c r="E9" i="9"/>
  <c r="E14" i="9" s="1"/>
  <c r="E15" i="9" s="1"/>
  <c r="B9" i="9"/>
  <c r="B13" i="9" s="1"/>
  <c r="B12" i="9"/>
  <c r="F11" i="9"/>
  <c r="G11" i="9"/>
  <c r="H11" i="9"/>
  <c r="E11" i="9"/>
  <c r="D11" i="9"/>
  <c r="C11" i="9"/>
  <c r="B11" i="9"/>
  <c r="F10" i="9"/>
  <c r="G10" i="9"/>
  <c r="H10" i="9"/>
  <c r="E10" i="9"/>
  <c r="D10" i="9"/>
  <c r="C10" i="9"/>
  <c r="B10" i="9"/>
  <c r="F6" i="9"/>
  <c r="F5" i="9" s="1"/>
  <c r="G6" i="9"/>
  <c r="G5" i="9" s="1"/>
  <c r="H6" i="9"/>
  <c r="H5" i="9" s="1"/>
  <c r="D6" i="9"/>
  <c r="E6" i="9"/>
  <c r="E5" i="9" s="1"/>
  <c r="C6" i="9"/>
  <c r="B6" i="9"/>
  <c r="B5" i="9" s="1"/>
  <c r="C5" i="9"/>
  <c r="D5" i="9"/>
  <c r="D8" i="9" s="1"/>
  <c r="C5" i="7"/>
  <c r="D5" i="7"/>
  <c r="E5" i="7"/>
  <c r="F5" i="7"/>
  <c r="G5" i="7"/>
  <c r="H5" i="7"/>
  <c r="B5" i="7"/>
  <c r="C11" i="6"/>
  <c r="D11" i="6"/>
  <c r="E11" i="6"/>
  <c r="F11" i="6"/>
  <c r="G11" i="6"/>
  <c r="H11" i="6"/>
  <c r="B10" i="6"/>
  <c r="C8" i="6"/>
  <c r="D8" i="6"/>
  <c r="E8" i="6"/>
  <c r="F8" i="6"/>
  <c r="G8" i="6"/>
  <c r="H8" i="6"/>
  <c r="B8" i="6"/>
  <c r="B11" i="8"/>
  <c r="H7" i="7"/>
  <c r="C7" i="7"/>
  <c r="D7" i="7"/>
  <c r="E7" i="7"/>
  <c r="F7" i="7"/>
  <c r="G7" i="7"/>
  <c r="B7" i="7"/>
  <c r="B7" i="8"/>
  <c r="G14" i="9" l="1"/>
  <c r="G15" i="9" s="1"/>
  <c r="G13" i="9"/>
  <c r="E13" i="9"/>
  <c r="H14" i="9"/>
  <c r="H15" i="9" s="1"/>
  <c r="H13" i="9"/>
  <c r="D14" i="9"/>
  <c r="D15" i="9" s="1"/>
  <c r="D13" i="9"/>
  <c r="F13" i="9"/>
  <c r="C14" i="9"/>
  <c r="C15" i="9" s="1"/>
  <c r="E8" i="9"/>
  <c r="G8" i="9"/>
  <c r="C8" i="9"/>
  <c r="B8" i="9"/>
  <c r="H8" i="9"/>
  <c r="F8" i="9"/>
  <c r="D14" i="6"/>
  <c r="F13" i="6"/>
  <c r="G13" i="6"/>
  <c r="H13" i="6"/>
  <c r="B11" i="6"/>
  <c r="D9" i="6"/>
  <c r="I6" i="5"/>
  <c r="I7" i="5" s="1"/>
  <c r="H6" i="5"/>
  <c r="H7" i="5" s="1"/>
  <c r="G6" i="5"/>
  <c r="G7" i="5" s="1"/>
  <c r="F6" i="5"/>
  <c r="F7" i="5" s="1"/>
  <c r="C9" i="6"/>
  <c r="E9" i="6"/>
  <c r="F9" i="6"/>
  <c r="G9" i="6"/>
  <c r="H9" i="6"/>
  <c r="B9" i="6"/>
  <c r="H7" i="6"/>
  <c r="G7" i="6"/>
  <c r="F7" i="6"/>
  <c r="E7" i="6"/>
  <c r="D7" i="6"/>
  <c r="C7" i="6"/>
  <c r="B7" i="6"/>
  <c r="C7" i="5"/>
  <c r="D7" i="5"/>
  <c r="E7" i="5"/>
  <c r="C13" i="6" l="1"/>
  <c r="C14" i="6" s="1"/>
  <c r="E14" i="6"/>
  <c r="H14" i="6"/>
  <c r="E13" i="6"/>
  <c r="G14" i="6"/>
  <c r="F14" i="6"/>
  <c r="B14" i="6"/>
  <c r="B13" i="6"/>
  <c r="G5" i="5"/>
  <c r="H5" i="5"/>
  <c r="I5" i="5" s="1"/>
  <c r="F5" i="5"/>
  <c r="C31" i="4"/>
  <c r="D31" i="4"/>
  <c r="B31" i="4"/>
  <c r="H20" i="4"/>
  <c r="H30" i="4" s="1"/>
  <c r="H29" i="4" s="1"/>
  <c r="G20" i="4"/>
  <c r="G30" i="4" s="1"/>
  <c r="F20" i="4"/>
  <c r="F30" i="4" s="1"/>
  <c r="E20" i="4"/>
  <c r="E30" i="4" s="1"/>
  <c r="D20" i="4"/>
  <c r="D30" i="4" s="1"/>
  <c r="D29" i="4" s="1"/>
  <c r="C20" i="4"/>
  <c r="C30" i="4" s="1"/>
  <c r="C29" i="4" s="1"/>
  <c r="B20" i="4"/>
  <c r="B30" i="4" s="1"/>
  <c r="B29" i="4" s="1"/>
  <c r="F26" i="4"/>
  <c r="G26" i="4"/>
  <c r="H26" i="4"/>
  <c r="H31" i="4" s="1"/>
  <c r="E26" i="4"/>
  <c r="G24" i="4"/>
  <c r="F24" i="4"/>
  <c r="H24" i="4"/>
  <c r="E24" i="4"/>
  <c r="E29" i="4" l="1"/>
  <c r="E31" i="4"/>
  <c r="G31" i="4"/>
  <c r="G29" i="4" s="1"/>
  <c r="F31" i="4"/>
  <c r="F29" i="4" s="1"/>
  <c r="M15" i="3" l="1"/>
  <c r="P15" i="3" s="1"/>
  <c r="S15" i="3" s="1"/>
  <c r="V15" i="3" s="1"/>
  <c r="J15" i="3"/>
  <c r="G15" i="3"/>
  <c r="D15" i="3"/>
  <c r="V9" i="3"/>
  <c r="V10" i="3"/>
  <c r="V11" i="3"/>
  <c r="V12" i="3"/>
  <c r="V13" i="3"/>
  <c r="V14" i="3"/>
  <c r="U14" i="3"/>
  <c r="U13" i="3"/>
  <c r="U11" i="3"/>
  <c r="U10" i="3"/>
  <c r="U9" i="3"/>
  <c r="U8" i="3"/>
  <c r="R14" i="3"/>
  <c r="R13" i="3"/>
  <c r="R11" i="3"/>
  <c r="R10" i="3"/>
  <c r="R9" i="3"/>
  <c r="R8" i="3"/>
  <c r="O14" i="3"/>
  <c r="O13" i="3"/>
  <c r="O11" i="3"/>
  <c r="O10" i="3"/>
  <c r="O9" i="3"/>
  <c r="O8" i="3"/>
  <c r="M11" i="3"/>
  <c r="P11" i="3" s="1"/>
  <c r="S11" i="3" s="1"/>
  <c r="M12" i="3"/>
  <c r="P12" i="3" s="1"/>
  <c r="S12" i="3" s="1"/>
  <c r="M13" i="3"/>
  <c r="P13" i="3" s="1"/>
  <c r="S13" i="3" s="1"/>
  <c r="M14" i="3"/>
  <c r="P14" i="3" s="1"/>
  <c r="S14" i="3" s="1"/>
  <c r="L14" i="3"/>
  <c r="L13" i="3"/>
  <c r="L11" i="3"/>
  <c r="L10" i="3"/>
  <c r="M10" i="3" s="1"/>
  <c r="P10" i="3" s="1"/>
  <c r="S10" i="3" s="1"/>
  <c r="L9" i="3"/>
  <c r="M9" i="3" s="1"/>
  <c r="P9" i="3" s="1"/>
  <c r="S9" i="3" s="1"/>
  <c r="L8" i="3"/>
  <c r="M8" i="3" s="1"/>
  <c r="P8" i="3" s="1"/>
  <c r="S8" i="3" s="1"/>
  <c r="V8" i="3" s="1"/>
  <c r="J9" i="3"/>
  <c r="J10" i="3"/>
  <c r="J8" i="3"/>
  <c r="I9" i="3"/>
  <c r="I10" i="3"/>
  <c r="I11" i="3"/>
  <c r="I12" i="3"/>
  <c r="I8" i="3"/>
  <c r="F14" i="3"/>
  <c r="G14" i="3" s="1"/>
  <c r="J14" i="3" s="1"/>
  <c r="F13" i="3"/>
  <c r="G13" i="3" s="1"/>
  <c r="J13" i="3" s="1"/>
  <c r="G12" i="3"/>
  <c r="J12" i="3" s="1"/>
  <c r="G11" i="3"/>
  <c r="J11" i="3" s="1"/>
  <c r="F10" i="3"/>
  <c r="G10" i="3" s="1"/>
  <c r="F9" i="3"/>
  <c r="G9" i="3" s="1"/>
  <c r="G8" i="3"/>
  <c r="D11" i="3"/>
  <c r="D12" i="3"/>
  <c r="D13" i="3"/>
  <c r="D14" i="3"/>
  <c r="D8" i="3"/>
  <c r="C14" i="3"/>
  <c r="C13" i="3"/>
  <c r="C9" i="3"/>
  <c r="D9" i="3" s="1"/>
  <c r="C10" i="3"/>
  <c r="D10" i="3" s="1"/>
  <c r="P29" i="1"/>
  <c r="N29" i="1"/>
  <c r="H29" i="1"/>
  <c r="F29" i="1"/>
  <c r="R28" i="1"/>
  <c r="H28" i="1"/>
  <c r="H27" i="1" s="1"/>
  <c r="F28" i="1"/>
  <c r="F27" i="1" s="1"/>
  <c r="R26" i="1"/>
  <c r="P26" i="1"/>
  <c r="N26" i="1"/>
  <c r="L26" i="1"/>
  <c r="H26" i="1"/>
  <c r="J26" i="1" s="1"/>
  <c r="F26" i="1"/>
  <c r="R24" i="1"/>
  <c r="R29" i="1" s="1"/>
  <c r="P24" i="1"/>
  <c r="N24" i="1"/>
  <c r="L24" i="1"/>
  <c r="L29" i="1" s="1"/>
  <c r="H24" i="1"/>
  <c r="J24" i="1" s="1"/>
  <c r="J29" i="1" s="1"/>
  <c r="F24" i="1"/>
  <c r="R23" i="1"/>
  <c r="P23" i="1"/>
  <c r="P28" i="1" s="1"/>
  <c r="P27" i="1" s="1"/>
  <c r="N23" i="1"/>
  <c r="N28" i="1" s="1"/>
  <c r="N27" i="1" s="1"/>
  <c r="L23" i="1"/>
  <c r="L28" i="1" s="1"/>
  <c r="J23" i="1"/>
  <c r="J28" i="1" s="1"/>
  <c r="H23" i="1"/>
  <c r="F23" i="1"/>
  <c r="L13" i="1"/>
  <c r="N13" i="1" s="1"/>
  <c r="P13" i="1" s="1"/>
  <c r="R13" i="1" s="1"/>
  <c r="J13" i="1"/>
  <c r="H13" i="1"/>
  <c r="F13" i="1"/>
  <c r="H14" i="1" s="1"/>
  <c r="L12" i="1"/>
  <c r="N12" i="1" s="1"/>
  <c r="P12" i="1" s="1"/>
  <c r="R12" i="1" s="1"/>
  <c r="J12" i="1"/>
  <c r="H12" i="1"/>
  <c r="F12" i="1"/>
  <c r="N11" i="1"/>
  <c r="P11" i="1" s="1"/>
  <c r="R11" i="1" s="1"/>
  <c r="J11" i="1"/>
  <c r="H11" i="1"/>
  <c r="F11" i="1"/>
  <c r="N10" i="1"/>
  <c r="P10" i="1" s="1"/>
  <c r="R10" i="1" s="1"/>
  <c r="L10" i="1"/>
  <c r="J10" i="1"/>
  <c r="H10" i="1"/>
  <c r="F10" i="1"/>
  <c r="L9" i="1"/>
  <c r="N9" i="1" s="1"/>
  <c r="P9" i="1" s="1"/>
  <c r="R9" i="1" s="1"/>
  <c r="L8" i="1"/>
  <c r="N8" i="1" s="1"/>
  <c r="P8" i="1" s="1"/>
  <c r="R8" i="1" s="1"/>
  <c r="L7" i="1"/>
  <c r="N7" i="1" s="1"/>
  <c r="P7" i="1" s="1"/>
  <c r="R7" i="1" s="1"/>
  <c r="J7" i="1"/>
  <c r="H7" i="1"/>
  <c r="F7" i="1"/>
  <c r="L6" i="1"/>
  <c r="L14" i="1" s="1"/>
  <c r="J6" i="1"/>
  <c r="J14" i="1" s="1"/>
  <c r="H6" i="1"/>
  <c r="F6" i="1"/>
  <c r="F14" i="1" s="1"/>
  <c r="I14" i="3" l="1"/>
  <c r="I13" i="3"/>
  <c r="J27" i="1"/>
  <c r="L27" i="1"/>
  <c r="R27" i="1"/>
  <c r="N6" i="1"/>
  <c r="N14" i="1" l="1"/>
  <c r="P6" i="1"/>
  <c r="P14" i="1" l="1"/>
  <c r="R6" i="1"/>
  <c r="R14" i="1" s="1"/>
  <c r="D8" i="7"/>
  <c r="B8" i="7"/>
  <c r="G8" i="7"/>
  <c r="F8" i="7"/>
  <c r="C8" i="7"/>
  <c r="H8" i="7"/>
  <c r="E8" i="7"/>
</calcChain>
</file>

<file path=xl/sharedStrings.xml><?xml version="1.0" encoding="utf-8"?>
<sst xmlns="http://schemas.openxmlformats.org/spreadsheetml/2006/main" count="404" uniqueCount="279">
  <si>
    <t xml:space="preserve">Таблица 2. Расчет потребности в сырьевых ресурсах и транспортных расходах        
</t>
  </si>
  <si>
    <t>по периодам реализации проекта</t>
  </si>
  <si>
    <t>1 кв. 2023</t>
  </si>
  <si>
    <t>2 кв. 2023</t>
  </si>
  <si>
    <t>3 кв. 2023</t>
  </si>
  <si>
    <t>наименование ресурса</t>
  </si>
  <si>
    <t>ед. изм.</t>
  </si>
  <si>
    <t>норма расхода на ед. прод., НР</t>
  </si>
  <si>
    <t>цена ед. в 2022, руб., Ц</t>
  </si>
  <si>
    <t xml:space="preserve">кол-во, К	</t>
  </si>
  <si>
    <t>общая стоимость, руб., ОС</t>
  </si>
  <si>
    <t>1.Кофейные зерна</t>
  </si>
  <si>
    <t>кг</t>
  </si>
  <si>
    <t>Инфляция</t>
  </si>
  <si>
    <t>2.Сливки 2%</t>
  </si>
  <si>
    <t>л</t>
  </si>
  <si>
    <t>3.Сахар в кубиках</t>
  </si>
  <si>
    <t>4.Молоко</t>
  </si>
  <si>
    <t>5.Мука</t>
  </si>
  <si>
    <t>6.Яйца</t>
  </si>
  <si>
    <t>шт.</t>
  </si>
  <si>
    <t>7.Шоколад</t>
  </si>
  <si>
    <t>8.Джем</t>
  </si>
  <si>
    <t>Итого</t>
  </si>
  <si>
    <t>Таблица 3 Расчет потребности в топливно-энергетических ресурсах</t>
  </si>
  <si>
    <t>3-4 кв. 2023</t>
  </si>
  <si>
    <t xml:space="preserve">кол-во
 мес.     </t>
  </si>
  <si>
    <t xml:space="preserve">кол-во мес.     </t>
  </si>
  <si>
    <t>1. электроэнергия</t>
  </si>
  <si>
    <t>кВт</t>
  </si>
  <si>
    <t>-</t>
  </si>
  <si>
    <t>1.1 переменные издержки(Кофемашина,Кофемолка,Смягчитель воды,Конвекционная печь,Тестомес )</t>
  </si>
  <si>
    <t>руб.</t>
  </si>
  <si>
    <t>1.2 постоянные издержки(Холодильник)</t>
  </si>
  <si>
    <t>2. теплоэнергия</t>
  </si>
  <si>
    <t>2.1 постоянные издержки(Отопление помещения)</t>
  </si>
  <si>
    <t>3. итого затрат на ТЭР</t>
  </si>
  <si>
    <t>3.1 переменные издержки</t>
  </si>
  <si>
    <t>3.2 постоянные издержки</t>
  </si>
  <si>
    <t>Таблица 5. Расчет амортизационных отчислений, руб.</t>
  </si>
  <si>
    <t>наименование основных фондов</t>
  </si>
  <si>
    <t>норма
амортизации, НА, %</t>
  </si>
  <si>
    <t>01.2023-04.2023</t>
  </si>
  <si>
    <t>04.2023-07.2023</t>
  </si>
  <si>
    <t>07.2023-12.2023</t>
  </si>
  <si>
    <t>1.первоначальная стоимость основных средств</t>
  </si>
  <si>
    <t>1.1 Кофемашина</t>
  </si>
  <si>
    <t xml:space="preserve">1.2 Кофемолка </t>
  </si>
  <si>
    <t>1.3 Смягчитель воды</t>
  </si>
  <si>
    <t>1.4 Конвекционная печь</t>
  </si>
  <si>
    <t>1.5 Тестомес</t>
  </si>
  <si>
    <t xml:space="preserve">1.6 Холодильник </t>
  </si>
  <si>
    <t>2.амортизационные отчисления</t>
  </si>
  <si>
    <t>2.1 Кофемашина</t>
  </si>
  <si>
    <t xml:space="preserve">2.2 Кофемолка </t>
  </si>
  <si>
    <t>2.3 Смягчитель воды</t>
  </si>
  <si>
    <t>2.4 Конвекционная печь</t>
  </si>
  <si>
    <t>2.5 Тестомес</t>
  </si>
  <si>
    <t xml:space="preserve">2.6 Холодильник </t>
  </si>
  <si>
    <t>3. всего первоначальная стоимость</t>
  </si>
  <si>
    <t>4. всего амортизационных отчислений</t>
  </si>
  <si>
    <t>5.накопительная амортизация</t>
  </si>
  <si>
    <t>6. остаточная стоимость основных средств</t>
  </si>
  <si>
    <t>Таблица 4 Расчет потребности в трудовых ресурсах и заработной плате, руб.</t>
  </si>
  <si>
    <t>Категория работающих</t>
  </si>
  <si>
    <t>кол-во работ. чел., Ч</t>
  </si>
  <si>
    <t>ср. мес. з/п, ЗП</t>
  </si>
  <si>
    <t>расходы на оплату труда за период, ФОТ</t>
  </si>
  <si>
    <t>1. Рабочие</t>
  </si>
  <si>
    <t>2. Администрация</t>
  </si>
  <si>
    <t>2.1 Директор</t>
  </si>
  <si>
    <t>1.1 Бариста</t>
  </si>
  <si>
    <t>1.2 Уборщица</t>
  </si>
  <si>
    <t>1.3 Грузчик\кладовщик</t>
  </si>
  <si>
    <t>1.4 Повар</t>
  </si>
  <si>
    <t>2.2 Администратор</t>
  </si>
  <si>
    <t>Таблица 6 Полные издержки на реализуемую продукцию, руб.</t>
  </si>
  <si>
    <t>виды и статьи затрат</t>
  </si>
  <si>
    <t>1 переменные издержки</t>
  </si>
  <si>
    <t>1.1 сырье, материалы, покупные комплектующие</t>
  </si>
  <si>
    <t>1.3. топливо и энергия на технологические цели (переменная составляющая)</t>
  </si>
  <si>
    <t>1.5 отчисления от средств на оплату труда</t>
  </si>
  <si>
    <t>2 постоянные издержки</t>
  </si>
  <si>
    <t>2.1 аренда</t>
  </si>
  <si>
    <t>2.4 топливо и энергия (постоянная составляющая)</t>
  </si>
  <si>
    <t>2.5 услуги связи</t>
  </si>
  <si>
    <t>2.6 амортизация</t>
  </si>
  <si>
    <t>3 полные издержки на реализуемую продукцию, СС</t>
  </si>
  <si>
    <t>3.1 переменные издержки, ПерИ</t>
  </si>
  <si>
    <t>3.2 постоянные издержки, ПостИ</t>
  </si>
  <si>
    <t>Таблица 1 Программа производства и реализации продукции</t>
  </si>
  <si>
    <t>Наименоване показателей</t>
  </si>
  <si>
    <t>Ед. изм.</t>
  </si>
  <si>
    <t>По периодам реализации продукции</t>
  </si>
  <si>
    <t>2 цена реализации единицы продукции</t>
  </si>
  <si>
    <t>3 объем производства в натуральном выражении за период, ОП</t>
  </si>
  <si>
    <t>4 выручка от реализации продукции, В</t>
  </si>
  <si>
    <t>Таблица 7 Расчет чистой прибыли продукции, руб.</t>
  </si>
  <si>
    <t>1 выручка от реализаци, В</t>
  </si>
  <si>
    <t>2 налоги и отчисления из выручки</t>
  </si>
  <si>
    <t>2.1 НДС</t>
  </si>
  <si>
    <t>3 переменные издержки, ПостИ</t>
  </si>
  <si>
    <t>4 переменная прибыль</t>
  </si>
  <si>
    <t>5 постоянные издержки, ПостИ</t>
  </si>
  <si>
    <t>6 прибыль от реализации продукции</t>
  </si>
  <si>
    <t>7 налоги из прибыли</t>
  </si>
  <si>
    <t>7.1 налог на прибыль</t>
  </si>
  <si>
    <t>8 чистая прибыль</t>
  </si>
  <si>
    <t>9 использование чистой прибыли</t>
  </si>
  <si>
    <t>9.1 погашение задолженности по кредиту</t>
  </si>
  <si>
    <t>9.2 прочее</t>
  </si>
  <si>
    <t>10 прибыль в распоряжении предприятия</t>
  </si>
  <si>
    <t>Инфляция = 1,08</t>
  </si>
  <si>
    <t>1.1.1 Столы</t>
  </si>
  <si>
    <t>1.1.2 Стулья</t>
  </si>
  <si>
    <t>1.1.3 Касса</t>
  </si>
  <si>
    <t>1.1.4 Посуда</t>
  </si>
  <si>
    <t>1.1.5 Яйца</t>
  </si>
  <si>
    <t>1.1.6 Кофейные зерна</t>
  </si>
  <si>
    <t>1.1.7 Шоколад</t>
  </si>
  <si>
    <t>1.1.8 Джем</t>
  </si>
  <si>
    <t>1.1.9 Сливки</t>
  </si>
  <si>
    <t>1.1.10 Молоко</t>
  </si>
  <si>
    <t>1.1.11 Мука</t>
  </si>
  <si>
    <t>1.1.12 Сахар</t>
  </si>
  <si>
    <t>1.6 расходы на оплату труда</t>
  </si>
  <si>
    <t>Инфляция 1,08</t>
  </si>
  <si>
    <t>Таблица 8 Расчет величины обязательных отчислений, руб</t>
  </si>
  <si>
    <t>Виды поступлений и издержек</t>
  </si>
  <si>
    <t>1-ый  кв. 2022</t>
  </si>
  <si>
    <t>1 налоги, выплачиваемые из выручки</t>
  </si>
  <si>
    <t>2 налоги, выплачиваемые из прибыли</t>
  </si>
  <si>
    <t>3 налоги, включаемые в себестоимость</t>
  </si>
  <si>
    <t>4 всего обязательных отчислений</t>
  </si>
  <si>
    <t xml:space="preserve">Таблица 9 Расчет инвестиционных затрат, руб. </t>
  </si>
  <si>
    <t>Виды инвестиционных затрат</t>
  </si>
  <si>
    <t>капитальные затраты</t>
  </si>
  <si>
    <t>1 прединвестиционные затраты</t>
  </si>
  <si>
    <t>2 сметная(расчетная) стоимость 
проекта</t>
  </si>
  <si>
    <t>ПСВОА</t>
  </si>
  <si>
    <t xml:space="preserve"> 
3 предпроизводственные 
затраты</t>
  </si>
  <si>
    <t>3.1 маркетинговые 
исследования, реклама</t>
  </si>
  <si>
    <t>3.2 разработка документации,
 сертификация</t>
  </si>
  <si>
    <t>4 капитальные затраты</t>
  </si>
  <si>
    <t>1+2+3</t>
  </si>
  <si>
    <t>5 затраты под оборотные средства
 (прирост чистого оборотного капитала)</t>
  </si>
  <si>
    <t>таблица 10</t>
  </si>
  <si>
    <t>6 Итого потребность в 
инвестициях</t>
  </si>
  <si>
    <t>4+5</t>
  </si>
  <si>
    <t xml:space="preserve">Таблица 10 Расчет потребности в чистом оборотном капитале, руб. </t>
  </si>
  <si>
    <t>1 оборотные (текущие) активы</t>
  </si>
  <si>
    <t xml:space="preserve">1.1 производственные 
запасы, З </t>
  </si>
  <si>
    <t>ПерИ х оборачиваемость запасов (дн) / кол-во дней в периоде</t>
  </si>
  <si>
    <t xml:space="preserve">1.2 дебиторская 
задолженность, ДЗ </t>
  </si>
  <si>
    <t>В х оборачиваемость ДЗ (дн) / кол-во дней в периоде</t>
  </si>
  <si>
    <t xml:space="preserve">2 прирост оборотных 
активов, ППоа </t>
  </si>
  <si>
    <t>изменнеие 1</t>
  </si>
  <si>
    <t>3 краткосрочные обязательства
 (текущие пассивы)</t>
  </si>
  <si>
    <t>3.1 задолженность поставщикам
 (кредиторская задолженность), КЗ</t>
  </si>
  <si>
    <t>ПерИ х оборачиваемость КЗ (дн) 
/ кол-во дней в периоде</t>
  </si>
  <si>
    <t>3.2 задолженность по оплате 
труда, ЗОТ</t>
  </si>
  <si>
    <t xml:space="preserve">Расходы на ОТ
х оборачиваемость ФОТ (дн) / кол-во дней
в периоде
</t>
  </si>
  <si>
    <t>3.3 задолженность перед 
бюджетом, ЗБ</t>
  </si>
  <si>
    <t>Нал * оборачиваемость фонда платедей
в бюджет (дн) / кол-во дней
в периоде</t>
  </si>
  <si>
    <t xml:space="preserve">4  прирост краткосрочных 
обязательств, ППко </t>
  </si>
  <si>
    <t>изменение 3</t>
  </si>
  <si>
    <t>5 чистый оборотный капитал, ЧОК</t>
  </si>
  <si>
    <t xml:space="preserve">6  прирост чистого 
оборотного капитала, ППчок </t>
  </si>
  <si>
    <t>измен.5</t>
  </si>
  <si>
    <t>1-ый  кв. 2023</t>
  </si>
  <si>
    <t>2-ой кв. 2023</t>
  </si>
  <si>
    <t>3-4-ый кв. 2023</t>
  </si>
  <si>
    <t>Таблица 11 Сводный расчет обязательств по кредиту, руб.</t>
  </si>
  <si>
    <t>вид долговых обязательств</t>
  </si>
  <si>
    <t>По периодам реализации проекта</t>
  </si>
  <si>
    <t>1 залолженность по 
кредиту на начало периода</t>
  </si>
  <si>
    <t>2 сумма получаемого кредита</t>
  </si>
  <si>
    <t>3 итого сумма основного долга</t>
  </si>
  <si>
    <t>4 начислено процентов</t>
  </si>
  <si>
    <t>5 погашение основного долга</t>
  </si>
  <si>
    <t>6 погашение процентов</t>
  </si>
  <si>
    <t>7 итого погашения основного долга и процентов</t>
  </si>
  <si>
    <t>8 задолженность по кредиту на конец периода</t>
  </si>
  <si>
    <t>Таблица 12 Источники финансирования проекта, руб.</t>
  </si>
  <si>
    <t>наименование источников</t>
  </si>
  <si>
    <t>1 собственные средства</t>
  </si>
  <si>
    <t>1.1 вклад в уставный фонд</t>
  </si>
  <si>
    <t>3-2</t>
  </si>
  <si>
    <t>2 заемные и привлеченные средства (долгосрочный кредит)</t>
  </si>
  <si>
    <t>???7</t>
  </si>
  <si>
    <t>3 Итого по источникам финансирования</t>
  </si>
  <si>
    <t>таблица 9</t>
  </si>
  <si>
    <t>итого потребность?</t>
  </si>
  <si>
    <t>4 из общего объема финансирования</t>
  </si>
  <si>
    <t>4.1 доля собственных средств</t>
  </si>
  <si>
    <t>4.2 доля заемных и привлеченных средств</t>
  </si>
  <si>
    <t>Таблица 14 Показатели эффективности проекта</t>
  </si>
  <si>
    <t>показатели</t>
  </si>
  <si>
    <t>в целом по проекту</t>
  </si>
  <si>
    <t>норма</t>
  </si>
  <si>
    <t>показатели эффективности проекта</t>
  </si>
  <si>
    <t>1 простой срок окупаемости</t>
  </si>
  <si>
    <t>заполняем только цветные ячейки</t>
  </si>
  <si>
    <t>2 динамический срок окупаемости</t>
  </si>
  <si>
    <t>3 чистый дисконтированный доход (ЧДД)</t>
  </si>
  <si>
    <t>4 внутренняя норма доходности (ВНД)</t>
  </si>
  <si>
    <t>5 индекс доходности (ИД)</t>
  </si>
  <si>
    <t>&gt; 1</t>
  </si>
  <si>
    <t>(ЧДД + дисконтированные инвестиции) / дисконтированные инвестиции</t>
  </si>
  <si>
    <t>6 уровень безубыточности</t>
  </si>
  <si>
    <t>&lt; 50 %</t>
  </si>
  <si>
    <t>ПостИ х 100 / переменная прибыль</t>
  </si>
  <si>
    <t>финансовые показатели</t>
  </si>
  <si>
    <t>1 рентабельность продаж (оборота)</t>
  </si>
  <si>
    <t>чистая прибыль / выручка</t>
  </si>
  <si>
    <t>2 рентабельность продукции</t>
  </si>
  <si>
    <t>чистая прибыль / СС</t>
  </si>
  <si>
    <t>Таблица 13 Расчет чистого дискотированного дохода, руб.</t>
  </si>
  <si>
    <t>виды поступлений и издержек</t>
  </si>
  <si>
    <t>всего по проекту</t>
  </si>
  <si>
    <t>приток наличности</t>
  </si>
  <si>
    <t>1 полный приток</t>
  </si>
  <si>
    <t>1.1 выручка от реализации</t>
  </si>
  <si>
    <t>отток наличности</t>
  </si>
  <si>
    <t>2 полный отток</t>
  </si>
  <si>
    <t>2.1 затраты на приобретение основных фондов (инвестиции в основной капитал)</t>
  </si>
  <si>
    <t>таблица 9 (=ПСВОА)</t>
  </si>
  <si>
    <t>2.2 потребность в оборотном капитале</t>
  </si>
  <si>
    <t>ЧОК</t>
  </si>
  <si>
    <t>2.3 затраты на производство и сбыт (без амортизации)</t>
  </si>
  <si>
    <t>СС - амортизация</t>
  </si>
  <si>
    <t>2.4 налоги из выручки</t>
  </si>
  <si>
    <t>2.5 налоги из прибыли</t>
  </si>
  <si>
    <t>2.6 погашение процентов по долгосрочному кредиту</t>
  </si>
  <si>
    <t>3 сальдо потока (чистый поток наличности), ЧПН</t>
  </si>
  <si>
    <t>1 - 2 (может быть отрицательный)</t>
  </si>
  <si>
    <t>4 то же, нарастающим итогом</t>
  </si>
  <si>
    <t>приведение будущей стоимости денег к их текущей стоимости</t>
  </si>
  <si>
    <t>5 номер периода, i</t>
  </si>
  <si>
    <r>
      <rPr>
        <sz val="11"/>
        <color rgb="FF000000"/>
        <rFont val="Calibri,Arial"/>
      </rPr>
      <t>6 коэффициент дисконтирования (при ставке Д =</t>
    </r>
    <r>
      <rPr>
        <sz val="11"/>
        <color rgb="FFFF0000"/>
        <rFont val="Calibri"/>
      </rPr>
      <t xml:space="preserve"> значение</t>
    </r>
    <r>
      <rPr>
        <sz val="11"/>
        <color theme="1"/>
        <rFont val="Calibri"/>
      </rPr>
      <t xml:space="preserve"> %), КДi</t>
    </r>
  </si>
  <si>
    <t>коэффициент берем от 10 до 13%. Для второго периода степень будет 9/12</t>
  </si>
  <si>
    <t>7 дисконтированный приток</t>
  </si>
  <si>
    <t>8 дисконтированный отток</t>
  </si>
  <si>
    <t>8.1 дисконтированные инвестиции</t>
  </si>
  <si>
    <t>9 дисконтированный ЧПН</t>
  </si>
  <si>
    <t>7-8</t>
  </si>
  <si>
    <t>10 то же, нарастающим итогом (чистый дисконтир. доход), ЧДД</t>
  </si>
  <si>
    <t>простой срок окупаемости</t>
  </si>
  <si>
    <t>расчет по ЧНП</t>
  </si>
  <si>
    <t xml:space="preserve"> = + 1</t>
  </si>
  <si>
    <t>1 значение ЧНП, соответствуещее первому положительному значению нарастающего итога ЧНП, делим на количество месяцев в этом периоде</t>
  </si>
  <si>
    <t xml:space="preserve"> = + 2</t>
  </si>
  <si>
    <t>2 к последнему отрицательному значению ЧНП нарастающим итогом поэтапно добавляем полученную сумму.</t>
  </si>
  <si>
    <t xml:space="preserve"> = + 3</t>
  </si>
  <si>
    <t>3 период получения положительного значения - срок окупаемости</t>
  </si>
  <si>
    <t>динамический срок окупаемости</t>
  </si>
  <si>
    <t>расчет тот же по дисконтированному ЧНП</t>
  </si>
  <si>
    <t>ВНД = Д1 + (Д2-Д1) * ЧДД1/(ЧДД1-ЧДД2)</t>
  </si>
  <si>
    <t>Д1 - коэффициент дисконтирования в расчетах</t>
  </si>
  <si>
    <t>ЧДД1 - дисконтированный ЧНП по проекту</t>
  </si>
  <si>
    <t>Д2 - расчетная ставка, при которой ЧДД поменяет знак с плюса на минус</t>
  </si>
  <si>
    <t>ЧДД2 - первый отрицательный дисконтированный ЧНП по проекту</t>
  </si>
  <si>
    <t>Таблица 15 Итоговая таблица</t>
  </si>
  <si>
    <t>1 загрузка производственной мощности, %</t>
  </si>
  <si>
    <t>2 численнность работающих, чел.</t>
  </si>
  <si>
    <t>3 потребность в инвестициях (полные инвестиционные издержки)</t>
  </si>
  <si>
    <t>4 источники финансирования проекта:</t>
  </si>
  <si>
    <t>4.1 собственные средства</t>
  </si>
  <si>
    <t>4.2 заемные и привлеченные средства</t>
  </si>
  <si>
    <t>5 выручка от реализации продукции</t>
  </si>
  <si>
    <t>6 показатели эффективности проекта:</t>
  </si>
  <si>
    <t>6.1 динамический срок окупаемости, лет</t>
  </si>
  <si>
    <t>6.2 чистый дисконтированный доход</t>
  </si>
  <si>
    <t>6.3 внутренняя норма доходности %</t>
  </si>
  <si>
    <t>6.4 индекс рентабельности</t>
  </si>
  <si>
    <t>6.5 уровень безубыточности</t>
  </si>
  <si>
    <t>6.6. рентабельность продаж, %</t>
  </si>
  <si>
    <t>6.7 рентабельность продукции, %</t>
  </si>
  <si>
    <t>3 кв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</si>
</sst>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#,##0.000"/>
    <numFmt numFmtId="166" formatCode="0.0%"/>
    <numFmt numFmtId="167" formatCode="0.000000"/>
  </numFmts>
  <fonts count="39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b/>
      <sz val="10"/>
      <color theme="5"/>
      <name val="Arial"/>
      <scheme val="minor"/>
    </font>
    <font>
      <sz val="11"/>
      <color rgb="FF000000"/>
      <name val="Calibri"/>
    </font>
    <font>
      <b/>
      <sz val="8"/>
      <color rgb="FF000000"/>
      <name val="Arimo"/>
    </font>
    <font>
      <sz val="11"/>
      <color theme="1"/>
      <name val="Inconsolata"/>
    </font>
    <font>
      <b/>
      <sz val="11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b/>
      <sz val="10"/>
      <color theme="1"/>
      <name val="Arimo"/>
    </font>
    <font>
      <sz val="10"/>
      <color theme="1"/>
      <name val="Arial"/>
      <family val="2"/>
      <charset val="204"/>
      <scheme val="minor"/>
    </font>
    <font>
      <sz val="10"/>
      <color theme="1"/>
      <name val="Arimo"/>
    </font>
    <font>
      <b/>
      <sz val="15"/>
      <color theme="3"/>
      <name val="Arial"/>
      <family val="2"/>
      <charset val="204"/>
      <scheme val="min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b/>
      <sz val="11"/>
      <color rgb="FFFA7D00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,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ck">
        <color theme="4"/>
      </top>
      <bottom style="thin">
        <color rgb="FF000000"/>
      </bottom>
      <diagonal/>
    </border>
    <border>
      <left/>
      <right/>
      <top style="thick">
        <color theme="4"/>
      </top>
      <bottom style="thin">
        <color rgb="FF000000"/>
      </bottom>
      <diagonal/>
    </border>
    <border>
      <left/>
      <right style="thin">
        <color rgb="FF000000"/>
      </right>
      <top style="thick">
        <color theme="4"/>
      </top>
      <bottom style="thin">
        <color rgb="FF000000"/>
      </bottom>
      <diagonal/>
    </border>
  </borders>
  <cellStyleXfs count="8">
    <xf numFmtId="0" fontId="0" fillId="0" borderId="0"/>
    <xf numFmtId="0" fontId="17" fillId="0" borderId="0"/>
    <xf numFmtId="0" fontId="29" fillId="0" borderId="29" applyNumberFormat="0" applyFill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30" applyNumberFormat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25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4" xfId="0" applyFont="1" applyBorder="1" applyAlignment="1">
      <alignment horizontal="left" wrapText="1"/>
    </xf>
    <xf numFmtId="0" fontId="9" fillId="2" borderId="4" xfId="0" applyFont="1" applyFill="1" applyBorder="1" applyAlignment="1">
      <alignment horizontal="center"/>
    </xf>
    <xf numFmtId="0" fontId="10" fillId="2" borderId="0" xfId="0" applyFont="1" applyFill="1"/>
    <xf numFmtId="0" fontId="4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0" xfId="0" applyFont="1" applyAlignment="1"/>
    <xf numFmtId="0" fontId="12" fillId="2" borderId="4" xfId="0" applyFont="1" applyFill="1" applyBorder="1" applyAlignment="1">
      <alignment vertical="top"/>
    </xf>
    <xf numFmtId="0" fontId="13" fillId="2" borderId="4" xfId="0" applyFont="1" applyFill="1" applyBorder="1" applyAlignment="1"/>
    <xf numFmtId="0" fontId="13" fillId="0" borderId="4" xfId="0" applyFont="1" applyBorder="1" applyAlignment="1"/>
    <xf numFmtId="0" fontId="13" fillId="0" borderId="0" xfId="0" applyFont="1" applyAlignment="1"/>
    <xf numFmtId="0" fontId="14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15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horizontal="center"/>
    </xf>
    <xf numFmtId="0" fontId="12" fillId="2" borderId="4" xfId="0" applyFont="1" applyFill="1" applyBorder="1" applyAlignment="1"/>
    <xf numFmtId="0" fontId="12" fillId="2" borderId="4" xfId="0" applyFont="1" applyFill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3" fillId="0" borderId="8" xfId="0" applyFont="1" applyBorder="1" applyAlignment="1"/>
    <xf numFmtId="0" fontId="0" fillId="0" borderId="8" xfId="0" applyFont="1" applyBorder="1" applyAlignment="1"/>
    <xf numFmtId="0" fontId="16" fillId="2" borderId="8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23" fillId="2" borderId="4" xfId="0" applyFont="1" applyFill="1" applyBorder="1" applyAlignment="1">
      <alignment vertical="top"/>
    </xf>
    <xf numFmtId="0" fontId="24" fillId="2" borderId="4" xfId="0" applyFont="1" applyFill="1" applyBorder="1" applyAlignment="1">
      <alignment vertical="top"/>
    </xf>
    <xf numFmtId="0" fontId="25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"/>
    </xf>
    <xf numFmtId="0" fontId="26" fillId="0" borderId="16" xfId="0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3" fillId="0" borderId="15" xfId="0" applyFont="1" applyBorder="1" applyAlignment="1">
      <alignment wrapText="1"/>
    </xf>
    <xf numFmtId="165" fontId="23" fillId="0" borderId="16" xfId="0" applyNumberFormat="1" applyFont="1" applyBorder="1" applyAlignment="1">
      <alignment wrapText="1"/>
    </xf>
    <xf numFmtId="165" fontId="23" fillId="0" borderId="15" xfId="0" applyNumberFormat="1" applyFont="1" applyBorder="1" applyAlignment="1">
      <alignment wrapText="1"/>
    </xf>
    <xf numFmtId="0" fontId="22" fillId="0" borderId="8" xfId="0" applyFont="1" applyBorder="1" applyAlignment="1">
      <alignment horizontal="center"/>
    </xf>
    <xf numFmtId="0" fontId="26" fillId="0" borderId="8" xfId="0" applyFont="1" applyFill="1" applyBorder="1" applyAlignment="1">
      <alignment horizontal="center" wrapText="1"/>
    </xf>
    <xf numFmtId="0" fontId="23" fillId="0" borderId="0" xfId="0" applyFont="1"/>
    <xf numFmtId="0" fontId="23" fillId="0" borderId="16" xfId="0" applyFont="1" applyBorder="1" applyAlignment="1">
      <alignment horizontal="center" wrapText="1"/>
    </xf>
    <xf numFmtId="3" fontId="23" fillId="0" borderId="16" xfId="0" applyNumberFormat="1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3" fillId="0" borderId="8" xfId="0" applyFont="1" applyBorder="1"/>
    <xf numFmtId="3" fontId="23" fillId="0" borderId="15" xfId="0" applyNumberFormat="1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6" fillId="0" borderId="28" xfId="0" applyFont="1" applyFill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3" fillId="0" borderId="7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27" fillId="0" borderId="4" xfId="0" applyFont="1" applyBorder="1" applyAlignment="1">
      <alignment wrapText="1"/>
    </xf>
    <xf numFmtId="0" fontId="27" fillId="0" borderId="3" xfId="0" applyFont="1" applyBorder="1" applyAlignment="1">
      <alignment wrapText="1"/>
    </xf>
    <xf numFmtId="165" fontId="23" fillId="0" borderId="27" xfId="0" applyNumberFormat="1" applyFont="1" applyBorder="1" applyAlignment="1">
      <alignment wrapText="1"/>
    </xf>
    <xf numFmtId="165" fontId="23" fillId="0" borderId="3" xfId="0" applyNumberFormat="1" applyFont="1" applyBorder="1" applyAlignment="1">
      <alignment wrapText="1"/>
    </xf>
    <xf numFmtId="0" fontId="27" fillId="0" borderId="2" xfId="0" applyFont="1" applyBorder="1" applyAlignment="1">
      <alignment wrapText="1"/>
    </xf>
    <xf numFmtId="165" fontId="23" fillId="0" borderId="0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34" fillId="0" borderId="0" xfId="0" applyFont="1" applyAlignment="1"/>
    <xf numFmtId="0" fontId="30" fillId="3" borderId="4" xfId="3" applyBorder="1" applyAlignment="1">
      <alignment horizontal="center"/>
    </xf>
    <xf numFmtId="0" fontId="30" fillId="3" borderId="8" xfId="3" applyBorder="1" applyAlignment="1"/>
    <xf numFmtId="0" fontId="0" fillId="0" borderId="0" xfId="0" applyFont="1" applyAlignment="1">
      <alignment wrapText="1"/>
    </xf>
    <xf numFmtId="0" fontId="22" fillId="0" borderId="8" xfId="0" applyFont="1" applyBorder="1" applyAlignment="1">
      <alignment horizontal="center" wrapText="1"/>
    </xf>
    <xf numFmtId="0" fontId="0" fillId="0" borderId="0" xfId="0"/>
    <xf numFmtId="165" fontId="23" fillId="0" borderId="16" xfId="0" applyNumberFormat="1" applyFont="1" applyBorder="1" applyAlignment="1">
      <alignment horizontal="center" wrapText="1"/>
    </xf>
    <xf numFmtId="165" fontId="23" fillId="0" borderId="15" xfId="0" applyNumberFormat="1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1" fillId="4" borderId="0" xfId="4" applyAlignment="1"/>
    <xf numFmtId="0" fontId="23" fillId="0" borderId="14" xfId="0" applyFont="1" applyBorder="1" applyAlignment="1">
      <alignment wrapText="1"/>
    </xf>
    <xf numFmtId="0" fontId="0" fillId="0" borderId="31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3" fillId="0" borderId="8" xfId="0" applyFont="1" applyBorder="1" applyAlignment="1">
      <alignment wrapText="1"/>
    </xf>
    <xf numFmtId="0" fontId="0" fillId="0" borderId="0" xfId="0" applyFont="1" applyBorder="1" applyAlignment="1"/>
    <xf numFmtId="165" fontId="23" fillId="0" borderId="27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165" fontId="23" fillId="0" borderId="8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/>
    </xf>
    <xf numFmtId="16" fontId="28" fillId="0" borderId="8" xfId="0" applyNumberFormat="1" applyFont="1" applyBorder="1" applyAlignment="1">
      <alignment wrapText="1"/>
    </xf>
    <xf numFmtId="165" fontId="23" fillId="0" borderId="8" xfId="0" applyNumberFormat="1" applyFont="1" applyBorder="1" applyAlignment="1">
      <alignment wrapText="1"/>
    </xf>
    <xf numFmtId="16" fontId="23" fillId="0" borderId="8" xfId="0" applyNumberFormat="1" applyFont="1" applyBorder="1" applyAlignment="1">
      <alignment wrapText="1"/>
    </xf>
    <xf numFmtId="0" fontId="17" fillId="0" borderId="0" xfId="0" applyFont="1" applyAlignment="1"/>
    <xf numFmtId="0" fontId="0" fillId="0" borderId="8" xfId="0" applyBorder="1" applyAlignment="1">
      <alignment wrapText="1"/>
    </xf>
    <xf numFmtId="0" fontId="33" fillId="6" borderId="22" xfId="6" applyFont="1" applyBorder="1" applyAlignment="1">
      <alignment horizontal="center" wrapText="1"/>
    </xf>
    <xf numFmtId="0" fontId="33" fillId="6" borderId="36" xfId="6" applyFont="1" applyBorder="1" applyAlignment="1">
      <alignment horizontal="center" wrapText="1"/>
    </xf>
    <xf numFmtId="0" fontId="33" fillId="6" borderId="37" xfId="6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26" fillId="0" borderId="16" xfId="1" applyFont="1" applyBorder="1" applyAlignment="1">
      <alignment horizontal="center" wrapText="1"/>
    </xf>
    <xf numFmtId="0" fontId="26" fillId="0" borderId="15" xfId="1" applyFont="1" applyBorder="1" applyAlignment="1">
      <alignment horizontal="center" wrapText="1"/>
    </xf>
    <xf numFmtId="3" fontId="23" fillId="0" borderId="16" xfId="1" applyNumberFormat="1" applyFont="1" applyBorder="1" applyAlignment="1">
      <alignment wrapText="1"/>
    </xf>
    <xf numFmtId="3" fontId="23" fillId="0" borderId="27" xfId="1" applyNumberFormat="1" applyFont="1" applyBorder="1" applyAlignment="1">
      <alignment wrapText="1"/>
    </xf>
    <xf numFmtId="0" fontId="0" fillId="0" borderId="8" xfId="0" applyBorder="1" applyAlignment="1">
      <alignment horizontal="center" wrapText="1"/>
    </xf>
    <xf numFmtId="3" fontId="23" fillId="0" borderId="16" xfId="1" applyNumberFormat="1" applyFont="1" applyBorder="1" applyAlignment="1">
      <alignment horizontal="center" wrapText="1"/>
    </xf>
    <xf numFmtId="3" fontId="23" fillId="0" borderId="15" xfId="1" applyNumberFormat="1" applyFont="1" applyBorder="1" applyAlignment="1">
      <alignment horizontal="center" wrapText="1"/>
    </xf>
    <xf numFmtId="3" fontId="23" fillId="0" borderId="27" xfId="1" applyNumberFormat="1" applyFont="1" applyBorder="1" applyAlignment="1">
      <alignment horizontal="center" wrapText="1"/>
    </xf>
    <xf numFmtId="0" fontId="32" fillId="5" borderId="30" xfId="5" applyAlignment="1">
      <alignment wrapText="1"/>
    </xf>
    <xf numFmtId="165" fontId="31" fillId="4" borderId="16" xfId="4" applyNumberFormat="1" applyBorder="1" applyAlignment="1">
      <alignment wrapText="1"/>
    </xf>
    <xf numFmtId="165" fontId="31" fillId="4" borderId="15" xfId="4" applyNumberFormat="1" applyBorder="1" applyAlignment="1">
      <alignment wrapText="1"/>
    </xf>
    <xf numFmtId="0" fontId="31" fillId="4" borderId="8" xfId="4" applyBorder="1" applyAlignment="1"/>
    <xf numFmtId="3" fontId="0" fillId="0" borderId="8" xfId="0" applyNumberFormat="1" applyBorder="1" applyAlignment="1">
      <alignment horizontal="center" wrapText="1"/>
    </xf>
    <xf numFmtId="0" fontId="29" fillId="0" borderId="29" xfId="2" applyAlignment="1"/>
    <xf numFmtId="0" fontId="26" fillId="0" borderId="16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8" borderId="2" xfId="0" applyFont="1" applyFill="1" applyBorder="1" applyAlignment="1">
      <alignment horizontal="center" wrapText="1"/>
    </xf>
    <xf numFmtId="0" fontId="35" fillId="8" borderId="1" xfId="0" applyFont="1" applyFill="1" applyBorder="1" applyAlignment="1">
      <alignment horizontal="center" wrapText="1"/>
    </xf>
    <xf numFmtId="0" fontId="35" fillId="8" borderId="4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5" fillId="0" borderId="15" xfId="0" applyFont="1" applyBorder="1" applyAlignment="1"/>
    <xf numFmtId="0" fontId="0" fillId="0" borderId="0" xfId="0" applyAlignment="1"/>
    <xf numFmtId="0" fontId="26" fillId="0" borderId="6" xfId="0" applyFont="1" applyBorder="1" applyAlignment="1">
      <alignment horizontal="center"/>
    </xf>
    <xf numFmtId="0" fontId="28" fillId="0" borderId="6" xfId="0" applyFont="1" applyBorder="1" applyAlignment="1"/>
    <xf numFmtId="3" fontId="15" fillId="0" borderId="16" xfId="0" applyNumberFormat="1" applyFont="1" applyBorder="1" applyAlignment="1"/>
    <xf numFmtId="0" fontId="15" fillId="0" borderId="16" xfId="0" applyFont="1" applyBorder="1" applyAlignment="1"/>
    <xf numFmtId="0" fontId="0" fillId="0" borderId="8" xfId="0" applyBorder="1" applyAlignment="1"/>
    <xf numFmtId="0" fontId="15" fillId="0" borderId="6" xfId="0" applyFont="1" applyBorder="1" applyAlignment="1">
      <alignment wrapText="1"/>
    </xf>
    <xf numFmtId="9" fontId="15" fillId="0" borderId="16" xfId="0" applyNumberFormat="1" applyFont="1" applyBorder="1" applyAlignment="1">
      <alignment horizontal="right"/>
    </xf>
    <xf numFmtId="0" fontId="15" fillId="0" borderId="0" xfId="0" applyFont="1" applyAlignment="1"/>
    <xf numFmtId="0" fontId="15" fillId="0" borderId="6" xfId="0" applyFont="1" applyBorder="1" applyAlignment="1"/>
    <xf numFmtId="165" fontId="31" fillId="4" borderId="16" xfId="4" applyNumberFormat="1" applyBorder="1" applyAlignment="1"/>
    <xf numFmtId="165" fontId="15" fillId="0" borderId="16" xfId="0" applyNumberFormat="1" applyFont="1" applyBorder="1" applyAlignment="1"/>
    <xf numFmtId="49" fontId="37" fillId="0" borderId="0" xfId="0" applyNumberFormat="1" applyFont="1" applyAlignment="1"/>
    <xf numFmtId="0" fontId="37" fillId="0" borderId="0" xfId="0" applyFont="1" applyAlignment="1"/>
    <xf numFmtId="9" fontId="15" fillId="0" borderId="16" xfId="0" applyNumberFormat="1" applyFont="1" applyBorder="1" applyAlignment="1"/>
    <xf numFmtId="165" fontId="15" fillId="9" borderId="16" xfId="0" applyNumberFormat="1" applyFont="1" applyFill="1" applyBorder="1" applyAlignment="1">
      <alignment wrapText="1"/>
    </xf>
    <xf numFmtId="166" fontId="15" fillId="9" borderId="16" xfId="0" applyNumberFormat="1" applyFont="1" applyFill="1" applyBorder="1" applyAlignment="1">
      <alignment wrapText="1"/>
    </xf>
    <xf numFmtId="165" fontId="15" fillId="9" borderId="16" xfId="0" applyNumberFormat="1" applyFont="1" applyFill="1" applyBorder="1" applyAlignment="1"/>
    <xf numFmtId="166" fontId="15" fillId="9" borderId="16" xfId="0" applyNumberFormat="1" applyFont="1" applyFill="1" applyBorder="1" applyAlignment="1"/>
    <xf numFmtId="0" fontId="15" fillId="0" borderId="16" xfId="0" applyFont="1" applyBorder="1" applyAlignment="1">
      <alignment horizontal="right"/>
    </xf>
    <xf numFmtId="0" fontId="8" fillId="0" borderId="6" xfId="0" applyFont="1" applyBorder="1" applyAlignment="1">
      <alignment wrapText="1"/>
    </xf>
    <xf numFmtId="167" fontId="15" fillId="0" borderId="16" xfId="0" applyNumberFormat="1" applyFont="1" applyBorder="1" applyAlignment="1"/>
    <xf numFmtId="0" fontId="15" fillId="0" borderId="27" xfId="0" applyFont="1" applyBorder="1" applyAlignment="1"/>
    <xf numFmtId="3" fontId="15" fillId="9" borderId="16" xfId="0" applyNumberFormat="1" applyFont="1" applyFill="1" applyBorder="1" applyAlignment="1"/>
    <xf numFmtId="0" fontId="15" fillId="9" borderId="16" xfId="0" applyFont="1" applyFill="1" applyBorder="1" applyAlignment="1"/>
    <xf numFmtId="3" fontId="15" fillId="9" borderId="15" xfId="0" applyNumberFormat="1" applyFont="1" applyFill="1" applyBorder="1" applyAlignment="1"/>
    <xf numFmtId="0" fontId="15" fillId="9" borderId="15" xfId="0" applyFont="1" applyFill="1" applyBorder="1" applyAlignment="1"/>
    <xf numFmtId="165" fontId="15" fillId="9" borderId="15" xfId="0" applyNumberFormat="1" applyFont="1" applyFill="1" applyBorder="1" applyAlignment="1"/>
    <xf numFmtId="165" fontId="15" fillId="0" borderId="15" xfId="0" applyNumberFormat="1" applyFont="1" applyBorder="1" applyAlignment="1"/>
    <xf numFmtId="166" fontId="15" fillId="9" borderId="15" xfId="0" applyNumberFormat="1" applyFont="1" applyFill="1" applyBorder="1" applyAlignment="1"/>
    <xf numFmtId="0" fontId="15" fillId="0" borderId="8" xfId="0" applyFont="1" applyBorder="1" applyAlignment="1"/>
    <xf numFmtId="0" fontId="1" fillId="7" borderId="8" xfId="7" applyBorder="1" applyAlignment="1"/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16" fontId="0" fillId="0" borderId="0" xfId="0" applyNumberFormat="1" applyAlignment="1"/>
    <xf numFmtId="3" fontId="0" fillId="0" borderId="8" xfId="0" applyNumberFormat="1" applyBorder="1" applyAlignment="1">
      <alignment wrapText="1"/>
    </xf>
    <xf numFmtId="0" fontId="26" fillId="0" borderId="27" xfId="1" applyFont="1" applyBorder="1" applyAlignment="1">
      <alignment horizontal="center" wrapText="1"/>
    </xf>
    <xf numFmtId="3" fontId="0" fillId="0" borderId="8" xfId="0" applyNumberFormat="1" applyFont="1" applyBorder="1" applyAlignment="1"/>
    <xf numFmtId="0" fontId="15" fillId="0" borderId="0" xfId="0" applyFont="1" applyBorder="1" applyAlignment="1"/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0" fontId="8" fillId="2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5" fillId="0" borderId="2" xfId="0" applyFont="1" applyBorder="1"/>
    <xf numFmtId="0" fontId="27" fillId="0" borderId="0" xfId="0" applyFont="1" applyAlignment="1">
      <alignment horizontal="center" wrapText="1"/>
    </xf>
    <xf numFmtId="0" fontId="12" fillId="2" borderId="5" xfId="0" applyFont="1" applyFill="1" applyBorder="1" applyAlignment="1">
      <alignment vertical="top"/>
    </xf>
    <xf numFmtId="0" fontId="5" fillId="0" borderId="6" xfId="0" applyFont="1" applyBorder="1"/>
    <xf numFmtId="0" fontId="12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0" fillId="2" borderId="8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 wrapText="1"/>
    </xf>
    <xf numFmtId="0" fontId="16" fillId="2" borderId="20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20" fillId="2" borderId="24" xfId="0" applyFont="1" applyFill="1" applyBorder="1" applyAlignment="1">
      <alignment horizontal="center" vertical="top"/>
    </xf>
    <xf numFmtId="0" fontId="20" fillId="2" borderId="25" xfId="0" applyFont="1" applyFill="1" applyBorder="1" applyAlignment="1">
      <alignment horizontal="center" vertical="top"/>
    </xf>
    <xf numFmtId="0" fontId="20" fillId="2" borderId="26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3" fillId="0" borderId="15" xfId="0" applyFont="1" applyBorder="1" applyAlignment="1">
      <alignment horizontal="center" wrapText="1"/>
    </xf>
    <xf numFmtId="0" fontId="26" fillId="0" borderId="7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wrapText="1"/>
    </xf>
    <xf numFmtId="0" fontId="26" fillId="0" borderId="14" xfId="0" applyFont="1" applyBorder="1" applyAlignment="1">
      <alignment horizontal="center" wrapText="1"/>
    </xf>
    <xf numFmtId="0" fontId="21" fillId="0" borderId="12" xfId="0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1" fillId="0" borderId="8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33" fillId="6" borderId="32" xfId="6" applyFont="1" applyBorder="1" applyAlignment="1">
      <alignment horizontal="center" vertical="center" wrapText="1"/>
    </xf>
    <xf numFmtId="0" fontId="33" fillId="6" borderId="2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/>
    </xf>
    <xf numFmtId="0" fontId="33" fillId="6" borderId="38" xfId="6" applyFont="1" applyBorder="1" applyAlignment="1">
      <alignment horizontal="center" wrapText="1"/>
    </xf>
    <xf numFmtId="0" fontId="33" fillId="6" borderId="0" xfId="6" applyFont="1" applyBorder="1" applyAlignment="1">
      <alignment horizontal="center" wrapText="1"/>
    </xf>
    <xf numFmtId="0" fontId="33" fillId="6" borderId="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3" fillId="6" borderId="33" xfId="6" applyFont="1" applyBorder="1" applyAlignment="1">
      <alignment horizontal="center" wrapText="1"/>
    </xf>
    <xf numFmtId="0" fontId="33" fillId="6" borderId="34" xfId="6" applyFont="1" applyBorder="1" applyAlignment="1">
      <alignment horizontal="center" wrapText="1"/>
    </xf>
    <xf numFmtId="0" fontId="33" fillId="6" borderId="35" xfId="6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5" fillId="8" borderId="39" xfId="0" applyFont="1" applyFill="1" applyBorder="1" applyAlignment="1">
      <alignment horizontal="center" wrapText="1"/>
    </xf>
    <xf numFmtId="0" fontId="36" fillId="0" borderId="40" xfId="0" applyFont="1" applyBorder="1" applyAlignment="1">
      <alignment wrapText="1"/>
    </xf>
    <xf numFmtId="0" fontId="36" fillId="0" borderId="41" xfId="0" applyFont="1" applyBorder="1" applyAlignment="1">
      <alignment wrapText="1"/>
    </xf>
    <xf numFmtId="0" fontId="26" fillId="0" borderId="27" xfId="0" applyFont="1" applyBorder="1" applyAlignment="1">
      <alignment horizontal="center"/>
    </xf>
    <xf numFmtId="0" fontId="5" fillId="0" borderId="16" xfId="0" applyFont="1" applyBorder="1" applyAlignment="1"/>
    <xf numFmtId="0" fontId="3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26" fillId="0" borderId="27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3" fillId="0" borderId="15" xfId="0" applyFont="1" applyBorder="1" applyAlignment="1"/>
    <xf numFmtId="0" fontId="5" fillId="0" borderId="15" xfId="0" applyFont="1" applyBorder="1" applyAlignment="1"/>
    <xf numFmtId="0" fontId="26" fillId="0" borderId="7" xfId="0" applyFont="1" applyBorder="1" applyAlignment="1">
      <alignment horizontal="center"/>
    </xf>
    <xf numFmtId="0" fontId="5" fillId="0" borderId="6" xfId="0" applyFont="1" applyBorder="1" applyAlignment="1"/>
  </cellXfs>
  <cellStyles count="8">
    <cellStyle name="40% — акцент6" xfId="6" builtinId="51"/>
    <cellStyle name="60% — акцент3" xfId="7" builtinId="40"/>
    <cellStyle name="Вычисление" xfId="5" builtinId="22"/>
    <cellStyle name="Заголовок 1" xfId="2" builtinId="16"/>
    <cellStyle name="Обычный" xfId="0" builtinId="0"/>
    <cellStyle name="Обычный 2" xfId="1" xr:uid="{8D052D9D-668D-413F-AA62-6D57F12EE4D7}"/>
    <cellStyle name="Плохой" xfId="4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45"/>
  <sheetViews>
    <sheetView topLeftCell="A7" workbookViewId="0">
      <selection activeCell="I26" sqref="I26"/>
    </sheetView>
  </sheetViews>
  <sheetFormatPr defaultColWidth="12.5703125" defaultRowHeight="15.75" customHeight="1"/>
  <cols>
    <col min="1" max="1" width="22.28515625" customWidth="1"/>
    <col min="2" max="2" width="7.85546875" customWidth="1"/>
    <col min="3" max="3" width="13.85546875" customWidth="1"/>
    <col min="4" max="4" width="7.42578125" customWidth="1"/>
    <col min="5" max="5" width="8.85546875" customWidth="1"/>
    <col min="6" max="6" width="12.28515625" customWidth="1"/>
    <col min="7" max="7" width="7.85546875" customWidth="1"/>
    <col min="8" max="8" width="10.42578125" customWidth="1"/>
    <col min="9" max="9" width="7.5703125" customWidth="1"/>
    <col min="10" max="10" width="10.5703125" customWidth="1"/>
    <col min="11" max="11" width="8.7109375" customWidth="1"/>
    <col min="12" max="12" width="13" customWidth="1"/>
    <col min="13" max="13" width="8.5703125" customWidth="1"/>
    <col min="14" max="14" width="9.28515625" customWidth="1"/>
    <col min="15" max="15" width="9.42578125" customWidth="1"/>
    <col min="16" max="16" width="10.85546875" customWidth="1"/>
    <col min="17" max="17" width="8.7109375" customWidth="1"/>
    <col min="18" max="18" width="12.42578125" customWidth="1"/>
  </cols>
  <sheetData>
    <row r="1" spans="1:19" ht="30" customHeight="1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>
      <c r="A2" s="2"/>
      <c r="B2" s="2"/>
      <c r="C2" s="2"/>
      <c r="D2" s="2"/>
      <c r="E2" s="174" t="s">
        <v>1</v>
      </c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5"/>
      <c r="S2" s="1"/>
    </row>
    <row r="3" spans="1:19" ht="12.75">
      <c r="A3" s="2"/>
      <c r="B3" s="2"/>
      <c r="C3" s="2"/>
      <c r="D3" s="2"/>
      <c r="E3" s="174" t="s">
        <v>2</v>
      </c>
      <c r="F3" s="175"/>
      <c r="G3" s="174" t="s">
        <v>3</v>
      </c>
      <c r="H3" s="175"/>
      <c r="I3" s="174" t="s">
        <v>4</v>
      </c>
      <c r="J3" s="175"/>
      <c r="K3" s="174">
        <v>2024</v>
      </c>
      <c r="L3" s="175"/>
      <c r="M3" s="174">
        <v>2025</v>
      </c>
      <c r="N3" s="175"/>
      <c r="O3" s="174">
        <v>2026</v>
      </c>
      <c r="P3" s="175"/>
      <c r="Q3" s="174">
        <v>2027</v>
      </c>
      <c r="R3" s="175"/>
      <c r="S3" s="1"/>
    </row>
    <row r="4" spans="1:19" ht="51">
      <c r="A4" s="3" t="s">
        <v>5</v>
      </c>
      <c r="B4" s="4" t="s">
        <v>6</v>
      </c>
      <c r="C4" s="3" t="s">
        <v>7</v>
      </c>
      <c r="D4" s="3" t="s">
        <v>8</v>
      </c>
      <c r="E4" s="5" t="s">
        <v>9</v>
      </c>
      <c r="F4" s="3" t="s">
        <v>10</v>
      </c>
      <c r="G4" s="6" t="s">
        <v>9</v>
      </c>
      <c r="H4" s="3" t="s">
        <v>10</v>
      </c>
      <c r="I4" s="6" t="s">
        <v>9</v>
      </c>
      <c r="J4" s="3" t="s">
        <v>10</v>
      </c>
      <c r="K4" s="6" t="s">
        <v>9</v>
      </c>
      <c r="L4" s="3" t="s">
        <v>10</v>
      </c>
      <c r="M4" s="6" t="s">
        <v>9</v>
      </c>
      <c r="N4" s="3" t="s">
        <v>10</v>
      </c>
      <c r="O4" s="6" t="s">
        <v>9</v>
      </c>
      <c r="P4" s="3" t="s">
        <v>10</v>
      </c>
      <c r="Q4" s="6" t="s">
        <v>9</v>
      </c>
      <c r="R4" s="3" t="s">
        <v>10</v>
      </c>
      <c r="S4" s="1"/>
    </row>
    <row r="5" spans="1:19" ht="12.7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1"/>
    </row>
    <row r="6" spans="1:19" ht="12.75">
      <c r="A6" s="8" t="s">
        <v>11</v>
      </c>
      <c r="B6" s="7" t="s">
        <v>12</v>
      </c>
      <c r="C6" s="7">
        <v>1</v>
      </c>
      <c r="D6" s="7">
        <v>35</v>
      </c>
      <c r="E6" s="7">
        <v>30</v>
      </c>
      <c r="F6" s="9">
        <f t="shared" ref="F6:F7" si="0">D6*E6</f>
        <v>1050</v>
      </c>
      <c r="G6" s="7">
        <v>30</v>
      </c>
      <c r="H6" s="9">
        <f t="shared" ref="H6:H7" si="1">D6*E6</f>
        <v>1050</v>
      </c>
      <c r="I6" s="7">
        <v>60</v>
      </c>
      <c r="J6" s="9">
        <f t="shared" ref="J6:J7" si="2">I6*D6</f>
        <v>2100</v>
      </c>
      <c r="K6" s="10">
        <v>120</v>
      </c>
      <c r="L6" s="9">
        <f>4200*1.3</f>
        <v>5460</v>
      </c>
      <c r="M6" s="9">
        <v>120</v>
      </c>
      <c r="N6" s="9">
        <f t="shared" ref="N6:N13" si="3">L6*1.3</f>
        <v>7098</v>
      </c>
      <c r="O6" s="9">
        <v>120</v>
      </c>
      <c r="P6" s="9">
        <f t="shared" ref="P6:P13" si="4">N6*1.3</f>
        <v>9227.4</v>
      </c>
      <c r="Q6" s="9">
        <v>120</v>
      </c>
      <c r="R6" s="9">
        <f t="shared" ref="R6:R13" si="5">P6*1.3</f>
        <v>11995.62</v>
      </c>
      <c r="S6" s="11" t="s">
        <v>13</v>
      </c>
    </row>
    <row r="7" spans="1:19" ht="12.75">
      <c r="A7" s="8" t="s">
        <v>14</v>
      </c>
      <c r="B7" s="7" t="s">
        <v>15</v>
      </c>
      <c r="C7" s="7">
        <v>1</v>
      </c>
      <c r="D7" s="7">
        <v>3</v>
      </c>
      <c r="E7" s="7">
        <v>300</v>
      </c>
      <c r="F7" s="9">
        <f t="shared" si="0"/>
        <v>900</v>
      </c>
      <c r="G7" s="7">
        <v>300</v>
      </c>
      <c r="H7" s="9">
        <f t="shared" si="1"/>
        <v>900</v>
      </c>
      <c r="I7" s="7">
        <v>600</v>
      </c>
      <c r="J7" s="9">
        <f t="shared" si="2"/>
        <v>1800</v>
      </c>
      <c r="K7" s="10">
        <v>1200</v>
      </c>
      <c r="L7" s="9">
        <f>3600*1.3</f>
        <v>4680</v>
      </c>
      <c r="M7" s="9">
        <v>1200</v>
      </c>
      <c r="N7" s="9">
        <f t="shared" si="3"/>
        <v>6084</v>
      </c>
      <c r="O7" s="9">
        <v>1200</v>
      </c>
      <c r="P7" s="9">
        <f t="shared" si="4"/>
        <v>7909.2</v>
      </c>
      <c r="Q7" s="9">
        <v>1200</v>
      </c>
      <c r="R7" s="9">
        <f t="shared" si="5"/>
        <v>10281.960000000001</v>
      </c>
      <c r="S7" s="1"/>
    </row>
    <row r="8" spans="1:19" ht="12.75">
      <c r="A8" s="8" t="s">
        <v>16</v>
      </c>
      <c r="B8" s="7" t="s">
        <v>12</v>
      </c>
      <c r="C8" s="7">
        <v>1</v>
      </c>
      <c r="D8" s="12">
        <v>44682</v>
      </c>
      <c r="E8" s="7">
        <v>300</v>
      </c>
      <c r="F8" s="7">
        <v>450</v>
      </c>
      <c r="G8" s="7">
        <v>300</v>
      </c>
      <c r="H8" s="7">
        <v>450</v>
      </c>
      <c r="I8" s="7">
        <v>600</v>
      </c>
      <c r="J8" s="7">
        <v>900</v>
      </c>
      <c r="K8" s="10">
        <v>1200</v>
      </c>
      <c r="L8" s="10">
        <f>1800*1.3</f>
        <v>2340</v>
      </c>
      <c r="M8" s="9">
        <v>1200</v>
      </c>
      <c r="N8" s="9">
        <f t="shared" si="3"/>
        <v>3042</v>
      </c>
      <c r="O8" s="9">
        <v>1200</v>
      </c>
      <c r="P8" s="9">
        <f t="shared" si="4"/>
        <v>3954.6</v>
      </c>
      <c r="Q8" s="9">
        <v>1200</v>
      </c>
      <c r="R8" s="9">
        <f t="shared" si="5"/>
        <v>5140.9800000000005</v>
      </c>
      <c r="S8" s="1"/>
    </row>
    <row r="9" spans="1:19" ht="12.75">
      <c r="A9" s="8" t="s">
        <v>17</v>
      </c>
      <c r="B9" s="7" t="s">
        <v>15</v>
      </c>
      <c r="C9" s="7">
        <v>1</v>
      </c>
      <c r="D9" s="12">
        <v>44682</v>
      </c>
      <c r="E9" s="7">
        <v>450</v>
      </c>
      <c r="F9" s="7">
        <v>675</v>
      </c>
      <c r="G9" s="7">
        <v>450</v>
      </c>
      <c r="H9" s="7">
        <v>675</v>
      </c>
      <c r="I9" s="7">
        <v>900</v>
      </c>
      <c r="J9" s="7">
        <v>1350</v>
      </c>
      <c r="K9" s="10">
        <v>1800</v>
      </c>
      <c r="L9" s="10">
        <f>2700*1.3</f>
        <v>3510</v>
      </c>
      <c r="M9" s="9">
        <v>1800</v>
      </c>
      <c r="N9" s="9">
        <f t="shared" si="3"/>
        <v>4563</v>
      </c>
      <c r="O9" s="9">
        <v>1800</v>
      </c>
      <c r="P9" s="9">
        <f t="shared" si="4"/>
        <v>5931.9000000000005</v>
      </c>
      <c r="Q9" s="9">
        <v>1800</v>
      </c>
      <c r="R9" s="9">
        <f t="shared" si="5"/>
        <v>7711.4700000000012</v>
      </c>
      <c r="S9" s="1"/>
    </row>
    <row r="10" spans="1:19" ht="12.75">
      <c r="A10" s="8" t="s">
        <v>18</v>
      </c>
      <c r="B10" s="7" t="s">
        <v>12</v>
      </c>
      <c r="C10" s="7">
        <v>1</v>
      </c>
      <c r="D10" s="7">
        <v>1</v>
      </c>
      <c r="E10" s="7">
        <v>600</v>
      </c>
      <c r="F10" s="9">
        <f t="shared" ref="F10:F13" si="6">D10*E10</f>
        <v>600</v>
      </c>
      <c r="G10" s="7">
        <v>600</v>
      </c>
      <c r="H10" s="9">
        <f t="shared" ref="H10:H13" si="7">D10*E10</f>
        <v>600</v>
      </c>
      <c r="I10" s="7">
        <v>1200</v>
      </c>
      <c r="J10" s="9">
        <f t="shared" ref="J10:J13" si="8">I10*D10</f>
        <v>1200</v>
      </c>
      <c r="K10" s="10">
        <v>2400</v>
      </c>
      <c r="L10" s="9">
        <f>2400*1.3</f>
        <v>3120</v>
      </c>
      <c r="M10" s="9">
        <v>2400</v>
      </c>
      <c r="N10" s="9">
        <f t="shared" si="3"/>
        <v>4056</v>
      </c>
      <c r="O10" s="9">
        <v>2400</v>
      </c>
      <c r="P10" s="9">
        <f t="shared" si="4"/>
        <v>5272.8</v>
      </c>
      <c r="Q10" s="9">
        <v>2400</v>
      </c>
      <c r="R10" s="9">
        <f t="shared" si="5"/>
        <v>6854.64</v>
      </c>
      <c r="S10" s="1"/>
    </row>
    <row r="11" spans="1:19" ht="12.75">
      <c r="A11" s="8" t="s">
        <v>19</v>
      </c>
      <c r="B11" s="7" t="s">
        <v>20</v>
      </c>
      <c r="C11" s="7">
        <v>1</v>
      </c>
      <c r="D11" s="7">
        <v>1</v>
      </c>
      <c r="E11" s="7">
        <v>750</v>
      </c>
      <c r="F11" s="9">
        <f t="shared" si="6"/>
        <v>750</v>
      </c>
      <c r="G11" s="7">
        <v>750</v>
      </c>
      <c r="H11" s="9">
        <f t="shared" si="7"/>
        <v>750</v>
      </c>
      <c r="I11" s="7">
        <v>1500</v>
      </c>
      <c r="J11" s="9">
        <f t="shared" si="8"/>
        <v>1500</v>
      </c>
      <c r="K11" s="10">
        <v>3000</v>
      </c>
      <c r="L11" s="9">
        <v>3000</v>
      </c>
      <c r="M11" s="9">
        <v>3000</v>
      </c>
      <c r="N11" s="9">
        <f t="shared" si="3"/>
        <v>3900</v>
      </c>
      <c r="O11" s="9">
        <v>3000</v>
      </c>
      <c r="P11" s="9">
        <f t="shared" si="4"/>
        <v>5070</v>
      </c>
      <c r="Q11" s="9">
        <v>3000</v>
      </c>
      <c r="R11" s="9">
        <f t="shared" si="5"/>
        <v>6591</v>
      </c>
      <c r="S11" s="1"/>
    </row>
    <row r="12" spans="1:19" ht="12.75">
      <c r="A12" s="8" t="s">
        <v>21</v>
      </c>
      <c r="B12" s="7" t="s">
        <v>12</v>
      </c>
      <c r="C12" s="7">
        <v>1</v>
      </c>
      <c r="D12" s="7">
        <v>2</v>
      </c>
      <c r="E12" s="7">
        <v>600</v>
      </c>
      <c r="F12" s="9">
        <f t="shared" si="6"/>
        <v>1200</v>
      </c>
      <c r="G12" s="7">
        <v>600</v>
      </c>
      <c r="H12" s="9">
        <f t="shared" si="7"/>
        <v>1200</v>
      </c>
      <c r="I12" s="7">
        <v>1200</v>
      </c>
      <c r="J12" s="9">
        <f t="shared" si="8"/>
        <v>2400</v>
      </c>
      <c r="K12" s="10">
        <v>2400</v>
      </c>
      <c r="L12" s="9">
        <f>4800*1.3</f>
        <v>6240</v>
      </c>
      <c r="M12" s="9">
        <v>2400</v>
      </c>
      <c r="N12" s="9">
        <f t="shared" si="3"/>
        <v>8112</v>
      </c>
      <c r="O12" s="9">
        <v>2400</v>
      </c>
      <c r="P12" s="9">
        <f t="shared" si="4"/>
        <v>10545.6</v>
      </c>
      <c r="Q12" s="9">
        <v>2400</v>
      </c>
      <c r="R12" s="9">
        <f t="shared" si="5"/>
        <v>13709.28</v>
      </c>
      <c r="S12" s="1"/>
    </row>
    <row r="13" spans="1:19" ht="12.75">
      <c r="A13" s="8" t="s">
        <v>22</v>
      </c>
      <c r="B13" s="7" t="s">
        <v>12</v>
      </c>
      <c r="C13" s="7">
        <v>1</v>
      </c>
      <c r="D13" s="7">
        <v>1</v>
      </c>
      <c r="E13" s="7">
        <v>600</v>
      </c>
      <c r="F13" s="9">
        <f t="shared" si="6"/>
        <v>600</v>
      </c>
      <c r="G13" s="7">
        <v>600</v>
      </c>
      <c r="H13" s="9">
        <f t="shared" si="7"/>
        <v>600</v>
      </c>
      <c r="I13" s="7">
        <v>1200</v>
      </c>
      <c r="J13" s="9">
        <f t="shared" si="8"/>
        <v>1200</v>
      </c>
      <c r="K13" s="10">
        <v>2400</v>
      </c>
      <c r="L13" s="9">
        <f>2400*1.3</f>
        <v>3120</v>
      </c>
      <c r="M13" s="9">
        <v>2400</v>
      </c>
      <c r="N13" s="9">
        <f t="shared" si="3"/>
        <v>4056</v>
      </c>
      <c r="O13" s="9">
        <v>2400</v>
      </c>
      <c r="P13" s="9">
        <f t="shared" si="4"/>
        <v>5272.8</v>
      </c>
      <c r="Q13" s="9">
        <v>2400</v>
      </c>
      <c r="R13" s="9">
        <f t="shared" si="5"/>
        <v>6854.64</v>
      </c>
      <c r="S13" s="1"/>
    </row>
    <row r="14" spans="1:19" ht="12.75">
      <c r="A14" s="13" t="s">
        <v>23</v>
      </c>
      <c r="B14" s="9"/>
      <c r="C14" s="9"/>
      <c r="D14" s="9"/>
      <c r="E14" s="9"/>
      <c r="F14" s="14">
        <f>SUM(F6:F13)</f>
        <v>6225</v>
      </c>
      <c r="G14" s="14"/>
      <c r="H14" s="14">
        <f>SUM(F6:F13)</f>
        <v>6225</v>
      </c>
      <c r="I14" s="14"/>
      <c r="J14" s="14">
        <f>SUM(J6:J13)</f>
        <v>12450</v>
      </c>
      <c r="K14" s="13"/>
      <c r="L14" s="14">
        <f>SUM(L6:L13)</f>
        <v>31470</v>
      </c>
      <c r="M14" s="14"/>
      <c r="N14" s="14">
        <f>SUM(N6:N13)</f>
        <v>40911</v>
      </c>
      <c r="O14" s="14"/>
      <c r="P14" s="14">
        <f>SUM(P6:P13)</f>
        <v>53184.299999999996</v>
      </c>
      <c r="Q14" s="14"/>
      <c r="R14" s="14">
        <f>SUM(R6:R13)</f>
        <v>69139.59</v>
      </c>
      <c r="S14" s="1"/>
    </row>
    <row r="17" spans="1:19" ht="15.75" customHeight="1">
      <c r="A17" s="176" t="s">
        <v>24</v>
      </c>
      <c r="B17" s="177"/>
      <c r="C17" s="177"/>
      <c r="D17" s="177"/>
      <c r="E17" s="17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>
      <c r="A18" s="1"/>
      <c r="B18" s="1"/>
      <c r="C18" s="1"/>
      <c r="D18" s="1"/>
      <c r="E18" s="178" t="s">
        <v>1</v>
      </c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5"/>
      <c r="S18" s="1"/>
    </row>
    <row r="19" spans="1:19" ht="12.75">
      <c r="A19" s="2"/>
      <c r="B19" s="2"/>
      <c r="C19" s="2"/>
      <c r="D19" s="2"/>
      <c r="E19" s="174" t="s">
        <v>2</v>
      </c>
      <c r="F19" s="175"/>
      <c r="G19" s="174" t="s">
        <v>3</v>
      </c>
      <c r="H19" s="175"/>
      <c r="I19" s="174" t="s">
        <v>25</v>
      </c>
      <c r="J19" s="175"/>
      <c r="K19" s="174">
        <v>2024</v>
      </c>
      <c r="L19" s="175"/>
      <c r="M19" s="174">
        <v>2025</v>
      </c>
      <c r="N19" s="175"/>
      <c r="O19" s="174">
        <v>2026</v>
      </c>
      <c r="P19" s="175"/>
      <c r="Q19" s="174">
        <v>2027</v>
      </c>
      <c r="R19" s="175"/>
      <c r="S19" s="1"/>
    </row>
    <row r="20" spans="1:19" ht="51">
      <c r="A20" s="3" t="s">
        <v>5</v>
      </c>
      <c r="B20" s="4" t="s">
        <v>6</v>
      </c>
      <c r="C20" s="3" t="s">
        <v>7</v>
      </c>
      <c r="D20" s="3" t="s">
        <v>8</v>
      </c>
      <c r="E20" s="6" t="s">
        <v>26</v>
      </c>
      <c r="F20" s="3" t="s">
        <v>10</v>
      </c>
      <c r="G20" s="6" t="s">
        <v>27</v>
      </c>
      <c r="H20" s="3" t="s">
        <v>10</v>
      </c>
      <c r="I20" s="6" t="s">
        <v>27</v>
      </c>
      <c r="J20" s="3" t="s">
        <v>10</v>
      </c>
      <c r="K20" s="6" t="s">
        <v>27</v>
      </c>
      <c r="L20" s="3" t="s">
        <v>10</v>
      </c>
      <c r="M20" s="6" t="s">
        <v>27</v>
      </c>
      <c r="N20" s="3" t="s">
        <v>10</v>
      </c>
      <c r="O20" s="6" t="s">
        <v>27</v>
      </c>
      <c r="P20" s="3" t="s">
        <v>10</v>
      </c>
      <c r="Q20" s="6" t="s">
        <v>27</v>
      </c>
      <c r="R20" s="3" t="s">
        <v>10</v>
      </c>
      <c r="S20" s="1"/>
    </row>
    <row r="21" spans="1:19" ht="12.75">
      <c r="A21" s="7">
        <v>1</v>
      </c>
      <c r="B21" s="7">
        <v>2</v>
      </c>
      <c r="C21" s="7">
        <v>3</v>
      </c>
      <c r="D21" s="7">
        <v>4</v>
      </c>
      <c r="E21" s="7">
        <v>5</v>
      </c>
      <c r="F21" s="7">
        <v>6</v>
      </c>
      <c r="G21" s="7">
        <v>7</v>
      </c>
      <c r="H21" s="7">
        <v>8</v>
      </c>
      <c r="I21" s="7">
        <v>9</v>
      </c>
      <c r="J21" s="7">
        <v>10</v>
      </c>
      <c r="K21" s="7">
        <v>11</v>
      </c>
      <c r="L21" s="7">
        <v>12</v>
      </c>
      <c r="M21" s="7">
        <v>13</v>
      </c>
      <c r="N21" s="7">
        <v>14</v>
      </c>
      <c r="O21" s="7">
        <v>15</v>
      </c>
      <c r="P21" s="7">
        <v>16</v>
      </c>
      <c r="Q21" s="7">
        <v>17</v>
      </c>
      <c r="R21" s="7">
        <v>18</v>
      </c>
      <c r="S21" s="1"/>
    </row>
    <row r="22" spans="1:19" ht="15.75" customHeight="1">
      <c r="A22" s="16" t="s">
        <v>28</v>
      </c>
      <c r="B22" s="15" t="s">
        <v>29</v>
      </c>
      <c r="C22" s="7" t="s">
        <v>30</v>
      </c>
      <c r="D22" s="7">
        <v>0.2</v>
      </c>
      <c r="E22" s="9"/>
      <c r="F22" s="9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9" ht="63.75">
      <c r="A23" s="16" t="s">
        <v>31</v>
      </c>
      <c r="B23" s="17" t="s">
        <v>32</v>
      </c>
      <c r="C23" s="7">
        <v>500</v>
      </c>
      <c r="D23" s="7">
        <v>0.2</v>
      </c>
      <c r="E23" s="7">
        <v>3</v>
      </c>
      <c r="F23" s="9">
        <f t="shared" ref="F23:F24" si="9">C23*D23*E23</f>
        <v>300</v>
      </c>
      <c r="G23" s="7">
        <v>3</v>
      </c>
      <c r="H23" s="9">
        <f t="shared" ref="H23:H24" si="10">C23*D23*G23</f>
        <v>300</v>
      </c>
      <c r="I23" s="7">
        <v>6</v>
      </c>
      <c r="J23" s="9">
        <f>C23*D23*I23</f>
        <v>600</v>
      </c>
      <c r="K23" s="7">
        <v>12</v>
      </c>
      <c r="L23" s="9">
        <f t="shared" ref="L23:L24" si="11">C23*D23*1.3*K23</f>
        <v>1560</v>
      </c>
      <c r="M23" s="7">
        <v>12</v>
      </c>
      <c r="N23" s="9">
        <f t="shared" ref="N23:N24" si="12">C23*D23*1.3^2*M23</f>
        <v>2028.0000000000005</v>
      </c>
      <c r="O23" s="7">
        <v>12</v>
      </c>
      <c r="P23" s="9">
        <f t="shared" ref="P23:P24" si="13">C23*D23*1.3^3*O23</f>
        <v>2636.4000000000005</v>
      </c>
      <c r="Q23" s="7">
        <v>12</v>
      </c>
      <c r="R23" s="9">
        <f t="shared" ref="R23:R24" si="14">C23*D23*1.3^4*Q23</f>
        <v>3427.3200000000006</v>
      </c>
      <c r="S23" s="11" t="s">
        <v>13</v>
      </c>
    </row>
    <row r="24" spans="1:19" ht="25.5">
      <c r="A24" s="16" t="s">
        <v>33</v>
      </c>
      <c r="B24" s="17" t="s">
        <v>32</v>
      </c>
      <c r="C24" s="7">
        <v>10</v>
      </c>
      <c r="D24" s="7">
        <v>0.2</v>
      </c>
      <c r="E24" s="7">
        <v>3</v>
      </c>
      <c r="F24" s="9">
        <f t="shared" si="9"/>
        <v>6</v>
      </c>
      <c r="G24" s="7">
        <v>3</v>
      </c>
      <c r="H24" s="9">
        <f t="shared" si="10"/>
        <v>6</v>
      </c>
      <c r="I24" s="7">
        <v>6</v>
      </c>
      <c r="J24" s="9">
        <f>H24*6*0.2</f>
        <v>7.2</v>
      </c>
      <c r="K24" s="7">
        <v>12</v>
      </c>
      <c r="L24" s="9">
        <f t="shared" si="11"/>
        <v>31.200000000000003</v>
      </c>
      <c r="M24" s="7">
        <v>12</v>
      </c>
      <c r="N24" s="9">
        <f t="shared" si="12"/>
        <v>40.56</v>
      </c>
      <c r="O24" s="7">
        <v>12</v>
      </c>
      <c r="P24" s="9">
        <f t="shared" si="13"/>
        <v>52.728000000000009</v>
      </c>
      <c r="Q24" s="7">
        <v>12</v>
      </c>
      <c r="R24" s="9">
        <f t="shared" si="14"/>
        <v>68.546400000000006</v>
      </c>
      <c r="S24" s="1"/>
    </row>
    <row r="25" spans="1:19" ht="12.75">
      <c r="A25" s="16" t="s">
        <v>34</v>
      </c>
      <c r="B25" s="17" t="s">
        <v>32</v>
      </c>
      <c r="C25" s="7"/>
      <c r="D25" s="7">
        <v>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"/>
    </row>
    <row r="26" spans="1:19" ht="41.25">
      <c r="A26" s="16" t="s">
        <v>35</v>
      </c>
      <c r="B26" s="17" t="s">
        <v>32</v>
      </c>
      <c r="C26" s="7">
        <v>50</v>
      </c>
      <c r="D26" s="7">
        <v>2</v>
      </c>
      <c r="E26" s="7">
        <v>3</v>
      </c>
      <c r="F26" s="9">
        <f>C26*D26*E26</f>
        <v>300</v>
      </c>
      <c r="G26" s="7">
        <v>0.5</v>
      </c>
      <c r="H26" s="9">
        <f>C26*G26</f>
        <v>25</v>
      </c>
      <c r="I26" s="7">
        <v>3</v>
      </c>
      <c r="J26" s="9">
        <f>H26*3*2</f>
        <v>150</v>
      </c>
      <c r="K26" s="7">
        <v>7</v>
      </c>
      <c r="L26" s="9">
        <f>C26*D26*1.3*K26</f>
        <v>910</v>
      </c>
      <c r="M26" s="7">
        <v>7</v>
      </c>
      <c r="N26" s="18">
        <f>C26*D26*1.3^2*K26</f>
        <v>1183.0000000000002</v>
      </c>
      <c r="O26" s="7">
        <v>7</v>
      </c>
      <c r="P26" s="9">
        <f>C26*D26*1.3^3*K26</f>
        <v>1537.9000000000003</v>
      </c>
      <c r="Q26" s="7">
        <v>7</v>
      </c>
      <c r="R26" s="9">
        <f>C26*D26*1.3^4*K26</f>
        <v>1999.2700000000004</v>
      </c>
      <c r="S26" s="1"/>
    </row>
    <row r="27" spans="1:19" ht="15.75" customHeight="1">
      <c r="A27" s="19" t="s">
        <v>36</v>
      </c>
      <c r="B27" s="17" t="s">
        <v>32</v>
      </c>
      <c r="C27" s="7" t="s">
        <v>30</v>
      </c>
      <c r="D27" s="7" t="s">
        <v>30</v>
      </c>
      <c r="E27" s="9"/>
      <c r="F27" s="20">
        <f>F28+F29</f>
        <v>606</v>
      </c>
      <c r="G27" s="21"/>
      <c r="H27" s="20">
        <f>H28+H29</f>
        <v>331</v>
      </c>
      <c r="I27" s="21"/>
      <c r="J27" s="20">
        <f>J28+J29</f>
        <v>757.2</v>
      </c>
      <c r="K27" s="21"/>
      <c r="L27" s="20">
        <f>L28+L29</f>
        <v>2501.1999999999998</v>
      </c>
      <c r="M27" s="21"/>
      <c r="N27" s="20">
        <f>N28+N29</f>
        <v>3251.5600000000004</v>
      </c>
      <c r="O27" s="21"/>
      <c r="P27" s="20">
        <f>P28+P29</f>
        <v>4227.0280000000012</v>
      </c>
      <c r="Q27" s="21"/>
      <c r="R27" s="20">
        <f>R28+R29</f>
        <v>5495.1364000000012</v>
      </c>
      <c r="S27" s="1"/>
    </row>
    <row r="28" spans="1:19" ht="25.5">
      <c r="A28" s="16" t="s">
        <v>37</v>
      </c>
      <c r="B28" s="17" t="s">
        <v>32</v>
      </c>
      <c r="C28" s="7" t="s">
        <v>30</v>
      </c>
      <c r="D28" s="7" t="s">
        <v>30</v>
      </c>
      <c r="E28" s="9"/>
      <c r="F28" s="7">
        <f>F23</f>
        <v>300</v>
      </c>
      <c r="G28" s="9"/>
      <c r="H28" s="7">
        <f>H23</f>
        <v>300</v>
      </c>
      <c r="I28" s="9"/>
      <c r="J28" s="7">
        <f>J23</f>
        <v>600</v>
      </c>
      <c r="K28" s="9"/>
      <c r="L28" s="7">
        <f>L23</f>
        <v>1560</v>
      </c>
      <c r="M28" s="9"/>
      <c r="N28" s="7">
        <f>N23</f>
        <v>2028.0000000000005</v>
      </c>
      <c r="O28" s="9"/>
      <c r="P28" s="7">
        <f>P23</f>
        <v>2636.4000000000005</v>
      </c>
      <c r="Q28" s="9"/>
      <c r="R28" s="7">
        <f>R23</f>
        <v>3427.3200000000006</v>
      </c>
      <c r="S28" s="1"/>
    </row>
    <row r="29" spans="1:19" ht="25.5">
      <c r="A29" s="16" t="s">
        <v>38</v>
      </c>
      <c r="B29" s="17" t="s">
        <v>32</v>
      </c>
      <c r="C29" s="7" t="s">
        <v>30</v>
      </c>
      <c r="D29" s="7" t="s">
        <v>30</v>
      </c>
      <c r="E29" s="9"/>
      <c r="F29" s="7">
        <f>F24+F26</f>
        <v>306</v>
      </c>
      <c r="G29" s="9"/>
      <c r="H29" s="7">
        <f>H24+H26</f>
        <v>31</v>
      </c>
      <c r="I29" s="9"/>
      <c r="J29" s="7">
        <f>J24+J26</f>
        <v>157.19999999999999</v>
      </c>
      <c r="K29" s="9"/>
      <c r="L29" s="7">
        <f>L24+L26</f>
        <v>941.2</v>
      </c>
      <c r="M29" s="9"/>
      <c r="N29" s="7">
        <f>N24+N26</f>
        <v>1223.5600000000002</v>
      </c>
      <c r="O29" s="9"/>
      <c r="P29" s="7">
        <f>P24+P26</f>
        <v>1590.6280000000004</v>
      </c>
      <c r="Q29" s="9"/>
      <c r="R29" s="7">
        <f>R24+R26</f>
        <v>2067.8164000000006</v>
      </c>
      <c r="S29" s="1"/>
    </row>
    <row r="34" spans="1:19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5">
      <c r="S36" s="22"/>
    </row>
    <row r="37" spans="1:19" ht="15">
      <c r="S37" s="22"/>
    </row>
    <row r="38" spans="1:19" ht="15">
      <c r="S38" s="22"/>
    </row>
    <row r="39" spans="1:19" ht="15">
      <c r="S39" s="22"/>
    </row>
    <row r="40" spans="1:19" ht="15">
      <c r="S40" s="22"/>
    </row>
    <row r="41" spans="1:19" ht="15">
      <c r="S41" s="22"/>
    </row>
    <row r="42" spans="1:19" ht="15">
      <c r="S42" s="22"/>
    </row>
    <row r="43" spans="1:19" ht="15">
      <c r="S43" s="22"/>
    </row>
    <row r="44" spans="1:19" ht="15">
      <c r="S44" s="22"/>
    </row>
    <row r="45" spans="1:19" ht="15">
      <c r="S45" s="22"/>
    </row>
  </sheetData>
  <mergeCells count="18">
    <mergeCell ref="A1:I1"/>
    <mergeCell ref="O3:P3"/>
    <mergeCell ref="Q3:R3"/>
    <mergeCell ref="E2:R2"/>
    <mergeCell ref="E3:F3"/>
    <mergeCell ref="G3:H3"/>
    <mergeCell ref="I3:J3"/>
    <mergeCell ref="K3:L3"/>
    <mergeCell ref="M3:N3"/>
    <mergeCell ref="O19:P19"/>
    <mergeCell ref="Q19:R19"/>
    <mergeCell ref="A17:E17"/>
    <mergeCell ref="E18:R18"/>
    <mergeCell ref="E19:F19"/>
    <mergeCell ref="G19:H19"/>
    <mergeCell ref="I19:J19"/>
    <mergeCell ref="K19:L19"/>
    <mergeCell ref="M19:N1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DCD8-8FF5-4294-92AD-CEF748FB6EF6}">
  <dimension ref="A1:H12"/>
  <sheetViews>
    <sheetView workbookViewId="0">
      <selection activeCell="K13" sqref="K13"/>
    </sheetView>
  </sheetViews>
  <sheetFormatPr defaultRowHeight="12.75"/>
  <cols>
    <col min="1" max="1" width="27.5703125" customWidth="1"/>
    <col min="2" max="2" width="11.28515625" customWidth="1"/>
    <col min="3" max="3" width="11.5703125" customWidth="1"/>
  </cols>
  <sheetData>
    <row r="1" spans="1:8" ht="20.25" thickBot="1">
      <c r="A1" s="126" t="s">
        <v>172</v>
      </c>
      <c r="B1" s="134"/>
      <c r="C1" s="134"/>
      <c r="D1" s="134"/>
      <c r="E1" s="134"/>
      <c r="F1" s="134"/>
      <c r="G1" s="135"/>
      <c r="H1" s="135"/>
    </row>
    <row r="2" spans="1:8" ht="15.75" thickTop="1">
      <c r="A2" s="210" t="s">
        <v>173</v>
      </c>
      <c r="B2" s="238" t="s">
        <v>174</v>
      </c>
      <c r="C2" s="239"/>
      <c r="D2" s="239"/>
      <c r="E2" s="239"/>
      <c r="F2" s="239"/>
      <c r="G2" s="239"/>
      <c r="H2" s="240"/>
    </row>
    <row r="3" spans="1:8" ht="30">
      <c r="A3" s="237"/>
      <c r="B3" s="130" t="s">
        <v>169</v>
      </c>
      <c r="C3" s="131" t="s">
        <v>170</v>
      </c>
      <c r="D3" s="131" t="s">
        <v>171</v>
      </c>
      <c r="E3" s="131">
        <v>2024</v>
      </c>
      <c r="F3" s="131">
        <v>2025</v>
      </c>
      <c r="G3" s="131">
        <v>2026</v>
      </c>
      <c r="H3" s="132">
        <v>2027</v>
      </c>
    </row>
    <row r="4" spans="1:8" ht="15">
      <c r="A4" s="136">
        <v>1</v>
      </c>
      <c r="B4" s="127">
        <v>2</v>
      </c>
      <c r="C4" s="127">
        <v>3</v>
      </c>
      <c r="D4" s="127">
        <v>4</v>
      </c>
      <c r="E4" s="127">
        <v>5</v>
      </c>
      <c r="F4" s="128">
        <v>6</v>
      </c>
      <c r="G4" s="129">
        <v>7</v>
      </c>
      <c r="H4" s="129">
        <v>8</v>
      </c>
    </row>
    <row r="5" spans="1:8" ht="26.25">
      <c r="A5" s="51" t="s">
        <v>175</v>
      </c>
      <c r="B5" s="138">
        <v>0</v>
      </c>
      <c r="C5" s="138">
        <v>0</v>
      </c>
      <c r="D5" s="138">
        <v>0</v>
      </c>
      <c r="E5" s="138">
        <v>0</v>
      </c>
      <c r="F5" s="138">
        <v>0</v>
      </c>
      <c r="G5" s="138">
        <v>0</v>
      </c>
      <c r="H5" s="138">
        <v>0</v>
      </c>
    </row>
    <row r="6" spans="1:8" ht="15">
      <c r="A6" s="137" t="s">
        <v>176</v>
      </c>
      <c r="B6" s="138">
        <v>0</v>
      </c>
      <c r="C6" s="138">
        <v>0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</row>
    <row r="7" spans="1:8" ht="15">
      <c r="A7" s="137" t="s">
        <v>177</v>
      </c>
      <c r="B7" s="138">
        <v>0</v>
      </c>
      <c r="C7" s="138">
        <v>0</v>
      </c>
      <c r="D7" s="138">
        <v>0</v>
      </c>
      <c r="E7" s="138">
        <v>0</v>
      </c>
      <c r="F7" s="138">
        <v>0</v>
      </c>
      <c r="G7" s="138">
        <v>0</v>
      </c>
      <c r="H7" s="138">
        <v>0</v>
      </c>
    </row>
    <row r="8" spans="1:8" ht="15">
      <c r="A8" s="137" t="s">
        <v>178</v>
      </c>
      <c r="B8" s="138">
        <v>0</v>
      </c>
      <c r="C8" s="138">
        <v>0</v>
      </c>
      <c r="D8" s="138">
        <v>0</v>
      </c>
      <c r="E8" s="138">
        <v>0</v>
      </c>
      <c r="F8" s="138">
        <v>0</v>
      </c>
      <c r="G8" s="138">
        <v>0</v>
      </c>
      <c r="H8" s="138">
        <v>0</v>
      </c>
    </row>
    <row r="9" spans="1:8" ht="15">
      <c r="A9" s="137" t="s">
        <v>179</v>
      </c>
      <c r="B9" s="138">
        <v>0</v>
      </c>
      <c r="C9" s="138">
        <v>0</v>
      </c>
      <c r="D9" s="138">
        <v>0</v>
      </c>
      <c r="E9" s="138">
        <v>0</v>
      </c>
      <c r="F9" s="138">
        <v>0</v>
      </c>
      <c r="G9" s="138">
        <v>0</v>
      </c>
      <c r="H9" s="138">
        <v>0</v>
      </c>
    </row>
    <row r="10" spans="1:8" ht="15">
      <c r="A10" s="137" t="s">
        <v>180</v>
      </c>
      <c r="B10" s="138">
        <v>0</v>
      </c>
      <c r="C10" s="138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</row>
    <row r="11" spans="1:8" ht="26.25">
      <c r="A11" s="51" t="s">
        <v>181</v>
      </c>
      <c r="B11" s="138">
        <v>0</v>
      </c>
      <c r="C11" s="138">
        <v>0</v>
      </c>
      <c r="D11" s="138">
        <v>0</v>
      </c>
      <c r="E11" s="138">
        <v>0</v>
      </c>
      <c r="F11" s="138">
        <v>0</v>
      </c>
      <c r="G11" s="138">
        <v>0</v>
      </c>
      <c r="H11" s="138">
        <v>0</v>
      </c>
    </row>
    <row r="12" spans="1:8" ht="26.25">
      <c r="A12" s="51" t="s">
        <v>182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</row>
  </sheetData>
  <mergeCells count="2">
    <mergeCell ref="A2:A3"/>
    <mergeCell ref="B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9B3-9E17-4ED8-B636-B52F7EEFB0B6}">
  <dimension ref="A1:E11"/>
  <sheetViews>
    <sheetView workbookViewId="0">
      <selection activeCell="H34" sqref="H34"/>
    </sheetView>
  </sheetViews>
  <sheetFormatPr defaultRowHeight="12.75"/>
  <cols>
    <col min="1" max="1" width="26" customWidth="1"/>
    <col min="2" max="2" width="15.85546875" customWidth="1"/>
  </cols>
  <sheetData>
    <row r="1" spans="1:5" ht="20.25" thickBot="1">
      <c r="A1" s="126" t="s">
        <v>183</v>
      </c>
      <c r="B1" s="126"/>
      <c r="C1" s="143"/>
      <c r="D1" s="135"/>
      <c r="E1" s="135"/>
    </row>
    <row r="2" spans="1:5" ht="15.75" thickTop="1">
      <c r="A2" s="210" t="s">
        <v>184</v>
      </c>
      <c r="B2" s="241" t="s">
        <v>2</v>
      </c>
      <c r="C2" s="143"/>
      <c r="D2" s="135"/>
      <c r="E2" s="135"/>
    </row>
    <row r="3" spans="1:5" ht="15">
      <c r="A3" s="237"/>
      <c r="B3" s="242"/>
      <c r="C3" s="143"/>
      <c r="D3" s="135"/>
      <c r="E3" s="135"/>
    </row>
    <row r="4" spans="1:5" ht="15">
      <c r="A4" s="49">
        <v>1</v>
      </c>
      <c r="B4" s="127">
        <v>2</v>
      </c>
      <c r="C4" s="143"/>
      <c r="D4" s="135"/>
      <c r="E4" s="135"/>
    </row>
    <row r="5" spans="1:5" ht="15">
      <c r="A5" s="141" t="s">
        <v>185</v>
      </c>
      <c r="B5" s="145"/>
      <c r="C5" s="143"/>
      <c r="D5" s="135"/>
      <c r="E5" s="135"/>
    </row>
    <row r="6" spans="1:5" ht="15">
      <c r="A6" s="141" t="s">
        <v>186</v>
      </c>
      <c r="B6" s="146">
        <f>B8-B7</f>
        <v>65130.033000000003</v>
      </c>
      <c r="C6" s="147" t="s">
        <v>187</v>
      </c>
      <c r="D6" s="135"/>
      <c r="E6" s="135"/>
    </row>
    <row r="7" spans="1:5" ht="45">
      <c r="A7" s="141" t="s">
        <v>188</v>
      </c>
      <c r="B7" s="138">
        <v>0</v>
      </c>
      <c r="C7" s="143" t="s">
        <v>189</v>
      </c>
      <c r="D7" s="135"/>
      <c r="E7" s="135"/>
    </row>
    <row r="8" spans="1:5" ht="30">
      <c r="A8" s="141" t="s">
        <v>190</v>
      </c>
      <c r="B8" s="146">
        <f>Инвестиции!B13</f>
        <v>65130.033000000003</v>
      </c>
      <c r="C8" s="148" t="s">
        <v>191</v>
      </c>
      <c r="D8" s="143" t="s">
        <v>192</v>
      </c>
      <c r="E8" s="135"/>
    </row>
    <row r="9" spans="1:5" ht="30">
      <c r="A9" s="141" t="s">
        <v>193</v>
      </c>
      <c r="B9" s="142">
        <v>1</v>
      </c>
      <c r="C9" s="143"/>
      <c r="D9" s="135"/>
      <c r="E9" s="135"/>
    </row>
    <row r="10" spans="1:5" ht="30">
      <c r="A10" s="141" t="s">
        <v>194</v>
      </c>
      <c r="B10" s="149">
        <v>1</v>
      </c>
      <c r="C10" s="143"/>
      <c r="D10" s="135"/>
      <c r="E10" s="135"/>
    </row>
    <row r="11" spans="1:5" ht="30">
      <c r="A11" s="141" t="s">
        <v>195</v>
      </c>
      <c r="B11" s="149">
        <v>0</v>
      </c>
      <c r="C11" s="143"/>
      <c r="D11" s="135"/>
      <c r="E11" s="135"/>
    </row>
  </sheetData>
  <mergeCells count="2">
    <mergeCell ref="A2:A3"/>
    <mergeCell ref="B2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68A-EF28-4F43-97F5-45B46788E13F}">
  <dimension ref="A1:R14"/>
  <sheetViews>
    <sheetView tabSelected="1" workbookViewId="0">
      <selection activeCell="C24" sqref="C24"/>
    </sheetView>
  </sheetViews>
  <sheetFormatPr defaultRowHeight="12.75"/>
  <cols>
    <col min="1" max="1" width="25.140625" customWidth="1"/>
    <col min="2" max="2" width="9.42578125" customWidth="1"/>
    <col min="4" max="9" width="9.140625" customWidth="1"/>
  </cols>
  <sheetData>
    <row r="1" spans="1:18" ht="20.25" thickBot="1">
      <c r="A1" s="126" t="s">
        <v>196</v>
      </c>
      <c r="B1" s="126"/>
      <c r="C1" s="126"/>
      <c r="D1" s="126"/>
      <c r="E1" s="126"/>
      <c r="F1" s="126"/>
      <c r="G1" s="126"/>
      <c r="H1" s="126"/>
      <c r="I1" s="126"/>
      <c r="J1" s="126"/>
      <c r="K1" s="143"/>
      <c r="L1" s="135"/>
      <c r="M1" s="135"/>
      <c r="N1" s="135"/>
      <c r="O1" s="135"/>
      <c r="P1" s="135"/>
      <c r="Q1" s="135"/>
      <c r="R1" s="135"/>
    </row>
    <row r="2" spans="1:18" ht="15.75" thickTop="1">
      <c r="A2" s="210" t="s">
        <v>197</v>
      </c>
      <c r="B2" s="246" t="s">
        <v>198</v>
      </c>
      <c r="C2" s="212" t="s">
        <v>1</v>
      </c>
      <c r="D2" s="244"/>
      <c r="E2" s="244"/>
      <c r="F2" s="247"/>
      <c r="G2" s="247"/>
      <c r="H2" s="247"/>
      <c r="I2" s="248"/>
      <c r="J2" s="246" t="s">
        <v>199</v>
      </c>
      <c r="K2" s="143"/>
      <c r="L2" s="135"/>
      <c r="M2" s="135"/>
      <c r="N2" s="135"/>
      <c r="O2" s="135"/>
      <c r="P2" s="135"/>
      <c r="Q2" s="135"/>
      <c r="R2" s="135"/>
    </row>
    <row r="3" spans="1:18" ht="26.25">
      <c r="A3" s="237"/>
      <c r="B3" s="245"/>
      <c r="C3" s="48" t="s">
        <v>2</v>
      </c>
      <c r="D3" s="48" t="s">
        <v>3</v>
      </c>
      <c r="E3" s="167" t="s">
        <v>4</v>
      </c>
      <c r="F3" s="168">
        <v>2024</v>
      </c>
      <c r="G3" s="168">
        <v>2025</v>
      </c>
      <c r="H3" s="168">
        <v>2026</v>
      </c>
      <c r="I3" s="168">
        <v>2027</v>
      </c>
      <c r="J3" s="245"/>
      <c r="K3" s="143"/>
      <c r="L3" s="135"/>
      <c r="M3" s="135"/>
      <c r="N3" s="135"/>
      <c r="O3" s="135"/>
      <c r="P3" s="135"/>
      <c r="Q3" s="135"/>
      <c r="R3" s="135"/>
    </row>
    <row r="4" spans="1:18" ht="15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48"/>
      <c r="G4" s="48"/>
      <c r="H4" s="48">
        <v>6</v>
      </c>
      <c r="I4" s="48">
        <v>7</v>
      </c>
      <c r="J4" s="48">
        <v>8</v>
      </c>
      <c r="K4" s="143"/>
      <c r="L4" s="135"/>
      <c r="M4" s="135"/>
      <c r="N4" s="135"/>
      <c r="O4" s="135"/>
      <c r="P4" s="135"/>
      <c r="Q4" s="135"/>
      <c r="R4" s="135"/>
    </row>
    <row r="5" spans="1:18" ht="32.25" customHeight="1">
      <c r="A5" s="141" t="s">
        <v>200</v>
      </c>
      <c r="B5" s="243"/>
      <c r="C5" s="244"/>
      <c r="D5" s="244"/>
      <c r="E5" s="244"/>
      <c r="F5" s="244"/>
      <c r="G5" s="244"/>
      <c r="H5" s="244"/>
      <c r="I5" s="244"/>
      <c r="J5" s="245"/>
      <c r="K5" s="143"/>
      <c r="L5" s="135"/>
      <c r="M5" s="135"/>
      <c r="N5" s="135"/>
      <c r="O5" s="135"/>
      <c r="P5" s="135"/>
      <c r="Q5" s="135"/>
      <c r="R5" s="135"/>
    </row>
    <row r="6" spans="1:18" ht="32.25" customHeight="1">
      <c r="A6" s="51" t="s">
        <v>201</v>
      </c>
      <c r="B6" s="150"/>
      <c r="C6" s="133"/>
      <c r="D6" s="133"/>
      <c r="E6" s="133"/>
      <c r="F6" s="133"/>
      <c r="G6" s="133"/>
      <c r="H6" s="133"/>
      <c r="I6" s="133"/>
      <c r="J6" s="133"/>
      <c r="K6" s="148" t="s">
        <v>202</v>
      </c>
      <c r="L6" s="135"/>
      <c r="M6" s="135"/>
      <c r="N6" s="135"/>
      <c r="O6" s="135"/>
      <c r="P6" s="135"/>
      <c r="Q6" s="135"/>
      <c r="R6" s="135"/>
    </row>
    <row r="7" spans="1:18" ht="30" customHeight="1">
      <c r="A7" s="141" t="s">
        <v>203</v>
      </c>
      <c r="B7" s="150"/>
      <c r="C7" s="133"/>
      <c r="D7" s="133"/>
      <c r="E7" s="133"/>
      <c r="F7" s="133"/>
      <c r="G7" s="133"/>
      <c r="H7" s="133"/>
      <c r="I7" s="133"/>
      <c r="J7" s="133"/>
      <c r="K7" s="143"/>
      <c r="L7" s="135"/>
      <c r="M7" s="135"/>
      <c r="N7" s="135"/>
      <c r="O7" s="135"/>
      <c r="P7" s="135"/>
      <c r="Q7" s="135"/>
      <c r="R7" s="135"/>
    </row>
    <row r="8" spans="1:18" ht="47.25" customHeight="1">
      <c r="A8" s="141" t="s">
        <v>204</v>
      </c>
      <c r="B8" s="150"/>
      <c r="C8" s="133"/>
      <c r="D8" s="133"/>
      <c r="E8" s="133"/>
      <c r="F8" s="133"/>
      <c r="G8" s="133"/>
      <c r="H8" s="133"/>
      <c r="I8" s="133"/>
      <c r="J8" s="133"/>
      <c r="K8" s="143"/>
      <c r="L8" s="135"/>
      <c r="M8" s="135"/>
      <c r="N8" s="135"/>
      <c r="O8" s="135"/>
      <c r="P8" s="135"/>
      <c r="Q8" s="135"/>
      <c r="R8" s="135"/>
    </row>
    <row r="9" spans="1:18" ht="30.75" customHeight="1">
      <c r="A9" s="141" t="s">
        <v>205</v>
      </c>
      <c r="B9" s="150"/>
      <c r="C9" s="133"/>
      <c r="D9" s="133"/>
      <c r="E9" s="133"/>
      <c r="F9" s="133"/>
      <c r="G9" s="133"/>
      <c r="H9" s="133"/>
      <c r="I9" s="133"/>
      <c r="J9" s="133"/>
      <c r="K9" s="143"/>
      <c r="L9" s="135"/>
      <c r="M9" s="135"/>
      <c r="N9" s="135"/>
      <c r="O9" s="135"/>
      <c r="P9" s="135"/>
      <c r="Q9" s="135"/>
      <c r="R9" s="135"/>
    </row>
    <row r="10" spans="1:18" ht="25.5" customHeight="1">
      <c r="A10" s="141" t="s">
        <v>206</v>
      </c>
      <c r="B10" s="150"/>
      <c r="C10" s="133"/>
      <c r="D10" s="133"/>
      <c r="E10" s="133"/>
      <c r="F10" s="133"/>
      <c r="G10" s="133"/>
      <c r="H10" s="133"/>
      <c r="I10" s="133"/>
      <c r="J10" s="133" t="s">
        <v>207</v>
      </c>
      <c r="K10" s="148" t="s">
        <v>208</v>
      </c>
      <c r="L10" s="135"/>
      <c r="M10" s="135"/>
      <c r="N10" s="135"/>
      <c r="O10" s="135"/>
      <c r="P10" s="135"/>
      <c r="Q10" s="135"/>
      <c r="R10" s="135"/>
    </row>
    <row r="11" spans="1:18" ht="25.5" customHeight="1">
      <c r="A11" s="141" t="s">
        <v>209</v>
      </c>
      <c r="B11" s="133"/>
      <c r="C11" s="150"/>
      <c r="D11" s="150"/>
      <c r="E11" s="150"/>
      <c r="F11" s="150"/>
      <c r="G11" s="150"/>
      <c r="H11" s="150"/>
      <c r="I11" s="150"/>
      <c r="J11" s="133" t="s">
        <v>210</v>
      </c>
      <c r="K11" s="148" t="s">
        <v>211</v>
      </c>
      <c r="L11" s="135"/>
      <c r="M11" s="135"/>
      <c r="N11" s="135"/>
      <c r="O11" s="135"/>
      <c r="P11" s="135"/>
      <c r="Q11" s="135"/>
      <c r="R11" s="135"/>
    </row>
    <row r="12" spans="1:18" ht="26.25" customHeight="1">
      <c r="A12" s="141" t="s">
        <v>212</v>
      </c>
      <c r="B12" s="243"/>
      <c r="C12" s="244"/>
      <c r="D12" s="244"/>
      <c r="E12" s="244"/>
      <c r="F12" s="244"/>
      <c r="G12" s="244"/>
      <c r="H12" s="244"/>
      <c r="I12" s="244"/>
      <c r="J12" s="245"/>
      <c r="K12" s="143"/>
      <c r="L12" s="135"/>
      <c r="M12" s="135"/>
      <c r="N12" s="135"/>
      <c r="O12" s="135"/>
      <c r="P12" s="135"/>
      <c r="Q12" s="135"/>
      <c r="R12" s="135"/>
    </row>
    <row r="13" spans="1:18" ht="27.75" customHeight="1">
      <c r="A13" s="51" t="s">
        <v>213</v>
      </c>
      <c r="B13" s="133"/>
      <c r="C13" s="151"/>
      <c r="D13" s="151"/>
      <c r="E13" s="151"/>
      <c r="F13" s="151"/>
      <c r="G13" s="151"/>
      <c r="H13" s="151"/>
      <c r="I13" s="151"/>
      <c r="J13" s="133"/>
      <c r="K13" s="148" t="s">
        <v>214</v>
      </c>
      <c r="L13" s="135"/>
      <c r="M13" s="135"/>
      <c r="N13" s="135"/>
      <c r="O13" s="135"/>
      <c r="P13" s="135"/>
      <c r="Q13" s="135"/>
      <c r="R13" s="135"/>
    </row>
    <row r="14" spans="1:18" ht="31.5" customHeight="1">
      <c r="A14" s="51" t="s">
        <v>215</v>
      </c>
      <c r="B14" s="133"/>
      <c r="C14" s="151"/>
      <c r="D14" s="151"/>
      <c r="E14" s="151"/>
      <c r="F14" s="151"/>
      <c r="G14" s="151"/>
      <c r="H14" s="151"/>
      <c r="I14" s="151"/>
      <c r="J14" s="133"/>
      <c r="K14" s="148" t="s">
        <v>216</v>
      </c>
      <c r="L14" s="135"/>
      <c r="M14" s="135"/>
      <c r="N14" s="135"/>
      <c r="O14" s="135"/>
      <c r="P14" s="135"/>
      <c r="Q14" s="135"/>
      <c r="R14" s="135"/>
    </row>
  </sheetData>
  <mergeCells count="6">
    <mergeCell ref="B12:J12"/>
    <mergeCell ref="A2:A3"/>
    <mergeCell ref="B2:B3"/>
    <mergeCell ref="C2:I2"/>
    <mergeCell ref="J2:J3"/>
    <mergeCell ref="B5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416-A74E-45CB-A18F-94AE77F626C3}">
  <dimension ref="A1:S42"/>
  <sheetViews>
    <sheetView workbookViewId="0">
      <selection activeCell="H43" sqref="H43"/>
    </sheetView>
  </sheetViews>
  <sheetFormatPr defaultRowHeight="12.75"/>
  <cols>
    <col min="1" max="1" width="33.140625" customWidth="1"/>
    <col min="2" max="2" width="8.42578125" customWidth="1"/>
  </cols>
  <sheetData>
    <row r="1" spans="1:19" ht="20.25" thickBot="1">
      <c r="A1" s="126" t="s">
        <v>217</v>
      </c>
      <c r="B1" s="126"/>
      <c r="C1" s="126"/>
      <c r="D1" s="126"/>
      <c r="E1" s="126"/>
      <c r="F1" s="126"/>
      <c r="G1" s="126"/>
      <c r="H1" s="126"/>
      <c r="I1" s="126"/>
      <c r="J1" s="143"/>
      <c r="K1" s="135"/>
      <c r="L1" s="135"/>
      <c r="M1" s="135"/>
      <c r="N1" s="135"/>
      <c r="O1" s="135"/>
      <c r="P1" s="135"/>
      <c r="Q1" s="135"/>
      <c r="R1" s="135"/>
      <c r="S1" s="135"/>
    </row>
    <row r="2" spans="1:19" ht="15.75" thickTop="1">
      <c r="A2" s="210" t="s">
        <v>218</v>
      </c>
      <c r="B2" s="212" t="s">
        <v>1</v>
      </c>
      <c r="C2" s="244"/>
      <c r="D2" s="244"/>
      <c r="E2" s="247"/>
      <c r="F2" s="247"/>
      <c r="G2" s="247"/>
      <c r="H2" s="248"/>
      <c r="I2" s="246" t="s">
        <v>219</v>
      </c>
      <c r="J2" s="143"/>
      <c r="K2" s="135"/>
      <c r="L2" s="135"/>
      <c r="M2" s="135"/>
      <c r="N2" s="135"/>
      <c r="O2" s="135"/>
      <c r="P2" s="135"/>
      <c r="Q2" s="135"/>
      <c r="R2" s="135"/>
      <c r="S2" s="135"/>
    </row>
    <row r="3" spans="1:19" ht="26.25">
      <c r="A3" s="237"/>
      <c r="B3" s="48" t="s">
        <v>2</v>
      </c>
      <c r="C3" s="48" t="s">
        <v>3</v>
      </c>
      <c r="D3" s="167" t="s">
        <v>4</v>
      </c>
      <c r="E3" s="168">
        <v>2024</v>
      </c>
      <c r="F3" s="168">
        <v>2025</v>
      </c>
      <c r="G3" s="168">
        <v>2026</v>
      </c>
      <c r="H3" s="168">
        <v>2027</v>
      </c>
      <c r="I3" s="245"/>
      <c r="J3" s="143"/>
      <c r="K3" s="135"/>
      <c r="L3" s="135"/>
      <c r="M3" s="135"/>
      <c r="N3" s="135"/>
      <c r="O3" s="135"/>
      <c r="P3" s="135"/>
      <c r="Q3" s="135"/>
      <c r="R3" s="135"/>
      <c r="S3" s="135"/>
    </row>
    <row r="4" spans="1:19" ht="15">
      <c r="A4" s="136">
        <v>1</v>
      </c>
      <c r="B4" s="127">
        <v>2</v>
      </c>
      <c r="C4" s="127">
        <v>3</v>
      </c>
      <c r="D4" s="127">
        <v>4</v>
      </c>
      <c r="E4" s="127"/>
      <c r="F4" s="127"/>
      <c r="G4" s="127">
        <v>5</v>
      </c>
      <c r="H4" s="127">
        <v>6</v>
      </c>
      <c r="I4" s="127">
        <v>7</v>
      </c>
      <c r="J4" s="143"/>
      <c r="K4" s="135"/>
      <c r="L4" s="135"/>
      <c r="M4" s="135"/>
      <c r="N4" s="135"/>
      <c r="O4" s="135"/>
      <c r="P4" s="135"/>
      <c r="Q4" s="135"/>
      <c r="R4" s="135"/>
      <c r="S4" s="135"/>
    </row>
    <row r="5" spans="1:19" ht="15">
      <c r="A5" s="144" t="s">
        <v>220</v>
      </c>
      <c r="B5" s="249"/>
      <c r="C5" s="250"/>
      <c r="D5" s="250"/>
      <c r="E5" s="250"/>
      <c r="F5" s="250"/>
      <c r="G5" s="250"/>
      <c r="H5" s="250"/>
      <c r="I5" s="242"/>
      <c r="J5" s="143"/>
      <c r="K5" s="135"/>
      <c r="L5" s="135"/>
      <c r="M5" s="135"/>
      <c r="N5" s="135"/>
      <c r="O5" s="135"/>
      <c r="P5" s="135"/>
      <c r="Q5" s="135"/>
      <c r="R5" s="135"/>
      <c r="S5" s="135"/>
    </row>
    <row r="6" spans="1:19" ht="15">
      <c r="A6" s="144" t="s">
        <v>221</v>
      </c>
      <c r="B6" s="146"/>
      <c r="C6" s="146"/>
      <c r="D6" s="146"/>
      <c r="E6" s="146"/>
      <c r="F6" s="146"/>
      <c r="G6" s="146"/>
      <c r="H6" s="146"/>
      <c r="I6" s="146"/>
      <c r="J6" s="143"/>
      <c r="K6" s="135"/>
      <c r="L6" s="135"/>
      <c r="M6" s="135"/>
      <c r="N6" s="135"/>
      <c r="O6" s="135"/>
      <c r="P6" s="135"/>
      <c r="Q6" s="135"/>
      <c r="R6" s="135"/>
      <c r="S6" s="135"/>
    </row>
    <row r="7" spans="1:19" ht="15">
      <c r="A7" s="144" t="s">
        <v>222</v>
      </c>
      <c r="B7" s="138"/>
      <c r="C7" s="138"/>
      <c r="D7" s="138"/>
      <c r="E7" s="138"/>
      <c r="F7" s="138"/>
      <c r="G7" s="138"/>
      <c r="H7" s="138"/>
      <c r="I7" s="138"/>
      <c r="J7" s="143"/>
      <c r="K7" s="135"/>
      <c r="L7" s="135"/>
      <c r="M7" s="135"/>
      <c r="N7" s="135"/>
      <c r="O7" s="135"/>
      <c r="P7" s="135"/>
      <c r="Q7" s="135"/>
      <c r="R7" s="135"/>
      <c r="S7" s="135"/>
    </row>
    <row r="8" spans="1:19" ht="15">
      <c r="A8" s="144" t="s">
        <v>223</v>
      </c>
      <c r="B8" s="249"/>
      <c r="C8" s="250"/>
      <c r="D8" s="250"/>
      <c r="E8" s="250"/>
      <c r="F8" s="250"/>
      <c r="G8" s="250"/>
      <c r="H8" s="250"/>
      <c r="I8" s="242"/>
      <c r="J8" s="143"/>
      <c r="K8" s="135"/>
      <c r="L8" s="135"/>
      <c r="M8" s="135"/>
      <c r="N8" s="135"/>
      <c r="O8" s="135"/>
      <c r="P8" s="135"/>
      <c r="Q8" s="135"/>
      <c r="R8" s="135"/>
      <c r="S8" s="135"/>
    </row>
    <row r="9" spans="1:19" ht="15">
      <c r="A9" s="144" t="s">
        <v>224</v>
      </c>
      <c r="B9" s="146"/>
      <c r="C9" s="146"/>
      <c r="D9" s="146"/>
      <c r="E9" s="146"/>
      <c r="F9" s="146"/>
      <c r="G9" s="146"/>
      <c r="H9" s="146"/>
      <c r="I9" s="146"/>
      <c r="J9" s="143"/>
      <c r="K9" s="135"/>
      <c r="L9" s="135"/>
      <c r="M9" s="135"/>
      <c r="N9" s="135"/>
      <c r="O9" s="135"/>
      <c r="P9" s="135"/>
      <c r="Q9" s="135"/>
      <c r="R9" s="135"/>
      <c r="S9" s="135"/>
    </row>
    <row r="10" spans="1:19" ht="45">
      <c r="A10" s="141" t="s">
        <v>225</v>
      </c>
      <c r="B10" s="138"/>
      <c r="C10" s="138"/>
      <c r="D10" s="138"/>
      <c r="E10" s="138"/>
      <c r="F10" s="138"/>
      <c r="G10" s="138"/>
      <c r="H10" s="138"/>
      <c r="I10" s="138"/>
      <c r="J10" s="148" t="s">
        <v>226</v>
      </c>
      <c r="K10" s="135"/>
      <c r="L10" s="135"/>
      <c r="M10" s="135"/>
      <c r="N10" s="135"/>
      <c r="O10" s="135"/>
      <c r="P10" s="135"/>
      <c r="Q10" s="135"/>
      <c r="R10" s="135"/>
      <c r="S10" s="135"/>
    </row>
    <row r="11" spans="1:19" ht="30">
      <c r="A11" s="141" t="s">
        <v>227</v>
      </c>
      <c r="B11" s="146"/>
      <c r="C11" s="146"/>
      <c r="D11" s="146"/>
      <c r="E11" s="146"/>
      <c r="F11" s="146"/>
      <c r="G11" s="146"/>
      <c r="H11" s="146"/>
      <c r="I11" s="146"/>
      <c r="J11" s="148" t="s">
        <v>228</v>
      </c>
      <c r="K11" s="135"/>
      <c r="L11" s="135"/>
      <c r="M11" s="135"/>
      <c r="N11" s="135"/>
      <c r="O11" s="135"/>
      <c r="P11" s="135"/>
      <c r="Q11" s="135"/>
      <c r="R11" s="135"/>
      <c r="S11" s="135"/>
    </row>
    <row r="12" spans="1:19" ht="30">
      <c r="A12" s="141" t="s">
        <v>229</v>
      </c>
      <c r="B12" s="146"/>
      <c r="C12" s="146"/>
      <c r="D12" s="146"/>
      <c r="E12" s="146"/>
      <c r="F12" s="146"/>
      <c r="G12" s="146"/>
      <c r="H12" s="146"/>
      <c r="I12" s="146"/>
      <c r="J12" s="148" t="s">
        <v>230</v>
      </c>
      <c r="K12" s="135"/>
      <c r="L12" s="135"/>
      <c r="M12" s="135"/>
      <c r="N12" s="135"/>
      <c r="O12" s="135"/>
      <c r="P12" s="135"/>
      <c r="Q12" s="135"/>
      <c r="R12" s="135"/>
      <c r="S12" s="135"/>
    </row>
    <row r="13" spans="1:19" ht="15">
      <c r="A13" s="141" t="s">
        <v>231</v>
      </c>
      <c r="B13" s="146"/>
      <c r="C13" s="146"/>
      <c r="D13" s="146"/>
      <c r="E13" s="146"/>
      <c r="F13" s="146"/>
      <c r="G13" s="146"/>
      <c r="H13" s="146"/>
      <c r="I13" s="146"/>
      <c r="J13" s="143"/>
      <c r="K13" s="135"/>
      <c r="L13" s="135"/>
      <c r="M13" s="135"/>
      <c r="N13" s="135"/>
      <c r="O13" s="135"/>
      <c r="P13" s="135"/>
      <c r="Q13" s="135"/>
      <c r="R13" s="135"/>
      <c r="S13" s="135"/>
    </row>
    <row r="14" spans="1:19" ht="15">
      <c r="A14" s="141" t="s">
        <v>232</v>
      </c>
      <c r="B14" s="146"/>
      <c r="C14" s="146"/>
      <c r="D14" s="146"/>
      <c r="E14" s="146"/>
      <c r="F14" s="146"/>
      <c r="G14" s="146"/>
      <c r="H14" s="146"/>
      <c r="I14" s="146"/>
      <c r="J14" s="143"/>
      <c r="K14" s="135"/>
      <c r="L14" s="135"/>
      <c r="M14" s="135"/>
      <c r="N14" s="135"/>
      <c r="O14" s="135"/>
      <c r="P14" s="135"/>
      <c r="Q14" s="135"/>
      <c r="R14" s="135"/>
      <c r="S14" s="135"/>
    </row>
    <row r="15" spans="1:19" ht="30">
      <c r="A15" s="141" t="s">
        <v>233</v>
      </c>
      <c r="B15" s="138"/>
      <c r="C15" s="138"/>
      <c r="D15" s="138"/>
      <c r="E15" s="138"/>
      <c r="F15" s="138"/>
      <c r="G15" s="138"/>
      <c r="H15" s="138"/>
      <c r="I15" s="138"/>
      <c r="J15" s="143"/>
      <c r="K15" s="135"/>
      <c r="L15" s="135"/>
      <c r="M15" s="135"/>
      <c r="N15" s="135"/>
      <c r="O15" s="135"/>
      <c r="P15" s="135"/>
      <c r="Q15" s="135"/>
      <c r="R15" s="135"/>
      <c r="S15" s="135"/>
    </row>
    <row r="16" spans="1:19" ht="30">
      <c r="A16" s="141" t="s">
        <v>234</v>
      </c>
      <c r="B16" s="146"/>
      <c r="C16" s="146"/>
      <c r="D16" s="146"/>
      <c r="E16" s="146"/>
      <c r="F16" s="146"/>
      <c r="G16" s="146"/>
      <c r="H16" s="146"/>
      <c r="I16" s="146"/>
      <c r="J16" s="148" t="s">
        <v>235</v>
      </c>
      <c r="K16" s="135"/>
      <c r="L16" s="135"/>
      <c r="M16" s="135"/>
      <c r="N16" s="135"/>
      <c r="O16" s="135"/>
      <c r="P16" s="135"/>
      <c r="Q16" s="135"/>
      <c r="R16" s="135"/>
      <c r="S16" s="135"/>
    </row>
    <row r="17" spans="1:19" ht="15">
      <c r="A17" s="141" t="s">
        <v>236</v>
      </c>
      <c r="B17" s="146"/>
      <c r="C17" s="146"/>
      <c r="D17" s="146"/>
      <c r="E17" s="146"/>
      <c r="F17" s="146"/>
      <c r="G17" s="146"/>
      <c r="H17" s="146"/>
      <c r="I17" s="139"/>
      <c r="J17" s="143"/>
      <c r="K17" s="135"/>
      <c r="L17" s="135"/>
      <c r="M17" s="135"/>
      <c r="N17" s="135"/>
      <c r="O17" s="135"/>
      <c r="P17" s="135"/>
      <c r="Q17" s="135"/>
      <c r="R17" s="135"/>
      <c r="S17" s="135"/>
    </row>
    <row r="18" spans="1:19" ht="30">
      <c r="A18" s="141" t="s">
        <v>237</v>
      </c>
      <c r="B18" s="249"/>
      <c r="C18" s="250"/>
      <c r="D18" s="250"/>
      <c r="E18" s="250"/>
      <c r="F18" s="250"/>
      <c r="G18" s="250"/>
      <c r="H18" s="250"/>
      <c r="I18" s="242"/>
      <c r="J18" s="143"/>
      <c r="K18" s="135"/>
      <c r="L18" s="135"/>
      <c r="M18" s="135"/>
      <c r="N18" s="135"/>
      <c r="O18" s="135"/>
      <c r="P18" s="135"/>
      <c r="Q18" s="135"/>
      <c r="R18" s="135"/>
      <c r="S18" s="135"/>
    </row>
    <row r="19" spans="1:19" ht="15">
      <c r="A19" s="141" t="s">
        <v>238</v>
      </c>
      <c r="B19" s="154">
        <v>0</v>
      </c>
      <c r="C19" s="154">
        <v>1</v>
      </c>
      <c r="D19" s="154">
        <v>2</v>
      </c>
      <c r="E19" s="154"/>
      <c r="F19" s="154"/>
      <c r="G19" s="154">
        <v>3</v>
      </c>
      <c r="H19" s="154">
        <v>4</v>
      </c>
      <c r="I19" s="139"/>
      <c r="J19" s="143"/>
      <c r="K19" s="135"/>
      <c r="L19" s="135"/>
      <c r="M19" s="135"/>
      <c r="N19" s="135"/>
      <c r="O19" s="135"/>
      <c r="P19" s="135"/>
      <c r="Q19" s="135"/>
      <c r="R19" s="135"/>
      <c r="S19" s="135"/>
    </row>
    <row r="20" spans="1:19" ht="43.5">
      <c r="A20" s="155" t="s">
        <v>239</v>
      </c>
      <c r="B20" s="154">
        <v>1</v>
      </c>
      <c r="C20" s="156"/>
      <c r="D20" s="156"/>
      <c r="E20" s="156"/>
      <c r="F20" s="156"/>
      <c r="G20" s="156"/>
      <c r="H20" s="156"/>
      <c r="I20" s="139"/>
      <c r="J20" s="148" t="s">
        <v>240</v>
      </c>
      <c r="K20" s="135"/>
      <c r="L20" s="135"/>
      <c r="M20" s="135"/>
      <c r="N20" s="135"/>
      <c r="O20" s="135"/>
      <c r="P20" s="135"/>
      <c r="Q20" s="135"/>
      <c r="R20" s="135"/>
      <c r="S20" s="135"/>
    </row>
    <row r="21" spans="1:19" ht="15">
      <c r="A21" s="141" t="s">
        <v>241</v>
      </c>
      <c r="B21" s="146"/>
      <c r="C21" s="146"/>
      <c r="D21" s="146"/>
      <c r="E21" s="146"/>
      <c r="F21" s="146"/>
      <c r="G21" s="146"/>
      <c r="H21" s="146"/>
      <c r="I21" s="146"/>
      <c r="J21" s="143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1:19" ht="15">
      <c r="A22" s="141" t="s">
        <v>242</v>
      </c>
      <c r="B22" s="146"/>
      <c r="C22" s="146"/>
      <c r="D22" s="146"/>
      <c r="E22" s="146"/>
      <c r="F22" s="146"/>
      <c r="G22" s="146"/>
      <c r="H22" s="146"/>
      <c r="I22" s="146"/>
      <c r="J22" s="143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1:19" ht="30">
      <c r="A23" s="141" t="s">
        <v>243</v>
      </c>
      <c r="B23" s="138"/>
      <c r="C23" s="138"/>
      <c r="D23" s="138"/>
      <c r="E23" s="138"/>
      <c r="F23" s="138"/>
      <c r="G23" s="138"/>
      <c r="H23" s="138"/>
      <c r="I23" s="138"/>
      <c r="J23" s="143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1:19" ht="15">
      <c r="A24" s="141" t="s">
        <v>244</v>
      </c>
      <c r="B24" s="146"/>
      <c r="C24" s="146"/>
      <c r="D24" s="146"/>
      <c r="E24" s="146"/>
      <c r="F24" s="146"/>
      <c r="G24" s="146"/>
      <c r="H24" s="146"/>
      <c r="I24" s="146"/>
      <c r="J24" s="147" t="s">
        <v>245</v>
      </c>
      <c r="K24" s="135"/>
      <c r="L24" s="135"/>
      <c r="M24" s="135"/>
      <c r="N24" s="135"/>
      <c r="O24" s="135"/>
      <c r="P24" s="135"/>
      <c r="Q24" s="135"/>
      <c r="R24" s="135"/>
      <c r="S24" s="135"/>
    </row>
    <row r="25" spans="1:19" ht="30">
      <c r="A25" s="141" t="s">
        <v>246</v>
      </c>
      <c r="B25" s="146"/>
      <c r="C25" s="146"/>
      <c r="D25" s="146"/>
      <c r="E25" s="146"/>
      <c r="F25" s="146"/>
      <c r="G25" s="146"/>
      <c r="H25" s="146"/>
      <c r="I25" s="139"/>
      <c r="J25" s="143"/>
      <c r="K25" s="135"/>
      <c r="L25" s="135"/>
      <c r="M25" s="135"/>
      <c r="N25" s="135"/>
      <c r="O25" s="135"/>
      <c r="P25" s="135"/>
      <c r="Q25" s="135"/>
      <c r="R25" s="135"/>
      <c r="S25" s="135"/>
    </row>
    <row r="26" spans="1:19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 spans="1:19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 spans="1:19" ht="15">
      <c r="A28" s="173" t="s">
        <v>247</v>
      </c>
      <c r="B28" s="165"/>
      <c r="C28" s="148" t="s">
        <v>248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</row>
    <row r="29" spans="1:19" ht="15">
      <c r="A29" s="157" t="s">
        <v>249</v>
      </c>
      <c r="B29" s="139"/>
      <c r="C29" s="148" t="s">
        <v>250</v>
      </c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</row>
    <row r="30" spans="1:19" ht="15">
      <c r="A30" s="157" t="s">
        <v>251</v>
      </c>
      <c r="B30" s="139"/>
      <c r="C30" s="148" t="s">
        <v>252</v>
      </c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</row>
    <row r="31" spans="1:19" ht="15">
      <c r="A31" s="157" t="s">
        <v>253</v>
      </c>
      <c r="B31" s="139"/>
      <c r="C31" s="148" t="s">
        <v>254</v>
      </c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 spans="1:19" ht="15">
      <c r="A32" s="157" t="s">
        <v>255</v>
      </c>
      <c r="B32" s="139"/>
      <c r="C32" s="148" t="s">
        <v>256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</row>
    <row r="33" spans="1:19" ht="15">
      <c r="A33" s="157" t="s">
        <v>249</v>
      </c>
      <c r="B33" s="139"/>
      <c r="C33" s="143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</row>
    <row r="34" spans="1:19" ht="15">
      <c r="A34" s="157" t="s">
        <v>251</v>
      </c>
      <c r="B34" s="139"/>
      <c r="C34" s="143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</row>
    <row r="35" spans="1:19" ht="15">
      <c r="A35" s="157" t="s">
        <v>253</v>
      </c>
      <c r="B35" s="139"/>
      <c r="C35" s="143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</row>
    <row r="36" spans="1:19" ht="15">
      <c r="A36" s="143"/>
      <c r="B36" s="143"/>
      <c r="C36" s="143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  <row r="37" spans="1:19" ht="15">
      <c r="A37" s="143"/>
      <c r="B37" s="143"/>
      <c r="C37" s="143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</row>
    <row r="38" spans="1:19" ht="15">
      <c r="A38" s="143" t="s">
        <v>257</v>
      </c>
      <c r="B38" s="143"/>
      <c r="C38" s="143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</row>
    <row r="39" spans="1:19" ht="15">
      <c r="A39" s="148" t="s">
        <v>258</v>
      </c>
      <c r="B39" s="143"/>
      <c r="C39" s="143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</row>
    <row r="40" spans="1:19" ht="15">
      <c r="A40" s="148" t="s">
        <v>259</v>
      </c>
      <c r="B40" s="143"/>
      <c r="C40" s="143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 spans="1:19" ht="15">
      <c r="A41" s="148" t="s">
        <v>260</v>
      </c>
      <c r="B41" s="143"/>
      <c r="C41" s="143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  <row r="42" spans="1:19" ht="15">
      <c r="A42" s="148" t="s">
        <v>261</v>
      </c>
      <c r="B42" s="143"/>
      <c r="C42" s="143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</row>
  </sheetData>
  <mergeCells count="6">
    <mergeCell ref="B18:I18"/>
    <mergeCell ref="A2:A3"/>
    <mergeCell ref="B2:H2"/>
    <mergeCell ref="I2:I3"/>
    <mergeCell ref="B5:I5"/>
    <mergeCell ref="B8:I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DD25-E12C-44E6-B0DA-BE04560370EF}">
  <dimension ref="A1:K19"/>
  <sheetViews>
    <sheetView workbookViewId="0">
      <selection activeCell="G5" sqref="G5"/>
    </sheetView>
  </sheetViews>
  <sheetFormatPr defaultRowHeight="12.75"/>
  <cols>
    <col min="1" max="1" width="32.85546875" customWidth="1"/>
    <col min="2" max="2" width="11.85546875" customWidth="1"/>
  </cols>
  <sheetData>
    <row r="1" spans="1:11" ht="20.25" thickBot="1">
      <c r="A1" s="126" t="s">
        <v>262</v>
      </c>
      <c r="B1" s="126"/>
      <c r="C1" s="126"/>
      <c r="D1" s="126"/>
      <c r="E1" s="126"/>
      <c r="F1" s="126"/>
      <c r="G1" s="126"/>
      <c r="H1" s="135"/>
      <c r="I1" s="135"/>
      <c r="J1" s="135"/>
      <c r="K1" s="135"/>
    </row>
    <row r="2" spans="1:11" ht="15.75" thickTop="1">
      <c r="A2" s="251" t="s">
        <v>197</v>
      </c>
      <c r="B2" s="246" t="s">
        <v>198</v>
      </c>
      <c r="C2" s="212" t="s">
        <v>1</v>
      </c>
      <c r="D2" s="244"/>
      <c r="E2" s="244"/>
      <c r="F2" s="244"/>
      <c r="G2" s="245"/>
      <c r="H2" s="143"/>
      <c r="I2" s="135"/>
      <c r="J2" s="135"/>
      <c r="K2" s="135"/>
    </row>
    <row r="3" spans="1:11" ht="25.5">
      <c r="A3" s="252"/>
      <c r="B3" s="245"/>
      <c r="C3" s="48" t="s">
        <v>2</v>
      </c>
      <c r="D3" s="48" t="s">
        <v>3</v>
      </c>
      <c r="E3" s="48" t="s">
        <v>278</v>
      </c>
      <c r="F3" s="48">
        <v>2024</v>
      </c>
      <c r="G3" s="79">
        <v>2025</v>
      </c>
      <c r="H3" s="80">
        <v>2026</v>
      </c>
      <c r="I3" s="80">
        <v>2027</v>
      </c>
      <c r="J3" s="135"/>
      <c r="K3" s="135"/>
    </row>
    <row r="4" spans="1:11" ht="15">
      <c r="A4" s="136">
        <v>1</v>
      </c>
      <c r="B4" s="127">
        <v>2</v>
      </c>
      <c r="C4" s="127">
        <v>3</v>
      </c>
      <c r="D4" s="127">
        <v>4</v>
      </c>
      <c r="E4" s="127">
        <v>5</v>
      </c>
      <c r="F4" s="127">
        <v>6</v>
      </c>
      <c r="G4" s="128">
        <v>7</v>
      </c>
      <c r="H4" s="165"/>
      <c r="I4" s="140"/>
      <c r="J4" s="135"/>
      <c r="K4" s="135"/>
    </row>
    <row r="5" spans="1:11" ht="45" customHeight="1">
      <c r="A5" s="141" t="s">
        <v>263</v>
      </c>
      <c r="B5" s="139"/>
      <c r="C5" s="158"/>
      <c r="D5" s="158"/>
      <c r="E5" s="158"/>
      <c r="F5" s="158"/>
      <c r="G5" s="160"/>
      <c r="H5" s="166"/>
      <c r="I5" s="166"/>
      <c r="J5" s="135" t="s">
        <v>202</v>
      </c>
      <c r="K5" s="135"/>
    </row>
    <row r="6" spans="1:11" ht="15">
      <c r="A6" s="51" t="s">
        <v>264</v>
      </c>
      <c r="B6" s="146"/>
      <c r="C6" s="159"/>
      <c r="D6" s="159"/>
      <c r="E6" s="159"/>
      <c r="F6" s="159"/>
      <c r="G6" s="161"/>
      <c r="H6" s="166"/>
      <c r="I6" s="166"/>
      <c r="J6" s="135"/>
      <c r="K6" s="135"/>
    </row>
    <row r="7" spans="1:11" ht="30" customHeight="1">
      <c r="A7" s="141" t="s">
        <v>265</v>
      </c>
      <c r="B7" s="152"/>
      <c r="C7" s="152"/>
      <c r="D7" s="152"/>
      <c r="E7" s="152"/>
      <c r="F7" s="152"/>
      <c r="G7" s="162"/>
      <c r="H7" s="166"/>
      <c r="I7" s="166"/>
      <c r="J7" s="135"/>
      <c r="K7" s="135"/>
    </row>
    <row r="8" spans="1:11" ht="30.75" customHeight="1">
      <c r="A8" s="141" t="s">
        <v>266</v>
      </c>
      <c r="B8" s="249"/>
      <c r="C8" s="250"/>
      <c r="D8" s="250"/>
      <c r="E8" s="250"/>
      <c r="F8" s="250"/>
      <c r="G8" s="250"/>
      <c r="H8" s="165"/>
      <c r="I8" s="140"/>
      <c r="J8" s="135"/>
      <c r="K8" s="135"/>
    </row>
    <row r="9" spans="1:11" ht="20.25" customHeight="1">
      <c r="A9" s="141" t="s">
        <v>267</v>
      </c>
      <c r="B9" s="152"/>
      <c r="C9" s="152"/>
      <c r="D9" s="152"/>
      <c r="E9" s="152"/>
      <c r="F9" s="152"/>
      <c r="G9" s="162"/>
      <c r="H9" s="166"/>
      <c r="I9" s="166"/>
      <c r="J9" s="135"/>
      <c r="K9" s="135"/>
    </row>
    <row r="10" spans="1:11" ht="29.25" customHeight="1">
      <c r="A10" s="141" t="s">
        <v>268</v>
      </c>
      <c r="B10" s="158"/>
      <c r="C10" s="158"/>
      <c r="D10" s="158"/>
      <c r="E10" s="158"/>
      <c r="F10" s="158"/>
      <c r="G10" s="160"/>
      <c r="H10" s="166"/>
      <c r="I10" s="166"/>
      <c r="J10" s="135"/>
      <c r="K10" s="135"/>
    </row>
    <row r="11" spans="1:11" ht="30">
      <c r="A11" s="141" t="s">
        <v>269</v>
      </c>
      <c r="B11" s="152"/>
      <c r="C11" s="152"/>
      <c r="D11" s="152"/>
      <c r="E11" s="152"/>
      <c r="F11" s="152"/>
      <c r="G11" s="162"/>
      <c r="H11" s="166"/>
      <c r="I11" s="166"/>
      <c r="J11" s="135"/>
      <c r="K11" s="135"/>
    </row>
    <row r="12" spans="1:11" ht="32.25" customHeight="1">
      <c r="A12" s="141" t="s">
        <v>270</v>
      </c>
      <c r="B12" s="249"/>
      <c r="C12" s="250"/>
      <c r="D12" s="250"/>
      <c r="E12" s="250"/>
      <c r="F12" s="250"/>
      <c r="G12" s="250"/>
      <c r="H12" s="165"/>
      <c r="I12" s="140"/>
      <c r="J12" s="135"/>
      <c r="K12" s="135"/>
    </row>
    <row r="13" spans="1:11" ht="26.25">
      <c r="A13" s="51" t="s">
        <v>271</v>
      </c>
      <c r="B13" s="159"/>
      <c r="C13" s="146"/>
      <c r="D13" s="146"/>
      <c r="E13" s="146"/>
      <c r="F13" s="146"/>
      <c r="G13" s="163"/>
      <c r="H13" s="165"/>
      <c r="I13" s="140"/>
      <c r="J13" s="135"/>
      <c r="K13" s="135"/>
    </row>
    <row r="14" spans="1:11" ht="20.25" customHeight="1">
      <c r="A14" s="51" t="s">
        <v>272</v>
      </c>
      <c r="B14" s="139"/>
      <c r="C14" s="152"/>
      <c r="D14" s="152"/>
      <c r="E14" s="152"/>
      <c r="F14" s="152"/>
      <c r="G14" s="162"/>
      <c r="H14" s="166"/>
      <c r="I14" s="166"/>
      <c r="J14" s="135"/>
      <c r="K14" s="135"/>
    </row>
    <row r="15" spans="1:11" ht="26.25">
      <c r="A15" s="51" t="s">
        <v>273</v>
      </c>
      <c r="B15" s="152"/>
      <c r="C15" s="139"/>
      <c r="D15" s="139"/>
      <c r="E15" s="139"/>
      <c r="F15" s="139"/>
      <c r="G15" s="134"/>
      <c r="H15" s="165"/>
      <c r="I15" s="140"/>
      <c r="J15" s="135"/>
      <c r="K15" s="135"/>
    </row>
    <row r="16" spans="1:11" ht="15">
      <c r="A16" s="51" t="s">
        <v>274</v>
      </c>
      <c r="B16" s="152"/>
      <c r="C16" s="139"/>
      <c r="D16" s="139"/>
      <c r="E16" s="139"/>
      <c r="F16" s="139"/>
      <c r="G16" s="134"/>
      <c r="H16" s="165"/>
      <c r="I16" s="140"/>
      <c r="J16" s="135"/>
      <c r="K16" s="135"/>
    </row>
    <row r="17" spans="1:11" ht="15">
      <c r="A17" s="51" t="s">
        <v>275</v>
      </c>
      <c r="B17" s="139"/>
      <c r="C17" s="152"/>
      <c r="D17" s="152"/>
      <c r="E17" s="152"/>
      <c r="F17" s="152"/>
      <c r="G17" s="162"/>
      <c r="H17" s="166"/>
      <c r="I17" s="166"/>
      <c r="J17" s="135"/>
      <c r="K17" s="135"/>
    </row>
    <row r="18" spans="1:11" ht="15">
      <c r="A18" s="51" t="s">
        <v>276</v>
      </c>
      <c r="B18" s="139"/>
      <c r="C18" s="153"/>
      <c r="D18" s="153"/>
      <c r="E18" s="153"/>
      <c r="F18" s="153"/>
      <c r="G18" s="164"/>
      <c r="H18" s="166"/>
      <c r="I18" s="166"/>
      <c r="J18" s="135"/>
      <c r="K18" s="135"/>
    </row>
    <row r="19" spans="1:11" ht="15">
      <c r="A19" s="51" t="s">
        <v>277</v>
      </c>
      <c r="B19" s="139"/>
      <c r="C19" s="153"/>
      <c r="D19" s="153"/>
      <c r="E19" s="153"/>
      <c r="F19" s="153"/>
      <c r="G19" s="164"/>
      <c r="H19" s="166"/>
      <c r="I19" s="166"/>
      <c r="J19" s="135"/>
      <c r="K19" s="135"/>
    </row>
  </sheetData>
  <mergeCells count="5">
    <mergeCell ref="A2:A3"/>
    <mergeCell ref="B2:B3"/>
    <mergeCell ref="C2:G2"/>
    <mergeCell ref="B8:G8"/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selection activeCell="C20" sqref="C20"/>
    </sheetView>
  </sheetViews>
  <sheetFormatPr defaultColWidth="12.5703125" defaultRowHeight="15.75" customHeight="1"/>
  <cols>
    <col min="1" max="1" width="52.140625" customWidth="1"/>
    <col min="2" max="2" width="18.85546875" customWidth="1"/>
    <col min="3" max="3" width="14.7109375" customWidth="1"/>
    <col min="4" max="4" width="16.7109375" customWidth="1"/>
    <col min="5" max="5" width="15.28515625" customWidth="1"/>
  </cols>
  <sheetData>
    <row r="1" spans="1:10">
      <c r="A1" s="23" t="s">
        <v>39</v>
      </c>
      <c r="B1" s="23"/>
      <c r="C1" s="23"/>
      <c r="D1" s="23"/>
      <c r="E1" s="24"/>
      <c r="F1" s="24"/>
      <c r="G1" s="24"/>
      <c r="H1" s="25"/>
      <c r="I1" s="25"/>
      <c r="J1" s="26"/>
    </row>
    <row r="2" spans="1:10">
      <c r="A2" s="181" t="s">
        <v>40</v>
      </c>
      <c r="B2" s="183" t="s">
        <v>41</v>
      </c>
      <c r="C2" s="184" t="s">
        <v>1</v>
      </c>
      <c r="D2" s="179"/>
      <c r="E2" s="179"/>
      <c r="F2" s="179"/>
      <c r="G2" s="179"/>
      <c r="H2" s="179"/>
      <c r="I2" s="175"/>
      <c r="J2" s="26"/>
    </row>
    <row r="3" spans="1:10">
      <c r="A3" s="182"/>
      <c r="B3" s="182"/>
      <c r="C3" s="184">
        <v>2023</v>
      </c>
      <c r="D3" s="179"/>
      <c r="E3" s="175"/>
      <c r="F3" s="27">
        <v>2024</v>
      </c>
      <c r="G3" s="27">
        <v>2025</v>
      </c>
      <c r="H3" s="27">
        <v>2026</v>
      </c>
      <c r="I3" s="27">
        <v>2027</v>
      </c>
      <c r="J3" s="26"/>
    </row>
    <row r="4" spans="1:10">
      <c r="A4" s="27"/>
      <c r="B4" s="27"/>
      <c r="C4" s="28" t="s">
        <v>42</v>
      </c>
      <c r="D4" s="28" t="s">
        <v>43</v>
      </c>
      <c r="E4" s="28" t="s">
        <v>44</v>
      </c>
      <c r="F4" s="27"/>
      <c r="G4" s="27"/>
      <c r="H4" s="25"/>
      <c r="I4" s="25"/>
      <c r="J4" s="26"/>
    </row>
    <row r="5" spans="1:10">
      <c r="A5" s="29" t="s">
        <v>45</v>
      </c>
      <c r="B5" s="30"/>
      <c r="C5" s="30"/>
      <c r="D5" s="30"/>
      <c r="E5" s="30"/>
      <c r="F5" s="30"/>
      <c r="G5" s="30"/>
      <c r="H5" s="25"/>
      <c r="I5" s="25"/>
      <c r="J5" s="26"/>
    </row>
    <row r="6" spans="1:10">
      <c r="A6" s="31" t="s">
        <v>46</v>
      </c>
      <c r="B6" s="24"/>
      <c r="C6" s="32">
        <v>3000</v>
      </c>
      <c r="D6" s="32">
        <v>3000</v>
      </c>
      <c r="E6" s="32">
        <v>3000</v>
      </c>
      <c r="F6" s="32">
        <v>3000</v>
      </c>
      <c r="G6" s="32">
        <v>3000</v>
      </c>
      <c r="H6" s="32">
        <v>3000</v>
      </c>
      <c r="I6" s="32">
        <v>3000</v>
      </c>
      <c r="J6" s="26"/>
    </row>
    <row r="7" spans="1:10">
      <c r="A7" s="31" t="s">
        <v>47</v>
      </c>
      <c r="B7" s="24"/>
      <c r="C7" s="32">
        <v>1500</v>
      </c>
      <c r="D7" s="32">
        <v>1500</v>
      </c>
      <c r="E7" s="32">
        <v>1500</v>
      </c>
      <c r="F7" s="32">
        <v>1500</v>
      </c>
      <c r="G7" s="32">
        <v>1500</v>
      </c>
      <c r="H7" s="32">
        <v>1500</v>
      </c>
      <c r="I7" s="32">
        <v>1500</v>
      </c>
      <c r="J7" s="26"/>
    </row>
    <row r="8" spans="1:10">
      <c r="A8" s="31" t="s">
        <v>48</v>
      </c>
      <c r="B8" s="24"/>
      <c r="C8" s="32">
        <v>1500</v>
      </c>
      <c r="D8" s="32">
        <v>1500</v>
      </c>
      <c r="E8" s="32">
        <v>1500</v>
      </c>
      <c r="F8" s="32">
        <v>1500</v>
      </c>
      <c r="G8" s="32">
        <v>1500</v>
      </c>
      <c r="H8" s="32">
        <v>1500</v>
      </c>
      <c r="I8" s="32">
        <v>1500</v>
      </c>
      <c r="J8" s="26"/>
    </row>
    <row r="9" spans="1:10">
      <c r="A9" s="31" t="s">
        <v>49</v>
      </c>
      <c r="B9" s="24"/>
      <c r="C9" s="32">
        <v>3500</v>
      </c>
      <c r="D9" s="32">
        <v>3500</v>
      </c>
      <c r="E9" s="32">
        <v>3500</v>
      </c>
      <c r="F9" s="32">
        <v>3500</v>
      </c>
      <c r="G9" s="32">
        <v>3500</v>
      </c>
      <c r="H9" s="32">
        <v>3500</v>
      </c>
      <c r="I9" s="32">
        <v>3500</v>
      </c>
      <c r="J9" s="26"/>
    </row>
    <row r="10" spans="1:10">
      <c r="A10" s="31" t="s">
        <v>50</v>
      </c>
      <c r="B10" s="24"/>
      <c r="C10" s="32">
        <v>1200</v>
      </c>
      <c r="D10" s="32">
        <v>1200</v>
      </c>
      <c r="E10" s="32">
        <v>1200</v>
      </c>
      <c r="F10" s="32">
        <v>1200</v>
      </c>
      <c r="G10" s="32">
        <v>1200</v>
      </c>
      <c r="H10" s="32">
        <v>1200</v>
      </c>
      <c r="I10" s="32">
        <v>1200</v>
      </c>
      <c r="J10" s="26"/>
    </row>
    <row r="11" spans="1:10">
      <c r="A11" s="31" t="s">
        <v>51</v>
      </c>
      <c r="B11" s="24"/>
      <c r="C11" s="32">
        <v>3000</v>
      </c>
      <c r="D11" s="32">
        <v>3000</v>
      </c>
      <c r="E11" s="32">
        <v>3000</v>
      </c>
      <c r="F11" s="32">
        <v>3000</v>
      </c>
      <c r="G11" s="32">
        <v>3000</v>
      </c>
      <c r="H11" s="32">
        <v>3000</v>
      </c>
      <c r="I11" s="32">
        <v>3000</v>
      </c>
      <c r="J11" s="26"/>
    </row>
    <row r="12" spans="1:10">
      <c r="A12" s="29" t="s">
        <v>52</v>
      </c>
      <c r="B12" s="30"/>
      <c r="C12" s="30"/>
      <c r="D12" s="30"/>
      <c r="E12" s="30"/>
      <c r="F12" s="30"/>
      <c r="G12" s="30"/>
      <c r="H12" s="25"/>
      <c r="I12" s="25"/>
      <c r="J12" s="26"/>
    </row>
    <row r="13" spans="1:10">
      <c r="A13" s="31" t="s">
        <v>53</v>
      </c>
      <c r="B13" s="33">
        <v>20</v>
      </c>
      <c r="C13" s="32">
        <v>150</v>
      </c>
      <c r="D13" s="32">
        <v>150</v>
      </c>
      <c r="E13" s="32">
        <v>300</v>
      </c>
      <c r="F13" s="32">
        <v>600</v>
      </c>
      <c r="G13" s="32">
        <v>600</v>
      </c>
      <c r="H13" s="32">
        <v>600</v>
      </c>
      <c r="I13" s="32">
        <v>600</v>
      </c>
      <c r="J13" s="26"/>
    </row>
    <row r="14" spans="1:10">
      <c r="A14" s="31" t="s">
        <v>54</v>
      </c>
      <c r="B14" s="33">
        <v>20</v>
      </c>
      <c r="C14" s="32">
        <v>75</v>
      </c>
      <c r="D14" s="32">
        <v>75</v>
      </c>
      <c r="E14" s="32">
        <v>150</v>
      </c>
      <c r="F14" s="32">
        <v>300</v>
      </c>
      <c r="G14" s="32">
        <v>300</v>
      </c>
      <c r="H14" s="32">
        <v>300</v>
      </c>
      <c r="I14" s="32">
        <v>300</v>
      </c>
      <c r="J14" s="26"/>
    </row>
    <row r="15" spans="1:10">
      <c r="A15" s="31" t="s">
        <v>55</v>
      </c>
      <c r="B15" s="33">
        <v>20</v>
      </c>
      <c r="C15" s="32">
        <v>75</v>
      </c>
      <c r="D15" s="32">
        <v>75</v>
      </c>
      <c r="E15" s="32">
        <v>150</v>
      </c>
      <c r="F15" s="32">
        <v>300</v>
      </c>
      <c r="G15" s="32">
        <v>300</v>
      </c>
      <c r="H15" s="32">
        <v>300</v>
      </c>
      <c r="I15" s="32">
        <v>300</v>
      </c>
      <c r="J15" s="26"/>
    </row>
    <row r="16" spans="1:10">
      <c r="A16" s="31" t="s">
        <v>56</v>
      </c>
      <c r="B16" s="33">
        <v>20</v>
      </c>
      <c r="C16" s="32">
        <v>175</v>
      </c>
      <c r="D16" s="32">
        <v>175</v>
      </c>
      <c r="E16" s="32">
        <v>350</v>
      </c>
      <c r="F16" s="32">
        <v>700</v>
      </c>
      <c r="G16" s="32">
        <v>700</v>
      </c>
      <c r="H16" s="32">
        <v>700</v>
      </c>
      <c r="I16" s="32">
        <v>700</v>
      </c>
      <c r="J16" s="26"/>
    </row>
    <row r="17" spans="1:10">
      <c r="A17" s="31" t="s">
        <v>57</v>
      </c>
      <c r="B17" s="33">
        <v>20</v>
      </c>
      <c r="C17" s="32">
        <v>60</v>
      </c>
      <c r="D17" s="32">
        <v>60</v>
      </c>
      <c r="E17" s="32">
        <v>120</v>
      </c>
      <c r="F17" s="32">
        <v>240</v>
      </c>
      <c r="G17" s="32">
        <v>240</v>
      </c>
      <c r="H17" s="32">
        <v>240</v>
      </c>
      <c r="I17" s="32">
        <v>240</v>
      </c>
      <c r="J17" s="26"/>
    </row>
    <row r="18" spans="1:10">
      <c r="A18" s="31" t="s">
        <v>58</v>
      </c>
      <c r="B18" s="33">
        <v>20</v>
      </c>
      <c r="C18" s="32">
        <v>150</v>
      </c>
      <c r="D18" s="32">
        <v>150</v>
      </c>
      <c r="E18" s="32">
        <v>300</v>
      </c>
      <c r="F18" s="32">
        <v>600</v>
      </c>
      <c r="G18" s="32">
        <v>600</v>
      </c>
      <c r="H18" s="32">
        <v>600</v>
      </c>
      <c r="I18" s="32">
        <v>600</v>
      </c>
      <c r="J18" s="26"/>
    </row>
    <row r="19" spans="1:10">
      <c r="A19" s="29"/>
      <c r="B19" s="29"/>
      <c r="C19" s="29"/>
      <c r="D19" s="29"/>
      <c r="E19" s="29"/>
      <c r="F19" s="29"/>
      <c r="G19" s="29"/>
      <c r="H19" s="29"/>
      <c r="I19" s="29"/>
      <c r="J19" s="26"/>
    </row>
    <row r="20" spans="1:10">
      <c r="A20" s="29" t="s">
        <v>59</v>
      </c>
      <c r="B20" s="30"/>
      <c r="C20" s="34">
        <v>13700</v>
      </c>
      <c r="D20" s="34">
        <v>13700</v>
      </c>
      <c r="E20" s="34">
        <v>13700</v>
      </c>
      <c r="F20" s="34">
        <v>13700</v>
      </c>
      <c r="G20" s="34">
        <v>13700</v>
      </c>
      <c r="H20" s="34">
        <v>13700</v>
      </c>
      <c r="I20" s="34">
        <v>13700</v>
      </c>
      <c r="J20" s="26"/>
    </row>
    <row r="21" spans="1:10">
      <c r="A21" s="29" t="s">
        <v>60</v>
      </c>
      <c r="B21" s="30"/>
      <c r="C21" s="34">
        <v>685</v>
      </c>
      <c r="D21" s="34">
        <v>685</v>
      </c>
      <c r="E21" s="34">
        <v>1370</v>
      </c>
      <c r="F21" s="34">
        <v>2740</v>
      </c>
      <c r="G21" s="34">
        <v>2740</v>
      </c>
      <c r="H21" s="34">
        <v>2740</v>
      </c>
      <c r="I21" s="34">
        <v>2740</v>
      </c>
      <c r="J21" s="26"/>
    </row>
    <row r="22" spans="1:10">
      <c r="A22" s="29" t="s">
        <v>61</v>
      </c>
      <c r="B22" s="30"/>
      <c r="C22" s="34">
        <v>685</v>
      </c>
      <c r="D22" s="34">
        <v>1370</v>
      </c>
      <c r="E22" s="34">
        <v>2740</v>
      </c>
      <c r="F22" s="34">
        <v>5480</v>
      </c>
      <c r="G22" s="34">
        <v>8220</v>
      </c>
      <c r="H22" s="35">
        <v>10960</v>
      </c>
      <c r="I22" s="35">
        <v>13700</v>
      </c>
      <c r="J22" s="26"/>
    </row>
    <row r="23" spans="1:10">
      <c r="A23" s="29" t="s">
        <v>62</v>
      </c>
      <c r="B23" s="30"/>
      <c r="C23" s="34">
        <v>13015</v>
      </c>
      <c r="D23" s="34">
        <v>12330</v>
      </c>
      <c r="E23" s="34">
        <v>10960</v>
      </c>
      <c r="F23" s="34">
        <v>8220</v>
      </c>
      <c r="G23" s="34">
        <v>5480</v>
      </c>
      <c r="H23" s="35">
        <v>2740</v>
      </c>
      <c r="I23" s="35">
        <v>0</v>
      </c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>
      <c r="A28" s="26"/>
      <c r="B28" s="26"/>
      <c r="C28" s="26"/>
      <c r="D28" s="26"/>
      <c r="E28" s="26"/>
      <c r="F28" s="26"/>
      <c r="G28" s="26"/>
      <c r="H28" s="26"/>
      <c r="I28" s="26"/>
      <c r="J28" s="26"/>
    </row>
  </sheetData>
  <mergeCells count="4">
    <mergeCell ref="A2:A3"/>
    <mergeCell ref="B2:B3"/>
    <mergeCell ref="C2:I2"/>
    <mergeCell ref="C3:E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5"/>
  <sheetViews>
    <sheetView zoomScale="85" zoomScaleNormal="85" workbookViewId="0">
      <selection activeCell="D9" sqref="D9"/>
    </sheetView>
  </sheetViews>
  <sheetFormatPr defaultColWidth="12.5703125" defaultRowHeight="15.75" customHeight="1"/>
  <cols>
    <col min="1" max="1" width="22.140625" customWidth="1"/>
    <col min="2" max="2" width="8.5703125" customWidth="1"/>
    <col min="3" max="3" width="12.140625" customWidth="1"/>
    <col min="4" max="4" width="10.7109375" customWidth="1"/>
    <col min="5" max="5" width="10.140625" customWidth="1"/>
    <col min="6" max="7" width="10.7109375" customWidth="1"/>
    <col min="8" max="8" width="8.5703125" customWidth="1"/>
    <col min="9" max="9" width="9.42578125" customWidth="1"/>
    <col min="10" max="10" width="10.5703125" customWidth="1"/>
    <col min="11" max="11" width="9.42578125" customWidth="1"/>
    <col min="12" max="12" width="9.140625" customWidth="1"/>
    <col min="13" max="13" width="10.28515625" customWidth="1"/>
    <col min="14" max="14" width="8.7109375" customWidth="1"/>
    <col min="15" max="15" width="10" customWidth="1"/>
    <col min="16" max="16" width="9.7109375" customWidth="1"/>
    <col min="17" max="17" width="8.140625" customWidth="1"/>
    <col min="18" max="18" width="8.42578125" customWidth="1"/>
    <col min="19" max="19" width="9.85546875" customWidth="1"/>
    <col min="20" max="20" width="9.42578125" customWidth="1"/>
    <col min="21" max="21" width="8.5703125" customWidth="1"/>
    <col min="22" max="22" width="9.5703125" customWidth="1"/>
  </cols>
  <sheetData>
    <row r="1" spans="1:22" ht="15.75" customHeight="1">
      <c r="A1" s="202" t="s">
        <v>63</v>
      </c>
      <c r="B1" s="203"/>
      <c r="C1" s="203"/>
      <c r="D1" s="203"/>
      <c r="E1" s="203"/>
    </row>
    <row r="3" spans="1:22" ht="15.75" customHeight="1">
      <c r="A3" s="204" t="s">
        <v>64</v>
      </c>
      <c r="B3" s="188" t="s">
        <v>1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</row>
    <row r="4" spans="1:22" ht="15.75" customHeight="1">
      <c r="A4" s="205"/>
      <c r="B4" s="199">
        <v>2023</v>
      </c>
      <c r="C4" s="200"/>
      <c r="D4" s="200"/>
      <c r="E4" s="200"/>
      <c r="F4" s="200"/>
      <c r="G4" s="200"/>
      <c r="H4" s="200"/>
      <c r="I4" s="200"/>
      <c r="J4" s="201"/>
      <c r="K4" s="189">
        <v>2024</v>
      </c>
      <c r="L4" s="190"/>
      <c r="M4" s="191"/>
      <c r="N4" s="189">
        <v>2025</v>
      </c>
      <c r="O4" s="190"/>
      <c r="P4" s="191"/>
      <c r="Q4" s="185">
        <v>2026</v>
      </c>
      <c r="R4" s="186"/>
      <c r="S4" s="187"/>
      <c r="T4" s="185">
        <v>2027</v>
      </c>
      <c r="U4" s="186"/>
      <c r="V4" s="187"/>
    </row>
    <row r="5" spans="1:22" ht="15.75" customHeight="1">
      <c r="A5" s="205"/>
      <c r="B5" s="192" t="s">
        <v>42</v>
      </c>
      <c r="C5" s="193"/>
      <c r="D5" s="194"/>
      <c r="E5" s="192" t="s">
        <v>43</v>
      </c>
      <c r="F5" s="193"/>
      <c r="G5" s="195"/>
      <c r="H5" s="196" t="s">
        <v>44</v>
      </c>
      <c r="I5" s="197"/>
      <c r="J5" s="198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22" ht="23.25" customHeight="1">
      <c r="A6" s="206"/>
      <c r="B6" s="37" t="s">
        <v>65</v>
      </c>
      <c r="C6" s="37" t="s">
        <v>66</v>
      </c>
      <c r="D6" s="37" t="s">
        <v>67</v>
      </c>
      <c r="E6" s="37" t="s">
        <v>65</v>
      </c>
      <c r="F6" s="37" t="s">
        <v>66</v>
      </c>
      <c r="G6" s="38" t="s">
        <v>67</v>
      </c>
      <c r="H6" s="37" t="s">
        <v>65</v>
      </c>
      <c r="I6" s="37" t="s">
        <v>66</v>
      </c>
      <c r="J6" s="38" t="s">
        <v>67</v>
      </c>
      <c r="K6" s="37" t="s">
        <v>65</v>
      </c>
      <c r="L6" s="37" t="s">
        <v>66</v>
      </c>
      <c r="M6" s="38" t="s">
        <v>67</v>
      </c>
      <c r="N6" s="37" t="s">
        <v>65</v>
      </c>
      <c r="O6" s="38" t="s">
        <v>66</v>
      </c>
      <c r="P6" s="41" t="s">
        <v>67</v>
      </c>
      <c r="Q6" s="37" t="s">
        <v>65</v>
      </c>
      <c r="R6" s="37" t="s">
        <v>66</v>
      </c>
      <c r="S6" s="38" t="s">
        <v>67</v>
      </c>
      <c r="T6" s="37" t="s">
        <v>65</v>
      </c>
      <c r="U6" s="38" t="s">
        <v>66</v>
      </c>
      <c r="V6" s="41" t="s">
        <v>67</v>
      </c>
    </row>
    <row r="7" spans="1:22" ht="15.75" customHeight="1">
      <c r="A7" s="46" t="s">
        <v>68</v>
      </c>
      <c r="B7" s="36"/>
      <c r="C7" s="36"/>
      <c r="D7" s="36"/>
      <c r="E7" s="36"/>
      <c r="F7" s="36"/>
      <c r="G7" s="36"/>
      <c r="H7" s="42"/>
      <c r="I7" s="39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spans="1:22" ht="15.75" customHeight="1">
      <c r="A8" s="44" t="s">
        <v>71</v>
      </c>
      <c r="B8" s="32">
        <v>1</v>
      </c>
      <c r="C8" s="32">
        <v>2400</v>
      </c>
      <c r="D8" s="32">
        <f>C8*B8</f>
        <v>2400</v>
      </c>
      <c r="E8" s="32">
        <v>1</v>
      </c>
      <c r="F8" s="32">
        <v>2400</v>
      </c>
      <c r="G8" s="32">
        <f>F8*E8</f>
        <v>2400</v>
      </c>
      <c r="H8" s="32">
        <v>1</v>
      </c>
      <c r="I8" s="39">
        <f>F8*2</f>
        <v>4800</v>
      </c>
      <c r="J8" s="40">
        <f>G8*2</f>
        <v>4800</v>
      </c>
      <c r="K8" s="32">
        <v>1</v>
      </c>
      <c r="L8" s="40">
        <f>800*12</f>
        <v>9600</v>
      </c>
      <c r="M8" s="40">
        <f>L8*K8*1.08</f>
        <v>10368</v>
      </c>
      <c r="N8" s="32">
        <v>1</v>
      </c>
      <c r="O8" s="40">
        <f>800*12</f>
        <v>9600</v>
      </c>
      <c r="P8" s="40">
        <f>M8*1.08</f>
        <v>11197.44</v>
      </c>
      <c r="Q8" s="32">
        <v>1</v>
      </c>
      <c r="R8" s="40">
        <f>800*12</f>
        <v>9600</v>
      </c>
      <c r="S8" s="40">
        <f>P8*1.08</f>
        <v>12093.235200000001</v>
      </c>
      <c r="T8" s="32">
        <v>1</v>
      </c>
      <c r="U8" s="40">
        <f>800*12</f>
        <v>9600</v>
      </c>
      <c r="V8" s="40">
        <f>S8*1.08</f>
        <v>13060.694016000001</v>
      </c>
    </row>
    <row r="9" spans="1:22" ht="15.75" customHeight="1">
      <c r="A9" s="44" t="s">
        <v>72</v>
      </c>
      <c r="B9" s="32">
        <v>3</v>
      </c>
      <c r="C9" s="47">
        <f>457*3</f>
        <v>1371</v>
      </c>
      <c r="D9" s="32">
        <f t="shared" ref="D9:D14" si="0">C9*B9</f>
        <v>4113</v>
      </c>
      <c r="E9" s="32">
        <v>3</v>
      </c>
      <c r="F9" s="47">
        <f>457*3</f>
        <v>1371</v>
      </c>
      <c r="G9" s="32">
        <f t="shared" ref="G9:G14" si="1">F9*E9</f>
        <v>4113</v>
      </c>
      <c r="H9" s="32">
        <v>3</v>
      </c>
      <c r="I9" s="39">
        <f t="shared" ref="I9:I14" si="2">F9*2</f>
        <v>2742</v>
      </c>
      <c r="J9" s="40">
        <f t="shared" ref="J9:J14" si="3">G9*2</f>
        <v>8226</v>
      </c>
      <c r="K9" s="32">
        <v>3</v>
      </c>
      <c r="L9" s="40">
        <f>457*12</f>
        <v>5484</v>
      </c>
      <c r="M9" s="40">
        <f t="shared" ref="M9:M14" si="4">L9*K9*1.08</f>
        <v>17768.16</v>
      </c>
      <c r="N9" s="32">
        <v>3</v>
      </c>
      <c r="O9" s="40">
        <f>457*12</f>
        <v>5484</v>
      </c>
      <c r="P9" s="40">
        <f t="shared" ref="P9:P15" si="5">M9*1.08</f>
        <v>19189.612800000003</v>
      </c>
      <c r="Q9" s="32">
        <v>3</v>
      </c>
      <c r="R9" s="40">
        <f>457*12</f>
        <v>5484</v>
      </c>
      <c r="S9" s="40">
        <f t="shared" ref="S9:S15" si="6">P9*1.08</f>
        <v>20724.781824000005</v>
      </c>
      <c r="T9" s="32">
        <v>3</v>
      </c>
      <c r="U9" s="40">
        <f>457*12</f>
        <v>5484</v>
      </c>
      <c r="V9" s="40">
        <f t="shared" ref="V9:V15" si="7">S9*1.08</f>
        <v>22382.764369920005</v>
      </c>
    </row>
    <row r="10" spans="1:22" ht="15.75" customHeight="1">
      <c r="A10" s="44" t="s">
        <v>73</v>
      </c>
      <c r="B10" s="32">
        <v>1</v>
      </c>
      <c r="C10" s="32">
        <f>258*3</f>
        <v>774</v>
      </c>
      <c r="D10" s="32">
        <f t="shared" si="0"/>
        <v>774</v>
      </c>
      <c r="E10" s="32">
        <v>1</v>
      </c>
      <c r="F10" s="32">
        <f>258*3</f>
        <v>774</v>
      </c>
      <c r="G10" s="32">
        <f t="shared" si="1"/>
        <v>774</v>
      </c>
      <c r="H10" s="32">
        <v>1</v>
      </c>
      <c r="I10" s="39">
        <f t="shared" si="2"/>
        <v>1548</v>
      </c>
      <c r="J10" s="40">
        <f t="shared" si="3"/>
        <v>1548</v>
      </c>
      <c r="K10" s="32">
        <v>1</v>
      </c>
      <c r="L10" s="40">
        <f>258*12</f>
        <v>3096</v>
      </c>
      <c r="M10" s="40">
        <f t="shared" si="4"/>
        <v>3343.6800000000003</v>
      </c>
      <c r="N10" s="32">
        <v>1</v>
      </c>
      <c r="O10" s="40">
        <f>258*12</f>
        <v>3096</v>
      </c>
      <c r="P10" s="40">
        <f t="shared" si="5"/>
        <v>3611.1744000000003</v>
      </c>
      <c r="Q10" s="32">
        <v>1</v>
      </c>
      <c r="R10" s="40">
        <f>258*12</f>
        <v>3096</v>
      </c>
      <c r="S10" s="40">
        <f t="shared" si="6"/>
        <v>3900.0683520000007</v>
      </c>
      <c r="T10" s="32">
        <v>1</v>
      </c>
      <c r="U10" s="40">
        <f>258*12</f>
        <v>3096</v>
      </c>
      <c r="V10" s="40">
        <f t="shared" si="7"/>
        <v>4212.0738201600007</v>
      </c>
    </row>
    <row r="11" spans="1:22" ht="15.75" customHeight="1">
      <c r="A11" s="44" t="s">
        <v>74</v>
      </c>
      <c r="B11" s="32">
        <v>1</v>
      </c>
      <c r="C11" s="32">
        <v>2300</v>
      </c>
      <c r="D11" s="32">
        <f t="shared" si="0"/>
        <v>2300</v>
      </c>
      <c r="E11" s="32">
        <v>1</v>
      </c>
      <c r="F11" s="32">
        <v>2300</v>
      </c>
      <c r="G11" s="32">
        <f t="shared" si="1"/>
        <v>2300</v>
      </c>
      <c r="H11" s="32">
        <v>1</v>
      </c>
      <c r="I11" s="39">
        <f t="shared" si="2"/>
        <v>4600</v>
      </c>
      <c r="J11" s="40">
        <f t="shared" si="3"/>
        <v>4600</v>
      </c>
      <c r="K11" s="32">
        <v>1</v>
      </c>
      <c r="L11" s="40">
        <f>767*12</f>
        <v>9204</v>
      </c>
      <c r="M11" s="40">
        <f t="shared" si="4"/>
        <v>9940.3200000000015</v>
      </c>
      <c r="N11" s="32">
        <v>1</v>
      </c>
      <c r="O11" s="40">
        <f>767*12</f>
        <v>9204</v>
      </c>
      <c r="P11" s="40">
        <f t="shared" si="5"/>
        <v>10735.545600000003</v>
      </c>
      <c r="Q11" s="32">
        <v>1</v>
      </c>
      <c r="R11" s="40">
        <f>767*12</f>
        <v>9204</v>
      </c>
      <c r="S11" s="40">
        <f t="shared" si="6"/>
        <v>11594.389248000005</v>
      </c>
      <c r="T11" s="32">
        <v>1</v>
      </c>
      <c r="U11" s="40">
        <f>767*12</f>
        <v>9204</v>
      </c>
      <c r="V11" s="40">
        <f t="shared" si="7"/>
        <v>12521.940387840006</v>
      </c>
    </row>
    <row r="12" spans="1:22" ht="15.75" customHeight="1">
      <c r="A12" s="45" t="s">
        <v>69</v>
      </c>
      <c r="B12" s="30"/>
      <c r="C12" s="30"/>
      <c r="D12" s="32">
        <f t="shared" si="0"/>
        <v>0</v>
      </c>
      <c r="E12" s="30"/>
      <c r="F12" s="30"/>
      <c r="G12" s="32">
        <f t="shared" si="1"/>
        <v>0</v>
      </c>
      <c r="H12" s="30"/>
      <c r="I12" s="39">
        <f t="shared" si="2"/>
        <v>0</v>
      </c>
      <c r="J12" s="40">
        <f t="shared" si="3"/>
        <v>0</v>
      </c>
      <c r="K12" s="30"/>
      <c r="L12" s="40"/>
      <c r="M12" s="40">
        <f t="shared" si="4"/>
        <v>0</v>
      </c>
      <c r="N12" s="30"/>
      <c r="O12" s="40"/>
      <c r="P12" s="40">
        <f t="shared" si="5"/>
        <v>0</v>
      </c>
      <c r="Q12" s="30"/>
      <c r="R12" s="40"/>
      <c r="S12" s="40">
        <f t="shared" si="6"/>
        <v>0</v>
      </c>
      <c r="T12" s="30"/>
      <c r="U12" s="40"/>
      <c r="V12" s="40">
        <f t="shared" si="7"/>
        <v>0</v>
      </c>
    </row>
    <row r="13" spans="1:22" ht="15.75" customHeight="1">
      <c r="A13" s="44" t="s">
        <v>70</v>
      </c>
      <c r="B13" s="32">
        <v>1</v>
      </c>
      <c r="C13" s="32">
        <f>2000*3</f>
        <v>6000</v>
      </c>
      <c r="D13" s="32">
        <f t="shared" si="0"/>
        <v>6000</v>
      </c>
      <c r="E13" s="32">
        <v>1</v>
      </c>
      <c r="F13" s="32">
        <f>2000*3</f>
        <v>6000</v>
      </c>
      <c r="G13" s="32">
        <f t="shared" si="1"/>
        <v>6000</v>
      </c>
      <c r="H13" s="32">
        <v>1</v>
      </c>
      <c r="I13" s="39">
        <f t="shared" si="2"/>
        <v>12000</v>
      </c>
      <c r="J13" s="40">
        <f t="shared" si="3"/>
        <v>12000</v>
      </c>
      <c r="K13" s="32">
        <v>1</v>
      </c>
      <c r="L13" s="40">
        <f>2000*12</f>
        <v>24000</v>
      </c>
      <c r="M13" s="40">
        <f t="shared" si="4"/>
        <v>25920</v>
      </c>
      <c r="N13" s="32">
        <v>1</v>
      </c>
      <c r="O13" s="40">
        <f>2000*12</f>
        <v>24000</v>
      </c>
      <c r="P13" s="40">
        <f t="shared" si="5"/>
        <v>27993.600000000002</v>
      </c>
      <c r="Q13" s="32">
        <v>1</v>
      </c>
      <c r="R13" s="40">
        <f>2000*12</f>
        <v>24000</v>
      </c>
      <c r="S13" s="40">
        <f t="shared" si="6"/>
        <v>30233.088000000003</v>
      </c>
      <c r="T13" s="32">
        <v>1</v>
      </c>
      <c r="U13" s="40">
        <f>2000*12</f>
        <v>24000</v>
      </c>
      <c r="V13" s="40">
        <f t="shared" si="7"/>
        <v>32651.735040000007</v>
      </c>
    </row>
    <row r="14" spans="1:22" ht="15.75" customHeight="1">
      <c r="A14" s="44" t="s">
        <v>75</v>
      </c>
      <c r="B14" s="32">
        <v>1</v>
      </c>
      <c r="C14" s="32">
        <f>1500*3</f>
        <v>4500</v>
      </c>
      <c r="D14" s="32">
        <f t="shared" si="0"/>
        <v>4500</v>
      </c>
      <c r="E14" s="32">
        <v>1</v>
      </c>
      <c r="F14" s="32">
        <f>1500*3</f>
        <v>4500</v>
      </c>
      <c r="G14" s="32">
        <f t="shared" si="1"/>
        <v>4500</v>
      </c>
      <c r="H14" s="32">
        <v>1</v>
      </c>
      <c r="I14" s="39">
        <f t="shared" si="2"/>
        <v>9000</v>
      </c>
      <c r="J14" s="40">
        <f t="shared" si="3"/>
        <v>9000</v>
      </c>
      <c r="K14" s="32">
        <v>1</v>
      </c>
      <c r="L14" s="40">
        <f>1500*12</f>
        <v>18000</v>
      </c>
      <c r="M14" s="40">
        <f t="shared" si="4"/>
        <v>19440</v>
      </c>
      <c r="N14" s="32">
        <v>1</v>
      </c>
      <c r="O14" s="40">
        <f>1500*12</f>
        <v>18000</v>
      </c>
      <c r="P14" s="40">
        <f t="shared" si="5"/>
        <v>20995.200000000001</v>
      </c>
      <c r="Q14" s="32">
        <v>1</v>
      </c>
      <c r="R14" s="40">
        <f>1500*12</f>
        <v>18000</v>
      </c>
      <c r="S14" s="40">
        <f t="shared" si="6"/>
        <v>22674.816000000003</v>
      </c>
      <c r="T14" s="32">
        <v>1</v>
      </c>
      <c r="U14" s="40">
        <f>1500*12</f>
        <v>18000</v>
      </c>
      <c r="V14" s="40">
        <f t="shared" si="7"/>
        <v>24488.801280000003</v>
      </c>
    </row>
    <row r="15" spans="1:22" ht="15.75" customHeight="1">
      <c r="A15" s="44" t="s">
        <v>23</v>
      </c>
      <c r="B15" s="32"/>
      <c r="C15" s="32"/>
      <c r="D15" s="82">
        <f>SUM(D8:D14)</f>
        <v>20087</v>
      </c>
      <c r="E15" s="32"/>
      <c r="F15" s="32"/>
      <c r="G15" s="82">
        <f>SUM(G8:G14)</f>
        <v>20087</v>
      </c>
      <c r="H15" s="43"/>
      <c r="I15" s="39"/>
      <c r="J15" s="83">
        <f>SUM(J8:J14)</f>
        <v>40174</v>
      </c>
      <c r="K15" s="40"/>
      <c r="L15" s="40"/>
      <c r="M15" s="83">
        <f>SUM(M8:M14)</f>
        <v>86780.160000000003</v>
      </c>
      <c r="N15" s="40"/>
      <c r="O15" s="40"/>
      <c r="P15" s="83">
        <f t="shared" si="5"/>
        <v>93722.572800000009</v>
      </c>
      <c r="Q15" s="40"/>
      <c r="R15" s="40"/>
      <c r="S15" s="83">
        <f t="shared" si="6"/>
        <v>101220.37862400002</v>
      </c>
      <c r="T15" s="40"/>
      <c r="U15" s="40"/>
      <c r="V15" s="83">
        <f t="shared" si="7"/>
        <v>109318.00891392003</v>
      </c>
    </row>
    <row r="16" spans="1:22" ht="15.75" customHeight="1">
      <c r="A16" s="26"/>
    </row>
    <row r="17" spans="1:10" ht="15.75" customHeight="1">
      <c r="A17" s="26"/>
    </row>
    <row r="18" spans="1:10" ht="15.75" customHeight="1">
      <c r="A18" s="26"/>
      <c r="H18" s="81" t="s">
        <v>112</v>
      </c>
    </row>
    <row r="19" spans="1:10" ht="15.75" customHeight="1">
      <c r="A19" s="26"/>
    </row>
    <row r="20" spans="1:10" ht="15.75" customHeight="1">
      <c r="A20" s="26"/>
    </row>
    <row r="21" spans="1:10" ht="15.75" customHeight="1">
      <c r="A21" s="26"/>
    </row>
    <row r="22" spans="1:10" ht="15.75" customHeight="1">
      <c r="A22" s="26"/>
    </row>
    <row r="23" spans="1:10" ht="15.75" customHeight="1">
      <c r="A23" s="26"/>
    </row>
    <row r="24" spans="1:10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15.75" customHeight="1">
      <c r="J25" s="26"/>
    </row>
  </sheetData>
  <mergeCells count="11">
    <mergeCell ref="B5:D5"/>
    <mergeCell ref="E5:G5"/>
    <mergeCell ref="H5:J5"/>
    <mergeCell ref="B4:J4"/>
    <mergeCell ref="A1:E1"/>
    <mergeCell ref="A3:A6"/>
    <mergeCell ref="Q4:S4"/>
    <mergeCell ref="T4:V4"/>
    <mergeCell ref="B3:V3"/>
    <mergeCell ref="K4:M4"/>
    <mergeCell ref="N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3230-1E3F-4FB1-955E-98E74891C7D6}">
  <dimension ref="A1:I32"/>
  <sheetViews>
    <sheetView topLeftCell="A4" zoomScaleNormal="100" workbookViewId="0">
      <selection activeCell="B20" sqref="B20"/>
    </sheetView>
  </sheetViews>
  <sheetFormatPr defaultRowHeight="12.75"/>
  <cols>
    <col min="1" max="1" width="30" customWidth="1"/>
    <col min="2" max="2" width="11.5703125" customWidth="1"/>
    <col min="3" max="3" width="11.140625" customWidth="1"/>
    <col min="4" max="4" width="12" customWidth="1"/>
    <col min="5" max="5" width="12.140625" customWidth="1"/>
    <col min="6" max="6" width="11.85546875" customWidth="1"/>
    <col min="7" max="7" width="12.5703125" customWidth="1"/>
    <col min="8" max="8" width="11" customWidth="1"/>
  </cols>
  <sheetData>
    <row r="1" spans="1:8" ht="28.5" customHeight="1">
      <c r="A1" s="209" t="s">
        <v>76</v>
      </c>
      <c r="B1" s="209"/>
      <c r="C1" s="209"/>
      <c r="D1" s="209"/>
      <c r="E1" s="53"/>
      <c r="F1" s="53"/>
      <c r="G1" s="84"/>
      <c r="H1" s="84"/>
    </row>
    <row r="2" spans="1:8">
      <c r="A2" s="210" t="s">
        <v>77</v>
      </c>
      <c r="B2" s="212" t="s">
        <v>1</v>
      </c>
      <c r="C2" s="208"/>
      <c r="D2" s="208"/>
      <c r="E2" s="208"/>
      <c r="F2" s="213"/>
      <c r="G2" s="84"/>
      <c r="H2" s="84"/>
    </row>
    <row r="3" spans="1:8">
      <c r="A3" s="211"/>
      <c r="B3" s="48" t="s">
        <v>2</v>
      </c>
      <c r="C3" s="48" t="s">
        <v>3</v>
      </c>
      <c r="D3" s="48" t="s">
        <v>4</v>
      </c>
      <c r="E3" s="48">
        <v>2024</v>
      </c>
      <c r="F3" s="52">
        <v>2025</v>
      </c>
      <c r="G3" s="85">
        <v>2026</v>
      </c>
      <c r="H3" s="57">
        <v>2027</v>
      </c>
    </row>
    <row r="4" spans="1:8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52">
        <v>6</v>
      </c>
      <c r="G4" s="85">
        <v>7</v>
      </c>
      <c r="H4" s="85">
        <v>8</v>
      </c>
    </row>
    <row r="5" spans="1:8" ht="15">
      <c r="A5" s="50" t="s">
        <v>78</v>
      </c>
      <c r="B5" s="207"/>
      <c r="C5" s="208"/>
      <c r="D5" s="208"/>
      <c r="E5" s="208"/>
      <c r="F5" s="208"/>
      <c r="G5" s="78"/>
      <c r="H5" s="78"/>
    </row>
    <row r="6" spans="1:8" ht="35.25" customHeight="1">
      <c r="A6" s="50" t="s">
        <v>79</v>
      </c>
      <c r="B6" s="87"/>
      <c r="C6" s="87"/>
      <c r="D6" s="87"/>
      <c r="E6" s="87"/>
      <c r="F6" s="88"/>
      <c r="G6" s="89"/>
      <c r="H6" s="89"/>
    </row>
    <row r="7" spans="1:8" ht="19.5" customHeight="1">
      <c r="A7" s="50" t="s">
        <v>113</v>
      </c>
      <c r="B7" s="90">
        <v>150</v>
      </c>
      <c r="C7" s="90">
        <v>150</v>
      </c>
      <c r="D7" s="90">
        <v>150</v>
      </c>
      <c r="E7" s="90">
        <v>150</v>
      </c>
      <c r="F7" s="90">
        <v>150</v>
      </c>
      <c r="G7" s="90">
        <v>150</v>
      </c>
      <c r="H7" s="90">
        <v>150</v>
      </c>
    </row>
    <row r="8" spans="1:8" ht="19.5" customHeight="1">
      <c r="A8" s="93" t="s">
        <v>114</v>
      </c>
      <c r="B8" s="94">
        <v>100</v>
      </c>
      <c r="C8" s="94">
        <v>100</v>
      </c>
      <c r="D8" s="94">
        <v>100</v>
      </c>
      <c r="E8" s="94">
        <v>100</v>
      </c>
      <c r="F8" s="94">
        <v>100</v>
      </c>
      <c r="G8" s="94">
        <v>100</v>
      </c>
      <c r="H8" s="94">
        <v>100</v>
      </c>
    </row>
    <row r="9" spans="1:8" ht="19.5" customHeight="1">
      <c r="A9" s="96" t="s">
        <v>115</v>
      </c>
      <c r="B9" s="91">
        <v>75</v>
      </c>
      <c r="C9" s="91" t="s">
        <v>30</v>
      </c>
      <c r="D9" s="91" t="s">
        <v>30</v>
      </c>
      <c r="E9" s="91" t="s">
        <v>30</v>
      </c>
      <c r="F9" s="91" t="s">
        <v>30</v>
      </c>
      <c r="G9" s="91" t="s">
        <v>30</v>
      </c>
      <c r="H9" s="91" t="s">
        <v>30</v>
      </c>
    </row>
    <row r="10" spans="1:8" ht="19.5" customHeight="1">
      <c r="A10" s="96" t="s">
        <v>116</v>
      </c>
      <c r="B10" s="91">
        <v>50</v>
      </c>
      <c r="C10" s="91" t="s">
        <v>30</v>
      </c>
      <c r="D10" s="91" t="s">
        <v>30</v>
      </c>
      <c r="E10" s="91">
        <v>50</v>
      </c>
      <c r="F10" s="91" t="s">
        <v>30</v>
      </c>
      <c r="G10" s="91">
        <v>50</v>
      </c>
      <c r="H10" s="91" t="s">
        <v>30</v>
      </c>
    </row>
    <row r="11" spans="1:8" ht="19.5" customHeight="1">
      <c r="A11" s="96" t="s">
        <v>117</v>
      </c>
      <c r="B11" s="91">
        <v>125</v>
      </c>
      <c r="C11" s="91">
        <v>125</v>
      </c>
      <c r="D11" s="91">
        <v>125</v>
      </c>
      <c r="E11" s="91">
        <v>125</v>
      </c>
      <c r="F11" s="91">
        <v>125</v>
      </c>
      <c r="G11" s="91">
        <v>125</v>
      </c>
      <c r="H11" s="91">
        <v>125</v>
      </c>
    </row>
    <row r="12" spans="1:8" ht="15.75" customHeight="1">
      <c r="A12" s="96" t="s">
        <v>118</v>
      </c>
      <c r="B12" s="91">
        <v>175</v>
      </c>
      <c r="C12" s="91">
        <v>175</v>
      </c>
      <c r="D12" s="91">
        <v>175</v>
      </c>
      <c r="E12" s="91">
        <v>175</v>
      </c>
      <c r="F12" s="91">
        <v>175</v>
      </c>
      <c r="G12" s="91">
        <v>175</v>
      </c>
      <c r="H12" s="91">
        <v>175</v>
      </c>
    </row>
    <row r="13" spans="1:8" ht="14.25" customHeight="1">
      <c r="A13" s="96" t="s">
        <v>119</v>
      </c>
      <c r="B13" s="91">
        <v>200</v>
      </c>
      <c r="C13" s="91">
        <v>200</v>
      </c>
      <c r="D13" s="91">
        <v>200</v>
      </c>
      <c r="E13" s="91">
        <v>200</v>
      </c>
      <c r="F13" s="91">
        <v>200</v>
      </c>
      <c r="G13" s="91">
        <v>200</v>
      </c>
      <c r="H13" s="91">
        <v>200</v>
      </c>
    </row>
    <row r="14" spans="1:8" ht="18" customHeight="1">
      <c r="A14" s="96" t="s">
        <v>120</v>
      </c>
      <c r="B14" s="91">
        <v>100</v>
      </c>
      <c r="C14" s="91">
        <v>100</v>
      </c>
      <c r="D14" s="91">
        <v>100</v>
      </c>
      <c r="E14" s="91">
        <v>100</v>
      </c>
      <c r="F14" s="91">
        <v>100</v>
      </c>
      <c r="G14" s="91">
        <v>100</v>
      </c>
      <c r="H14" s="91">
        <v>100</v>
      </c>
    </row>
    <row r="15" spans="1:8" ht="14.25" customHeight="1">
      <c r="A15" s="96" t="s">
        <v>121</v>
      </c>
      <c r="B15" s="91">
        <v>150</v>
      </c>
      <c r="C15" s="91">
        <v>150</v>
      </c>
      <c r="D15" s="91">
        <v>150</v>
      </c>
      <c r="E15" s="91">
        <v>150</v>
      </c>
      <c r="F15" s="91">
        <v>150</v>
      </c>
      <c r="G15" s="91">
        <v>150</v>
      </c>
      <c r="H15" s="91">
        <v>150</v>
      </c>
    </row>
    <row r="16" spans="1:8" ht="14.25" customHeight="1">
      <c r="A16" s="96" t="s">
        <v>122</v>
      </c>
      <c r="B16" s="91">
        <v>110</v>
      </c>
      <c r="C16" s="91">
        <v>110</v>
      </c>
      <c r="D16" s="91">
        <v>110</v>
      </c>
      <c r="E16" s="91">
        <v>110</v>
      </c>
      <c r="F16" s="91">
        <v>110</v>
      </c>
      <c r="G16" s="91">
        <v>110</v>
      </c>
      <c r="H16" s="91">
        <v>110</v>
      </c>
    </row>
    <row r="17" spans="1:9" ht="14.25" customHeight="1">
      <c r="A17" s="96" t="s">
        <v>123</v>
      </c>
      <c r="B17" s="91">
        <v>200</v>
      </c>
      <c r="C17" s="91">
        <v>200</v>
      </c>
      <c r="D17" s="91">
        <v>200</v>
      </c>
      <c r="E17" s="91">
        <v>200</v>
      </c>
      <c r="F17" s="91">
        <v>200</v>
      </c>
      <c r="G17" s="91">
        <v>200</v>
      </c>
      <c r="H17" s="91">
        <v>200</v>
      </c>
    </row>
    <row r="18" spans="1:9" ht="14.25" customHeight="1">
      <c r="A18" s="96" t="s">
        <v>124</v>
      </c>
      <c r="B18" s="91">
        <v>75</v>
      </c>
      <c r="C18" s="91">
        <v>75</v>
      </c>
      <c r="D18" s="91">
        <v>75</v>
      </c>
      <c r="E18" s="91">
        <v>75</v>
      </c>
      <c r="F18" s="91">
        <v>75</v>
      </c>
      <c r="G18" s="91">
        <v>75</v>
      </c>
      <c r="H18" s="91">
        <v>75</v>
      </c>
    </row>
    <row r="19" spans="1:9" ht="42.75" customHeight="1">
      <c r="A19" s="50" t="s">
        <v>80</v>
      </c>
      <c r="B19" s="95">
        <v>300</v>
      </c>
      <c r="C19" s="95">
        <v>300</v>
      </c>
      <c r="D19" s="95">
        <v>600</v>
      </c>
      <c r="E19" s="95">
        <v>1560</v>
      </c>
      <c r="F19" s="95">
        <v>2028.0000000000005</v>
      </c>
      <c r="G19" s="95">
        <v>2636.4000000000005</v>
      </c>
      <c r="H19" s="95">
        <v>3427.3200000000006</v>
      </c>
    </row>
    <row r="20" spans="1:9" ht="31.5" customHeight="1">
      <c r="A20" s="69" t="s">
        <v>81</v>
      </c>
      <c r="B20" s="98">
        <f>B21*I20</f>
        <v>6950.1019999999999</v>
      </c>
      <c r="C20" s="98">
        <f>I20*C21</f>
        <v>6950.1019999999999</v>
      </c>
      <c r="D20" s="98">
        <f>I20*D21</f>
        <v>13900.204</v>
      </c>
      <c r="E20" s="98">
        <f>I20*E21</f>
        <v>30025.935359999999</v>
      </c>
      <c r="F20" s="98">
        <f>I20*F21</f>
        <v>32428.010188799999</v>
      </c>
      <c r="G20" s="98">
        <f>I20*G21</f>
        <v>35022.251003904006</v>
      </c>
      <c r="H20" s="98">
        <f>I20*H21</f>
        <v>37824.031084216324</v>
      </c>
      <c r="I20" s="92">
        <v>0.34599999999999997</v>
      </c>
    </row>
    <row r="21" spans="1:9" ht="31.5" customHeight="1">
      <c r="A21" s="99" t="s">
        <v>125</v>
      </c>
      <c r="B21" s="91">
        <v>20087</v>
      </c>
      <c r="C21" s="91">
        <v>20087</v>
      </c>
      <c r="D21" s="91">
        <v>40174</v>
      </c>
      <c r="E21" s="91">
        <v>86780.160000000003</v>
      </c>
      <c r="F21" s="91">
        <v>93722.572800000009</v>
      </c>
      <c r="G21" s="91">
        <v>101220.37862400002</v>
      </c>
      <c r="H21" s="91">
        <v>109318.00891392003</v>
      </c>
      <c r="I21" s="86"/>
    </row>
    <row r="22" spans="1:9" ht="21" customHeight="1">
      <c r="A22" s="99"/>
      <c r="B22" s="91"/>
      <c r="C22" s="91"/>
      <c r="D22" s="91"/>
      <c r="E22" s="91"/>
      <c r="F22" s="91"/>
      <c r="G22" s="91"/>
      <c r="H22" s="91"/>
      <c r="I22" s="86"/>
    </row>
    <row r="23" spans="1:9" ht="15">
      <c r="A23" s="99" t="s">
        <v>82</v>
      </c>
      <c r="B23" s="100"/>
      <c r="C23" s="100"/>
      <c r="D23" s="100"/>
      <c r="E23" s="100"/>
      <c r="F23" s="100"/>
      <c r="G23" s="89"/>
      <c r="H23" s="89"/>
    </row>
    <row r="24" spans="1:9" ht="15">
      <c r="A24" s="99" t="s">
        <v>83</v>
      </c>
      <c r="B24" s="100">
        <v>3600</v>
      </c>
      <c r="C24" s="100">
        <v>3600</v>
      </c>
      <c r="D24" s="100">
        <v>4800</v>
      </c>
      <c r="E24" s="100">
        <f>1200*12</f>
        <v>14400</v>
      </c>
      <c r="F24" s="100">
        <f>1200*12</f>
        <v>14400</v>
      </c>
      <c r="G24" s="100">
        <f>1200*12</f>
        <v>14400</v>
      </c>
      <c r="H24" s="100">
        <f t="shared" ref="H24" si="0">1200*12</f>
        <v>14400</v>
      </c>
    </row>
    <row r="25" spans="1:9" ht="25.5" customHeight="1">
      <c r="A25" s="99" t="s">
        <v>84</v>
      </c>
      <c r="B25" s="101">
        <v>306</v>
      </c>
      <c r="C25" s="101">
        <v>31</v>
      </c>
      <c r="D25" s="101">
        <v>157.19999999999999</v>
      </c>
      <c r="E25" s="101">
        <v>941.2</v>
      </c>
      <c r="F25" s="101">
        <v>1223.5600000000002</v>
      </c>
      <c r="G25" s="101">
        <v>1590.6280000000004</v>
      </c>
      <c r="H25" s="101">
        <v>2067.8164000000006</v>
      </c>
    </row>
    <row r="26" spans="1:9" ht="15">
      <c r="A26" s="99" t="s">
        <v>85</v>
      </c>
      <c r="B26" s="100">
        <v>60</v>
      </c>
      <c r="C26" s="100">
        <v>60</v>
      </c>
      <c r="D26" s="100">
        <v>80</v>
      </c>
      <c r="E26" s="100">
        <f>12*20</f>
        <v>240</v>
      </c>
      <c r="F26" s="100">
        <f t="shared" ref="F26:H26" si="1">12*20</f>
        <v>240</v>
      </c>
      <c r="G26" s="100">
        <f t="shared" si="1"/>
        <v>240</v>
      </c>
      <c r="H26" s="100">
        <f t="shared" si="1"/>
        <v>240</v>
      </c>
    </row>
    <row r="27" spans="1:9" ht="14.25">
      <c r="A27" s="99" t="s">
        <v>86</v>
      </c>
      <c r="B27" s="102">
        <v>685</v>
      </c>
      <c r="C27" s="102">
        <v>1370</v>
      </c>
      <c r="D27" s="102">
        <v>2740</v>
      </c>
      <c r="E27" s="102">
        <v>5480</v>
      </c>
      <c r="F27" s="102">
        <v>8220</v>
      </c>
      <c r="G27" s="103">
        <v>10960</v>
      </c>
      <c r="H27" s="103">
        <v>13700</v>
      </c>
    </row>
    <row r="28" spans="1:9" ht="15">
      <c r="A28" s="104"/>
      <c r="B28" s="105"/>
      <c r="C28" s="105"/>
      <c r="D28" s="105"/>
      <c r="E28" s="105"/>
      <c r="F28" s="105"/>
      <c r="G28" s="78"/>
      <c r="H28" s="78"/>
    </row>
    <row r="29" spans="1:9" ht="28.5" customHeight="1">
      <c r="A29" s="96" t="s">
        <v>87</v>
      </c>
      <c r="B29" s="105">
        <f>SUM(B30:B31)</f>
        <v>33498.101999999999</v>
      </c>
      <c r="C29" s="105">
        <f t="shared" ref="C29:H29" si="2">SUM(C30:C31)</f>
        <v>33783.101999999999</v>
      </c>
      <c r="D29" s="105">
        <f t="shared" si="2"/>
        <v>63836.403999999995</v>
      </c>
      <c r="E29" s="105">
        <f t="shared" si="2"/>
        <v>140862.29536000002</v>
      </c>
      <c r="F29" s="105">
        <f t="shared" si="2"/>
        <v>153647.14298880001</v>
      </c>
      <c r="G29" s="105">
        <f t="shared" si="2"/>
        <v>167504.65762790403</v>
      </c>
      <c r="H29" s="105">
        <f t="shared" si="2"/>
        <v>182362.17639813636</v>
      </c>
    </row>
    <row r="30" spans="1:9" ht="30">
      <c r="A30" s="96" t="s">
        <v>88</v>
      </c>
      <c r="B30" s="105">
        <f>SUM(B7:B21)</f>
        <v>28847.101999999999</v>
      </c>
      <c r="C30" s="105">
        <f t="shared" ref="C30:H30" si="3">SUM(C7:C21)</f>
        <v>28722.101999999999</v>
      </c>
      <c r="D30" s="105">
        <f t="shared" si="3"/>
        <v>56059.203999999998</v>
      </c>
      <c r="E30" s="105">
        <f t="shared" si="3"/>
        <v>119801.09536000001</v>
      </c>
      <c r="F30" s="105">
        <f t="shared" si="3"/>
        <v>129563.58298880002</v>
      </c>
      <c r="G30" s="105">
        <f t="shared" si="3"/>
        <v>140314.02962790403</v>
      </c>
      <c r="H30" s="105">
        <f t="shared" si="3"/>
        <v>151954.35999813635</v>
      </c>
      <c r="I30" s="77"/>
    </row>
    <row r="31" spans="1:9" ht="30">
      <c r="A31" s="106" t="s">
        <v>89</v>
      </c>
      <c r="B31" s="105">
        <f t="shared" ref="B31:H31" si="4">SUM(B24:B27)</f>
        <v>4651</v>
      </c>
      <c r="C31" s="105">
        <f t="shared" si="4"/>
        <v>5061</v>
      </c>
      <c r="D31" s="105">
        <f t="shared" si="4"/>
        <v>7777.2</v>
      </c>
      <c r="E31" s="105">
        <f t="shared" si="4"/>
        <v>21061.200000000001</v>
      </c>
      <c r="F31" s="105">
        <f t="shared" si="4"/>
        <v>24083.559999999998</v>
      </c>
      <c r="G31" s="105">
        <f t="shared" si="4"/>
        <v>27190.628000000001</v>
      </c>
      <c r="H31" s="105">
        <f t="shared" si="4"/>
        <v>30407.8164</v>
      </c>
      <c r="I31" s="77"/>
    </row>
    <row r="32" spans="1:9">
      <c r="I32" s="97"/>
    </row>
  </sheetData>
  <mergeCells count="4">
    <mergeCell ref="B5:F5"/>
    <mergeCell ref="A1:D1"/>
    <mergeCell ref="A2:A3"/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3488-4549-4040-8965-DAA4E7D84171}">
  <dimension ref="A1:K7"/>
  <sheetViews>
    <sheetView workbookViewId="0">
      <selection activeCell="C7" sqref="C7:I7"/>
    </sheetView>
  </sheetViews>
  <sheetFormatPr defaultRowHeight="12.75"/>
  <cols>
    <col min="1" max="1" width="22.28515625" customWidth="1"/>
  </cols>
  <sheetData>
    <row r="1" spans="1:11" ht="32.25" customHeight="1">
      <c r="A1" s="209" t="s">
        <v>90</v>
      </c>
      <c r="B1" s="218"/>
      <c r="C1" s="218"/>
      <c r="D1" s="218"/>
      <c r="E1" s="218"/>
      <c r="F1" s="65"/>
      <c r="G1" s="65"/>
      <c r="H1" s="58"/>
    </row>
    <row r="2" spans="1:11" ht="15" customHeight="1">
      <c r="A2" s="214" t="s">
        <v>91</v>
      </c>
      <c r="B2" s="216" t="s">
        <v>92</v>
      </c>
      <c r="C2" s="219" t="s">
        <v>93</v>
      </c>
      <c r="D2" s="220"/>
      <c r="E2" s="220"/>
      <c r="F2" s="220"/>
      <c r="G2" s="220"/>
      <c r="H2" s="220"/>
      <c r="I2" s="221"/>
      <c r="J2" s="64"/>
    </row>
    <row r="3" spans="1:11" ht="25.5">
      <c r="A3" s="215"/>
      <c r="B3" s="217"/>
      <c r="C3" s="48" t="s">
        <v>2</v>
      </c>
      <c r="D3" s="48" t="s">
        <v>3</v>
      </c>
      <c r="E3" s="48" t="s">
        <v>4</v>
      </c>
      <c r="F3" s="48">
        <v>2024</v>
      </c>
      <c r="G3" s="52">
        <v>2025</v>
      </c>
      <c r="H3" s="66">
        <v>2026</v>
      </c>
      <c r="I3" s="67">
        <v>2027</v>
      </c>
      <c r="K3" s="107" t="s">
        <v>126</v>
      </c>
    </row>
    <row r="4" spans="1:11">
      <c r="A4" s="68">
        <v>1</v>
      </c>
      <c r="B4" s="61">
        <v>2</v>
      </c>
      <c r="C4" s="48">
        <v>2</v>
      </c>
      <c r="D4" s="48">
        <v>3</v>
      </c>
      <c r="E4" s="48">
        <v>4</v>
      </c>
      <c r="F4" s="48">
        <v>5</v>
      </c>
      <c r="G4" s="52">
        <v>6</v>
      </c>
      <c r="H4" s="56">
        <v>7</v>
      </c>
      <c r="I4" s="56">
        <v>8</v>
      </c>
    </row>
    <row r="5" spans="1:11" ht="29.25" customHeight="1">
      <c r="A5" s="50" t="s">
        <v>94</v>
      </c>
      <c r="B5" s="59" t="s">
        <v>32</v>
      </c>
      <c r="C5" s="60">
        <v>25</v>
      </c>
      <c r="D5" s="60">
        <v>25</v>
      </c>
      <c r="E5" s="60">
        <v>25</v>
      </c>
      <c r="F5" s="60">
        <f>1.08*E5</f>
        <v>27</v>
      </c>
      <c r="G5" s="60">
        <f>1.08*F5</f>
        <v>29.160000000000004</v>
      </c>
      <c r="H5" s="60">
        <f t="shared" ref="H5:I5" si="0">1.08*G5</f>
        <v>31.492800000000006</v>
      </c>
      <c r="I5" s="60">
        <f t="shared" si="0"/>
        <v>34.01222400000001</v>
      </c>
    </row>
    <row r="6" spans="1:11" ht="63" customHeight="1">
      <c r="A6" s="50" t="s">
        <v>95</v>
      </c>
      <c r="B6" s="59" t="s">
        <v>20</v>
      </c>
      <c r="C6" s="60">
        <v>1800</v>
      </c>
      <c r="D6" s="60">
        <v>1800</v>
      </c>
      <c r="E6" s="60">
        <v>2400</v>
      </c>
      <c r="F6" s="60">
        <f>12*600</f>
        <v>7200</v>
      </c>
      <c r="G6" s="63">
        <f>12*750</f>
        <v>9000</v>
      </c>
      <c r="H6" s="62">
        <f>12*800</f>
        <v>9600</v>
      </c>
      <c r="I6" s="40">
        <f>12*850</f>
        <v>10200</v>
      </c>
    </row>
    <row r="7" spans="1:11" ht="48.75" customHeight="1">
      <c r="A7" s="50" t="s">
        <v>96</v>
      </c>
      <c r="B7" s="59" t="s">
        <v>32</v>
      </c>
      <c r="C7" s="60">
        <f>C5*C6</f>
        <v>45000</v>
      </c>
      <c r="D7" s="60">
        <f t="shared" ref="D7:H7" si="1">D5*D6</f>
        <v>45000</v>
      </c>
      <c r="E7" s="60">
        <f t="shared" si="1"/>
        <v>60000</v>
      </c>
      <c r="F7" s="60">
        <f t="shared" si="1"/>
        <v>194400</v>
      </c>
      <c r="G7" s="60">
        <f t="shared" si="1"/>
        <v>262440.00000000006</v>
      </c>
      <c r="H7" s="60">
        <f t="shared" si="1"/>
        <v>302330.88000000006</v>
      </c>
      <c r="I7" s="60">
        <f>I5*I6</f>
        <v>346924.6848000001</v>
      </c>
    </row>
  </sheetData>
  <mergeCells count="4">
    <mergeCell ref="A2:A3"/>
    <mergeCell ref="B2:B3"/>
    <mergeCell ref="A1:E1"/>
    <mergeCell ref="C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A82D-C1D3-45E1-B5CF-42CB64B65BBA}">
  <dimension ref="A1:J18"/>
  <sheetViews>
    <sheetView workbookViewId="0">
      <selection activeCell="B28" sqref="B28"/>
    </sheetView>
  </sheetViews>
  <sheetFormatPr defaultRowHeight="12.75"/>
  <cols>
    <col min="1" max="1" width="35.42578125" customWidth="1"/>
    <col min="2" max="2" width="11.28515625" customWidth="1"/>
    <col min="3" max="3" width="11.140625" customWidth="1"/>
    <col min="4" max="4" width="12.28515625" customWidth="1"/>
    <col min="5" max="5" width="13.7109375" customWidth="1"/>
    <col min="6" max="6" width="14.5703125" customWidth="1"/>
    <col min="7" max="7" width="12.7109375" customWidth="1"/>
    <col min="8" max="8" width="13.85546875" customWidth="1"/>
  </cols>
  <sheetData>
    <row r="1" spans="1:10" ht="15">
      <c r="A1" s="209" t="s">
        <v>97</v>
      </c>
      <c r="B1" s="209"/>
      <c r="C1" s="209"/>
      <c r="D1" s="209"/>
      <c r="E1" s="53"/>
      <c r="F1" s="53"/>
      <c r="G1" s="71"/>
    </row>
    <row r="2" spans="1:10">
      <c r="A2" s="210" t="s">
        <v>77</v>
      </c>
      <c r="B2" s="222" t="s">
        <v>1</v>
      </c>
      <c r="C2" s="223"/>
      <c r="D2" s="223"/>
      <c r="E2" s="223"/>
      <c r="F2" s="223"/>
      <c r="G2" s="224"/>
    </row>
    <row r="3" spans="1:10">
      <c r="A3" s="211"/>
      <c r="B3" s="48" t="s">
        <v>2</v>
      </c>
      <c r="C3" s="48" t="s">
        <v>3</v>
      </c>
      <c r="D3" s="48" t="s">
        <v>4</v>
      </c>
      <c r="E3" s="48">
        <v>2024</v>
      </c>
      <c r="F3" s="52">
        <v>2025</v>
      </c>
      <c r="G3" s="66">
        <v>2026</v>
      </c>
      <c r="H3" s="57">
        <v>2027</v>
      </c>
    </row>
    <row r="4" spans="1:10">
      <c r="A4" s="49">
        <v>1</v>
      </c>
      <c r="B4" s="48">
        <v>2</v>
      </c>
      <c r="C4" s="48">
        <v>3</v>
      </c>
      <c r="D4" s="48">
        <v>4</v>
      </c>
      <c r="E4" s="48">
        <v>5</v>
      </c>
      <c r="F4" s="48">
        <v>6</v>
      </c>
      <c r="G4" s="52">
        <v>7</v>
      </c>
      <c r="H4" s="40"/>
    </row>
    <row r="5" spans="1:10" ht="30" customHeight="1">
      <c r="A5" s="50" t="s">
        <v>98</v>
      </c>
      <c r="B5" s="72">
        <v>45000</v>
      </c>
      <c r="C5" s="72">
        <v>45000</v>
      </c>
      <c r="D5" s="73">
        <v>60000</v>
      </c>
      <c r="E5" s="72">
        <v>194400</v>
      </c>
      <c r="F5" s="72">
        <v>262440.00000000006</v>
      </c>
      <c r="G5" s="76">
        <v>302330.88000000006</v>
      </c>
      <c r="H5" s="40">
        <v>346924.6848000001</v>
      </c>
    </row>
    <row r="6" spans="1:10" ht="15">
      <c r="A6" s="50" t="s">
        <v>99</v>
      </c>
      <c r="B6" s="54"/>
      <c r="C6" s="54"/>
      <c r="D6" s="54"/>
      <c r="E6" s="54"/>
      <c r="F6" s="54"/>
      <c r="G6" s="55"/>
      <c r="H6" s="40"/>
    </row>
    <row r="7" spans="1:10" ht="15">
      <c r="A7" s="50" t="s">
        <v>100</v>
      </c>
      <c r="B7" s="54">
        <f>I7*B5</f>
        <v>9000</v>
      </c>
      <c r="C7" s="54">
        <f>I7*C5</f>
        <v>9000</v>
      </c>
      <c r="D7" s="54">
        <f>I7*D5</f>
        <v>12000</v>
      </c>
      <c r="E7" s="54">
        <f>I7*E5</f>
        <v>38880</v>
      </c>
      <c r="F7" s="54">
        <f>I7*F5</f>
        <v>52488.000000000015</v>
      </c>
      <c r="G7" s="54">
        <f>I7*G5</f>
        <v>60466.176000000014</v>
      </c>
      <c r="H7" s="40">
        <f>H5*I7</f>
        <v>69384.936960000021</v>
      </c>
      <c r="I7">
        <v>0.2</v>
      </c>
    </row>
    <row r="8" spans="1:10" ht="15">
      <c r="A8" s="50" t="s">
        <v>101</v>
      </c>
      <c r="B8" s="54">
        <f>Издержки!B30</f>
        <v>28847.101999999999</v>
      </c>
      <c r="C8" s="54">
        <f>Издержки!C30</f>
        <v>28722.101999999999</v>
      </c>
      <c r="D8" s="54">
        <f>Издержки!D30</f>
        <v>56059.203999999998</v>
      </c>
      <c r="E8" s="54">
        <f>Издержки!E30</f>
        <v>119801.09536000001</v>
      </c>
      <c r="F8" s="54">
        <f>Издержки!F30</f>
        <v>129563.58298880002</v>
      </c>
      <c r="G8" s="54">
        <f>Издержки!G30</f>
        <v>140314.02962790403</v>
      </c>
      <c r="H8" s="54">
        <f>Издержки!H30</f>
        <v>151954.35999813635</v>
      </c>
    </row>
    <row r="9" spans="1:10" ht="31.5" customHeight="1">
      <c r="A9" s="50" t="s">
        <v>102</v>
      </c>
      <c r="B9" s="54">
        <f>B5-B8</f>
        <v>16152.898000000001</v>
      </c>
      <c r="C9" s="54">
        <f t="shared" ref="C9:H9" si="0">C5-C8</f>
        <v>16277.898000000001</v>
      </c>
      <c r="D9" s="54">
        <f>D5-D8</f>
        <v>3940.7960000000021</v>
      </c>
      <c r="E9" s="54">
        <f t="shared" si="0"/>
        <v>74598.904639999993</v>
      </c>
      <c r="F9" s="54">
        <f t="shared" si="0"/>
        <v>132876.41701120004</v>
      </c>
      <c r="G9" s="54">
        <f t="shared" si="0"/>
        <v>162016.85037209603</v>
      </c>
      <c r="H9" s="54">
        <f t="shared" si="0"/>
        <v>194970.32480186375</v>
      </c>
    </row>
    <row r="10" spans="1:10" ht="15">
      <c r="A10" s="69" t="s">
        <v>103</v>
      </c>
      <c r="B10" s="74">
        <f>Издержки!B31</f>
        <v>4651</v>
      </c>
      <c r="C10" s="74">
        <v>5061</v>
      </c>
      <c r="D10" s="74">
        <v>7777.2</v>
      </c>
      <c r="E10" s="74">
        <v>21061.200000000001</v>
      </c>
      <c r="F10" s="74">
        <v>24083.559999999998</v>
      </c>
      <c r="G10" s="77">
        <v>27190.628000000001</v>
      </c>
      <c r="H10" s="40">
        <v>30407.8164</v>
      </c>
    </row>
    <row r="11" spans="1:10" ht="15">
      <c r="A11" s="70" t="s">
        <v>104</v>
      </c>
      <c r="B11" s="75">
        <f>B5-B7-B8-B10</f>
        <v>2501.898000000001</v>
      </c>
      <c r="C11" s="75">
        <f t="shared" ref="C11:H11" si="1">C5-C7-C8-C10</f>
        <v>2216.898000000001</v>
      </c>
      <c r="D11" s="75">
        <f t="shared" si="1"/>
        <v>-15836.403999999999</v>
      </c>
      <c r="E11" s="75">
        <f t="shared" si="1"/>
        <v>14657.704639999993</v>
      </c>
      <c r="F11" s="75">
        <f t="shared" si="1"/>
        <v>56304.857011200045</v>
      </c>
      <c r="G11" s="75">
        <f t="shared" si="1"/>
        <v>74360.046372096025</v>
      </c>
      <c r="H11" s="75">
        <f t="shared" si="1"/>
        <v>95177.571441863736</v>
      </c>
    </row>
    <row r="12" spans="1:10" ht="14.25">
      <c r="A12" s="51" t="s">
        <v>105</v>
      </c>
      <c r="B12" s="122"/>
      <c r="C12" s="122"/>
      <c r="D12" s="122"/>
      <c r="E12" s="122"/>
      <c r="F12" s="122"/>
      <c r="G12" s="123"/>
      <c r="H12" s="124"/>
      <c r="J12">
        <v>1.08</v>
      </c>
    </row>
    <row r="13" spans="1:10" ht="15">
      <c r="A13" s="51" t="s">
        <v>106</v>
      </c>
      <c r="B13" s="54">
        <f>B11*0.18</f>
        <v>450.34164000000015</v>
      </c>
      <c r="C13" s="54">
        <f t="shared" ref="C13:H13" si="2">C11*0.18</f>
        <v>399.0416400000002</v>
      </c>
      <c r="D13" s="54">
        <v>0</v>
      </c>
      <c r="E13" s="54">
        <f t="shared" si="2"/>
        <v>2638.3868351999986</v>
      </c>
      <c r="F13" s="54">
        <f t="shared" si="2"/>
        <v>10134.874262016008</v>
      </c>
      <c r="G13" s="54">
        <f t="shared" si="2"/>
        <v>13384.808346977285</v>
      </c>
      <c r="H13" s="54">
        <f t="shared" si="2"/>
        <v>17131.962859535473</v>
      </c>
    </row>
    <row r="14" spans="1:10" ht="15">
      <c r="A14" s="51" t="s">
        <v>107</v>
      </c>
      <c r="B14" s="54">
        <f>B11+B13</f>
        <v>2952.2396400000011</v>
      </c>
      <c r="C14" s="54">
        <f t="shared" ref="C14:H14" si="3">C11+C13</f>
        <v>2615.9396400000014</v>
      </c>
      <c r="D14" s="54">
        <f t="shared" si="3"/>
        <v>-15836.403999999999</v>
      </c>
      <c r="E14" s="54">
        <f t="shared" si="3"/>
        <v>17296.091475199992</v>
      </c>
      <c r="F14" s="54">
        <f t="shared" si="3"/>
        <v>66439.73127321605</v>
      </c>
      <c r="G14" s="54">
        <f t="shared" si="3"/>
        <v>87744.854719073308</v>
      </c>
      <c r="H14" s="54">
        <f t="shared" si="3"/>
        <v>112309.53430139921</v>
      </c>
    </row>
    <row r="15" spans="1:10" ht="15">
      <c r="A15" s="51" t="s">
        <v>108</v>
      </c>
      <c r="B15" s="54"/>
      <c r="C15" s="54"/>
      <c r="D15" s="54"/>
      <c r="E15" s="54"/>
      <c r="F15" s="54"/>
      <c r="G15" s="55"/>
      <c r="H15" s="40"/>
    </row>
    <row r="16" spans="1:10" ht="26.25">
      <c r="A16" s="51" t="s">
        <v>109</v>
      </c>
      <c r="B16" s="54"/>
      <c r="C16" s="54"/>
      <c r="D16" s="54"/>
      <c r="E16" s="54"/>
      <c r="F16" s="54"/>
      <c r="G16" s="55"/>
      <c r="H16" s="40"/>
    </row>
    <row r="17" spans="1:8" ht="15">
      <c r="A17" s="51" t="s">
        <v>110</v>
      </c>
      <c r="B17" s="54"/>
      <c r="C17" s="54"/>
      <c r="D17" s="54"/>
      <c r="E17" s="54"/>
      <c r="F17" s="54"/>
      <c r="G17" s="55"/>
      <c r="H17" s="40"/>
    </row>
    <row r="18" spans="1:8" ht="26.25">
      <c r="A18" s="51" t="s">
        <v>111</v>
      </c>
      <c r="B18" s="54"/>
      <c r="C18" s="54"/>
      <c r="D18" s="54"/>
      <c r="E18" s="54"/>
      <c r="F18" s="54"/>
      <c r="G18" s="55"/>
      <c r="H18" s="40"/>
    </row>
  </sheetData>
  <mergeCells count="3">
    <mergeCell ref="A2:A3"/>
    <mergeCell ref="B2:G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E4AF-34E4-4D8C-BFF3-E134ACE3D325}">
  <dimension ref="A1:J8"/>
  <sheetViews>
    <sheetView workbookViewId="0">
      <selection activeCell="B7" sqref="B7"/>
    </sheetView>
  </sheetViews>
  <sheetFormatPr defaultRowHeight="12.75"/>
  <cols>
    <col min="1" max="1" width="35.5703125" customWidth="1"/>
    <col min="8" max="8" width="13.7109375" customWidth="1"/>
  </cols>
  <sheetData>
    <row r="1" spans="1:10" ht="20.25" thickBot="1">
      <c r="A1" s="227" t="s">
        <v>127</v>
      </c>
      <c r="B1" s="227"/>
      <c r="C1" s="227"/>
      <c r="D1" s="227"/>
      <c r="E1" s="227"/>
      <c r="F1" s="227"/>
      <c r="G1" s="227"/>
      <c r="H1" s="227"/>
      <c r="I1" s="227"/>
      <c r="J1" s="227"/>
    </row>
    <row r="2" spans="1:10" ht="15.75" customHeight="1" thickTop="1">
      <c r="A2" s="225" t="s">
        <v>128</v>
      </c>
      <c r="B2" s="228" t="s">
        <v>93</v>
      </c>
      <c r="C2" s="229"/>
      <c r="D2" s="229"/>
      <c r="E2" s="229"/>
      <c r="F2" s="229"/>
      <c r="G2" s="229"/>
      <c r="H2" s="229"/>
    </row>
    <row r="3" spans="1:10" ht="30">
      <c r="A3" s="226"/>
      <c r="B3" s="109" t="s">
        <v>169</v>
      </c>
      <c r="C3" s="110" t="s">
        <v>170</v>
      </c>
      <c r="D3" s="110" t="s">
        <v>171</v>
      </c>
      <c r="E3" s="110">
        <v>2024</v>
      </c>
      <c r="F3" s="110">
        <v>2025</v>
      </c>
      <c r="G3" s="110">
        <v>2026</v>
      </c>
      <c r="H3" s="111">
        <v>2027</v>
      </c>
    </row>
    <row r="4" spans="1:10" ht="15">
      <c r="A4" s="112">
        <v>1</v>
      </c>
      <c r="B4" s="113">
        <v>2</v>
      </c>
      <c r="C4" s="113">
        <v>3</v>
      </c>
      <c r="D4" s="113">
        <v>4</v>
      </c>
      <c r="E4" s="113">
        <v>5</v>
      </c>
      <c r="F4" s="114">
        <v>6</v>
      </c>
      <c r="G4" s="112">
        <v>7</v>
      </c>
      <c r="H4" s="112">
        <v>8</v>
      </c>
    </row>
    <row r="5" spans="1:10" ht="19.5" customHeight="1">
      <c r="A5" s="117" t="s">
        <v>130</v>
      </c>
      <c r="B5" s="118">
        <f>ЧП!B7</f>
        <v>9000</v>
      </c>
      <c r="C5" s="118">
        <f>ЧП!C7</f>
        <v>9000</v>
      </c>
      <c r="D5" s="118">
        <f>ЧП!D7</f>
        <v>12000</v>
      </c>
      <c r="E5" s="118">
        <f>ЧП!E7</f>
        <v>38880</v>
      </c>
      <c r="F5" s="118">
        <f>ЧП!F7</f>
        <v>52488.000000000015</v>
      </c>
      <c r="G5" s="118">
        <f>ЧП!G7</f>
        <v>60466.176000000014</v>
      </c>
      <c r="H5" s="118">
        <f>ЧП!H7</f>
        <v>69384.936960000021</v>
      </c>
    </row>
    <row r="6" spans="1:10" ht="23.25" customHeight="1">
      <c r="A6" s="117" t="s">
        <v>131</v>
      </c>
      <c r="B6" s="118">
        <v>255.09600000000012</v>
      </c>
      <c r="C6" s="118">
        <v>181.29600000000013</v>
      </c>
      <c r="D6" s="118">
        <v>0</v>
      </c>
      <c r="E6" s="118">
        <v>1781.3836799999967</v>
      </c>
      <c r="F6" s="119">
        <v>9201.3908544000078</v>
      </c>
      <c r="G6" s="117">
        <v>12387.446266752006</v>
      </c>
      <c r="H6" s="117">
        <v>16046.891812892165</v>
      </c>
    </row>
    <row r="7" spans="1:10" ht="22.5" customHeight="1">
      <c r="A7" s="117" t="s">
        <v>132</v>
      </c>
      <c r="B7" s="120">
        <f>Издержки!B20</f>
        <v>6950.1019999999999</v>
      </c>
      <c r="C7" s="120">
        <f>Издержки!C20</f>
        <v>6950.1019999999999</v>
      </c>
      <c r="D7" s="120">
        <f>Издержки!D20</f>
        <v>13900.204</v>
      </c>
      <c r="E7" s="120">
        <f>Издержки!E20</f>
        <v>30025.935359999999</v>
      </c>
      <c r="F7" s="120">
        <f>Издержки!F20</f>
        <v>32428.010188799999</v>
      </c>
      <c r="G7" s="120">
        <f>Издержки!G20</f>
        <v>35022.251003904006</v>
      </c>
      <c r="H7" s="120">
        <f>Издержки!H20</f>
        <v>37824.031084216324</v>
      </c>
    </row>
    <row r="8" spans="1:10" ht="19.5" customHeight="1">
      <c r="A8" s="117" t="s">
        <v>133</v>
      </c>
      <c r="B8" s="125">
        <f>SUM(B5:B7)</f>
        <v>16205.198</v>
      </c>
      <c r="C8" s="125">
        <f t="shared" ref="C8:H8" si="0">SUM(C5:C7)</f>
        <v>16131.398000000001</v>
      </c>
      <c r="D8" s="125">
        <f t="shared" si="0"/>
        <v>25900.203999999998</v>
      </c>
      <c r="E8" s="125">
        <f t="shared" si="0"/>
        <v>70687.319040000002</v>
      </c>
      <c r="F8" s="125">
        <f t="shared" si="0"/>
        <v>94117.401043200021</v>
      </c>
      <c r="G8" s="125">
        <f t="shared" si="0"/>
        <v>107875.87327065603</v>
      </c>
      <c r="H8" s="125">
        <f t="shared" si="0"/>
        <v>123255.8598571085</v>
      </c>
    </row>
  </sheetData>
  <mergeCells count="3">
    <mergeCell ref="A2:A3"/>
    <mergeCell ref="A1:J1"/>
    <mergeCell ref="B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2D6C-369D-4A02-9B13-A1E843DFA81F}">
  <dimension ref="A1:G13"/>
  <sheetViews>
    <sheetView workbookViewId="0">
      <selection activeCell="B13" sqref="B13"/>
    </sheetView>
  </sheetViews>
  <sheetFormatPr defaultRowHeight="12.75"/>
  <cols>
    <col min="1" max="1" width="35.28515625" customWidth="1"/>
    <col min="2" max="2" width="17.85546875" customWidth="1"/>
    <col min="3" max="3" width="12.28515625" customWidth="1"/>
  </cols>
  <sheetData>
    <row r="1" spans="1:7" ht="20.25" customHeight="1">
      <c r="A1" s="231" t="s">
        <v>134</v>
      </c>
      <c r="B1" s="231"/>
      <c r="C1" s="231"/>
      <c r="D1" s="231"/>
      <c r="E1" s="231"/>
      <c r="F1" s="231"/>
      <c r="G1" s="231"/>
    </row>
    <row r="2" spans="1:7">
      <c r="A2" s="230" t="s">
        <v>135</v>
      </c>
      <c r="B2" s="230" t="s">
        <v>129</v>
      </c>
      <c r="C2" s="71"/>
    </row>
    <row r="3" spans="1:7">
      <c r="A3" s="230"/>
      <c r="B3" s="230"/>
      <c r="C3" s="71"/>
    </row>
    <row r="4" spans="1:7" ht="15">
      <c r="A4" s="112">
        <v>1</v>
      </c>
      <c r="B4" s="113">
        <v>2</v>
      </c>
      <c r="C4" s="71"/>
    </row>
    <row r="5" spans="1:7" ht="20.25" customHeight="1">
      <c r="A5" s="108" t="s">
        <v>136</v>
      </c>
      <c r="B5" s="115"/>
      <c r="C5" s="71"/>
    </row>
    <row r="6" spans="1:7" ht="20.25" customHeight="1">
      <c r="A6" s="108" t="s">
        <v>137</v>
      </c>
      <c r="B6" s="115">
        <v>0</v>
      </c>
      <c r="C6" s="71"/>
    </row>
    <row r="7" spans="1:7" ht="32.25" customHeight="1">
      <c r="A7" s="108" t="s">
        <v>138</v>
      </c>
      <c r="B7" s="116">
        <f>Амортизация!C20</f>
        <v>13700</v>
      </c>
      <c r="C7" s="121" t="s">
        <v>139</v>
      </c>
    </row>
    <row r="8" spans="1:7" ht="27.75" customHeight="1">
      <c r="A8" s="108" t="s">
        <v>140</v>
      </c>
      <c r="B8" s="108">
        <v>0</v>
      </c>
      <c r="C8" s="71"/>
    </row>
    <row r="9" spans="1:7" ht="28.5" customHeight="1">
      <c r="A9" s="108" t="s">
        <v>141</v>
      </c>
      <c r="B9" s="108">
        <v>0</v>
      </c>
      <c r="C9" s="71"/>
    </row>
    <row r="10" spans="1:7" ht="31.5" customHeight="1">
      <c r="A10" s="108" t="s">
        <v>142</v>
      </c>
      <c r="B10" s="108">
        <v>0</v>
      </c>
      <c r="C10" s="71"/>
    </row>
    <row r="11" spans="1:7" ht="18" customHeight="1">
      <c r="A11" s="108" t="s">
        <v>143</v>
      </c>
      <c r="B11" s="170">
        <f>B7</f>
        <v>13700</v>
      </c>
      <c r="C11" s="121" t="s">
        <v>144</v>
      </c>
    </row>
    <row r="12" spans="1:7" ht="30.75" customHeight="1">
      <c r="A12" s="108" t="s">
        <v>145</v>
      </c>
      <c r="B12" s="170">
        <f>Потребности!B15</f>
        <v>51430.033000000003</v>
      </c>
      <c r="C12" s="121" t="s">
        <v>146</v>
      </c>
    </row>
    <row r="13" spans="1:7" ht="25.5" customHeight="1">
      <c r="A13" s="108" t="s">
        <v>147</v>
      </c>
      <c r="B13" s="170">
        <f>SUM(B11:B12)</f>
        <v>65130.033000000003</v>
      </c>
      <c r="C13" s="121" t="s">
        <v>148</v>
      </c>
    </row>
  </sheetData>
  <mergeCells count="3">
    <mergeCell ref="A2:A3"/>
    <mergeCell ref="B2:B3"/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02A6-FDAA-4E30-9E88-13FD6648536C}">
  <dimension ref="A1:X15"/>
  <sheetViews>
    <sheetView workbookViewId="0">
      <selection activeCell="I25" sqref="I25"/>
    </sheetView>
  </sheetViews>
  <sheetFormatPr defaultRowHeight="12.75"/>
  <cols>
    <col min="1" max="1" width="29.140625" customWidth="1"/>
    <col min="2" max="2" width="13" customWidth="1"/>
    <col min="4" max="5" width="11.5703125" bestFit="1" customWidth="1"/>
    <col min="7" max="7" width="11.5703125" bestFit="1" customWidth="1"/>
    <col min="8" max="8" width="9.5703125" bestFit="1" customWidth="1"/>
    <col min="9" max="9" width="13" customWidth="1"/>
  </cols>
  <sheetData>
    <row r="1" spans="1:24" ht="20.25" thickBot="1">
      <c r="A1" s="227" t="s">
        <v>149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86"/>
    </row>
    <row r="2" spans="1:24" ht="15.75" thickTop="1">
      <c r="A2" s="225" t="s">
        <v>128</v>
      </c>
      <c r="B2" s="234" t="s">
        <v>93</v>
      </c>
      <c r="C2" s="235"/>
      <c r="D2" s="235"/>
      <c r="E2" s="235"/>
      <c r="F2" s="235"/>
      <c r="G2" s="235"/>
      <c r="H2" s="236"/>
      <c r="I2" s="86"/>
      <c r="J2" s="86"/>
      <c r="K2" s="86"/>
      <c r="L2" s="86"/>
      <c r="M2" s="86"/>
      <c r="R2" s="86"/>
      <c r="S2" s="86"/>
      <c r="T2" s="86"/>
      <c r="U2" s="86"/>
      <c r="V2" s="86"/>
      <c r="W2" s="86"/>
      <c r="X2" s="86"/>
    </row>
    <row r="3" spans="1:24" ht="30">
      <c r="A3" s="226"/>
      <c r="B3" s="109" t="s">
        <v>169</v>
      </c>
      <c r="C3" s="110" t="s">
        <v>170</v>
      </c>
      <c r="D3" s="110" t="s">
        <v>171</v>
      </c>
      <c r="E3" s="110">
        <v>2024</v>
      </c>
      <c r="F3" s="110">
        <v>2025</v>
      </c>
      <c r="G3" s="110">
        <v>2026</v>
      </c>
      <c r="H3" s="111">
        <v>2027</v>
      </c>
      <c r="I3" s="86"/>
      <c r="J3" s="86"/>
      <c r="K3" s="86"/>
      <c r="L3" s="86"/>
      <c r="M3" s="86"/>
      <c r="R3" s="86"/>
      <c r="S3" s="86"/>
      <c r="T3" s="86"/>
      <c r="U3" s="86"/>
      <c r="V3" s="86"/>
      <c r="W3" s="86"/>
      <c r="X3" s="86"/>
    </row>
    <row r="4" spans="1:24" ht="15">
      <c r="A4" s="112">
        <v>1</v>
      </c>
      <c r="B4" s="171">
        <v>2</v>
      </c>
      <c r="C4" s="171">
        <v>3</v>
      </c>
      <c r="D4" s="171">
        <v>4</v>
      </c>
      <c r="E4" s="171">
        <v>5</v>
      </c>
      <c r="F4" s="114">
        <v>6</v>
      </c>
      <c r="G4" s="112">
        <v>7</v>
      </c>
      <c r="H4" s="112">
        <v>8</v>
      </c>
      <c r="I4" s="86"/>
      <c r="J4" s="86"/>
      <c r="K4" s="86"/>
      <c r="L4" s="86"/>
      <c r="M4" s="86"/>
      <c r="R4" s="86"/>
      <c r="S4" s="86"/>
      <c r="T4" s="86"/>
      <c r="U4" s="86"/>
      <c r="V4" s="86"/>
      <c r="W4" s="86"/>
      <c r="X4" s="86"/>
    </row>
    <row r="5" spans="1:24">
      <c r="A5" s="108" t="s">
        <v>150</v>
      </c>
      <c r="B5" s="172">
        <f>SUM(B6:B7)</f>
        <v>15001</v>
      </c>
      <c r="C5" s="172">
        <f t="shared" ref="C5:H5" si="0">SUM(C6:C7)</f>
        <v>15001</v>
      </c>
      <c r="D5" s="172">
        <f t="shared" si="0"/>
        <v>10001</v>
      </c>
      <c r="E5" s="172">
        <f t="shared" si="0"/>
        <v>16201</v>
      </c>
      <c r="F5" s="172">
        <f t="shared" si="0"/>
        <v>21871.000000000004</v>
      </c>
      <c r="G5" s="172">
        <f t="shared" si="0"/>
        <v>25195.240000000005</v>
      </c>
      <c r="H5" s="172">
        <f t="shared" si="0"/>
        <v>28911.390400000011</v>
      </c>
      <c r="I5" s="86"/>
      <c r="J5" s="86"/>
      <c r="K5" s="86"/>
      <c r="L5" s="86"/>
      <c r="M5" s="86"/>
      <c r="R5" s="86"/>
      <c r="S5" s="86"/>
      <c r="T5" s="86"/>
      <c r="U5" s="86"/>
      <c r="V5" s="86"/>
      <c r="W5" s="86"/>
      <c r="X5" s="86"/>
    </row>
    <row r="6" spans="1:24" ht="26.25">
      <c r="A6" s="108" t="s">
        <v>151</v>
      </c>
      <c r="B6" s="115">
        <f>ЧП!B5*30/90</f>
        <v>15000</v>
      </c>
      <c r="C6" s="115">
        <f>ЧП!C5*30/90</f>
        <v>15000</v>
      </c>
      <c r="D6" s="115">
        <f>ЧП!D5*30/180</f>
        <v>10000</v>
      </c>
      <c r="E6" s="115">
        <f>ЧП!E5*30/360</f>
        <v>16200</v>
      </c>
      <c r="F6" s="115">
        <f>ЧП!F5*30/360</f>
        <v>21870.000000000004</v>
      </c>
      <c r="G6" s="115">
        <f>ЧП!G5*30/360</f>
        <v>25194.240000000005</v>
      </c>
      <c r="H6" s="115">
        <f>ЧП!H5*30/360</f>
        <v>28910.390400000011</v>
      </c>
      <c r="I6" s="232" t="s">
        <v>152</v>
      </c>
      <c r="J6" s="233"/>
      <c r="K6" s="233"/>
      <c r="L6" s="233"/>
      <c r="M6" s="71"/>
      <c r="R6" s="86"/>
      <c r="S6" s="86"/>
      <c r="T6" s="86"/>
      <c r="U6" s="86"/>
      <c r="V6" s="86"/>
      <c r="W6" s="86"/>
      <c r="X6" s="86"/>
    </row>
    <row r="7" spans="1:24" ht="26.25">
      <c r="A7" s="108" t="s">
        <v>153</v>
      </c>
      <c r="B7" s="116">
        <v>1</v>
      </c>
      <c r="C7" s="116">
        <v>1</v>
      </c>
      <c r="D7" s="116">
        <v>1</v>
      </c>
      <c r="E7" s="116">
        <v>1</v>
      </c>
      <c r="F7" s="116">
        <v>1</v>
      </c>
      <c r="G7" s="116">
        <v>1</v>
      </c>
      <c r="H7" s="116">
        <v>1</v>
      </c>
      <c r="I7" s="232" t="s">
        <v>154</v>
      </c>
      <c r="J7" s="233"/>
      <c r="K7" s="233"/>
      <c r="L7" s="71"/>
      <c r="M7" s="71"/>
      <c r="R7" s="86"/>
      <c r="S7" s="86"/>
      <c r="T7" s="86"/>
      <c r="U7" s="86"/>
      <c r="V7" s="86"/>
      <c r="W7" s="86"/>
      <c r="X7" s="86"/>
    </row>
    <row r="8" spans="1:24" ht="25.5">
      <c r="A8" s="108" t="s">
        <v>155</v>
      </c>
      <c r="B8" s="170">
        <f>B5</f>
        <v>15001</v>
      </c>
      <c r="C8" s="170">
        <f>C5-B5</f>
        <v>0</v>
      </c>
      <c r="D8" s="170">
        <f>D5-C5</f>
        <v>-5000</v>
      </c>
      <c r="E8" s="170">
        <f t="shared" ref="E8:H8" si="1">E5-D5</f>
        <v>6200</v>
      </c>
      <c r="F8" s="170">
        <f t="shared" si="1"/>
        <v>5670.0000000000036</v>
      </c>
      <c r="G8" s="170">
        <f t="shared" si="1"/>
        <v>3324.2400000000016</v>
      </c>
      <c r="H8" s="170">
        <f t="shared" si="1"/>
        <v>3716.1504000000059</v>
      </c>
      <c r="I8" s="71" t="s">
        <v>156</v>
      </c>
      <c r="J8" s="71"/>
      <c r="K8" s="71"/>
      <c r="L8" s="71"/>
      <c r="M8" s="71"/>
      <c r="R8" s="86"/>
      <c r="S8" s="86"/>
      <c r="T8" s="86"/>
      <c r="U8" s="86"/>
      <c r="V8" s="86"/>
      <c r="W8" s="86"/>
      <c r="X8" s="86"/>
    </row>
    <row r="9" spans="1:24" ht="26.25" customHeight="1">
      <c r="A9" s="108" t="s">
        <v>157</v>
      </c>
      <c r="B9" s="108">
        <f>SUM(B10:B12)</f>
        <v>6427.0330000000004</v>
      </c>
      <c r="C9" s="108">
        <f t="shared" ref="C9:G9" si="2">SUM(C10:C12)</f>
        <v>6414.7330000000002</v>
      </c>
      <c r="D9" s="108">
        <f t="shared" si="2"/>
        <v>5695.3503333333329</v>
      </c>
      <c r="E9" s="108">
        <f t="shared" si="2"/>
        <v>6655.7282933333345</v>
      </c>
      <c r="F9" s="108">
        <f t="shared" si="2"/>
        <v>7921.2489101333349</v>
      </c>
      <c r="G9" s="108">
        <f t="shared" si="2"/>
        <v>8806.927162277334</v>
      </c>
      <c r="H9" s="108">
        <f>SUM(H10:H12)</f>
        <v>9785.1611987928554</v>
      </c>
      <c r="I9" s="71"/>
      <c r="J9" s="71"/>
      <c r="K9" s="71"/>
      <c r="L9" s="71"/>
      <c r="M9" s="71"/>
      <c r="R9" s="86"/>
      <c r="S9" s="86"/>
      <c r="T9" s="86"/>
      <c r="U9" s="86"/>
      <c r="V9" s="86"/>
      <c r="W9" s="86"/>
      <c r="X9" s="86"/>
    </row>
    <row r="10" spans="1:24" ht="43.5" customHeight="1">
      <c r="A10" s="108" t="s">
        <v>158</v>
      </c>
      <c r="B10" s="108">
        <f>SUM(Издержки!B11:B18)*30/90</f>
        <v>378.33333333333331</v>
      </c>
      <c r="C10" s="108">
        <f>SUM(Издержки!C11:C18)*30/90</f>
        <v>378.33333333333331</v>
      </c>
      <c r="D10" s="108">
        <f>SUM(Издержки!D11:D18)*30/180</f>
        <v>189.16666666666666</v>
      </c>
      <c r="E10" s="108">
        <f>SUM(Издержки!E11:E18)*30/360</f>
        <v>94.583333333333329</v>
      </c>
      <c r="F10" s="108">
        <f>SUM(Издержки!F11:F18)*30/360</f>
        <v>94.583333333333329</v>
      </c>
      <c r="G10" s="108">
        <f>SUM(Издержки!G11:G18)*30/360</f>
        <v>94.583333333333329</v>
      </c>
      <c r="H10" s="108">
        <f>SUM(Издержки!H11:H18)*30/360</f>
        <v>94.583333333333329</v>
      </c>
      <c r="I10" s="232" t="s">
        <v>159</v>
      </c>
      <c r="J10" s="233"/>
      <c r="K10" s="233"/>
      <c r="L10" s="233"/>
      <c r="M10" s="233"/>
      <c r="R10" s="86"/>
      <c r="S10" s="86"/>
      <c r="T10" s="86"/>
      <c r="U10" s="86"/>
      <c r="V10" s="86"/>
      <c r="W10" s="86"/>
      <c r="X10" s="86"/>
    </row>
    <row r="11" spans="1:24" ht="27.75" customHeight="1">
      <c r="A11" s="108" t="s">
        <v>160</v>
      </c>
      <c r="B11" s="108">
        <f>Издержки!B21*15/90</f>
        <v>3347.8333333333335</v>
      </c>
      <c r="C11" s="108">
        <f>Издержки!C21*15/90</f>
        <v>3347.8333333333335</v>
      </c>
      <c r="D11" s="108">
        <f>Издержки!D21*15/180</f>
        <v>3347.8333333333335</v>
      </c>
      <c r="E11" s="108">
        <f>Издержки!E21*15/360</f>
        <v>3615.8400000000006</v>
      </c>
      <c r="F11" s="108">
        <f>Издержки!F21*15/360</f>
        <v>3905.1072000000004</v>
      </c>
      <c r="G11" s="108">
        <f>Издержки!G21*15/360</f>
        <v>4217.5157760000002</v>
      </c>
      <c r="H11" s="108">
        <f>Издержки!H21*15/360</f>
        <v>4554.9170380800015</v>
      </c>
      <c r="I11" s="232" t="s">
        <v>161</v>
      </c>
      <c r="J11" s="233"/>
      <c r="K11" s="233"/>
      <c r="L11" s="233"/>
      <c r="M11" s="233"/>
    </row>
    <row r="12" spans="1:24" ht="25.5">
      <c r="A12" s="108" t="s">
        <v>162</v>
      </c>
      <c r="B12" s="170">
        <f>'Обязательные отчисления'!B8*15/90</f>
        <v>2700.8663333333334</v>
      </c>
      <c r="C12" s="170">
        <f>'Обязательные отчисления'!C8*15/90</f>
        <v>2688.5663333333337</v>
      </c>
      <c r="D12" s="170">
        <f>'Обязательные отчисления'!D8*15/180</f>
        <v>2158.3503333333329</v>
      </c>
      <c r="E12" s="170">
        <f>'Обязательные отчисления'!E8*15/360</f>
        <v>2945.3049600000004</v>
      </c>
      <c r="F12" s="170">
        <f>'Обязательные отчисления'!F8*15/360</f>
        <v>3921.558376800001</v>
      </c>
      <c r="G12" s="170">
        <f>'Обязательные отчисления'!G8*15/360</f>
        <v>4494.8280529440008</v>
      </c>
      <c r="H12" s="170">
        <f>'Обязательные отчисления'!H8*15/360</f>
        <v>5135.6608273795209</v>
      </c>
      <c r="I12" s="232" t="s">
        <v>163</v>
      </c>
      <c r="J12" s="233"/>
      <c r="K12" s="233"/>
      <c r="L12" s="233"/>
      <c r="M12" s="233"/>
    </row>
    <row r="13" spans="1:24" ht="25.5">
      <c r="A13" s="108" t="s">
        <v>164</v>
      </c>
      <c r="B13" s="108">
        <f>B9</f>
        <v>6427.0330000000004</v>
      </c>
      <c r="C13" s="108">
        <f t="shared" ref="C13:H13" si="3">C9</f>
        <v>6414.7330000000002</v>
      </c>
      <c r="D13" s="108">
        <f t="shared" si="3"/>
        <v>5695.3503333333329</v>
      </c>
      <c r="E13" s="108">
        <f t="shared" si="3"/>
        <v>6655.7282933333345</v>
      </c>
      <c r="F13" s="108">
        <f t="shared" si="3"/>
        <v>7921.2489101333349</v>
      </c>
      <c r="G13" s="108">
        <f t="shared" si="3"/>
        <v>8806.927162277334</v>
      </c>
      <c r="H13" s="108">
        <f t="shared" si="3"/>
        <v>9785.1611987928554</v>
      </c>
      <c r="I13" s="135" t="s">
        <v>165</v>
      </c>
      <c r="J13" s="71"/>
      <c r="K13" s="71"/>
      <c r="L13" s="71"/>
      <c r="M13" s="71"/>
    </row>
    <row r="14" spans="1:24" ht="25.5">
      <c r="A14" s="108" t="s">
        <v>166</v>
      </c>
      <c r="B14" s="170">
        <f>SUM(B5:B9)</f>
        <v>51430.033000000003</v>
      </c>
      <c r="C14" s="170">
        <f t="shared" ref="C14:H14" si="4">SUM(C5:C9)</f>
        <v>36416.733</v>
      </c>
      <c r="D14" s="170">
        <f t="shared" si="4"/>
        <v>20697.350333333332</v>
      </c>
      <c r="E14" s="170">
        <f t="shared" si="4"/>
        <v>45257.728293333334</v>
      </c>
      <c r="F14" s="170">
        <f t="shared" si="4"/>
        <v>57333.248910133349</v>
      </c>
      <c r="G14" s="170">
        <f t="shared" si="4"/>
        <v>62521.647162277353</v>
      </c>
      <c r="H14" s="170">
        <f t="shared" si="4"/>
        <v>71324.092398792884</v>
      </c>
      <c r="I14" s="169">
        <v>44564</v>
      </c>
      <c r="J14" s="71"/>
      <c r="K14" s="71"/>
      <c r="L14" s="71"/>
      <c r="M14" s="71"/>
    </row>
    <row r="15" spans="1:24" ht="25.5">
      <c r="A15" s="108" t="s">
        <v>167</v>
      </c>
      <c r="B15" s="170">
        <f>B14</f>
        <v>51430.033000000003</v>
      </c>
      <c r="C15" s="170">
        <f t="shared" ref="C15:H15" si="5">C14</f>
        <v>36416.733</v>
      </c>
      <c r="D15" s="170">
        <f t="shared" si="5"/>
        <v>20697.350333333332</v>
      </c>
      <c r="E15" s="170">
        <f t="shared" si="5"/>
        <v>45257.728293333334</v>
      </c>
      <c r="F15" s="170">
        <f t="shared" si="5"/>
        <v>57333.248910133349</v>
      </c>
      <c r="G15" s="170">
        <f t="shared" si="5"/>
        <v>62521.647162277353</v>
      </c>
      <c r="H15" s="170">
        <f t="shared" si="5"/>
        <v>71324.092398792884</v>
      </c>
      <c r="I15" s="135" t="s">
        <v>168</v>
      </c>
      <c r="J15" s="71"/>
      <c r="K15" s="71"/>
      <c r="L15" s="71"/>
      <c r="M15" s="71"/>
    </row>
  </sheetData>
  <mergeCells count="8">
    <mergeCell ref="I11:M11"/>
    <mergeCell ref="I12:M12"/>
    <mergeCell ref="A1:L1"/>
    <mergeCell ref="A2:A3"/>
    <mergeCell ref="B2:H2"/>
    <mergeCell ref="I6:L6"/>
    <mergeCell ref="I7:K7"/>
    <mergeCell ref="I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Ресурсы</vt:lpstr>
      <vt:lpstr>Амортизация</vt:lpstr>
      <vt:lpstr>Зарплаты</vt:lpstr>
      <vt:lpstr>Издержки</vt:lpstr>
      <vt:lpstr>Реализация</vt:lpstr>
      <vt:lpstr>ЧП</vt:lpstr>
      <vt:lpstr>Обязательные отчисления</vt:lpstr>
      <vt:lpstr>Инвестиции</vt:lpstr>
      <vt:lpstr>Потребности</vt:lpstr>
      <vt:lpstr>Кридиты</vt:lpstr>
      <vt:lpstr>Источники</vt:lpstr>
      <vt:lpstr>Эффективность</vt:lpstr>
      <vt:lpstr>Дисконт доход</vt:lpstr>
      <vt:lpstr>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Yakovchik</cp:lastModifiedBy>
  <dcterms:modified xsi:type="dcterms:W3CDTF">2022-04-18T08:33:27Z</dcterms:modified>
</cp:coreProperties>
</file>