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6_semester\Business\"/>
    </mc:Choice>
  </mc:AlternateContent>
  <xr:revisionPtr revIDLastSave="0" documentId="13_ncr:1_{E107199F-3D53-49A5-A66F-97286E100FE4}" xr6:coauthVersionLast="47" xr6:coauthVersionMax="47" xr10:uidLastSave="{00000000-0000-0000-0000-000000000000}"/>
  <bookViews>
    <workbookView xWindow="-120" yWindow="-120" windowWidth="29040" windowHeight="15720" firstSheet="4" activeTab="13" xr2:uid="{00000000-000D-0000-FFFF-FFFF00000000}"/>
  </bookViews>
  <sheets>
    <sheet name="Ресурсы" sheetId="1" r:id="rId1"/>
    <sheet name="Амортизация" sheetId="2" r:id="rId2"/>
    <sheet name="Издержки" sheetId="4" r:id="rId3"/>
    <sheet name="Зарплаты" sheetId="3" r:id="rId4"/>
    <sheet name="Реализация" sheetId="5" r:id="rId5"/>
    <sheet name="ЧП" sheetId="6" r:id="rId6"/>
    <sheet name="Обязательные отчисления" sheetId="7" r:id="rId7"/>
    <sheet name="Инвестиции" sheetId="8" r:id="rId8"/>
    <sheet name="Потребности" sheetId="9" r:id="rId9"/>
    <sheet name="Кридиты" sheetId="10" state="hidden" r:id="rId10"/>
    <sheet name="Источники" sheetId="11" r:id="rId11"/>
    <sheet name="Дисконт доход" sheetId="13" r:id="rId12"/>
    <sheet name="Эффективность" sheetId="12" r:id="rId13"/>
    <sheet name="Итог" sheetId="14" r:id="rId1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13" l="1"/>
  <c r="B29" i="13"/>
  <c r="B28" i="13"/>
  <c r="D8" i="3"/>
  <c r="C8" i="6"/>
  <c r="D8" i="6"/>
  <c r="E8" i="6"/>
  <c r="F8" i="6"/>
  <c r="G8" i="6"/>
  <c r="H8" i="6"/>
  <c r="C10" i="6"/>
  <c r="D10" i="6"/>
  <c r="E10" i="6"/>
  <c r="F10" i="6"/>
  <c r="G10" i="6"/>
  <c r="H10" i="6"/>
  <c r="B10" i="6"/>
  <c r="U14" i="3"/>
  <c r="U13" i="3"/>
  <c r="U10" i="3"/>
  <c r="U9" i="3"/>
  <c r="R14" i="3"/>
  <c r="R13" i="3"/>
  <c r="R10" i="3"/>
  <c r="R9" i="3"/>
  <c r="O14" i="3"/>
  <c r="O13" i="3"/>
  <c r="O10" i="3"/>
  <c r="O9" i="3"/>
  <c r="M9" i="3"/>
  <c r="M10" i="3"/>
  <c r="M11" i="3"/>
  <c r="M12" i="3"/>
  <c r="M13" i="3"/>
  <c r="M14" i="3"/>
  <c r="M8" i="3"/>
  <c r="L14" i="3"/>
  <c r="L13" i="3"/>
  <c r="L10" i="3"/>
  <c r="L9" i="3"/>
  <c r="J9" i="3"/>
  <c r="J10" i="3"/>
  <c r="J11" i="3"/>
  <c r="J12" i="3"/>
  <c r="J13" i="3"/>
  <c r="J14" i="3"/>
  <c r="J8" i="3"/>
  <c r="I14" i="3"/>
  <c r="I13" i="3"/>
  <c r="I10" i="3"/>
  <c r="I9" i="3"/>
  <c r="F14" i="3"/>
  <c r="G14" i="3" s="1"/>
  <c r="F13" i="3"/>
  <c r="G13" i="3" s="1"/>
  <c r="G12" i="3"/>
  <c r="G11" i="3"/>
  <c r="G10" i="3"/>
  <c r="F10" i="3"/>
  <c r="F9" i="3"/>
  <c r="G9" i="3" s="1"/>
  <c r="G8" i="3"/>
  <c r="D14" i="3"/>
  <c r="D13" i="3"/>
  <c r="C14" i="3"/>
  <c r="C13" i="3"/>
  <c r="D11" i="3"/>
  <c r="D10" i="3"/>
  <c r="C10" i="3"/>
  <c r="D9" i="3"/>
  <c r="C9" i="3"/>
  <c r="I6" i="5"/>
  <c r="H6" i="5"/>
  <c r="G6" i="5"/>
  <c r="F6" i="5"/>
  <c r="E6" i="5"/>
  <c r="D6" i="5"/>
  <c r="C6" i="5"/>
  <c r="B8" i="4"/>
  <c r="B9" i="4"/>
  <c r="B10" i="4"/>
  <c r="B11" i="4"/>
  <c r="B12" i="4"/>
  <c r="B13" i="4"/>
  <c r="B14" i="4"/>
  <c r="B7" i="4"/>
  <c r="C8" i="4"/>
  <c r="C9" i="4"/>
  <c r="C10" i="4"/>
  <c r="C11" i="4"/>
  <c r="C12" i="4"/>
  <c r="C13" i="4"/>
  <c r="C14" i="4"/>
  <c r="C7" i="4"/>
  <c r="D8" i="4"/>
  <c r="D9" i="4"/>
  <c r="D10" i="4"/>
  <c r="D11" i="4"/>
  <c r="D12" i="4"/>
  <c r="D13" i="4"/>
  <c r="D14" i="4"/>
  <c r="D7" i="4"/>
  <c r="C23" i="4" l="1"/>
  <c r="D23" i="4"/>
  <c r="E23" i="4"/>
  <c r="F23" i="4"/>
  <c r="G23" i="4"/>
  <c r="H23" i="4"/>
  <c r="B23" i="4"/>
  <c r="H21" i="4"/>
  <c r="G21" i="4"/>
  <c r="F21" i="4"/>
  <c r="E21" i="4"/>
  <c r="L26" i="1"/>
  <c r="N26" i="1"/>
  <c r="P26" i="1"/>
  <c r="R26" i="1"/>
  <c r="R23" i="1"/>
  <c r="P23" i="1"/>
  <c r="N23" i="1"/>
  <c r="L23" i="1"/>
  <c r="R7" i="1"/>
  <c r="R8" i="1"/>
  <c r="R9" i="1"/>
  <c r="R10" i="1"/>
  <c r="R11" i="1"/>
  <c r="R12" i="1"/>
  <c r="R13" i="1"/>
  <c r="R6" i="1"/>
  <c r="P7" i="1"/>
  <c r="P8" i="1"/>
  <c r="P9" i="1"/>
  <c r="P10" i="1"/>
  <c r="P11" i="1"/>
  <c r="P12" i="1"/>
  <c r="P13" i="1"/>
  <c r="P6" i="1"/>
  <c r="N7" i="1"/>
  <c r="N8" i="1"/>
  <c r="N9" i="1"/>
  <c r="N10" i="1"/>
  <c r="N11" i="1"/>
  <c r="N12" i="1"/>
  <c r="N13" i="1"/>
  <c r="N6" i="1"/>
  <c r="L7" i="1"/>
  <c r="L8" i="1"/>
  <c r="L9" i="1"/>
  <c r="L10" i="1"/>
  <c r="L11" i="1"/>
  <c r="L12" i="1"/>
  <c r="L13" i="1"/>
  <c r="L6" i="1"/>
  <c r="O13" i="1"/>
  <c r="O12" i="1"/>
  <c r="O11" i="1"/>
  <c r="O10" i="1"/>
  <c r="O9" i="1"/>
  <c r="O8" i="1"/>
  <c r="O7" i="1"/>
  <c r="O6" i="1"/>
  <c r="M13" i="1"/>
  <c r="M12" i="1"/>
  <c r="M11" i="1"/>
  <c r="M10" i="1"/>
  <c r="M9" i="1"/>
  <c r="M8" i="1"/>
  <c r="M7" i="1"/>
  <c r="M6" i="1"/>
  <c r="K7" i="1"/>
  <c r="K8" i="1"/>
  <c r="K9" i="1"/>
  <c r="K10" i="1"/>
  <c r="K11" i="1"/>
  <c r="K12" i="1"/>
  <c r="K13" i="1"/>
  <c r="K6" i="1"/>
  <c r="I22" i="13" l="1"/>
  <c r="C22" i="13"/>
  <c r="D22" i="13"/>
  <c r="E22" i="13"/>
  <c r="F22" i="13"/>
  <c r="G22" i="13"/>
  <c r="H22" i="13"/>
  <c r="B22" i="13"/>
  <c r="C10" i="13"/>
  <c r="D10" i="13"/>
  <c r="E10" i="13"/>
  <c r="F10" i="13"/>
  <c r="G10" i="13"/>
  <c r="H10" i="13"/>
  <c r="B10" i="13"/>
  <c r="F10" i="9"/>
  <c r="G10" i="9"/>
  <c r="H10" i="9"/>
  <c r="E10" i="9"/>
  <c r="D10" i="9"/>
  <c r="C10" i="9"/>
  <c r="B10" i="9"/>
  <c r="B11" i="8"/>
  <c r="B7" i="8"/>
  <c r="C7" i="5" l="1"/>
  <c r="B5" i="6" s="1"/>
  <c r="B6" i="9" s="1"/>
  <c r="B5" i="9" s="1"/>
  <c r="B8" i="9" s="1"/>
  <c r="D7" i="5"/>
  <c r="C5" i="6" s="1"/>
  <c r="E7" i="5"/>
  <c r="D5" i="6" s="1"/>
  <c r="D9" i="6" l="1"/>
  <c r="E11" i="12" s="1"/>
  <c r="D6" i="9"/>
  <c r="D5" i="9" s="1"/>
  <c r="D7" i="6"/>
  <c r="D5" i="7" s="1"/>
  <c r="D13" i="13" s="1"/>
  <c r="C9" i="6"/>
  <c r="D11" i="12" s="1"/>
  <c r="C6" i="9"/>
  <c r="C5" i="9" s="1"/>
  <c r="C7" i="6"/>
  <c r="C5" i="7" s="1"/>
  <c r="C13" i="13" s="1"/>
  <c r="C8" i="9"/>
  <c r="B7" i="6"/>
  <c r="B5" i="7"/>
  <c r="B13" i="13" s="1"/>
  <c r="E9" i="14"/>
  <c r="D7" i="13"/>
  <c r="D20" i="13" s="1"/>
  <c r="D9" i="14"/>
  <c r="C7" i="13"/>
  <c r="C20" i="13" s="1"/>
  <c r="C9" i="14"/>
  <c r="B7" i="13"/>
  <c r="F5" i="5"/>
  <c r="F7" i="5" s="1"/>
  <c r="E5" i="6" s="1"/>
  <c r="C27" i="4"/>
  <c r="D27" i="4"/>
  <c r="B27" i="4"/>
  <c r="F22" i="4"/>
  <c r="G22" i="4"/>
  <c r="H22" i="4"/>
  <c r="E22" i="4"/>
  <c r="G20" i="4"/>
  <c r="F20" i="4"/>
  <c r="H20" i="4"/>
  <c r="E20" i="4"/>
  <c r="E7" i="13" l="1"/>
  <c r="E20" i="13" s="1"/>
  <c r="E9" i="6"/>
  <c r="F11" i="12" s="1"/>
  <c r="E6" i="9"/>
  <c r="E5" i="9" s="1"/>
  <c r="E8" i="9" s="1"/>
  <c r="E7" i="6"/>
  <c r="E5" i="7" s="1"/>
  <c r="E13" i="13" s="1"/>
  <c r="G5" i="5"/>
  <c r="F9" i="14"/>
  <c r="D8" i="9"/>
  <c r="B20" i="13"/>
  <c r="H27" i="4"/>
  <c r="E27" i="4"/>
  <c r="G27" i="4"/>
  <c r="F27" i="4"/>
  <c r="G7" i="5" l="1"/>
  <c r="H5" i="5"/>
  <c r="V14" i="3"/>
  <c r="P11" i="3"/>
  <c r="S11" i="3" s="1"/>
  <c r="V11" i="3" s="1"/>
  <c r="P12" i="3"/>
  <c r="S12" i="3" s="1"/>
  <c r="V12" i="3" s="1"/>
  <c r="P13" i="3"/>
  <c r="S13" i="3" s="1"/>
  <c r="V13" i="3" s="1"/>
  <c r="P14" i="3"/>
  <c r="S14" i="3" s="1"/>
  <c r="P10" i="3"/>
  <c r="S10" i="3" s="1"/>
  <c r="V10" i="3" s="1"/>
  <c r="P9" i="3"/>
  <c r="S9" i="3" s="1"/>
  <c r="V9" i="3" s="1"/>
  <c r="P8" i="3"/>
  <c r="S8" i="3" s="1"/>
  <c r="V8" i="3" s="1"/>
  <c r="G15" i="3"/>
  <c r="C17" i="4" s="1"/>
  <c r="D12" i="3"/>
  <c r="P29" i="1"/>
  <c r="N29" i="1"/>
  <c r="H29" i="1"/>
  <c r="F29" i="1"/>
  <c r="R28" i="1"/>
  <c r="H28" i="1"/>
  <c r="H27" i="1" s="1"/>
  <c r="F28" i="1"/>
  <c r="F27" i="1" s="1"/>
  <c r="H26" i="1"/>
  <c r="J26" i="1" s="1"/>
  <c r="F26" i="1"/>
  <c r="R24" i="1"/>
  <c r="R29" i="1" s="1"/>
  <c r="P24" i="1"/>
  <c r="N24" i="1"/>
  <c r="L24" i="1"/>
  <c r="L29" i="1" s="1"/>
  <c r="H24" i="1"/>
  <c r="J24" i="1" s="1"/>
  <c r="J29" i="1" s="1"/>
  <c r="F24" i="1"/>
  <c r="P28" i="1"/>
  <c r="N28" i="1"/>
  <c r="L28" i="1"/>
  <c r="J23" i="1"/>
  <c r="J28" i="1" s="1"/>
  <c r="H23" i="1"/>
  <c r="F23" i="1"/>
  <c r="J13" i="1"/>
  <c r="H13" i="1"/>
  <c r="F13" i="1"/>
  <c r="J12" i="1"/>
  <c r="H12" i="1"/>
  <c r="F12" i="1"/>
  <c r="J11" i="1"/>
  <c r="H11" i="1"/>
  <c r="F11" i="1"/>
  <c r="J10" i="1"/>
  <c r="H10" i="1"/>
  <c r="F10" i="1"/>
  <c r="J7" i="1"/>
  <c r="H7" i="1"/>
  <c r="F7" i="1"/>
  <c r="L14" i="1"/>
  <c r="J6" i="1"/>
  <c r="H6" i="1"/>
  <c r="F6" i="1"/>
  <c r="F5" i="6" l="1"/>
  <c r="G9" i="14"/>
  <c r="F7" i="13"/>
  <c r="I5" i="5"/>
  <c r="I7" i="5" s="1"/>
  <c r="H7" i="5"/>
  <c r="M15" i="3"/>
  <c r="J15" i="3"/>
  <c r="D17" i="4" s="1"/>
  <c r="D11" i="9" s="1"/>
  <c r="C11" i="9"/>
  <c r="C16" i="4"/>
  <c r="D15" i="3"/>
  <c r="B17" i="4" s="1"/>
  <c r="B16" i="4" s="1"/>
  <c r="N27" i="1"/>
  <c r="P27" i="1"/>
  <c r="J14" i="1"/>
  <c r="H14" i="1"/>
  <c r="F14" i="1"/>
  <c r="J27" i="1"/>
  <c r="L27" i="1"/>
  <c r="R27" i="1"/>
  <c r="G5" i="6" l="1"/>
  <c r="H9" i="14"/>
  <c r="G7" i="13"/>
  <c r="G20" i="13" s="1"/>
  <c r="H5" i="6"/>
  <c r="H7" i="13"/>
  <c r="H20" i="13" s="1"/>
  <c r="I9" i="14"/>
  <c r="B9" i="14" s="1"/>
  <c r="F20" i="13"/>
  <c r="I20" i="13" s="1"/>
  <c r="I7" i="13"/>
  <c r="F9" i="6"/>
  <c r="G11" i="12" s="1"/>
  <c r="F6" i="9"/>
  <c r="F5" i="9" s="1"/>
  <c r="F8" i="9" s="1"/>
  <c r="F7" i="6"/>
  <c r="F5" i="7" s="1"/>
  <c r="F13" i="13" s="1"/>
  <c r="P15" i="3"/>
  <c r="E17" i="4"/>
  <c r="D16" i="4"/>
  <c r="D26" i="4" s="1"/>
  <c r="C7" i="7"/>
  <c r="C26" i="4"/>
  <c r="B11" i="9"/>
  <c r="B7" i="7"/>
  <c r="B26" i="4"/>
  <c r="N14" i="1"/>
  <c r="H9" i="6" l="1"/>
  <c r="I11" i="12" s="1"/>
  <c r="H6" i="9"/>
  <c r="H5" i="9" s="1"/>
  <c r="H8" i="9" s="1"/>
  <c r="H7" i="6"/>
  <c r="H5" i="7" s="1"/>
  <c r="H13" i="13" s="1"/>
  <c r="G9" i="6"/>
  <c r="H11" i="12" s="1"/>
  <c r="G6" i="9"/>
  <c r="G5" i="9" s="1"/>
  <c r="G8" i="9" s="1"/>
  <c r="G7" i="6"/>
  <c r="G5" i="7" s="1"/>
  <c r="G13" i="13" s="1"/>
  <c r="I13" i="13" s="1"/>
  <c r="E11" i="9"/>
  <c r="E16" i="4"/>
  <c r="S15" i="3"/>
  <c r="F17" i="4"/>
  <c r="D7" i="7"/>
  <c r="C25" i="4"/>
  <c r="D6" i="14" s="1"/>
  <c r="D25" i="4"/>
  <c r="E6" i="14" s="1"/>
  <c r="B25" i="4"/>
  <c r="C6" i="14" s="1"/>
  <c r="B8" i="6"/>
  <c r="P14" i="1"/>
  <c r="R14" i="1"/>
  <c r="F11" i="9" l="1"/>
  <c r="F16" i="4"/>
  <c r="V15" i="3"/>
  <c r="H17" i="4" s="1"/>
  <c r="G17" i="4"/>
  <c r="E7" i="7"/>
  <c r="E26" i="4"/>
  <c r="E15" i="14"/>
  <c r="D11" i="6"/>
  <c r="D15" i="14"/>
  <c r="C11" i="6"/>
  <c r="B11" i="6"/>
  <c r="B9" i="6"/>
  <c r="C11" i="12" l="1"/>
  <c r="C15" i="14" s="1"/>
  <c r="B13" i="6"/>
  <c r="B6" i="7" s="1"/>
  <c r="D13" i="6"/>
  <c r="D6" i="7" s="1"/>
  <c r="C13" i="6"/>
  <c r="C6" i="7" s="1"/>
  <c r="E25" i="4"/>
  <c r="F6" i="14" s="1"/>
  <c r="H11" i="9"/>
  <c r="H16" i="4"/>
  <c r="G11" i="9"/>
  <c r="G16" i="4"/>
  <c r="F26" i="4"/>
  <c r="F7" i="7"/>
  <c r="D14" i="13" l="1"/>
  <c r="D8" i="7"/>
  <c r="D12" i="9" s="1"/>
  <c r="D9" i="9" s="1"/>
  <c r="D14" i="6"/>
  <c r="C14" i="6"/>
  <c r="B14" i="13"/>
  <c r="B8" i="7"/>
  <c r="B12" i="9" s="1"/>
  <c r="B9" i="9" s="1"/>
  <c r="C14" i="13"/>
  <c r="C8" i="7"/>
  <c r="C12" i="9" s="1"/>
  <c r="C9" i="9" s="1"/>
  <c r="B14" i="6"/>
  <c r="C13" i="12" s="1"/>
  <c r="C16" i="14" s="1"/>
  <c r="F25" i="4"/>
  <c r="G6" i="14" s="1"/>
  <c r="E11" i="6"/>
  <c r="F15" i="14"/>
  <c r="G26" i="4"/>
  <c r="G7" i="7"/>
  <c r="H26" i="4"/>
  <c r="H7" i="7"/>
  <c r="E13" i="12" l="1"/>
  <c r="E16" i="14" s="1"/>
  <c r="D13" i="12"/>
  <c r="D16" i="14" s="1"/>
  <c r="B14" i="9"/>
  <c r="B13" i="9"/>
  <c r="E13" i="6"/>
  <c r="E6" i="7" s="1"/>
  <c r="D14" i="9"/>
  <c r="D13" i="9"/>
  <c r="C14" i="9"/>
  <c r="C13" i="9"/>
  <c r="H25" i="4"/>
  <c r="I6" i="14" s="1"/>
  <c r="G15" i="14"/>
  <c r="F11" i="6"/>
  <c r="G25" i="4"/>
  <c r="H6" i="14" s="1"/>
  <c r="B6" i="14" s="1"/>
  <c r="F13" i="6" l="1"/>
  <c r="F6" i="7" s="1"/>
  <c r="D15" i="9"/>
  <c r="D11" i="13"/>
  <c r="E14" i="13"/>
  <c r="E8" i="7"/>
  <c r="E12" i="9" s="1"/>
  <c r="E9" i="9" s="1"/>
  <c r="E14" i="6"/>
  <c r="F13" i="12" s="1"/>
  <c r="C15" i="9"/>
  <c r="C11" i="13"/>
  <c r="B11" i="13"/>
  <c r="B15" i="9"/>
  <c r="B12" i="8" s="1"/>
  <c r="B13" i="8" s="1"/>
  <c r="G11" i="6"/>
  <c r="H15" i="14"/>
  <c r="I15" i="14"/>
  <c r="H11" i="6"/>
  <c r="H13" i="6" l="1"/>
  <c r="H6" i="7" s="1"/>
  <c r="F16" i="14"/>
  <c r="F14" i="12"/>
  <c r="F17" i="14" s="1"/>
  <c r="E14" i="9"/>
  <c r="E13" i="9"/>
  <c r="B9" i="13"/>
  <c r="F14" i="13"/>
  <c r="F8" i="7"/>
  <c r="F12" i="9" s="1"/>
  <c r="F9" i="9" s="1"/>
  <c r="D8" i="14"/>
  <c r="C12" i="13"/>
  <c r="C9" i="13" s="1"/>
  <c r="I8" i="14"/>
  <c r="B12" i="13"/>
  <c r="C14" i="12"/>
  <c r="C17" i="14" s="1"/>
  <c r="H8" i="14"/>
  <c r="B8" i="11"/>
  <c r="B6" i="11" s="1"/>
  <c r="H12" i="13"/>
  <c r="D14" i="12"/>
  <c r="D17" i="14" s="1"/>
  <c r="G12" i="13"/>
  <c r="E14" i="12"/>
  <c r="E17" i="14" s="1"/>
  <c r="G8" i="14"/>
  <c r="C8" i="14"/>
  <c r="F12" i="13"/>
  <c r="D12" i="13"/>
  <c r="D9" i="13" s="1"/>
  <c r="F8" i="14"/>
  <c r="E12" i="13"/>
  <c r="E8" i="14"/>
  <c r="G13" i="6"/>
  <c r="G6" i="7" s="1"/>
  <c r="F14" i="6"/>
  <c r="G13" i="12" s="1"/>
  <c r="I12" i="13" l="1"/>
  <c r="G14" i="6"/>
  <c r="H13" i="12" s="1"/>
  <c r="E15" i="9"/>
  <c r="E11" i="13"/>
  <c r="E9" i="13" s="1"/>
  <c r="B8" i="14"/>
  <c r="C15" i="13"/>
  <c r="C21" i="13"/>
  <c r="C23" i="13" s="1"/>
  <c r="B21" i="13"/>
  <c r="B23" i="13" s="1"/>
  <c r="C24" i="13" s="1"/>
  <c r="B15" i="13"/>
  <c r="G14" i="13"/>
  <c r="G8" i="7"/>
  <c r="G12" i="9" s="1"/>
  <c r="G9" i="9" s="1"/>
  <c r="F14" i="9"/>
  <c r="F13" i="9"/>
  <c r="H14" i="13"/>
  <c r="H8" i="7"/>
  <c r="H12" i="9" s="1"/>
  <c r="H9" i="9" s="1"/>
  <c r="G14" i="12"/>
  <c r="G17" i="14" s="1"/>
  <c r="G16" i="14"/>
  <c r="D15" i="13"/>
  <c r="D21" i="13"/>
  <c r="D23" i="13" s="1"/>
  <c r="H14" i="6"/>
  <c r="I13" i="12" s="1"/>
  <c r="D16" i="13" l="1"/>
  <c r="C16" i="13"/>
  <c r="D24" i="13"/>
  <c r="H13" i="9"/>
  <c r="H14" i="9"/>
  <c r="F11" i="13"/>
  <c r="F9" i="13" s="1"/>
  <c r="F15" i="9"/>
  <c r="G14" i="9"/>
  <c r="G13" i="9"/>
  <c r="E21" i="13"/>
  <c r="E15" i="13"/>
  <c r="B24" i="13"/>
  <c r="I14" i="13"/>
  <c r="H14" i="12"/>
  <c r="H17" i="14" s="1"/>
  <c r="H16" i="14"/>
  <c r="I16" i="14"/>
  <c r="I14" i="12"/>
  <c r="I17" i="14" s="1"/>
  <c r="B16" i="13"/>
  <c r="D12" i="14"/>
  <c r="E16" i="13" l="1"/>
  <c r="C12" i="14"/>
  <c r="F21" i="13"/>
  <c r="F23" i="13" s="1"/>
  <c r="F15" i="13"/>
  <c r="F16" i="13" s="1"/>
  <c r="H11" i="13"/>
  <c r="H9" i="13" s="1"/>
  <c r="H15" i="9"/>
  <c r="G15" i="9"/>
  <c r="G11" i="13"/>
  <c r="E23" i="13"/>
  <c r="E24" i="13" s="1"/>
  <c r="E12" i="14"/>
  <c r="G9" i="13" l="1"/>
  <c r="I11" i="13"/>
  <c r="I9" i="13" s="1"/>
  <c r="I15" i="13" s="1"/>
  <c r="H15" i="13"/>
  <c r="H21" i="13"/>
  <c r="H23" i="13" s="1"/>
  <c r="F12" i="14"/>
  <c r="F24" i="13"/>
  <c r="B32" i="13" s="1"/>
  <c r="G15" i="13" l="1"/>
  <c r="G16" i="13" s="1"/>
  <c r="G21" i="13"/>
  <c r="G12" i="14"/>
  <c r="G23" i="13" l="1"/>
  <c r="I21" i="13"/>
  <c r="H16" i="13"/>
  <c r="I23" i="13" l="1"/>
  <c r="G24" i="13"/>
  <c r="H12" i="14" l="1"/>
  <c r="H24" i="13"/>
  <c r="I24" i="13" s="1"/>
  <c r="C37" i="13" s="1"/>
  <c r="B9" i="12" s="1"/>
  <c r="I12" i="14" l="1"/>
  <c r="B8" i="12" l="1"/>
  <c r="B10" i="12" s="1"/>
  <c r="B14" i="14" s="1"/>
  <c r="B13" i="14"/>
</calcChain>
</file>

<file path=xl/sharedStrings.xml><?xml version="1.0" encoding="utf-8"?>
<sst xmlns="http://schemas.openxmlformats.org/spreadsheetml/2006/main" count="385" uniqueCount="270">
  <si>
    <t xml:space="preserve">Таблица 2. Расчет потребности в сырьевых ресурсах и транспортных расходах        
</t>
  </si>
  <si>
    <t>по периодам реализации проекта</t>
  </si>
  <si>
    <t>1 кв. 2023</t>
  </si>
  <si>
    <t>2 кв. 2023</t>
  </si>
  <si>
    <t>3 кв. 2023</t>
  </si>
  <si>
    <t>наименование ресурса</t>
  </si>
  <si>
    <t>ед. изм.</t>
  </si>
  <si>
    <t>норма расхода на ед. прод., НР</t>
  </si>
  <si>
    <t>цена ед. в 2022, руб., Ц</t>
  </si>
  <si>
    <t xml:space="preserve">кол-во, К	</t>
  </si>
  <si>
    <t>общая стоимость, руб., ОС</t>
  </si>
  <si>
    <t>1.Кофейные зерна</t>
  </si>
  <si>
    <t>кг</t>
  </si>
  <si>
    <t>Инфляция</t>
  </si>
  <si>
    <t>2.Сливки 2%</t>
  </si>
  <si>
    <t>л</t>
  </si>
  <si>
    <t>3.Сахар в кубиках</t>
  </si>
  <si>
    <t>4.Молоко</t>
  </si>
  <si>
    <t>5.Мука</t>
  </si>
  <si>
    <t>6.Яйца</t>
  </si>
  <si>
    <t>шт.</t>
  </si>
  <si>
    <t>7.Шоколад</t>
  </si>
  <si>
    <t>8.Джем</t>
  </si>
  <si>
    <t>Итого</t>
  </si>
  <si>
    <t>Таблица 3 Расчет потребности в топливно-энергетических ресурсах</t>
  </si>
  <si>
    <t>3-4 кв. 2023</t>
  </si>
  <si>
    <t xml:space="preserve">кол-во
 мес.     </t>
  </si>
  <si>
    <t xml:space="preserve">кол-во мес.     </t>
  </si>
  <si>
    <t>1. электроэнергия</t>
  </si>
  <si>
    <t>кВт</t>
  </si>
  <si>
    <t>-</t>
  </si>
  <si>
    <t>1.1 переменные издержки(Кофемашина,Кофемолка,Смягчитель воды,Конвекционная печь,Тестомес )</t>
  </si>
  <si>
    <t>руб.</t>
  </si>
  <si>
    <t>1.2 постоянные издержки(Холодильник)</t>
  </si>
  <si>
    <t>2. теплоэнергия</t>
  </si>
  <si>
    <t>2.1 постоянные издержки(Отопление помещения)</t>
  </si>
  <si>
    <t>3. итого затрат на ТЭР</t>
  </si>
  <si>
    <t>3.1 переменные издержки</t>
  </si>
  <si>
    <t>3.2 постоянные издержки</t>
  </si>
  <si>
    <t>Таблица 5. Расчет амортизационных отчислений, руб.</t>
  </si>
  <si>
    <t>наименование основных фондов</t>
  </si>
  <si>
    <t>норма
амортизации, НА, %</t>
  </si>
  <si>
    <t>01.2023-04.2023</t>
  </si>
  <si>
    <t>04.2023-07.2023</t>
  </si>
  <si>
    <t>07.2023-12.2023</t>
  </si>
  <si>
    <t>1.первоначальная стоимость основных средств</t>
  </si>
  <si>
    <t>1.1 Кофемашина</t>
  </si>
  <si>
    <t xml:space="preserve">1.2 Кофемолка </t>
  </si>
  <si>
    <t>1.3 Смягчитель воды</t>
  </si>
  <si>
    <t>1.4 Конвекционная печь</t>
  </si>
  <si>
    <t>1.5 Тестомес</t>
  </si>
  <si>
    <t xml:space="preserve">1.6 Холодильник </t>
  </si>
  <si>
    <t>2.амортизационные отчисления</t>
  </si>
  <si>
    <t>2.1 Кофемашина</t>
  </si>
  <si>
    <t xml:space="preserve">2.2 Кофемолка </t>
  </si>
  <si>
    <t>2.3 Смягчитель воды</t>
  </si>
  <si>
    <t>2.4 Конвекционная печь</t>
  </si>
  <si>
    <t>2.5 Тестомес</t>
  </si>
  <si>
    <t xml:space="preserve">2.6 Холодильник </t>
  </si>
  <si>
    <t>3. всего первоначальная стоимость</t>
  </si>
  <si>
    <t>4. всего амортизационных отчислений</t>
  </si>
  <si>
    <t>5.накопительная амортизация</t>
  </si>
  <si>
    <t>6. остаточная стоимость основных средств</t>
  </si>
  <si>
    <t>Таблица 4 Расчет потребности в трудовых ресурсах и заработной плате, руб.</t>
  </si>
  <si>
    <t>Категория работающих</t>
  </si>
  <si>
    <t>кол-во работ. чел., Ч</t>
  </si>
  <si>
    <t>ср. мес. з/п, ЗП</t>
  </si>
  <si>
    <t>расходы на оплату труда за период, ФОТ</t>
  </si>
  <si>
    <t>1. Рабочие</t>
  </si>
  <si>
    <t>2. Администрация</t>
  </si>
  <si>
    <t>2.1 Директор</t>
  </si>
  <si>
    <t>1.1 Бариста</t>
  </si>
  <si>
    <t>1.2 Уборщица</t>
  </si>
  <si>
    <t>1.3 Грузчик\кладовщик</t>
  </si>
  <si>
    <t>1.4 Повар</t>
  </si>
  <si>
    <t>2.2 Администратор</t>
  </si>
  <si>
    <t>Таблица 6 Полные издержки на реализуемую продукцию, руб.</t>
  </si>
  <si>
    <t>виды и статьи затрат</t>
  </si>
  <si>
    <t>1 переменные издержки</t>
  </si>
  <si>
    <t>1.1 сырье, материалы, покупные комплектующие</t>
  </si>
  <si>
    <t>1.3. топливо и энергия на технологические цели (переменная составляющая)</t>
  </si>
  <si>
    <t>1.5 отчисления от средств на оплату труда</t>
  </si>
  <si>
    <t>2 постоянные издержки</t>
  </si>
  <si>
    <t>2.1 аренда</t>
  </si>
  <si>
    <t>2.4 топливо и энергия (постоянная составляющая)</t>
  </si>
  <si>
    <t>2.5 услуги связи</t>
  </si>
  <si>
    <t>2.6 амортизация</t>
  </si>
  <si>
    <t>3 полные издержки на реализуемую продукцию, СС</t>
  </si>
  <si>
    <t>3.1 переменные издержки, ПерИ</t>
  </si>
  <si>
    <t>3.2 постоянные издержки, ПостИ</t>
  </si>
  <si>
    <t>Таблица 1 Программа производства и реализации продукции</t>
  </si>
  <si>
    <t>Наименоване показателей</t>
  </si>
  <si>
    <t>Ед. изм.</t>
  </si>
  <si>
    <t>По периодам реализации продукции</t>
  </si>
  <si>
    <t>2 цена реализации единицы продукции</t>
  </si>
  <si>
    <t>3 объем производства в натуральном выражении за период, ОП</t>
  </si>
  <si>
    <t>4 выручка от реализации продукции, В</t>
  </si>
  <si>
    <t>Таблица 7 Расчет чистой прибыли продукции, руб.</t>
  </si>
  <si>
    <t>1 выручка от реализаци, В</t>
  </si>
  <si>
    <t>2 налоги и отчисления из выручки</t>
  </si>
  <si>
    <t>2.1 НДС</t>
  </si>
  <si>
    <t>3 переменные издержки, ПостИ</t>
  </si>
  <si>
    <t>4 переменная прибыль</t>
  </si>
  <si>
    <t>5 постоянные издержки, ПостИ</t>
  </si>
  <si>
    <t>6 прибыль от реализации продукции</t>
  </si>
  <si>
    <t>7 налоги из прибыли</t>
  </si>
  <si>
    <t>7.1 налог на прибыль</t>
  </si>
  <si>
    <t>8 чистая прибыль</t>
  </si>
  <si>
    <t>Инфляция = 1,08</t>
  </si>
  <si>
    <t>1.1.5 Яйца</t>
  </si>
  <si>
    <t>1.1.6 Кофейные зерна</t>
  </si>
  <si>
    <t>1.1.7 Шоколад</t>
  </si>
  <si>
    <t>1.1.8 Джем</t>
  </si>
  <si>
    <t>1.1.9 Сливки</t>
  </si>
  <si>
    <t>1.1.10 Молоко</t>
  </si>
  <si>
    <t>1.1.11 Мука</t>
  </si>
  <si>
    <t>1.1.12 Сахар</t>
  </si>
  <si>
    <t>1.6 расходы на оплату труда</t>
  </si>
  <si>
    <t>Инфляция 1,08</t>
  </si>
  <si>
    <t>Таблица 8 Расчет величины обязательных отчислений, руб</t>
  </si>
  <si>
    <t>Виды поступлений и издержек</t>
  </si>
  <si>
    <t>1 налоги, выплачиваемые из выручки</t>
  </si>
  <si>
    <t>2 налоги, выплачиваемые из прибыли</t>
  </si>
  <si>
    <t>3 налоги, включаемые в себестоимость</t>
  </si>
  <si>
    <t>4 всего обязательных отчислений</t>
  </si>
  <si>
    <t xml:space="preserve">Таблица 9 Расчет инвестиционных затрат, руб. </t>
  </si>
  <si>
    <t>Виды инвестиционных затрат</t>
  </si>
  <si>
    <t>капитальные затраты</t>
  </si>
  <si>
    <t>1 прединвестиционные затраты</t>
  </si>
  <si>
    <t>2 сметная(расчетная) стоимость 
проекта</t>
  </si>
  <si>
    <t>ПСВОА</t>
  </si>
  <si>
    <t xml:space="preserve"> 
3 предпроизводственные 
затраты</t>
  </si>
  <si>
    <t>3.1 маркетинговые 
исследования, реклама</t>
  </si>
  <si>
    <t>3.2 разработка документации,
 сертификация</t>
  </si>
  <si>
    <t>4 капитальные затраты</t>
  </si>
  <si>
    <t>1+2+3</t>
  </si>
  <si>
    <t>5 затраты под оборотные средства
 (прирост чистого оборотного капитала)</t>
  </si>
  <si>
    <t>таблица 10</t>
  </si>
  <si>
    <t>6 Итого потребность в 
инвестициях</t>
  </si>
  <si>
    <t>4+5</t>
  </si>
  <si>
    <t xml:space="preserve">Таблица 10 Расчет потребности в чистом оборотном капитале, руб. </t>
  </si>
  <si>
    <t>1 оборотные (текущие) активы</t>
  </si>
  <si>
    <t xml:space="preserve">1.1 производственные 
запасы, З </t>
  </si>
  <si>
    <t>ПерИ х оборачиваемость запасов (дн) / кол-во дней в периоде</t>
  </si>
  <si>
    <t xml:space="preserve">1.2 дебиторская 
задолженность, ДЗ </t>
  </si>
  <si>
    <t>В х оборачиваемость ДЗ (дн) / кол-во дней в периоде</t>
  </si>
  <si>
    <t xml:space="preserve">2 прирост оборотных 
активов, ППоа </t>
  </si>
  <si>
    <t>изменнеие 1</t>
  </si>
  <si>
    <t>3 краткосрочные обязательства
 (текущие пассивы)</t>
  </si>
  <si>
    <t>3.1 задолженность поставщикам
 (кредиторская задолженность), КЗ</t>
  </si>
  <si>
    <t>ПерИ х оборачиваемость КЗ (дн) 
/ кол-во дней в периоде</t>
  </si>
  <si>
    <t>3.2 задолженность по оплате 
труда, ЗОТ</t>
  </si>
  <si>
    <t xml:space="preserve">Расходы на ОТ
х оборачиваемость ФОТ (дн) / кол-во дней
в периоде
</t>
  </si>
  <si>
    <t>3.3 задолженность перед 
бюджетом, ЗБ</t>
  </si>
  <si>
    <t>Нал * оборачиваемость фонда платедей
в бюджет (дн) / кол-во дней
в периоде</t>
  </si>
  <si>
    <t xml:space="preserve">4  прирост краткосрочных 
обязательств, ППко </t>
  </si>
  <si>
    <t>изменение 3</t>
  </si>
  <si>
    <t>5 чистый оборотный капитал, ЧОК</t>
  </si>
  <si>
    <t xml:space="preserve">6  прирост чистого 
оборотного капитала, ППчок </t>
  </si>
  <si>
    <t>измен.5</t>
  </si>
  <si>
    <t>1-ый  кв. 2023</t>
  </si>
  <si>
    <t>2-ой кв. 2023</t>
  </si>
  <si>
    <t>3-4-ый кв. 2023</t>
  </si>
  <si>
    <t>Таблица 11 Сводный расчет обязательств по кредиту, руб.</t>
  </si>
  <si>
    <t>вид долговых обязательств</t>
  </si>
  <si>
    <t>По периодам реализации проекта</t>
  </si>
  <si>
    <t>1 залолженность по 
кредиту на начало периода</t>
  </si>
  <si>
    <t>2 сумма получаемого кредита</t>
  </si>
  <si>
    <t>3 итого сумма основного долга</t>
  </si>
  <si>
    <t>4 начислено процентов</t>
  </si>
  <si>
    <t>5 погашение основного долга</t>
  </si>
  <si>
    <t>6 погашение процентов</t>
  </si>
  <si>
    <t>7 итого погашения основного долга и процентов</t>
  </si>
  <si>
    <t>8 задолженность по кредиту на конец периода</t>
  </si>
  <si>
    <t>Таблица 12 Источники финансирования проекта, руб.</t>
  </si>
  <si>
    <t>наименование источников</t>
  </si>
  <si>
    <t>1 собственные средства</t>
  </si>
  <si>
    <t>1.1 вклад в уставный фонд</t>
  </si>
  <si>
    <t>3-2</t>
  </si>
  <si>
    <t>2 заемные и привлеченные средства (долгосрочный кредит)</t>
  </si>
  <si>
    <t>???7</t>
  </si>
  <si>
    <t>3 Итого по источникам финансирования</t>
  </si>
  <si>
    <t>таблица 9</t>
  </si>
  <si>
    <t>итого потребность?</t>
  </si>
  <si>
    <t>4 из общего объема финансирования</t>
  </si>
  <si>
    <t>4.1 доля собственных средств</t>
  </si>
  <si>
    <t>4.2 доля заемных и привлеченных средств</t>
  </si>
  <si>
    <t>Таблица 14 Показатели эффективности проекта</t>
  </si>
  <si>
    <t>показатели</t>
  </si>
  <si>
    <t>в целом по проекту</t>
  </si>
  <si>
    <t>норма</t>
  </si>
  <si>
    <t>показатели эффективности проекта</t>
  </si>
  <si>
    <t>1 простой срок окупаемости</t>
  </si>
  <si>
    <t>заполняем только цветные ячейки</t>
  </si>
  <si>
    <t>2 динамический срок окупаемости</t>
  </si>
  <si>
    <t>3 чистый дисконтированный доход (ЧДД)</t>
  </si>
  <si>
    <t>4 внутренняя норма доходности (ВНД)</t>
  </si>
  <si>
    <t>5 индекс доходности (ИД)</t>
  </si>
  <si>
    <t>&gt; 1</t>
  </si>
  <si>
    <t>(ЧДД + дисконтированные инвестиции) / дисконтированные инвестиции</t>
  </si>
  <si>
    <t>6 уровень безубыточности</t>
  </si>
  <si>
    <t>&lt; 50 %</t>
  </si>
  <si>
    <t>ПостИ х 100 / переменная прибыль</t>
  </si>
  <si>
    <t>финансовые показатели</t>
  </si>
  <si>
    <t>1 рентабельность продаж (оборота)</t>
  </si>
  <si>
    <t>чистая прибыль / выручка</t>
  </si>
  <si>
    <t>2 рентабельность продукции</t>
  </si>
  <si>
    <t>чистая прибыль / СС</t>
  </si>
  <si>
    <t>Таблица 13 Расчет чистого дискотированного дохода, руб.</t>
  </si>
  <si>
    <t>виды поступлений и издержек</t>
  </si>
  <si>
    <t>всего по проекту</t>
  </si>
  <si>
    <t>приток наличности</t>
  </si>
  <si>
    <t>1 полный приток</t>
  </si>
  <si>
    <t>1.1 выручка от реализации</t>
  </si>
  <si>
    <t>отток наличности</t>
  </si>
  <si>
    <t>2 полный отток</t>
  </si>
  <si>
    <t>2.1 затраты на приобретение основных фондов (инвестиции в основной капитал)</t>
  </si>
  <si>
    <t>таблица 9 (=ПСВОА)</t>
  </si>
  <si>
    <t>2.2 потребность в оборотном капитале</t>
  </si>
  <si>
    <t>ЧОК</t>
  </si>
  <si>
    <t>2.3 затраты на производство и сбыт (без амортизации)</t>
  </si>
  <si>
    <t>СС - амортизация</t>
  </si>
  <si>
    <t>2.4 налоги из выручки</t>
  </si>
  <si>
    <t>2.5 налоги из прибыли</t>
  </si>
  <si>
    <t>3 сальдо потока (чистый поток наличности), ЧПН</t>
  </si>
  <si>
    <t>1 - 2 (может быть отрицательный)</t>
  </si>
  <si>
    <t>4 то же, нарастающим итогом</t>
  </si>
  <si>
    <t>приведение будущей стоимости денег к их текущей стоимости</t>
  </si>
  <si>
    <t>5 номер периода, i</t>
  </si>
  <si>
    <r>
      <rPr>
        <sz val="11"/>
        <color rgb="FF000000"/>
        <rFont val="Calibri,Arial"/>
      </rPr>
      <t>6 коэффициент дисконтирования (при ставке Д =</t>
    </r>
    <r>
      <rPr>
        <sz val="11"/>
        <color rgb="FFFF0000"/>
        <rFont val="Calibri"/>
      </rPr>
      <t xml:space="preserve"> значение</t>
    </r>
    <r>
      <rPr>
        <sz val="11"/>
        <color theme="1"/>
        <rFont val="Calibri"/>
      </rPr>
      <t xml:space="preserve"> %), КДi</t>
    </r>
  </si>
  <si>
    <t>коэффициент берем от 10 до 13%. Для второго периода степень будет 9/12</t>
  </si>
  <si>
    <t>7 дисконтированный приток</t>
  </si>
  <si>
    <t>8 дисконтированный отток</t>
  </si>
  <si>
    <t>8.1 дисконтированные инвестиции</t>
  </si>
  <si>
    <t>9 дисконтированный ЧПН</t>
  </si>
  <si>
    <t>7-8</t>
  </si>
  <si>
    <t>10 то же, нарастающим итогом (чистый дисконтир. доход), ЧДД</t>
  </si>
  <si>
    <t>простой срок окупаемости</t>
  </si>
  <si>
    <t>расчет по ЧНП</t>
  </si>
  <si>
    <t xml:space="preserve"> = + 1</t>
  </si>
  <si>
    <t>1 значение ЧНП, соответствуещее первому положительному значению нарастающего итога ЧНП, делим на количество месяцев в этом периоде</t>
  </si>
  <si>
    <t xml:space="preserve"> = + 2</t>
  </si>
  <si>
    <t>2 к последнему отрицательному значению ЧНП нарастающим итогом поэтапно добавляем полученную сумму.</t>
  </si>
  <si>
    <t xml:space="preserve"> = + 3</t>
  </si>
  <si>
    <t>3 период получения положительного значения - срок окупаемости</t>
  </si>
  <si>
    <t>динамический срок окупаемости</t>
  </si>
  <si>
    <t>расчет тот же по дисконтированному ЧНП</t>
  </si>
  <si>
    <t>ВНД = Д1 + (Д2-Д1) * ЧДД1/(ЧДД1-ЧДД2)</t>
  </si>
  <si>
    <t>Д1 - коэффициент дисконтирования в расчетах</t>
  </si>
  <si>
    <t>ЧДД1 - дисконтированный ЧНП по проекту</t>
  </si>
  <si>
    <t>Д2 - расчетная ставка, при которой ЧДД поменяет знак с плюса на минус</t>
  </si>
  <si>
    <t>ЧДД2 - первый отрицательный дисконтированный ЧНП по проекту</t>
  </si>
  <si>
    <t>Таблица 15 Итоговая таблица</t>
  </si>
  <si>
    <t>2 численнность работающих, чел.</t>
  </si>
  <si>
    <t>3 потребность в инвестициях (полные инвестиционные издержки)</t>
  </si>
  <si>
    <t>4 источники финансирования проекта:</t>
  </si>
  <si>
    <t>4.1 собственные средства</t>
  </si>
  <si>
    <t>5 выручка от реализации продукции</t>
  </si>
  <si>
    <t>6 показатели эффективности проекта:</t>
  </si>
  <si>
    <t>6.1 динамический срок окупаемости, лет</t>
  </si>
  <si>
    <t>6.2 чистый дисконтированный доход</t>
  </si>
  <si>
    <t>6.3 внутренняя норма доходности %</t>
  </si>
  <si>
    <t>6.4 индекс рентабельности</t>
  </si>
  <si>
    <t>6.5 уровень безубыточности</t>
  </si>
  <si>
    <t>6.6. рентабельность продаж, %</t>
  </si>
  <si>
    <t>6.7 рентабельность продукции, %</t>
  </si>
  <si>
    <t>3 кв 2023</t>
  </si>
  <si>
    <t>2 month</t>
  </si>
  <si>
    <t>4 month</t>
  </si>
  <si>
    <t>12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</si>
</sst>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0.0%"/>
    <numFmt numFmtId="166" formatCode="0.000000"/>
    <numFmt numFmtId="167" formatCode="0.0"/>
  </numFmts>
  <fonts count="40">
    <font>
      <sz val="10"/>
      <color rgb="FF000000"/>
      <name val="Arial"/>
      <scheme val="minor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b/>
      <sz val="10"/>
      <color rgb="FF000000"/>
      <name val="Arial"/>
    </font>
    <font>
      <b/>
      <sz val="10"/>
      <color theme="5"/>
      <name val="Arial"/>
      <scheme val="minor"/>
    </font>
    <font>
      <sz val="11"/>
      <color rgb="FF000000"/>
      <name val="Calibri"/>
    </font>
    <font>
      <b/>
      <sz val="8"/>
      <color rgb="FF000000"/>
      <name val="Arimo"/>
    </font>
    <font>
      <sz val="11"/>
      <color theme="1"/>
      <name val="Inconsolata"/>
    </font>
    <font>
      <b/>
      <sz val="11"/>
      <color theme="1"/>
      <name val="Arial"/>
      <scheme val="minor"/>
    </font>
    <font>
      <sz val="11"/>
      <color theme="1"/>
      <name val="Arial"/>
    </font>
    <font>
      <sz val="10"/>
      <color theme="1"/>
      <name val="Arial"/>
    </font>
    <font>
      <b/>
      <sz val="11"/>
      <color theme="1"/>
      <name val="Arial"/>
    </font>
    <font>
      <sz val="11"/>
      <color theme="1"/>
      <name val="Calibri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sz val="8"/>
      <name val="Arial"/>
      <family val="2"/>
      <charset val="204"/>
      <scheme val="minor"/>
    </font>
    <font>
      <sz val="11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name val="Arial"/>
      <family val="2"/>
      <charset val="204"/>
    </font>
    <font>
      <b/>
      <sz val="10"/>
      <color rgb="FF000000"/>
      <name val="Arial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Arial"/>
      <family val="2"/>
      <charset val="204"/>
    </font>
    <font>
      <b/>
      <sz val="12"/>
      <color theme="1"/>
      <name val="Calibri"/>
      <family val="2"/>
      <charset val="204"/>
    </font>
    <font>
      <b/>
      <sz val="10"/>
      <color theme="1"/>
      <name val="Arimo"/>
    </font>
    <font>
      <sz val="10"/>
      <color theme="1"/>
      <name val="Arial"/>
      <family val="2"/>
      <charset val="204"/>
      <scheme val="minor"/>
    </font>
    <font>
      <sz val="10"/>
      <color theme="1"/>
      <name val="Arimo"/>
    </font>
    <font>
      <b/>
      <sz val="15"/>
      <color theme="3"/>
      <name val="Arial"/>
      <family val="2"/>
      <charset val="204"/>
      <scheme val="minor"/>
    </font>
    <font>
      <sz val="11"/>
      <color rgb="FF006100"/>
      <name val="Arial"/>
      <family val="2"/>
      <charset val="204"/>
      <scheme val="minor"/>
    </font>
    <font>
      <sz val="11"/>
      <color rgb="FF9C0006"/>
      <name val="Arial"/>
      <family val="2"/>
      <charset val="204"/>
      <scheme val="minor"/>
    </font>
    <font>
      <b/>
      <sz val="11"/>
      <color rgb="FFFA7D00"/>
      <name val="Arial"/>
      <family val="2"/>
      <charset val="204"/>
      <scheme val="minor"/>
    </font>
    <font>
      <b/>
      <sz val="11"/>
      <color theme="1"/>
      <name val="Arial"/>
      <family val="2"/>
      <charset val="204"/>
      <scheme val="minor"/>
    </font>
    <font>
      <b/>
      <sz val="12"/>
      <color rgb="FF000000"/>
      <name val="Arial"/>
      <family val="2"/>
      <charset val="204"/>
      <scheme val="minor"/>
    </font>
    <font>
      <b/>
      <sz val="11"/>
      <color theme="1"/>
      <name val="Calibri"/>
    </font>
    <font>
      <sz val="11"/>
      <name val="Calibri"/>
    </font>
    <font>
      <sz val="11"/>
      <color rgb="FFFF0000"/>
      <name val="Calibri"/>
    </font>
    <font>
      <sz val="11"/>
      <color rgb="FF000000"/>
      <name val="Calibri,Arial"/>
    </font>
    <font>
      <sz val="11"/>
      <color rgb="FF9C5700"/>
      <name val="Arial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ck">
        <color theme="4"/>
      </top>
      <bottom/>
      <diagonal/>
    </border>
    <border>
      <left style="thin">
        <color indexed="64"/>
      </left>
      <right/>
      <top style="thick">
        <color theme="4"/>
      </top>
      <bottom style="thin">
        <color indexed="64"/>
      </bottom>
      <diagonal/>
    </border>
    <border>
      <left/>
      <right/>
      <top style="thick">
        <color theme="4"/>
      </top>
      <bottom style="thin">
        <color indexed="64"/>
      </bottom>
      <diagonal/>
    </border>
    <border>
      <left/>
      <right style="thin">
        <color indexed="64"/>
      </right>
      <top style="thick">
        <color theme="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ck">
        <color theme="4"/>
      </top>
      <bottom style="thin">
        <color rgb="FF000000"/>
      </bottom>
      <diagonal/>
    </border>
    <border>
      <left/>
      <right/>
      <top style="thick">
        <color theme="4"/>
      </top>
      <bottom style="thin">
        <color rgb="FF000000"/>
      </bottom>
      <diagonal/>
    </border>
    <border>
      <left/>
      <right style="thin">
        <color rgb="FF000000"/>
      </right>
      <top style="thick">
        <color theme="4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1">
    <xf numFmtId="0" fontId="0" fillId="0" borderId="0"/>
    <xf numFmtId="0" fontId="17" fillId="0" borderId="0"/>
    <xf numFmtId="0" fontId="29" fillId="0" borderId="29" applyNumberFormat="0" applyFill="0" applyAlignment="0" applyProtection="0"/>
    <xf numFmtId="0" fontId="30" fillId="3" borderId="0" applyNumberFormat="0" applyBorder="0" applyAlignment="0" applyProtection="0"/>
    <xf numFmtId="0" fontId="31" fillId="4" borderId="0" applyNumberFormat="0" applyBorder="0" applyAlignment="0" applyProtection="0"/>
    <xf numFmtId="0" fontId="32" fillId="5" borderId="30" applyNumberFormat="0" applyAlignment="0" applyProtection="0"/>
    <xf numFmtId="0" fontId="2" fillId="6" borderId="0" applyNumberFormat="0" applyBorder="0" applyAlignment="0" applyProtection="0"/>
    <xf numFmtId="0" fontId="39" fillId="9" borderId="0" applyNumberFormat="0" applyBorder="0" applyAlignment="0" applyProtection="0"/>
    <xf numFmtId="0" fontId="1" fillId="0" borderId="0"/>
    <xf numFmtId="0" fontId="1" fillId="10" borderId="41" applyNumberFormat="0" applyFont="0" applyAlignment="0" applyProtection="0"/>
    <xf numFmtId="0" fontId="1" fillId="6" borderId="0" applyNumberFormat="0" applyBorder="0" applyAlignment="0" applyProtection="0"/>
  </cellStyleXfs>
  <cellXfs count="260">
    <xf numFmtId="0" fontId="0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6" fillId="2" borderId="4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3" fillId="0" borderId="4" xfId="0" applyFont="1" applyBorder="1" applyAlignment="1">
      <alignment horizontal="left" wrapText="1"/>
    </xf>
    <xf numFmtId="0" fontId="9" fillId="2" borderId="4" xfId="0" applyFont="1" applyFill="1" applyBorder="1" applyAlignment="1">
      <alignment horizontal="center"/>
    </xf>
    <xf numFmtId="0" fontId="10" fillId="2" borderId="0" xfId="0" applyFont="1" applyFill="1"/>
    <xf numFmtId="0" fontId="4" fillId="0" borderId="4" xfId="0" applyFont="1" applyBorder="1" applyAlignment="1">
      <alignment horizontal="left" wrapText="1"/>
    </xf>
    <xf numFmtId="0" fontId="11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8" fillId="0" borderId="0" xfId="0" applyFont="1" applyAlignment="1"/>
    <xf numFmtId="0" fontId="12" fillId="2" borderId="4" xfId="0" applyFont="1" applyFill="1" applyBorder="1" applyAlignment="1">
      <alignment vertical="top"/>
    </xf>
    <xf numFmtId="0" fontId="13" fillId="2" borderId="4" xfId="0" applyFont="1" applyFill="1" applyBorder="1" applyAlignment="1"/>
    <xf numFmtId="0" fontId="13" fillId="0" borderId="4" xfId="0" applyFont="1" applyBorder="1" applyAlignment="1"/>
    <xf numFmtId="0" fontId="13" fillId="0" borderId="0" xfId="0" applyFont="1" applyAlignment="1"/>
    <xf numFmtId="0" fontId="14" fillId="2" borderId="4" xfId="0" applyFont="1" applyFill="1" applyBorder="1" applyAlignment="1">
      <alignment horizontal="center" vertical="top"/>
    </xf>
    <xf numFmtId="0" fontId="13" fillId="2" borderId="4" xfId="0" applyFont="1" applyFill="1" applyBorder="1" applyAlignment="1">
      <alignment horizontal="center" vertical="top"/>
    </xf>
    <xf numFmtId="0" fontId="14" fillId="2" borderId="4" xfId="0" applyFont="1" applyFill="1" applyBorder="1" applyAlignment="1">
      <alignment vertical="top"/>
    </xf>
    <xf numFmtId="0" fontId="13" fillId="2" borderId="4" xfId="0" applyFont="1" applyFill="1" applyBorder="1" applyAlignment="1">
      <alignment vertical="top"/>
    </xf>
    <xf numFmtId="0" fontId="15" fillId="2" borderId="4" xfId="0" applyFont="1" applyFill="1" applyBorder="1" applyAlignment="1">
      <alignment vertical="top"/>
    </xf>
    <xf numFmtId="0" fontId="12" fillId="2" borderId="4" xfId="0" applyFont="1" applyFill="1" applyBorder="1" applyAlignment="1">
      <alignment horizontal="center"/>
    </xf>
    <xf numFmtId="0" fontId="12" fillId="2" borderId="4" xfId="0" applyFont="1" applyFill="1" applyBorder="1" applyAlignment="1"/>
    <xf numFmtId="0" fontId="12" fillId="2" borderId="4" xfId="0" applyFont="1" applyFill="1" applyBorder="1" applyAlignment="1">
      <alignment horizontal="center" vertical="top"/>
    </xf>
    <xf numFmtId="0" fontId="12" fillId="0" borderId="4" xfId="0" applyFont="1" applyBorder="1" applyAlignment="1">
      <alignment horizontal="center"/>
    </xf>
    <xf numFmtId="0" fontId="12" fillId="2" borderId="4" xfId="0" applyFont="1" applyFill="1" applyBorder="1" applyAlignment="1">
      <alignment horizontal="center" wrapText="1"/>
    </xf>
    <xf numFmtId="0" fontId="16" fillId="2" borderId="4" xfId="0" applyFont="1" applyFill="1" applyBorder="1" applyAlignment="1">
      <alignment horizontal="center" wrapText="1"/>
    </xf>
    <xf numFmtId="0" fontId="16" fillId="2" borderId="1" xfId="0" applyFont="1" applyFill="1" applyBorder="1" applyAlignment="1">
      <alignment horizontal="center" wrapText="1"/>
    </xf>
    <xf numFmtId="0" fontId="13" fillId="0" borderId="8" xfId="0" applyFont="1" applyBorder="1" applyAlignment="1"/>
    <xf numFmtId="0" fontId="0" fillId="0" borderId="8" xfId="0" applyFont="1" applyBorder="1" applyAlignment="1"/>
    <xf numFmtId="0" fontId="16" fillId="2" borderId="8" xfId="0" applyFont="1" applyFill="1" applyBorder="1" applyAlignment="1">
      <alignment horizontal="center" wrapText="1"/>
    </xf>
    <xf numFmtId="0" fontId="12" fillId="2" borderId="12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/>
    </xf>
    <xf numFmtId="0" fontId="23" fillId="2" borderId="4" xfId="0" applyFont="1" applyFill="1" applyBorder="1" applyAlignment="1">
      <alignment vertical="top"/>
    </xf>
    <xf numFmtId="0" fontId="24" fillId="2" borderId="4" xfId="0" applyFont="1" applyFill="1" applyBorder="1" applyAlignment="1">
      <alignment vertical="top"/>
    </xf>
    <xf numFmtId="0" fontId="25" fillId="2" borderId="4" xfId="0" applyFont="1" applyFill="1" applyBorder="1" applyAlignment="1">
      <alignment vertical="top"/>
    </xf>
    <xf numFmtId="0" fontId="19" fillId="2" borderId="4" xfId="0" applyFont="1" applyFill="1" applyBorder="1" applyAlignment="1">
      <alignment horizontal="center"/>
    </xf>
    <xf numFmtId="0" fontId="26" fillId="0" borderId="16" xfId="0" applyFont="1" applyBorder="1" applyAlignment="1">
      <alignment horizontal="center" wrapText="1"/>
    </xf>
    <xf numFmtId="0" fontId="26" fillId="0" borderId="6" xfId="0" applyFont="1" applyBorder="1" applyAlignment="1">
      <alignment horizontal="center" wrapText="1"/>
    </xf>
    <xf numFmtId="0" fontId="23" fillId="0" borderId="6" xfId="0" applyFont="1" applyBorder="1" applyAlignment="1">
      <alignment wrapText="1"/>
    </xf>
    <xf numFmtId="0" fontId="28" fillId="0" borderId="6" xfId="0" applyFont="1" applyBorder="1" applyAlignment="1">
      <alignment wrapText="1"/>
    </xf>
    <xf numFmtId="0" fontId="26" fillId="0" borderId="15" xfId="0" applyFont="1" applyBorder="1" applyAlignment="1">
      <alignment horizontal="center" wrapText="1"/>
    </xf>
    <xf numFmtId="0" fontId="23" fillId="0" borderId="15" xfId="0" applyFont="1" applyBorder="1" applyAlignment="1">
      <alignment wrapText="1"/>
    </xf>
    <xf numFmtId="164" fontId="23" fillId="0" borderId="16" xfId="0" applyNumberFormat="1" applyFont="1" applyBorder="1" applyAlignment="1">
      <alignment wrapText="1"/>
    </xf>
    <xf numFmtId="164" fontId="23" fillId="0" borderId="15" xfId="0" applyNumberFormat="1" applyFont="1" applyBorder="1" applyAlignment="1">
      <alignment wrapText="1"/>
    </xf>
    <xf numFmtId="0" fontId="22" fillId="0" borderId="8" xfId="0" applyFont="1" applyBorder="1" applyAlignment="1">
      <alignment horizontal="center"/>
    </xf>
    <xf numFmtId="0" fontId="26" fillId="0" borderId="8" xfId="0" applyFont="1" applyFill="1" applyBorder="1" applyAlignment="1">
      <alignment horizontal="center" wrapText="1"/>
    </xf>
    <xf numFmtId="0" fontId="23" fillId="0" borderId="0" xfId="0" applyFont="1"/>
    <xf numFmtId="0" fontId="23" fillId="0" borderId="16" xfId="0" applyFont="1" applyBorder="1" applyAlignment="1">
      <alignment horizontal="center" wrapText="1"/>
    </xf>
    <xf numFmtId="3" fontId="23" fillId="0" borderId="16" xfId="0" applyNumberFormat="1" applyFont="1" applyBorder="1" applyAlignment="1">
      <alignment wrapText="1"/>
    </xf>
    <xf numFmtId="0" fontId="26" fillId="0" borderId="8" xfId="0" applyFont="1" applyBorder="1" applyAlignment="1">
      <alignment horizontal="center" wrapText="1"/>
    </xf>
    <xf numFmtId="0" fontId="23" fillId="0" borderId="8" xfId="0" applyFont="1" applyBorder="1"/>
    <xf numFmtId="3" fontId="23" fillId="0" borderId="15" xfId="0" applyNumberFormat="1" applyFont="1" applyBorder="1" applyAlignment="1">
      <alignment wrapText="1"/>
    </xf>
    <xf numFmtId="0" fontId="26" fillId="0" borderId="0" xfId="0" applyFont="1" applyBorder="1" applyAlignment="1">
      <alignment wrapText="1"/>
    </xf>
    <xf numFmtId="0" fontId="23" fillId="0" borderId="0" xfId="0" applyFont="1" applyBorder="1" applyAlignment="1">
      <alignment wrapText="1"/>
    </xf>
    <xf numFmtId="0" fontId="22" fillId="0" borderId="28" xfId="0" applyFont="1" applyBorder="1" applyAlignment="1">
      <alignment horizontal="center"/>
    </xf>
    <xf numFmtId="0" fontId="26" fillId="0" borderId="28" xfId="0" applyFont="1" applyFill="1" applyBorder="1" applyAlignment="1">
      <alignment horizontal="center" wrapText="1"/>
    </xf>
    <xf numFmtId="0" fontId="26" fillId="0" borderId="12" xfId="0" applyFont="1" applyBorder="1" applyAlignment="1">
      <alignment horizontal="center" wrapText="1"/>
    </xf>
    <xf numFmtId="0" fontId="23" fillId="0" borderId="7" xfId="0" applyFont="1" applyBorder="1" applyAlignment="1">
      <alignment wrapText="1"/>
    </xf>
    <xf numFmtId="0" fontId="28" fillId="0" borderId="4" xfId="0" applyFont="1" applyBorder="1" applyAlignment="1">
      <alignment wrapText="1"/>
    </xf>
    <xf numFmtId="0" fontId="0" fillId="0" borderId="0" xfId="0" applyAlignment="1">
      <alignment wrapText="1"/>
    </xf>
    <xf numFmtId="164" fontId="23" fillId="0" borderId="0" xfId="0" applyNumberFormat="1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26" fillId="0" borderId="15" xfId="0" applyFont="1" applyBorder="1" applyAlignment="1">
      <alignment horizontal="center" wrapText="1"/>
    </xf>
    <xf numFmtId="0" fontId="26" fillId="0" borderId="8" xfId="0" applyFont="1" applyBorder="1" applyAlignment="1">
      <alignment horizontal="center" wrapText="1"/>
    </xf>
    <xf numFmtId="0" fontId="34" fillId="0" borderId="0" xfId="0" applyFont="1" applyAlignment="1"/>
    <xf numFmtId="0" fontId="30" fillId="3" borderId="4" xfId="3" applyBorder="1" applyAlignment="1">
      <alignment horizontal="center"/>
    </xf>
    <xf numFmtId="0" fontId="30" fillId="3" borderId="8" xfId="3" applyBorder="1" applyAlignment="1"/>
    <xf numFmtId="0" fontId="0" fillId="0" borderId="0" xfId="0" applyFont="1" applyAlignment="1">
      <alignment wrapText="1"/>
    </xf>
    <xf numFmtId="0" fontId="22" fillId="0" borderId="8" xfId="0" applyFont="1" applyBorder="1" applyAlignment="1">
      <alignment horizontal="center" wrapText="1"/>
    </xf>
    <xf numFmtId="0" fontId="0" fillId="0" borderId="0" xfId="0"/>
    <xf numFmtId="164" fontId="23" fillId="0" borderId="16" xfId="0" applyNumberFormat="1" applyFont="1" applyBorder="1" applyAlignment="1">
      <alignment horizontal="center" wrapText="1"/>
    </xf>
    <xf numFmtId="164" fontId="23" fillId="0" borderId="15" xfId="0" applyNumberFormat="1" applyFont="1" applyBorder="1" applyAlignment="1">
      <alignment horizontal="center" wrapText="1"/>
    </xf>
    <xf numFmtId="0" fontId="0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31" fillId="4" borderId="0" xfId="4" applyAlignment="1"/>
    <xf numFmtId="0" fontId="3" fillId="0" borderId="6" xfId="0" applyFont="1" applyBorder="1" applyAlignment="1">
      <alignment horizontal="center"/>
    </xf>
    <xf numFmtId="0" fontId="23" fillId="0" borderId="8" xfId="0" applyFont="1" applyBorder="1" applyAlignment="1">
      <alignment wrapText="1"/>
    </xf>
    <xf numFmtId="0" fontId="0" fillId="0" borderId="0" xfId="0" applyFont="1" applyBorder="1" applyAlignment="1"/>
    <xf numFmtId="164" fontId="23" fillId="0" borderId="27" xfId="0" applyNumberFormat="1" applyFont="1" applyBorder="1" applyAlignment="1">
      <alignment horizontal="center" wrapText="1"/>
    </xf>
    <xf numFmtId="0" fontId="28" fillId="0" borderId="8" xfId="0" applyFont="1" applyBorder="1" applyAlignment="1">
      <alignment wrapText="1"/>
    </xf>
    <xf numFmtId="164" fontId="23" fillId="0" borderId="8" xfId="0" applyNumberFormat="1" applyFont="1" applyBorder="1" applyAlignment="1">
      <alignment horizontal="center" wrapText="1"/>
    </xf>
    <xf numFmtId="16" fontId="28" fillId="0" borderId="8" xfId="0" applyNumberFormat="1" applyFont="1" applyBorder="1" applyAlignment="1">
      <alignment wrapText="1"/>
    </xf>
    <xf numFmtId="16" fontId="23" fillId="0" borderId="8" xfId="0" applyNumberFormat="1" applyFont="1" applyBorder="1" applyAlignment="1">
      <alignment wrapText="1"/>
    </xf>
    <xf numFmtId="0" fontId="17" fillId="0" borderId="0" xfId="0" applyFont="1" applyAlignment="1"/>
    <xf numFmtId="0" fontId="0" fillId="0" borderId="8" xfId="0" applyBorder="1" applyAlignment="1">
      <alignment wrapText="1"/>
    </xf>
    <xf numFmtId="0" fontId="33" fillId="6" borderId="22" xfId="6" applyFont="1" applyBorder="1" applyAlignment="1">
      <alignment horizontal="center" wrapText="1"/>
    </xf>
    <xf numFmtId="0" fontId="33" fillId="6" borderId="35" xfId="6" applyFont="1" applyBorder="1" applyAlignment="1">
      <alignment horizontal="center" wrapText="1"/>
    </xf>
    <xf numFmtId="0" fontId="33" fillId="6" borderId="36" xfId="6" applyFont="1" applyBorder="1" applyAlignment="1">
      <alignment horizontal="center" wrapText="1"/>
    </xf>
    <xf numFmtId="0" fontId="33" fillId="0" borderId="8" xfId="0" applyFont="1" applyBorder="1" applyAlignment="1">
      <alignment horizontal="center" wrapText="1"/>
    </xf>
    <xf numFmtId="0" fontId="26" fillId="0" borderId="16" xfId="1" applyFont="1" applyBorder="1" applyAlignment="1">
      <alignment horizontal="center" wrapText="1"/>
    </xf>
    <xf numFmtId="0" fontId="26" fillId="0" borderId="15" xfId="1" applyFont="1" applyBorder="1" applyAlignment="1">
      <alignment horizontal="center" wrapText="1"/>
    </xf>
    <xf numFmtId="3" fontId="23" fillId="0" borderId="16" xfId="1" applyNumberFormat="1" applyFont="1" applyBorder="1" applyAlignment="1">
      <alignment wrapText="1"/>
    </xf>
    <xf numFmtId="3" fontId="23" fillId="0" borderId="27" xfId="1" applyNumberFormat="1" applyFont="1" applyBorder="1" applyAlignment="1">
      <alignment wrapText="1"/>
    </xf>
    <xf numFmtId="0" fontId="0" fillId="0" borderId="8" xfId="0" applyBorder="1" applyAlignment="1">
      <alignment horizontal="center" wrapText="1"/>
    </xf>
    <xf numFmtId="3" fontId="23" fillId="0" borderId="16" xfId="1" applyNumberFormat="1" applyFont="1" applyBorder="1" applyAlignment="1">
      <alignment horizontal="center" wrapText="1"/>
    </xf>
    <xf numFmtId="3" fontId="23" fillId="0" borderId="27" xfId="1" applyNumberFormat="1" applyFont="1" applyBorder="1" applyAlignment="1">
      <alignment horizontal="center" wrapText="1"/>
    </xf>
    <xf numFmtId="0" fontId="32" fillId="5" borderId="30" xfId="5" applyAlignment="1">
      <alignment wrapText="1"/>
    </xf>
    <xf numFmtId="3" fontId="0" fillId="0" borderId="8" xfId="0" applyNumberFormat="1" applyBorder="1" applyAlignment="1">
      <alignment horizontal="center" wrapText="1"/>
    </xf>
    <xf numFmtId="0" fontId="29" fillId="0" borderId="29" xfId="2" applyAlignment="1"/>
    <xf numFmtId="0" fontId="26" fillId="0" borderId="16" xfId="0" applyFont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35" fillId="0" borderId="4" xfId="0" applyFont="1" applyBorder="1" applyAlignment="1">
      <alignment horizontal="center"/>
    </xf>
    <xf numFmtId="0" fontId="35" fillId="7" borderId="2" xfId="0" applyFont="1" applyFill="1" applyBorder="1" applyAlignment="1">
      <alignment horizontal="center" wrapText="1"/>
    </xf>
    <xf numFmtId="0" fontId="35" fillId="7" borderId="1" xfId="0" applyFont="1" applyFill="1" applyBorder="1" applyAlignment="1">
      <alignment horizontal="center" wrapText="1"/>
    </xf>
    <xf numFmtId="0" fontId="35" fillId="7" borderId="4" xfId="0" applyFont="1" applyFill="1" applyBorder="1" applyAlignment="1">
      <alignment horizontal="center" wrapText="1"/>
    </xf>
    <xf numFmtId="0" fontId="15" fillId="0" borderId="16" xfId="0" applyFont="1" applyBorder="1" applyAlignment="1">
      <alignment wrapText="1"/>
    </xf>
    <xf numFmtId="0" fontId="15" fillId="0" borderId="15" xfId="0" applyFont="1" applyBorder="1" applyAlignment="1"/>
    <xf numFmtId="0" fontId="0" fillId="0" borderId="0" xfId="0" applyAlignment="1"/>
    <xf numFmtId="0" fontId="26" fillId="0" borderId="6" xfId="0" applyFont="1" applyBorder="1" applyAlignment="1">
      <alignment horizontal="center"/>
    </xf>
    <xf numFmtId="0" fontId="28" fillId="0" borderId="6" xfId="0" applyFont="1" applyBorder="1" applyAlignment="1"/>
    <xf numFmtId="3" fontId="15" fillId="0" borderId="16" xfId="0" applyNumberFormat="1" applyFont="1" applyBorder="1" applyAlignment="1"/>
    <xf numFmtId="0" fontId="15" fillId="0" borderId="16" xfId="0" applyFont="1" applyBorder="1" applyAlignment="1"/>
    <xf numFmtId="0" fontId="0" fillId="0" borderId="8" xfId="0" applyBorder="1" applyAlignment="1"/>
    <xf numFmtId="0" fontId="15" fillId="0" borderId="6" xfId="0" applyFont="1" applyBorder="1" applyAlignment="1">
      <alignment wrapText="1"/>
    </xf>
    <xf numFmtId="9" fontId="15" fillId="0" borderId="16" xfId="0" applyNumberFormat="1" applyFont="1" applyBorder="1" applyAlignment="1">
      <alignment horizontal="right"/>
    </xf>
    <xf numFmtId="0" fontId="15" fillId="0" borderId="0" xfId="0" applyFont="1" applyAlignment="1"/>
    <xf numFmtId="0" fontId="15" fillId="0" borderId="6" xfId="0" applyFont="1" applyBorder="1" applyAlignment="1"/>
    <xf numFmtId="164" fontId="31" fillId="4" borderId="16" xfId="4" applyNumberFormat="1" applyBorder="1" applyAlignment="1"/>
    <xf numFmtId="164" fontId="15" fillId="0" borderId="16" xfId="0" applyNumberFormat="1" applyFont="1" applyBorder="1" applyAlignment="1"/>
    <xf numFmtId="49" fontId="37" fillId="0" borderId="0" xfId="0" applyNumberFormat="1" applyFont="1" applyAlignment="1"/>
    <xf numFmtId="0" fontId="37" fillId="0" borderId="0" xfId="0" applyFont="1" applyAlignment="1"/>
    <xf numFmtId="9" fontId="15" fillId="0" borderId="16" xfId="0" applyNumberFormat="1" applyFont="1" applyBorder="1" applyAlignment="1"/>
    <xf numFmtId="164" fontId="15" fillId="8" borderId="16" xfId="0" applyNumberFormat="1" applyFont="1" applyFill="1" applyBorder="1" applyAlignment="1">
      <alignment wrapText="1"/>
    </xf>
    <xf numFmtId="165" fontId="15" fillId="8" borderId="16" xfId="0" applyNumberFormat="1" applyFont="1" applyFill="1" applyBorder="1" applyAlignment="1">
      <alignment wrapText="1"/>
    </xf>
    <xf numFmtId="164" fontId="15" fillId="8" borderId="16" xfId="0" applyNumberFormat="1" applyFont="1" applyFill="1" applyBorder="1" applyAlignment="1"/>
    <xf numFmtId="165" fontId="15" fillId="8" borderId="16" xfId="0" applyNumberFormat="1" applyFont="1" applyFill="1" applyBorder="1" applyAlignment="1"/>
    <xf numFmtId="0" fontId="15" fillId="0" borderId="16" xfId="0" applyFont="1" applyBorder="1" applyAlignment="1">
      <alignment horizontal="right"/>
    </xf>
    <xf numFmtId="0" fontId="8" fillId="0" borderId="6" xfId="0" applyFont="1" applyBorder="1" applyAlignment="1">
      <alignment wrapText="1"/>
    </xf>
    <xf numFmtId="0" fontId="15" fillId="0" borderId="27" xfId="0" applyFont="1" applyBorder="1" applyAlignment="1"/>
    <xf numFmtId="3" fontId="15" fillId="8" borderId="16" xfId="0" applyNumberFormat="1" applyFont="1" applyFill="1" applyBorder="1" applyAlignment="1"/>
    <xf numFmtId="0" fontId="15" fillId="8" borderId="16" xfId="0" applyFont="1" applyFill="1" applyBorder="1" applyAlignment="1"/>
    <xf numFmtId="164" fontId="15" fillId="0" borderId="15" xfId="0" applyNumberFormat="1" applyFont="1" applyBorder="1" applyAlignment="1"/>
    <xf numFmtId="0" fontId="15" fillId="0" borderId="8" xfId="0" applyFont="1" applyBorder="1" applyAlignment="1"/>
    <xf numFmtId="0" fontId="26" fillId="0" borderId="15" xfId="0" applyFont="1" applyBorder="1" applyAlignment="1">
      <alignment horizontal="center" wrapText="1"/>
    </xf>
    <xf numFmtId="0" fontId="26" fillId="0" borderId="8" xfId="0" applyFont="1" applyBorder="1" applyAlignment="1">
      <alignment horizontal="center" wrapText="1"/>
    </xf>
    <xf numFmtId="16" fontId="0" fillId="0" borderId="0" xfId="0" applyNumberFormat="1" applyAlignment="1"/>
    <xf numFmtId="3" fontId="0" fillId="0" borderId="8" xfId="0" applyNumberFormat="1" applyBorder="1" applyAlignment="1">
      <alignment wrapText="1"/>
    </xf>
    <xf numFmtId="0" fontId="26" fillId="0" borderId="27" xfId="1" applyFont="1" applyBorder="1" applyAlignment="1">
      <alignment horizontal="center" wrapText="1"/>
    </xf>
    <xf numFmtId="3" fontId="0" fillId="0" borderId="8" xfId="0" applyNumberFormat="1" applyFont="1" applyBorder="1" applyAlignment="1"/>
    <xf numFmtId="0" fontId="15" fillId="0" borderId="0" xfId="0" applyFont="1" applyBorder="1" applyAlignment="1"/>
    <xf numFmtId="164" fontId="39" fillId="9" borderId="16" xfId="7" applyNumberFormat="1" applyBorder="1" applyAlignment="1"/>
    <xf numFmtId="3" fontId="33" fillId="9" borderId="16" xfId="7" applyNumberFormat="1" applyFont="1" applyBorder="1" applyAlignment="1"/>
    <xf numFmtId="164" fontId="33" fillId="9" borderId="16" xfId="7" applyNumberFormat="1" applyFont="1" applyBorder="1" applyAlignment="1"/>
    <xf numFmtId="0" fontId="33" fillId="9" borderId="16" xfId="7" applyFont="1" applyBorder="1" applyAlignment="1"/>
    <xf numFmtId="0" fontId="31" fillId="4" borderId="6" xfId="4" applyBorder="1" applyAlignment="1">
      <alignment wrapText="1"/>
    </xf>
    <xf numFmtId="166" fontId="23" fillId="0" borderId="42" xfId="8" applyNumberFormat="1" applyFont="1" applyBorder="1"/>
    <xf numFmtId="0" fontId="31" fillId="4" borderId="6" xfId="4" applyBorder="1" applyAlignment="1"/>
    <xf numFmtId="0" fontId="23" fillId="0" borderId="16" xfId="8" applyFont="1" applyBorder="1" applyAlignment="1">
      <alignment horizontal="right"/>
    </xf>
    <xf numFmtId="166" fontId="23" fillId="0" borderId="16" xfId="8" applyNumberFormat="1" applyFont="1" applyBorder="1"/>
    <xf numFmtId="3" fontId="15" fillId="8" borderId="16" xfId="0" applyNumberFormat="1" applyFont="1" applyFill="1" applyBorder="1" applyAlignment="1">
      <alignment wrapText="1"/>
    </xf>
    <xf numFmtId="167" fontId="3" fillId="0" borderId="4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27" fillId="0" borderId="4" xfId="0" applyNumberFormat="1" applyFont="1" applyBorder="1" applyAlignment="1">
      <alignment wrapText="1"/>
    </xf>
    <xf numFmtId="1" fontId="3" fillId="0" borderId="8" xfId="0" applyNumberFormat="1" applyFont="1" applyBorder="1" applyAlignment="1">
      <alignment horizontal="center"/>
    </xf>
    <xf numFmtId="1" fontId="23" fillId="0" borderId="8" xfId="0" applyNumberFormat="1" applyFont="1" applyBorder="1" applyAlignment="1">
      <alignment horizontal="center" wrapText="1"/>
    </xf>
    <xf numFmtId="1" fontId="12" fillId="2" borderId="8" xfId="0" applyNumberFormat="1" applyFont="1" applyFill="1" applyBorder="1" applyAlignment="1">
      <alignment horizontal="center" vertical="top"/>
    </xf>
    <xf numFmtId="1" fontId="23" fillId="0" borderId="8" xfId="0" applyNumberFormat="1" applyFont="1" applyBorder="1" applyAlignment="1">
      <alignment wrapText="1"/>
    </xf>
    <xf numFmtId="1" fontId="0" fillId="0" borderId="8" xfId="0" applyNumberFormat="1" applyFont="1" applyBorder="1" applyAlignment="1">
      <alignment wrapText="1"/>
    </xf>
    <xf numFmtId="3" fontId="23" fillId="0" borderId="27" xfId="0" applyNumberFormat="1" applyFont="1" applyBorder="1" applyAlignment="1">
      <alignment wrapText="1"/>
    </xf>
    <xf numFmtId="3" fontId="23" fillId="0" borderId="3" xfId="0" applyNumberFormat="1" applyFont="1" applyBorder="1" applyAlignment="1">
      <alignment wrapText="1"/>
    </xf>
    <xf numFmtId="3" fontId="31" fillId="4" borderId="16" xfId="4" applyNumberFormat="1" applyBorder="1" applyAlignment="1">
      <alignment wrapText="1"/>
    </xf>
    <xf numFmtId="3" fontId="31" fillId="4" borderId="15" xfId="4" applyNumberFormat="1" applyBorder="1" applyAlignment="1">
      <alignment wrapText="1"/>
    </xf>
    <xf numFmtId="3" fontId="31" fillId="4" borderId="8" xfId="4" applyNumberFormat="1" applyBorder="1" applyAlignment="1"/>
    <xf numFmtId="1" fontId="0" fillId="0" borderId="8" xfId="0" applyNumberFormat="1" applyBorder="1" applyAlignment="1">
      <alignment wrapText="1"/>
    </xf>
    <xf numFmtId="0" fontId="23" fillId="0" borderId="16" xfId="0" applyFont="1" applyBorder="1" applyAlignment="1"/>
    <xf numFmtId="0" fontId="27" fillId="0" borderId="0" xfId="0" applyFont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5" fillId="0" borderId="3" xfId="0" applyFont="1" applyBorder="1"/>
    <xf numFmtId="0" fontId="5" fillId="0" borderId="2" xfId="0" applyFont="1" applyBorder="1"/>
    <xf numFmtId="0" fontId="8" fillId="2" borderId="8" xfId="0" applyFont="1" applyFill="1" applyBorder="1" applyAlignment="1">
      <alignment horizontal="center" wrapText="1"/>
    </xf>
    <xf numFmtId="0" fontId="0" fillId="0" borderId="8" xfId="0" applyFont="1" applyBorder="1" applyAlignment="1">
      <alignment wrapText="1"/>
    </xf>
    <xf numFmtId="0" fontId="4" fillId="0" borderId="12" xfId="0" applyFont="1" applyBorder="1" applyAlignment="1">
      <alignment horizontal="center"/>
    </xf>
    <xf numFmtId="0" fontId="12" fillId="2" borderId="5" xfId="0" applyFont="1" applyFill="1" applyBorder="1" applyAlignment="1">
      <alignment vertical="top"/>
    </xf>
    <xf numFmtId="0" fontId="5" fillId="0" borderId="6" xfId="0" applyFont="1" applyBorder="1"/>
    <xf numFmtId="0" fontId="12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/>
    </xf>
    <xf numFmtId="0" fontId="27" fillId="0" borderId="15" xfId="0" applyFont="1" applyBorder="1" applyAlignment="1">
      <alignment wrapText="1"/>
    </xf>
    <xf numFmtId="0" fontId="21" fillId="0" borderId="15" xfId="0" applyFont="1" applyBorder="1" applyAlignment="1">
      <alignment wrapText="1"/>
    </xf>
    <xf numFmtId="0" fontId="23" fillId="0" borderId="15" xfId="0" applyFont="1" applyBorder="1" applyAlignment="1">
      <alignment horizontal="center" wrapText="1"/>
    </xf>
    <xf numFmtId="0" fontId="26" fillId="0" borderId="7" xfId="0" applyFont="1" applyBorder="1" applyAlignment="1">
      <alignment horizontal="center" wrapText="1"/>
    </xf>
    <xf numFmtId="0" fontId="21" fillId="0" borderId="6" xfId="0" applyFont="1" applyBorder="1" applyAlignment="1">
      <alignment wrapText="1"/>
    </xf>
    <xf numFmtId="0" fontId="26" fillId="0" borderId="15" xfId="0" applyFont="1" applyBorder="1" applyAlignment="1">
      <alignment horizontal="center" wrapText="1"/>
    </xf>
    <xf numFmtId="0" fontId="21" fillId="0" borderId="16" xfId="0" applyFont="1" applyBorder="1" applyAlignment="1">
      <alignment wrapText="1"/>
    </xf>
    <xf numFmtId="0" fontId="16" fillId="2" borderId="1" xfId="0" applyFont="1" applyFill="1" applyBorder="1" applyAlignment="1">
      <alignment horizontal="center" vertical="top" wrapText="1"/>
    </xf>
    <xf numFmtId="0" fontId="16" fillId="2" borderId="2" xfId="0" applyFont="1" applyFill="1" applyBorder="1" applyAlignment="1">
      <alignment horizontal="center" vertical="top" wrapText="1"/>
    </xf>
    <xf numFmtId="0" fontId="16" fillId="2" borderId="3" xfId="0" applyFont="1" applyFill="1" applyBorder="1" applyAlignment="1">
      <alignment horizontal="center" vertical="top" wrapText="1"/>
    </xf>
    <xf numFmtId="0" fontId="16" fillId="2" borderId="20" xfId="0" applyFont="1" applyFill="1" applyBorder="1" applyAlignment="1">
      <alignment horizontal="center" vertical="top" wrapText="1"/>
    </xf>
    <xf numFmtId="0" fontId="16" fillId="0" borderId="21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16" fillId="0" borderId="23" xfId="0" applyFont="1" applyBorder="1" applyAlignment="1">
      <alignment horizontal="center" wrapText="1"/>
    </xf>
    <xf numFmtId="0" fontId="20" fillId="2" borderId="24" xfId="0" applyFont="1" applyFill="1" applyBorder="1" applyAlignment="1">
      <alignment horizontal="center" vertical="top"/>
    </xf>
    <xf numFmtId="0" fontId="20" fillId="2" borderId="25" xfId="0" applyFont="1" applyFill="1" applyBorder="1" applyAlignment="1">
      <alignment horizontal="center" vertical="top"/>
    </xf>
    <xf numFmtId="0" fontId="20" fillId="2" borderId="26" xfId="0" applyFont="1" applyFill="1" applyBorder="1" applyAlignment="1">
      <alignment horizontal="center" vertical="top"/>
    </xf>
    <xf numFmtId="0" fontId="17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6" fillId="2" borderId="13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22" fillId="0" borderId="9" xfId="0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22" fillId="0" borderId="11" xfId="0" applyFont="1" applyBorder="1" applyAlignment="1">
      <alignment horizontal="center"/>
    </xf>
    <xf numFmtId="0" fontId="20" fillId="2" borderId="8" xfId="0" applyFont="1" applyFill="1" applyBorder="1" applyAlignment="1">
      <alignment horizontal="center" vertical="top"/>
    </xf>
    <xf numFmtId="0" fontId="22" fillId="0" borderId="17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26" fillId="0" borderId="14" xfId="0" applyFont="1" applyBorder="1" applyAlignment="1">
      <alignment horizontal="center" wrapText="1"/>
    </xf>
    <xf numFmtId="0" fontId="21" fillId="0" borderId="12" xfId="0" applyFont="1" applyBorder="1" applyAlignment="1">
      <alignment wrapText="1"/>
    </xf>
    <xf numFmtId="0" fontId="26" fillId="0" borderId="8" xfId="0" applyFont="1" applyBorder="1" applyAlignment="1">
      <alignment horizontal="center" wrapText="1"/>
    </xf>
    <xf numFmtId="0" fontId="21" fillId="0" borderId="8" xfId="0" applyFont="1" applyBorder="1" applyAlignment="1">
      <alignment wrapText="1"/>
    </xf>
    <xf numFmtId="0" fontId="23" fillId="0" borderId="0" xfId="0" applyFont="1" applyBorder="1" applyAlignment="1">
      <alignment horizontal="center" wrapText="1"/>
    </xf>
    <xf numFmtId="0" fontId="26" fillId="0" borderId="9" xfId="0" applyFont="1" applyBorder="1" applyAlignment="1">
      <alignment horizontal="center" wrapText="1"/>
    </xf>
    <xf numFmtId="0" fontId="26" fillId="0" borderId="10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0" fontId="26" fillId="0" borderId="1" xfId="0" applyFont="1" applyBorder="1" applyAlignment="1">
      <alignment horizontal="center" wrapText="1"/>
    </xf>
    <xf numFmtId="0" fontId="26" fillId="0" borderId="2" xfId="0" applyFont="1" applyBorder="1" applyAlignment="1">
      <alignment horizontal="center" wrapText="1"/>
    </xf>
    <xf numFmtId="0" fontId="26" fillId="0" borderId="3" xfId="0" applyFont="1" applyBorder="1" applyAlignment="1">
      <alignment horizontal="center" wrapText="1"/>
    </xf>
    <xf numFmtId="0" fontId="33" fillId="6" borderId="31" xfId="6" applyFont="1" applyBorder="1" applyAlignment="1">
      <alignment horizontal="center" vertical="center" wrapText="1"/>
    </xf>
    <xf numFmtId="0" fontId="33" fillId="6" borderId="28" xfId="6" applyFont="1" applyBorder="1" applyAlignment="1">
      <alignment horizontal="center" vertical="center" wrapText="1"/>
    </xf>
    <xf numFmtId="0" fontId="29" fillId="0" borderId="0" xfId="2" applyBorder="1" applyAlignment="1">
      <alignment horizontal="center"/>
    </xf>
    <xf numFmtId="0" fontId="33" fillId="6" borderId="37" xfId="6" applyFont="1" applyBorder="1" applyAlignment="1">
      <alignment horizontal="center" wrapText="1"/>
    </xf>
    <xf numFmtId="0" fontId="33" fillId="6" borderId="0" xfId="6" applyFont="1" applyBorder="1" applyAlignment="1">
      <alignment horizontal="center" wrapText="1"/>
    </xf>
    <xf numFmtId="0" fontId="33" fillId="6" borderId="8" xfId="6" applyFont="1" applyBorder="1" applyAlignment="1">
      <alignment horizontal="center" vertical="center" wrapText="1"/>
    </xf>
    <xf numFmtId="0" fontId="29" fillId="0" borderId="0" xfId="2" applyBorder="1" applyAlignment="1">
      <alignment horizontal="center" wrapText="1"/>
    </xf>
    <xf numFmtId="0" fontId="0" fillId="0" borderId="37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33" fillId="6" borderId="32" xfId="6" applyFont="1" applyBorder="1" applyAlignment="1">
      <alignment horizontal="center" wrapText="1"/>
    </xf>
    <xf numFmtId="0" fontId="33" fillId="6" borderId="33" xfId="6" applyFont="1" applyBorder="1" applyAlignment="1">
      <alignment horizontal="center" wrapText="1"/>
    </xf>
    <xf numFmtId="0" fontId="33" fillId="6" borderId="34" xfId="6" applyFont="1" applyBorder="1" applyAlignment="1">
      <alignment horizontal="center" wrapText="1"/>
    </xf>
    <xf numFmtId="0" fontId="5" fillId="0" borderId="6" xfId="0" applyFont="1" applyBorder="1" applyAlignment="1">
      <alignment wrapText="1"/>
    </xf>
    <xf numFmtId="0" fontId="35" fillId="7" borderId="38" xfId="0" applyFont="1" applyFill="1" applyBorder="1" applyAlignment="1">
      <alignment horizontal="center" wrapText="1"/>
    </xf>
    <xf numFmtId="0" fontId="36" fillId="0" borderId="39" xfId="0" applyFont="1" applyBorder="1" applyAlignment="1">
      <alignment wrapText="1"/>
    </xf>
    <xf numFmtId="0" fontId="36" fillId="0" borderId="40" xfId="0" applyFont="1" applyBorder="1" applyAlignment="1">
      <alignment wrapText="1"/>
    </xf>
    <xf numFmtId="0" fontId="26" fillId="0" borderId="27" xfId="0" applyFont="1" applyBorder="1" applyAlignment="1">
      <alignment horizontal="center"/>
    </xf>
    <xf numFmtId="0" fontId="5" fillId="0" borderId="16" xfId="0" applyFont="1" applyBorder="1" applyAlignment="1"/>
    <xf numFmtId="0" fontId="31" fillId="4" borderId="15" xfId="4" applyBorder="1" applyAlignment="1"/>
    <xf numFmtId="0" fontId="31" fillId="4" borderId="16" xfId="4" applyBorder="1" applyAlignment="1"/>
    <xf numFmtId="0" fontId="5" fillId="0" borderId="15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0" borderId="27" xfId="0" applyFont="1" applyBorder="1" applyAlignment="1">
      <alignment wrapText="1"/>
    </xf>
    <xf numFmtId="0" fontId="26" fillId="0" borderId="27" xfId="0" applyFont="1" applyBorder="1" applyAlignment="1">
      <alignment horizontal="center" wrapText="1"/>
    </xf>
    <xf numFmtId="0" fontId="5" fillId="0" borderId="16" xfId="0" applyFont="1" applyBorder="1" applyAlignment="1">
      <alignment wrapText="1"/>
    </xf>
    <xf numFmtId="0" fontId="3" fillId="0" borderId="15" xfId="0" applyFont="1" applyBorder="1" applyAlignment="1"/>
    <xf numFmtId="0" fontId="5" fillId="0" borderId="15" xfId="0" applyFont="1" applyBorder="1" applyAlignment="1"/>
    <xf numFmtId="0" fontId="3" fillId="0" borderId="15" xfId="0" applyFont="1" applyBorder="1" applyAlignment="1">
      <alignment wrapText="1"/>
    </xf>
    <xf numFmtId="0" fontId="26" fillId="0" borderId="7" xfId="0" applyFont="1" applyBorder="1" applyAlignment="1">
      <alignment horizontal="center"/>
    </xf>
    <xf numFmtId="0" fontId="5" fillId="0" borderId="6" xfId="0" applyFont="1" applyBorder="1" applyAlignment="1"/>
    <xf numFmtId="3" fontId="15" fillId="0" borderId="16" xfId="0" applyNumberFormat="1" applyFont="1" applyBorder="1" applyAlignment="1">
      <alignment wrapText="1"/>
    </xf>
  </cellXfs>
  <cellStyles count="11">
    <cellStyle name="40% — акцент6" xfId="6" builtinId="51"/>
    <cellStyle name="40% — акцент6 2" xfId="10" xr:uid="{6A8FEAC3-0CC6-45CD-9F43-E91C741E4C9D}"/>
    <cellStyle name="Вычисление" xfId="5" builtinId="22"/>
    <cellStyle name="Заголовок 1" xfId="2" builtinId="16"/>
    <cellStyle name="Нейтральный" xfId="7" builtinId="28"/>
    <cellStyle name="Обычный" xfId="0" builtinId="0"/>
    <cellStyle name="Обычный 2" xfId="1" xr:uid="{8D052D9D-668D-413F-AA62-6D57F12EE4D7}"/>
    <cellStyle name="Обычный 3" xfId="8" xr:uid="{1B512F16-BF45-4E71-B39D-C9F81F0C2B2E}"/>
    <cellStyle name="Плохой" xfId="4" builtinId="27"/>
    <cellStyle name="Примечание 2" xfId="9" xr:uid="{F4070D20-3D7B-49FC-90B4-04F115A1DF30}"/>
    <cellStyle name="Хороший" xfId="3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S45"/>
  <sheetViews>
    <sheetView workbookViewId="0">
      <selection activeCell="L26" sqref="L26"/>
    </sheetView>
  </sheetViews>
  <sheetFormatPr defaultColWidth="12.5703125" defaultRowHeight="15.75" customHeight="1"/>
  <cols>
    <col min="1" max="1" width="22.28515625" customWidth="1"/>
    <col min="2" max="2" width="7.85546875" customWidth="1"/>
    <col min="3" max="3" width="13.85546875" customWidth="1"/>
    <col min="4" max="4" width="14.42578125" customWidth="1"/>
    <col min="5" max="5" width="8.85546875" customWidth="1"/>
    <col min="6" max="6" width="12.28515625" customWidth="1"/>
    <col min="7" max="7" width="7.85546875" customWidth="1"/>
    <col min="8" max="8" width="7.42578125" customWidth="1"/>
    <col min="9" max="10" width="7.5703125" customWidth="1"/>
    <col min="11" max="11" width="8.7109375" customWidth="1"/>
    <col min="12" max="12" width="9.85546875" customWidth="1"/>
    <col min="13" max="13" width="8.5703125" customWidth="1"/>
    <col min="14" max="14" width="9.28515625" customWidth="1"/>
    <col min="15" max="15" width="9.42578125" customWidth="1"/>
    <col min="16" max="16" width="8.85546875" customWidth="1"/>
    <col min="17" max="17" width="7.28515625" customWidth="1"/>
    <col min="18" max="18" width="7.42578125" customWidth="1"/>
  </cols>
  <sheetData>
    <row r="1" spans="1:19" ht="30" customHeight="1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2.75">
      <c r="A2" s="2"/>
      <c r="B2" s="2"/>
      <c r="C2" s="2"/>
      <c r="D2" s="2"/>
      <c r="E2" s="179" t="s">
        <v>1</v>
      </c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0"/>
      <c r="S2" s="1"/>
    </row>
    <row r="3" spans="1:19" ht="12.75">
      <c r="A3" s="2"/>
      <c r="B3" s="2"/>
      <c r="C3" s="2"/>
      <c r="D3" s="2"/>
      <c r="E3" s="179" t="s">
        <v>2</v>
      </c>
      <c r="F3" s="180"/>
      <c r="G3" s="179" t="s">
        <v>3</v>
      </c>
      <c r="H3" s="180"/>
      <c r="I3" s="179" t="s">
        <v>4</v>
      </c>
      <c r="J3" s="180"/>
      <c r="K3" s="179">
        <v>2024</v>
      </c>
      <c r="L3" s="180"/>
      <c r="M3" s="179">
        <v>2025</v>
      </c>
      <c r="N3" s="180"/>
      <c r="O3" s="179">
        <v>2026</v>
      </c>
      <c r="P3" s="180"/>
      <c r="Q3" s="179">
        <v>2027</v>
      </c>
      <c r="R3" s="180"/>
      <c r="S3" s="1"/>
    </row>
    <row r="4" spans="1:19" ht="63.75">
      <c r="A4" s="3" t="s">
        <v>5</v>
      </c>
      <c r="B4" s="4" t="s">
        <v>6</v>
      </c>
      <c r="C4" s="3" t="s">
        <v>7</v>
      </c>
      <c r="D4" s="3" t="s">
        <v>8</v>
      </c>
      <c r="E4" s="5" t="s">
        <v>9</v>
      </c>
      <c r="F4" s="3" t="s">
        <v>10</v>
      </c>
      <c r="G4" s="6" t="s">
        <v>9</v>
      </c>
      <c r="H4" s="3" t="s">
        <v>10</v>
      </c>
      <c r="I4" s="6" t="s">
        <v>9</v>
      </c>
      <c r="J4" s="3" t="s">
        <v>10</v>
      </c>
      <c r="K4" s="6" t="s">
        <v>9</v>
      </c>
      <c r="L4" s="3" t="s">
        <v>10</v>
      </c>
      <c r="M4" s="6" t="s">
        <v>9</v>
      </c>
      <c r="N4" s="3" t="s">
        <v>10</v>
      </c>
      <c r="O4" s="6" t="s">
        <v>9</v>
      </c>
      <c r="P4" s="3" t="s">
        <v>10</v>
      </c>
      <c r="Q4" s="6" t="s">
        <v>9</v>
      </c>
      <c r="R4" s="3" t="s">
        <v>10</v>
      </c>
      <c r="S4" s="1"/>
    </row>
    <row r="5" spans="1:19" ht="12.75">
      <c r="A5" s="7">
        <v>1</v>
      </c>
      <c r="B5" s="7">
        <v>2</v>
      </c>
      <c r="C5" s="7">
        <v>3</v>
      </c>
      <c r="D5" s="7">
        <v>4</v>
      </c>
      <c r="E5" s="7">
        <v>5</v>
      </c>
      <c r="F5" s="7">
        <v>6</v>
      </c>
      <c r="G5" s="7">
        <v>7</v>
      </c>
      <c r="H5" s="7">
        <v>8</v>
      </c>
      <c r="I5" s="7">
        <v>9</v>
      </c>
      <c r="J5" s="7">
        <v>10</v>
      </c>
      <c r="K5" s="7">
        <v>11</v>
      </c>
      <c r="L5" s="7">
        <v>12</v>
      </c>
      <c r="M5" s="7">
        <v>13</v>
      </c>
      <c r="N5" s="7">
        <v>14</v>
      </c>
      <c r="O5" s="7">
        <v>15</v>
      </c>
      <c r="P5" s="7">
        <v>16</v>
      </c>
      <c r="Q5" s="7">
        <v>17</v>
      </c>
      <c r="R5" s="7">
        <v>18</v>
      </c>
      <c r="S5" s="1"/>
    </row>
    <row r="6" spans="1:19" ht="12.75">
      <c r="A6" s="8" t="s">
        <v>11</v>
      </c>
      <c r="B6" s="7" t="s">
        <v>12</v>
      </c>
      <c r="C6" s="7">
        <v>1</v>
      </c>
      <c r="D6" s="7">
        <v>35</v>
      </c>
      <c r="E6" s="7">
        <v>15</v>
      </c>
      <c r="F6" s="9">
        <f t="shared" ref="F6:F7" si="0">D6*E6</f>
        <v>525</v>
      </c>
      <c r="G6" s="10">
        <v>15</v>
      </c>
      <c r="H6" s="9">
        <f t="shared" ref="H6:H7" si="1">D6*E6</f>
        <v>525</v>
      </c>
      <c r="I6" s="10">
        <v>15</v>
      </c>
      <c r="J6" s="9">
        <f t="shared" ref="J6:J7" si="2">I6*D6</f>
        <v>525</v>
      </c>
      <c r="K6" s="10">
        <f>E6*4</f>
        <v>60</v>
      </c>
      <c r="L6" s="9">
        <f>K6*D6*1.08</f>
        <v>2268</v>
      </c>
      <c r="M6" s="10">
        <f>G6*4</f>
        <v>60</v>
      </c>
      <c r="N6" s="161">
        <f>L6*1.08</f>
        <v>2449.44</v>
      </c>
      <c r="O6" s="10">
        <f>I6*4</f>
        <v>60</v>
      </c>
      <c r="P6" s="162">
        <f>N6*1.08</f>
        <v>2645.3952000000004</v>
      </c>
      <c r="Q6" s="9">
        <v>60</v>
      </c>
      <c r="R6" s="162">
        <f>P6*1.08</f>
        <v>2857.0268160000005</v>
      </c>
      <c r="S6" s="11" t="s">
        <v>13</v>
      </c>
    </row>
    <row r="7" spans="1:19" ht="12.75">
      <c r="A7" s="8" t="s">
        <v>14</v>
      </c>
      <c r="B7" s="7" t="s">
        <v>15</v>
      </c>
      <c r="C7" s="7">
        <v>1</v>
      </c>
      <c r="D7" s="7">
        <v>3</v>
      </c>
      <c r="E7" s="7">
        <v>150</v>
      </c>
      <c r="F7" s="9">
        <f t="shared" si="0"/>
        <v>450</v>
      </c>
      <c r="G7" s="10">
        <v>150</v>
      </c>
      <c r="H7" s="9">
        <f t="shared" si="1"/>
        <v>450</v>
      </c>
      <c r="I7" s="10">
        <v>150</v>
      </c>
      <c r="J7" s="9">
        <f t="shared" si="2"/>
        <v>450</v>
      </c>
      <c r="K7" s="10">
        <f t="shared" ref="K7:O13" si="3">E7*4</f>
        <v>600</v>
      </c>
      <c r="L7" s="10">
        <f t="shared" ref="L7:L13" si="4">K7*D7*1.08</f>
        <v>1944.0000000000002</v>
      </c>
      <c r="M7" s="10">
        <f t="shared" si="3"/>
        <v>600</v>
      </c>
      <c r="N7" s="161">
        <f t="shared" ref="N7:N13" si="5">L7*1.08</f>
        <v>2099.5200000000004</v>
      </c>
      <c r="O7" s="10">
        <f t="shared" si="3"/>
        <v>600</v>
      </c>
      <c r="P7" s="162">
        <f t="shared" ref="P7:P13" si="6">N7*1.08</f>
        <v>2267.4816000000005</v>
      </c>
      <c r="Q7" s="9">
        <v>600</v>
      </c>
      <c r="R7" s="162">
        <f t="shared" ref="R7:R13" si="7">P7*1.08</f>
        <v>2448.8801280000007</v>
      </c>
      <c r="S7" s="1"/>
    </row>
    <row r="8" spans="1:19" ht="12.75">
      <c r="A8" s="8" t="s">
        <v>16</v>
      </c>
      <c r="B8" s="7" t="s">
        <v>12</v>
      </c>
      <c r="C8" s="7">
        <v>1</v>
      </c>
      <c r="D8" s="161">
        <v>1.5</v>
      </c>
      <c r="E8" s="7">
        <v>150</v>
      </c>
      <c r="F8" s="7">
        <v>450</v>
      </c>
      <c r="G8" s="10">
        <v>150</v>
      </c>
      <c r="H8" s="7">
        <v>450</v>
      </c>
      <c r="I8" s="10">
        <v>150</v>
      </c>
      <c r="J8" s="7">
        <v>900</v>
      </c>
      <c r="K8" s="10">
        <f t="shared" si="3"/>
        <v>600</v>
      </c>
      <c r="L8" s="10">
        <f t="shared" si="4"/>
        <v>972.00000000000011</v>
      </c>
      <c r="M8" s="10">
        <f t="shared" si="3"/>
        <v>600</v>
      </c>
      <c r="N8" s="161">
        <f t="shared" si="5"/>
        <v>1049.7600000000002</v>
      </c>
      <c r="O8" s="10">
        <f t="shared" si="3"/>
        <v>600</v>
      </c>
      <c r="P8" s="162">
        <f t="shared" si="6"/>
        <v>1133.7408000000003</v>
      </c>
      <c r="Q8" s="9">
        <v>600</v>
      </c>
      <c r="R8" s="162">
        <f t="shared" si="7"/>
        <v>1224.4400640000003</v>
      </c>
      <c r="S8" s="1"/>
    </row>
    <row r="9" spans="1:19" ht="12.75">
      <c r="A9" s="8" t="s">
        <v>17</v>
      </c>
      <c r="B9" s="7" t="s">
        <v>15</v>
      </c>
      <c r="C9" s="7">
        <v>1</v>
      </c>
      <c r="D9" s="161">
        <v>1.5</v>
      </c>
      <c r="E9" s="7">
        <v>150</v>
      </c>
      <c r="F9" s="7">
        <v>675</v>
      </c>
      <c r="G9" s="10">
        <v>150</v>
      </c>
      <c r="H9" s="7">
        <v>675</v>
      </c>
      <c r="I9" s="10">
        <v>150</v>
      </c>
      <c r="J9" s="7">
        <v>1350</v>
      </c>
      <c r="K9" s="10">
        <f t="shared" si="3"/>
        <v>600</v>
      </c>
      <c r="L9" s="162">
        <f t="shared" si="4"/>
        <v>972.00000000000011</v>
      </c>
      <c r="M9" s="10">
        <f t="shared" si="3"/>
        <v>600</v>
      </c>
      <c r="N9" s="161">
        <f t="shared" si="5"/>
        <v>1049.7600000000002</v>
      </c>
      <c r="O9" s="10">
        <f t="shared" si="3"/>
        <v>600</v>
      </c>
      <c r="P9" s="162">
        <f t="shared" si="6"/>
        <v>1133.7408000000003</v>
      </c>
      <c r="Q9" s="9">
        <v>600</v>
      </c>
      <c r="R9" s="162">
        <f t="shared" si="7"/>
        <v>1224.4400640000003</v>
      </c>
      <c r="S9" s="1"/>
    </row>
    <row r="10" spans="1:19" ht="12.75">
      <c r="A10" s="8" t="s">
        <v>18</v>
      </c>
      <c r="B10" s="7" t="s">
        <v>12</v>
      </c>
      <c r="C10" s="7">
        <v>1</v>
      </c>
      <c r="D10" s="7">
        <v>1</v>
      </c>
      <c r="E10" s="7">
        <v>210</v>
      </c>
      <c r="F10" s="9">
        <f t="shared" ref="F10:F13" si="8">D10*E10</f>
        <v>210</v>
      </c>
      <c r="G10" s="10">
        <v>210</v>
      </c>
      <c r="H10" s="9">
        <f t="shared" ref="H10:H13" si="9">D10*E10</f>
        <v>210</v>
      </c>
      <c r="I10" s="10">
        <v>210</v>
      </c>
      <c r="J10" s="9">
        <f t="shared" ref="J10:J13" si="10">I10*D10</f>
        <v>210</v>
      </c>
      <c r="K10" s="10">
        <f t="shared" si="3"/>
        <v>840</v>
      </c>
      <c r="L10" s="162">
        <f t="shared" si="4"/>
        <v>907.2</v>
      </c>
      <c r="M10" s="10">
        <f t="shared" si="3"/>
        <v>840</v>
      </c>
      <c r="N10" s="161">
        <f t="shared" si="5"/>
        <v>979.77600000000007</v>
      </c>
      <c r="O10" s="10">
        <f t="shared" si="3"/>
        <v>840</v>
      </c>
      <c r="P10" s="162">
        <f t="shared" si="6"/>
        <v>1058.1580800000002</v>
      </c>
      <c r="Q10" s="9">
        <v>840</v>
      </c>
      <c r="R10" s="162">
        <f t="shared" si="7"/>
        <v>1142.8107264000002</v>
      </c>
      <c r="S10" s="1"/>
    </row>
    <row r="11" spans="1:19" ht="12.75">
      <c r="A11" s="8" t="s">
        <v>19</v>
      </c>
      <c r="B11" s="7" t="s">
        <v>20</v>
      </c>
      <c r="C11" s="7">
        <v>1</v>
      </c>
      <c r="D11" s="7">
        <v>1</v>
      </c>
      <c r="E11" s="7">
        <v>240</v>
      </c>
      <c r="F11" s="9">
        <f t="shared" si="8"/>
        <v>240</v>
      </c>
      <c r="G11" s="10">
        <v>240</v>
      </c>
      <c r="H11" s="9">
        <f t="shared" si="9"/>
        <v>240</v>
      </c>
      <c r="I11" s="10">
        <v>240</v>
      </c>
      <c r="J11" s="9">
        <f t="shared" si="10"/>
        <v>240</v>
      </c>
      <c r="K11" s="10">
        <f t="shared" si="3"/>
        <v>960</v>
      </c>
      <c r="L11" s="162">
        <f t="shared" si="4"/>
        <v>1036.8000000000002</v>
      </c>
      <c r="M11" s="10">
        <f t="shared" si="3"/>
        <v>960</v>
      </c>
      <c r="N11" s="161">
        <f t="shared" si="5"/>
        <v>1119.7440000000004</v>
      </c>
      <c r="O11" s="10">
        <f t="shared" si="3"/>
        <v>960</v>
      </c>
      <c r="P11" s="162">
        <f t="shared" si="6"/>
        <v>1209.3235200000004</v>
      </c>
      <c r="Q11" s="9">
        <v>960</v>
      </c>
      <c r="R11" s="162">
        <f t="shared" si="7"/>
        <v>1306.0694016000004</v>
      </c>
      <c r="S11" s="1"/>
    </row>
    <row r="12" spans="1:19" ht="12.75">
      <c r="A12" s="8" t="s">
        <v>21</v>
      </c>
      <c r="B12" s="7" t="s">
        <v>12</v>
      </c>
      <c r="C12" s="7">
        <v>1</v>
      </c>
      <c r="D12" s="7">
        <v>2</v>
      </c>
      <c r="E12" s="7">
        <v>270</v>
      </c>
      <c r="F12" s="9">
        <f t="shared" si="8"/>
        <v>540</v>
      </c>
      <c r="G12" s="10">
        <v>270</v>
      </c>
      <c r="H12" s="9">
        <f t="shared" si="9"/>
        <v>540</v>
      </c>
      <c r="I12" s="10">
        <v>270</v>
      </c>
      <c r="J12" s="9">
        <f t="shared" si="10"/>
        <v>540</v>
      </c>
      <c r="K12" s="10">
        <f t="shared" si="3"/>
        <v>1080</v>
      </c>
      <c r="L12" s="162">
        <f t="shared" si="4"/>
        <v>2332.8000000000002</v>
      </c>
      <c r="M12" s="10">
        <f t="shared" si="3"/>
        <v>1080</v>
      </c>
      <c r="N12" s="161">
        <f t="shared" si="5"/>
        <v>2519.4240000000004</v>
      </c>
      <c r="O12" s="10">
        <f t="shared" si="3"/>
        <v>1080</v>
      </c>
      <c r="P12" s="162">
        <f t="shared" si="6"/>
        <v>2720.9779200000007</v>
      </c>
      <c r="Q12" s="9">
        <v>1080</v>
      </c>
      <c r="R12" s="162">
        <f t="shared" si="7"/>
        <v>2938.6561536000008</v>
      </c>
      <c r="S12" s="1"/>
    </row>
    <row r="13" spans="1:19" ht="12.75">
      <c r="A13" s="8" t="s">
        <v>22</v>
      </c>
      <c r="B13" s="7" t="s">
        <v>12</v>
      </c>
      <c r="C13" s="7">
        <v>1</v>
      </c>
      <c r="D13" s="7">
        <v>1</v>
      </c>
      <c r="E13" s="7">
        <v>270</v>
      </c>
      <c r="F13" s="9">
        <f t="shared" si="8"/>
        <v>270</v>
      </c>
      <c r="G13" s="10">
        <v>270</v>
      </c>
      <c r="H13" s="9">
        <f t="shared" si="9"/>
        <v>270</v>
      </c>
      <c r="I13" s="10">
        <v>270</v>
      </c>
      <c r="J13" s="9">
        <f t="shared" si="10"/>
        <v>270</v>
      </c>
      <c r="K13" s="10">
        <f t="shared" si="3"/>
        <v>1080</v>
      </c>
      <c r="L13" s="162">
        <f t="shared" si="4"/>
        <v>1166.4000000000001</v>
      </c>
      <c r="M13" s="10">
        <f t="shared" si="3"/>
        <v>1080</v>
      </c>
      <c r="N13" s="161">
        <f t="shared" si="5"/>
        <v>1259.7120000000002</v>
      </c>
      <c r="O13" s="10">
        <f t="shared" si="3"/>
        <v>1080</v>
      </c>
      <c r="P13" s="162">
        <f t="shared" si="6"/>
        <v>1360.4889600000004</v>
      </c>
      <c r="Q13" s="9">
        <v>1080</v>
      </c>
      <c r="R13" s="162">
        <f t="shared" si="7"/>
        <v>1469.3280768000004</v>
      </c>
      <c r="S13" s="1"/>
    </row>
    <row r="14" spans="1:19" ht="12.75">
      <c r="A14" s="12" t="s">
        <v>23</v>
      </c>
      <c r="B14" s="9"/>
      <c r="C14" s="9"/>
      <c r="D14" s="9"/>
      <c r="E14" s="9"/>
      <c r="F14" s="13">
        <f>SUM(F6:F13)</f>
        <v>3360</v>
      </c>
      <c r="G14" s="13"/>
      <c r="H14" s="13">
        <f>SUM(F6:F13)</f>
        <v>3360</v>
      </c>
      <c r="I14" s="13"/>
      <c r="J14" s="13">
        <f>SUM(J6:J13)</f>
        <v>4485</v>
      </c>
      <c r="K14" s="12"/>
      <c r="L14" s="163">
        <f>SUM(L6:L13)</f>
        <v>11599.199999999999</v>
      </c>
      <c r="M14" s="163"/>
      <c r="N14" s="163">
        <f>SUM(N6:N13)</f>
        <v>12527.136000000002</v>
      </c>
      <c r="O14" s="163"/>
      <c r="P14" s="163">
        <f>SUM(P6:P13)</f>
        <v>13529.306880000004</v>
      </c>
      <c r="Q14" s="163"/>
      <c r="R14" s="163">
        <f>SUM(R6:R13)</f>
        <v>14611.651430400003</v>
      </c>
      <c r="S14" s="1"/>
    </row>
    <row r="17" spans="1:19" ht="15.75" customHeight="1">
      <c r="A17" s="182" t="s">
        <v>24</v>
      </c>
      <c r="B17" s="183"/>
      <c r="C17" s="183"/>
      <c r="D17" s="183"/>
      <c r="E17" s="183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2.75">
      <c r="A18" s="1"/>
      <c r="B18" s="1"/>
      <c r="C18" s="1"/>
      <c r="D18" s="1"/>
      <c r="E18" s="184" t="s">
        <v>1</v>
      </c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0"/>
      <c r="S18" s="1"/>
    </row>
    <row r="19" spans="1:19" ht="12.75">
      <c r="A19" s="2"/>
      <c r="B19" s="2"/>
      <c r="C19" s="2"/>
      <c r="D19" s="2"/>
      <c r="E19" s="179" t="s">
        <v>2</v>
      </c>
      <c r="F19" s="180"/>
      <c r="G19" s="179" t="s">
        <v>3</v>
      </c>
      <c r="H19" s="180"/>
      <c r="I19" s="179" t="s">
        <v>25</v>
      </c>
      <c r="J19" s="180"/>
      <c r="K19" s="179">
        <v>2024</v>
      </c>
      <c r="L19" s="180"/>
      <c r="M19" s="179">
        <v>2025</v>
      </c>
      <c r="N19" s="180"/>
      <c r="O19" s="179">
        <v>2026</v>
      </c>
      <c r="P19" s="180"/>
      <c r="Q19" s="179">
        <v>2027</v>
      </c>
      <c r="R19" s="180"/>
      <c r="S19" s="1"/>
    </row>
    <row r="20" spans="1:19" ht="63.75">
      <c r="A20" s="3" t="s">
        <v>5</v>
      </c>
      <c r="B20" s="4" t="s">
        <v>6</v>
      </c>
      <c r="C20" s="3" t="s">
        <v>7</v>
      </c>
      <c r="D20" s="3" t="s">
        <v>8</v>
      </c>
      <c r="E20" s="6" t="s">
        <v>26</v>
      </c>
      <c r="F20" s="3" t="s">
        <v>10</v>
      </c>
      <c r="G20" s="6" t="s">
        <v>27</v>
      </c>
      <c r="H20" s="3" t="s">
        <v>10</v>
      </c>
      <c r="I20" s="6" t="s">
        <v>27</v>
      </c>
      <c r="J20" s="3" t="s">
        <v>10</v>
      </c>
      <c r="K20" s="6" t="s">
        <v>27</v>
      </c>
      <c r="L20" s="3" t="s">
        <v>10</v>
      </c>
      <c r="M20" s="6" t="s">
        <v>27</v>
      </c>
      <c r="N20" s="3" t="s">
        <v>10</v>
      </c>
      <c r="O20" s="6" t="s">
        <v>27</v>
      </c>
      <c r="P20" s="3" t="s">
        <v>10</v>
      </c>
      <c r="Q20" s="6" t="s">
        <v>27</v>
      </c>
      <c r="R20" s="3" t="s">
        <v>10</v>
      </c>
      <c r="S20" s="1"/>
    </row>
    <row r="21" spans="1:19" ht="12.75">
      <c r="A21" s="7">
        <v>1</v>
      </c>
      <c r="B21" s="7">
        <v>2</v>
      </c>
      <c r="C21" s="7">
        <v>3</v>
      </c>
      <c r="D21" s="7">
        <v>4</v>
      </c>
      <c r="E21" s="7">
        <v>5</v>
      </c>
      <c r="F21" s="7">
        <v>6</v>
      </c>
      <c r="G21" s="7">
        <v>7</v>
      </c>
      <c r="H21" s="7">
        <v>8</v>
      </c>
      <c r="I21" s="7">
        <v>9</v>
      </c>
      <c r="J21" s="7">
        <v>10</v>
      </c>
      <c r="K21" s="7">
        <v>11</v>
      </c>
      <c r="L21" s="7">
        <v>12</v>
      </c>
      <c r="M21" s="7">
        <v>13</v>
      </c>
      <c r="N21" s="7">
        <v>14</v>
      </c>
      <c r="O21" s="7">
        <v>15</v>
      </c>
      <c r="P21" s="7">
        <v>16</v>
      </c>
      <c r="Q21" s="7">
        <v>17</v>
      </c>
      <c r="R21" s="7">
        <v>18</v>
      </c>
      <c r="S21" s="1"/>
    </row>
    <row r="22" spans="1:19" ht="15.75" customHeight="1">
      <c r="A22" s="15" t="s">
        <v>28</v>
      </c>
      <c r="B22" s="14" t="s">
        <v>29</v>
      </c>
      <c r="C22" s="7" t="s">
        <v>30</v>
      </c>
      <c r="D22" s="7">
        <v>0.2</v>
      </c>
      <c r="E22" s="9"/>
      <c r="F22" s="9"/>
      <c r="G22" s="7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1:19" ht="63.75">
      <c r="A23" s="15" t="s">
        <v>31</v>
      </c>
      <c r="B23" s="16" t="s">
        <v>32</v>
      </c>
      <c r="C23" s="7">
        <v>500</v>
      </c>
      <c r="D23" s="7">
        <v>0.2</v>
      </c>
      <c r="E23" s="7">
        <v>3</v>
      </c>
      <c r="F23" s="9">
        <f t="shared" ref="F23:F24" si="11">C23*D23*E23</f>
        <v>300</v>
      </c>
      <c r="G23" s="7">
        <v>3</v>
      </c>
      <c r="H23" s="9">
        <f t="shared" ref="H23:H24" si="12">C23*D23*G23</f>
        <v>300</v>
      </c>
      <c r="I23" s="7">
        <v>6</v>
      </c>
      <c r="J23" s="9">
        <f>C23*D23*I23</f>
        <v>600</v>
      </c>
      <c r="K23" s="7">
        <v>12</v>
      </c>
      <c r="L23" s="9">
        <f>C23*D23*1.08*K23</f>
        <v>1296</v>
      </c>
      <c r="M23" s="7">
        <v>12</v>
      </c>
      <c r="N23" s="9">
        <f>C23*D23*1.08^2*M23</f>
        <v>1399.6800000000003</v>
      </c>
      <c r="O23" s="7">
        <v>12</v>
      </c>
      <c r="P23" s="9">
        <f>C23*D23*1.08^3*O23</f>
        <v>1511.6544000000001</v>
      </c>
      <c r="Q23" s="7">
        <v>12</v>
      </c>
      <c r="R23" s="9">
        <f>C23*D23*1.08^4*Q23</f>
        <v>1632.5867520000006</v>
      </c>
      <c r="S23" s="11" t="s">
        <v>13</v>
      </c>
    </row>
    <row r="24" spans="1:19" ht="25.5">
      <c r="A24" s="15" t="s">
        <v>33</v>
      </c>
      <c r="B24" s="16" t="s">
        <v>32</v>
      </c>
      <c r="C24" s="7">
        <v>10</v>
      </c>
      <c r="D24" s="7">
        <v>0.2</v>
      </c>
      <c r="E24" s="7">
        <v>3</v>
      </c>
      <c r="F24" s="9">
        <f t="shared" si="11"/>
        <v>6</v>
      </c>
      <c r="G24" s="7">
        <v>3</v>
      </c>
      <c r="H24" s="9">
        <f t="shared" si="12"/>
        <v>6</v>
      </c>
      <c r="I24" s="7">
        <v>6</v>
      </c>
      <c r="J24" s="9">
        <f>H24*6*0.2</f>
        <v>7.2</v>
      </c>
      <c r="K24" s="7">
        <v>12</v>
      </c>
      <c r="L24" s="9">
        <f t="shared" ref="L24" si="13">C24*D24*1.3*K24</f>
        <v>31.200000000000003</v>
      </c>
      <c r="M24" s="7">
        <v>12</v>
      </c>
      <c r="N24" s="9">
        <f t="shared" ref="N24" si="14">C24*D24*1.3^2*M24</f>
        <v>40.56</v>
      </c>
      <c r="O24" s="7">
        <v>12</v>
      </c>
      <c r="P24" s="9">
        <f t="shared" ref="P24" si="15">C24*D24*1.3^3*O24</f>
        <v>52.728000000000009</v>
      </c>
      <c r="Q24" s="7">
        <v>12</v>
      </c>
      <c r="R24" s="9">
        <f t="shared" ref="R24" si="16">C24*D24*1.3^4*Q24</f>
        <v>68.546400000000006</v>
      </c>
      <c r="S24" s="1"/>
    </row>
    <row r="25" spans="1:19" ht="12.75">
      <c r="A25" s="15" t="s">
        <v>34</v>
      </c>
      <c r="B25" s="16" t="s">
        <v>32</v>
      </c>
      <c r="C25" s="7"/>
      <c r="D25" s="7">
        <v>2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"/>
    </row>
    <row r="26" spans="1:19" ht="41.25">
      <c r="A26" s="15" t="s">
        <v>35</v>
      </c>
      <c r="B26" s="16" t="s">
        <v>32</v>
      </c>
      <c r="C26" s="7">
        <v>50</v>
      </c>
      <c r="D26" s="7">
        <v>2</v>
      </c>
      <c r="E26" s="7">
        <v>3</v>
      </c>
      <c r="F26" s="9">
        <f>C26*D26*E26</f>
        <v>300</v>
      </c>
      <c r="G26" s="7">
        <v>0.5</v>
      </c>
      <c r="H26" s="9">
        <f>C26*G26</f>
        <v>25</v>
      </c>
      <c r="I26" s="7">
        <v>3</v>
      </c>
      <c r="J26" s="9">
        <f>H26*3*2</f>
        <v>150</v>
      </c>
      <c r="K26" s="7">
        <v>7</v>
      </c>
      <c r="L26" s="9">
        <f>C26*D26*1.08*K26</f>
        <v>756</v>
      </c>
      <c r="M26" s="7">
        <v>7</v>
      </c>
      <c r="N26" s="17">
        <f>C26*D26*1.08^2*K26</f>
        <v>816.48000000000013</v>
      </c>
      <c r="O26" s="7">
        <v>7</v>
      </c>
      <c r="P26" s="9">
        <f>C26*D26*1.08^3*K26</f>
        <v>881.79840000000013</v>
      </c>
      <c r="Q26" s="7">
        <v>7</v>
      </c>
      <c r="R26" s="9">
        <f>C26*D26*1.08^4*K26</f>
        <v>952.34227200000032</v>
      </c>
      <c r="S26" s="1"/>
    </row>
    <row r="27" spans="1:19" ht="15.75" customHeight="1">
      <c r="A27" s="18" t="s">
        <v>36</v>
      </c>
      <c r="B27" s="16" t="s">
        <v>32</v>
      </c>
      <c r="C27" s="7" t="s">
        <v>30</v>
      </c>
      <c r="D27" s="7" t="s">
        <v>30</v>
      </c>
      <c r="E27" s="9"/>
      <c r="F27" s="19">
        <f>F28+F29</f>
        <v>606</v>
      </c>
      <c r="G27" s="20"/>
      <c r="H27" s="19">
        <f>H28+H29</f>
        <v>331</v>
      </c>
      <c r="I27" s="20"/>
      <c r="J27" s="19">
        <f>J28+J29</f>
        <v>757.2</v>
      </c>
      <c r="K27" s="20"/>
      <c r="L27" s="19">
        <f>L28+L29</f>
        <v>2083.1999999999998</v>
      </c>
      <c r="M27" s="20"/>
      <c r="N27" s="19">
        <f>N28+N29</f>
        <v>2256.7200000000003</v>
      </c>
      <c r="O27" s="20"/>
      <c r="P27" s="19">
        <f>P28+P29</f>
        <v>2446.1808000000001</v>
      </c>
      <c r="Q27" s="20"/>
      <c r="R27" s="19">
        <f>R28+R29</f>
        <v>2653.4754240000011</v>
      </c>
      <c r="S27" s="1"/>
    </row>
    <row r="28" spans="1:19" ht="25.5">
      <c r="A28" s="15" t="s">
        <v>37</v>
      </c>
      <c r="B28" s="16" t="s">
        <v>32</v>
      </c>
      <c r="C28" s="7" t="s">
        <v>30</v>
      </c>
      <c r="D28" s="7" t="s">
        <v>30</v>
      </c>
      <c r="E28" s="9"/>
      <c r="F28" s="7">
        <f>F23</f>
        <v>300</v>
      </c>
      <c r="G28" s="9"/>
      <c r="H28" s="7">
        <f>H23</f>
        <v>300</v>
      </c>
      <c r="I28" s="9"/>
      <c r="J28" s="7">
        <f>J23</f>
        <v>600</v>
      </c>
      <c r="K28" s="9"/>
      <c r="L28" s="7">
        <f>L23</f>
        <v>1296</v>
      </c>
      <c r="M28" s="9"/>
      <c r="N28" s="7">
        <f>N23</f>
        <v>1399.6800000000003</v>
      </c>
      <c r="O28" s="9"/>
      <c r="P28" s="7">
        <f>P23</f>
        <v>1511.6544000000001</v>
      </c>
      <c r="Q28" s="9"/>
      <c r="R28" s="7">
        <f>R23</f>
        <v>1632.5867520000006</v>
      </c>
      <c r="S28" s="1"/>
    </row>
    <row r="29" spans="1:19" ht="25.5">
      <c r="A29" s="15" t="s">
        <v>38</v>
      </c>
      <c r="B29" s="16" t="s">
        <v>32</v>
      </c>
      <c r="C29" s="7" t="s">
        <v>30</v>
      </c>
      <c r="D29" s="7" t="s">
        <v>30</v>
      </c>
      <c r="E29" s="9"/>
      <c r="F29" s="7">
        <f>F24+F26</f>
        <v>306</v>
      </c>
      <c r="G29" s="9"/>
      <c r="H29" s="7">
        <f>H24+H26</f>
        <v>31</v>
      </c>
      <c r="I29" s="9"/>
      <c r="J29" s="7">
        <f>J24+J26</f>
        <v>157.19999999999999</v>
      </c>
      <c r="K29" s="9"/>
      <c r="L29" s="7">
        <f>L24+L26</f>
        <v>787.2</v>
      </c>
      <c r="M29" s="9"/>
      <c r="N29" s="7">
        <f>N24+N26</f>
        <v>857.04000000000019</v>
      </c>
      <c r="O29" s="9"/>
      <c r="P29" s="7">
        <f>P24+P26</f>
        <v>934.52640000000019</v>
      </c>
      <c r="Q29" s="9"/>
      <c r="R29" s="7">
        <f>R24+R26</f>
        <v>1020.8886720000003</v>
      </c>
      <c r="S29" s="1"/>
    </row>
    <row r="34" spans="1:19" ht="15.7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</row>
    <row r="35" spans="1:19" ht="15.7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</row>
    <row r="36" spans="1:19" ht="15">
      <c r="S36" s="21"/>
    </row>
    <row r="37" spans="1:19" ht="15">
      <c r="S37" s="21"/>
    </row>
    <row r="38" spans="1:19" ht="15">
      <c r="S38" s="21"/>
    </row>
    <row r="39" spans="1:19" ht="15">
      <c r="S39" s="21"/>
    </row>
    <row r="40" spans="1:19" ht="15">
      <c r="S40" s="21"/>
    </row>
    <row r="41" spans="1:19" ht="15">
      <c r="S41" s="21"/>
    </row>
    <row r="42" spans="1:19" ht="15">
      <c r="S42" s="21"/>
    </row>
    <row r="43" spans="1:19" ht="15">
      <c r="S43" s="21"/>
    </row>
    <row r="44" spans="1:19" ht="15">
      <c r="S44" s="21"/>
    </row>
    <row r="45" spans="1:19" ht="15">
      <c r="S45" s="21"/>
    </row>
  </sheetData>
  <mergeCells count="18">
    <mergeCell ref="O19:P19"/>
    <mergeCell ref="Q19:R19"/>
    <mergeCell ref="A17:E17"/>
    <mergeCell ref="E18:R18"/>
    <mergeCell ref="E19:F19"/>
    <mergeCell ref="G19:H19"/>
    <mergeCell ref="I19:J19"/>
    <mergeCell ref="K19:L19"/>
    <mergeCell ref="M19:N19"/>
    <mergeCell ref="A1:I1"/>
    <mergeCell ref="O3:P3"/>
    <mergeCell ref="Q3:R3"/>
    <mergeCell ref="E2:R2"/>
    <mergeCell ref="E3:F3"/>
    <mergeCell ref="G3:H3"/>
    <mergeCell ref="I3:J3"/>
    <mergeCell ref="K3:L3"/>
    <mergeCell ref="M3:N3"/>
  </mergeCells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6DCD8-8FF5-4294-92AD-CEF748FB6EF6}">
  <dimension ref="A1:H12"/>
  <sheetViews>
    <sheetView workbookViewId="0">
      <selection activeCell="K13" sqref="K13"/>
    </sheetView>
  </sheetViews>
  <sheetFormatPr defaultRowHeight="12.75"/>
  <cols>
    <col min="1" max="1" width="27.5703125" customWidth="1"/>
    <col min="2" max="2" width="11.28515625" customWidth="1"/>
    <col min="3" max="3" width="11.5703125" customWidth="1"/>
  </cols>
  <sheetData>
    <row r="1" spans="1:8" ht="20.25" thickBot="1">
      <c r="A1" s="109" t="s">
        <v>163</v>
      </c>
      <c r="B1" s="117"/>
      <c r="C1" s="117"/>
      <c r="D1" s="117"/>
      <c r="E1" s="117"/>
      <c r="F1" s="117"/>
      <c r="G1" s="118"/>
      <c r="H1" s="118"/>
    </row>
    <row r="2" spans="1:8" ht="15.75" thickTop="1">
      <c r="A2" s="192" t="s">
        <v>164</v>
      </c>
      <c r="B2" s="242" t="s">
        <v>165</v>
      </c>
      <c r="C2" s="243"/>
      <c r="D2" s="243"/>
      <c r="E2" s="243"/>
      <c r="F2" s="243"/>
      <c r="G2" s="243"/>
      <c r="H2" s="244"/>
    </row>
    <row r="3" spans="1:8" ht="30">
      <c r="A3" s="241"/>
      <c r="B3" s="113" t="s">
        <v>160</v>
      </c>
      <c r="C3" s="114" t="s">
        <v>161</v>
      </c>
      <c r="D3" s="114" t="s">
        <v>162</v>
      </c>
      <c r="E3" s="114">
        <v>2024</v>
      </c>
      <c r="F3" s="114">
        <v>2025</v>
      </c>
      <c r="G3" s="114">
        <v>2026</v>
      </c>
      <c r="H3" s="115">
        <v>2027</v>
      </c>
    </row>
    <row r="4" spans="1:8" ht="15">
      <c r="A4" s="119">
        <v>1</v>
      </c>
      <c r="B4" s="110">
        <v>2</v>
      </c>
      <c r="C4" s="110">
        <v>3</v>
      </c>
      <c r="D4" s="110">
        <v>4</v>
      </c>
      <c r="E4" s="110">
        <v>5</v>
      </c>
      <c r="F4" s="111">
        <v>6</v>
      </c>
      <c r="G4" s="112">
        <v>7</v>
      </c>
      <c r="H4" s="112">
        <v>8</v>
      </c>
    </row>
    <row r="5" spans="1:8" ht="26.25">
      <c r="A5" s="50" t="s">
        <v>166</v>
      </c>
      <c r="B5" s="121">
        <v>0</v>
      </c>
      <c r="C5" s="121">
        <v>0</v>
      </c>
      <c r="D5" s="121">
        <v>0</v>
      </c>
      <c r="E5" s="121">
        <v>0</v>
      </c>
      <c r="F5" s="121">
        <v>0</v>
      </c>
      <c r="G5" s="121">
        <v>0</v>
      </c>
      <c r="H5" s="121">
        <v>0</v>
      </c>
    </row>
    <row r="6" spans="1:8" ht="15">
      <c r="A6" s="120" t="s">
        <v>167</v>
      </c>
      <c r="B6" s="121">
        <v>0</v>
      </c>
      <c r="C6" s="121">
        <v>0</v>
      </c>
      <c r="D6" s="121">
        <v>0</v>
      </c>
      <c r="E6" s="121">
        <v>0</v>
      </c>
      <c r="F6" s="121">
        <v>0</v>
      </c>
      <c r="G6" s="121">
        <v>0</v>
      </c>
      <c r="H6" s="121">
        <v>0</v>
      </c>
    </row>
    <row r="7" spans="1:8" ht="15">
      <c r="A7" s="120" t="s">
        <v>168</v>
      </c>
      <c r="B7" s="121">
        <v>0</v>
      </c>
      <c r="C7" s="121">
        <v>0</v>
      </c>
      <c r="D7" s="121">
        <v>0</v>
      </c>
      <c r="E7" s="121">
        <v>0</v>
      </c>
      <c r="F7" s="121">
        <v>0</v>
      </c>
      <c r="G7" s="121">
        <v>0</v>
      </c>
      <c r="H7" s="121">
        <v>0</v>
      </c>
    </row>
    <row r="8" spans="1:8" ht="15">
      <c r="A8" s="120" t="s">
        <v>169</v>
      </c>
      <c r="B8" s="121">
        <v>0</v>
      </c>
      <c r="C8" s="121">
        <v>0</v>
      </c>
      <c r="D8" s="121">
        <v>0</v>
      </c>
      <c r="E8" s="121">
        <v>0</v>
      </c>
      <c r="F8" s="121">
        <v>0</v>
      </c>
      <c r="G8" s="121">
        <v>0</v>
      </c>
      <c r="H8" s="121">
        <v>0</v>
      </c>
    </row>
    <row r="9" spans="1:8" ht="15">
      <c r="A9" s="120" t="s">
        <v>170</v>
      </c>
      <c r="B9" s="121">
        <v>0</v>
      </c>
      <c r="C9" s="121">
        <v>0</v>
      </c>
      <c r="D9" s="121">
        <v>0</v>
      </c>
      <c r="E9" s="121">
        <v>0</v>
      </c>
      <c r="F9" s="121">
        <v>0</v>
      </c>
      <c r="G9" s="121">
        <v>0</v>
      </c>
      <c r="H9" s="121">
        <v>0</v>
      </c>
    </row>
    <row r="10" spans="1:8" ht="15">
      <c r="A10" s="120" t="s">
        <v>171</v>
      </c>
      <c r="B10" s="121">
        <v>0</v>
      </c>
      <c r="C10" s="121">
        <v>0</v>
      </c>
      <c r="D10" s="121">
        <v>0</v>
      </c>
      <c r="E10" s="121">
        <v>0</v>
      </c>
      <c r="F10" s="121">
        <v>0</v>
      </c>
      <c r="G10" s="121">
        <v>0</v>
      </c>
      <c r="H10" s="121">
        <v>0</v>
      </c>
    </row>
    <row r="11" spans="1:8" ht="26.25">
      <c r="A11" s="50" t="s">
        <v>172</v>
      </c>
      <c r="B11" s="121">
        <v>0</v>
      </c>
      <c r="C11" s="121">
        <v>0</v>
      </c>
      <c r="D11" s="121">
        <v>0</v>
      </c>
      <c r="E11" s="121">
        <v>0</v>
      </c>
      <c r="F11" s="121">
        <v>0</v>
      </c>
      <c r="G11" s="121">
        <v>0</v>
      </c>
      <c r="H11" s="121">
        <v>0</v>
      </c>
    </row>
    <row r="12" spans="1:8" ht="26.25">
      <c r="A12" s="50" t="s">
        <v>173</v>
      </c>
      <c r="B12" s="121">
        <v>0</v>
      </c>
      <c r="C12" s="121">
        <v>0</v>
      </c>
      <c r="D12" s="121">
        <v>0</v>
      </c>
      <c r="E12" s="121">
        <v>0</v>
      </c>
      <c r="F12" s="121">
        <v>0</v>
      </c>
      <c r="G12" s="121">
        <v>0</v>
      </c>
      <c r="H12" s="121">
        <v>0</v>
      </c>
    </row>
  </sheetData>
  <mergeCells count="2">
    <mergeCell ref="A2:A3"/>
    <mergeCell ref="B2:H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D49B3-9E17-4ED8-B636-B52F7EEFB0B6}">
  <dimension ref="A1:E11"/>
  <sheetViews>
    <sheetView workbookViewId="0">
      <selection activeCell="B8" sqref="B8"/>
    </sheetView>
  </sheetViews>
  <sheetFormatPr defaultRowHeight="12.75"/>
  <cols>
    <col min="1" max="1" width="26" customWidth="1"/>
    <col min="2" max="2" width="15.85546875" customWidth="1"/>
  </cols>
  <sheetData>
    <row r="1" spans="1:5" ht="20.25" thickBot="1">
      <c r="A1" s="109" t="s">
        <v>174</v>
      </c>
      <c r="B1" s="109"/>
      <c r="C1" s="126"/>
      <c r="D1" s="118"/>
      <c r="E1" s="118"/>
    </row>
    <row r="2" spans="1:5" ht="15.75" thickTop="1">
      <c r="A2" s="192" t="s">
        <v>175</v>
      </c>
      <c r="B2" s="245" t="s">
        <v>2</v>
      </c>
      <c r="C2" s="126"/>
      <c r="D2" s="118"/>
      <c r="E2" s="118"/>
    </row>
    <row r="3" spans="1:5" ht="15">
      <c r="A3" s="241"/>
      <c r="B3" s="246"/>
      <c r="C3" s="126"/>
      <c r="D3" s="118"/>
      <c r="E3" s="118"/>
    </row>
    <row r="4" spans="1:5" ht="15">
      <c r="A4" s="48">
        <v>1</v>
      </c>
      <c r="B4" s="110">
        <v>2</v>
      </c>
      <c r="C4" s="126"/>
      <c r="D4" s="118"/>
      <c r="E4" s="118"/>
    </row>
    <row r="5" spans="1:5" ht="15">
      <c r="A5" s="124" t="s">
        <v>176</v>
      </c>
      <c r="B5" s="128"/>
      <c r="C5" s="126"/>
      <c r="D5" s="118"/>
      <c r="E5" s="118"/>
    </row>
    <row r="6" spans="1:5" ht="15">
      <c r="A6" s="124" t="s">
        <v>177</v>
      </c>
      <c r="B6" s="129">
        <f>B8-B7</f>
        <v>77980.476773333328</v>
      </c>
      <c r="C6" s="130" t="s">
        <v>178</v>
      </c>
      <c r="D6" s="118"/>
      <c r="E6" s="118"/>
    </row>
    <row r="7" spans="1:5" ht="45">
      <c r="A7" s="124" t="s">
        <v>179</v>
      </c>
      <c r="B7" s="121">
        <v>0</v>
      </c>
      <c r="C7" s="126" t="s">
        <v>180</v>
      </c>
      <c r="D7" s="118"/>
      <c r="E7" s="118"/>
    </row>
    <row r="8" spans="1:5" ht="30">
      <c r="A8" s="124" t="s">
        <v>181</v>
      </c>
      <c r="B8" s="129">
        <f>Инвестиции!B13</f>
        <v>77980.476773333328</v>
      </c>
      <c r="C8" s="131" t="s">
        <v>182</v>
      </c>
      <c r="D8" s="126" t="s">
        <v>183</v>
      </c>
      <c r="E8" s="118"/>
    </row>
    <row r="9" spans="1:5" ht="30">
      <c r="A9" s="124" t="s">
        <v>184</v>
      </c>
      <c r="B9" s="125">
        <v>1</v>
      </c>
      <c r="C9" s="126"/>
      <c r="D9" s="118"/>
      <c r="E9" s="118"/>
    </row>
    <row r="10" spans="1:5" ht="30">
      <c r="A10" s="124" t="s">
        <v>185</v>
      </c>
      <c r="B10" s="132">
        <v>1</v>
      </c>
      <c r="C10" s="126"/>
      <c r="D10" s="118"/>
      <c r="E10" s="118"/>
    </row>
    <row r="11" spans="1:5" ht="30">
      <c r="A11" s="124" t="s">
        <v>186</v>
      </c>
      <c r="B11" s="132">
        <v>0</v>
      </c>
      <c r="C11" s="126"/>
      <c r="D11" s="118"/>
      <c r="E11" s="118"/>
    </row>
  </sheetData>
  <mergeCells count="2">
    <mergeCell ref="A2:A3"/>
    <mergeCell ref="B2:B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416-A74E-45CB-A18F-94AE77F626C3}">
  <dimension ref="A1:S41"/>
  <sheetViews>
    <sheetView topLeftCell="A16" workbookViewId="0">
      <selection activeCell="D24" sqref="D24"/>
    </sheetView>
  </sheetViews>
  <sheetFormatPr defaultRowHeight="12.75"/>
  <cols>
    <col min="1" max="1" width="33.140625" customWidth="1"/>
    <col min="2" max="2" width="11.85546875" customWidth="1"/>
    <col min="3" max="3" width="12.7109375" customWidth="1"/>
    <col min="4" max="5" width="11.7109375" customWidth="1"/>
    <col min="6" max="6" width="12.42578125" customWidth="1"/>
    <col min="7" max="7" width="11.42578125" customWidth="1"/>
    <col min="8" max="8" width="13.7109375" customWidth="1"/>
    <col min="9" max="9" width="15.28515625" customWidth="1"/>
  </cols>
  <sheetData>
    <row r="1" spans="1:19" ht="20.25" thickBot="1">
      <c r="A1" s="109" t="s">
        <v>208</v>
      </c>
      <c r="B1" s="109"/>
      <c r="C1" s="109"/>
      <c r="D1" s="109"/>
      <c r="E1" s="109"/>
      <c r="F1" s="109"/>
      <c r="G1" s="109"/>
      <c r="H1" s="109"/>
      <c r="I1" s="109"/>
      <c r="J1" s="126"/>
      <c r="K1" s="118"/>
      <c r="L1" s="118"/>
      <c r="M1" s="118"/>
      <c r="N1" s="118"/>
      <c r="O1" s="118"/>
      <c r="P1" s="118"/>
      <c r="Q1" s="118"/>
      <c r="R1" s="118"/>
      <c r="S1" s="118"/>
    </row>
    <row r="2" spans="1:19" ht="15.75" thickTop="1">
      <c r="A2" s="192" t="s">
        <v>209</v>
      </c>
      <c r="B2" s="194" t="s">
        <v>1</v>
      </c>
      <c r="C2" s="249"/>
      <c r="D2" s="249"/>
      <c r="E2" s="250"/>
      <c r="F2" s="250"/>
      <c r="G2" s="250"/>
      <c r="H2" s="251"/>
      <c r="I2" s="252" t="s">
        <v>210</v>
      </c>
      <c r="J2" s="126"/>
      <c r="K2" s="118"/>
      <c r="L2" s="118"/>
      <c r="M2" s="118"/>
      <c r="N2" s="118"/>
      <c r="O2" s="118"/>
      <c r="P2" s="118"/>
      <c r="Q2" s="118"/>
      <c r="R2" s="118"/>
      <c r="S2" s="118"/>
    </row>
    <row r="3" spans="1:19" ht="15">
      <c r="A3" s="241"/>
      <c r="B3" s="47" t="s">
        <v>2</v>
      </c>
      <c r="C3" s="47" t="s">
        <v>3</v>
      </c>
      <c r="D3" s="144" t="s">
        <v>4</v>
      </c>
      <c r="E3" s="145">
        <v>2024</v>
      </c>
      <c r="F3" s="145">
        <v>2025</v>
      </c>
      <c r="G3" s="145">
        <v>2026</v>
      </c>
      <c r="H3" s="145">
        <v>2027</v>
      </c>
      <c r="I3" s="253"/>
      <c r="J3" s="126"/>
      <c r="K3" s="118"/>
      <c r="L3" s="118"/>
      <c r="M3" s="118"/>
      <c r="N3" s="118"/>
      <c r="O3" s="118"/>
      <c r="P3" s="118"/>
      <c r="Q3" s="118"/>
      <c r="R3" s="118"/>
      <c r="S3" s="118"/>
    </row>
    <row r="4" spans="1:19" ht="15">
      <c r="A4" s="119">
        <v>1</v>
      </c>
      <c r="B4" s="110">
        <v>2</v>
      </c>
      <c r="C4" s="110">
        <v>3</v>
      </c>
      <c r="D4" s="110">
        <v>4</v>
      </c>
      <c r="E4" s="110"/>
      <c r="F4" s="110"/>
      <c r="G4" s="110">
        <v>5</v>
      </c>
      <c r="H4" s="110">
        <v>6</v>
      </c>
      <c r="I4" s="110">
        <v>7</v>
      </c>
      <c r="J4" s="126"/>
      <c r="K4" s="118"/>
      <c r="L4" s="118"/>
      <c r="M4" s="118"/>
      <c r="N4" s="118"/>
      <c r="O4" s="118"/>
      <c r="P4" s="118"/>
      <c r="Q4" s="118"/>
      <c r="R4" s="118"/>
      <c r="S4" s="118"/>
    </row>
    <row r="5" spans="1:19" ht="15">
      <c r="A5" s="157" t="s">
        <v>211</v>
      </c>
      <c r="B5" s="247"/>
      <c r="C5" s="247"/>
      <c r="D5" s="247"/>
      <c r="E5" s="247"/>
      <c r="F5" s="247"/>
      <c r="G5" s="247"/>
      <c r="H5" s="247"/>
      <c r="I5" s="248"/>
      <c r="J5" s="126"/>
      <c r="K5" s="118"/>
      <c r="L5" s="118"/>
      <c r="M5" s="118"/>
      <c r="N5" s="118"/>
      <c r="O5" s="118"/>
      <c r="P5" s="118"/>
      <c r="Q5" s="118"/>
      <c r="R5" s="118"/>
      <c r="S5" s="118"/>
    </row>
    <row r="6" spans="1:19" ht="15">
      <c r="A6" s="127" t="s">
        <v>212</v>
      </c>
      <c r="B6" s="151"/>
      <c r="C6" s="151"/>
      <c r="D6" s="151"/>
      <c r="E6" s="151"/>
      <c r="F6" s="151"/>
      <c r="G6" s="151"/>
      <c r="H6" s="151"/>
      <c r="I6" s="151"/>
      <c r="J6" s="126"/>
      <c r="K6" s="118"/>
      <c r="L6" s="118"/>
      <c r="M6" s="118"/>
      <c r="N6" s="118"/>
      <c r="O6" s="118"/>
      <c r="P6" s="118"/>
      <c r="Q6" s="118"/>
      <c r="R6" s="118"/>
      <c r="S6" s="118"/>
    </row>
    <row r="7" spans="1:19" ht="15">
      <c r="A7" s="127" t="s">
        <v>213</v>
      </c>
      <c r="B7" s="121">
        <f>Реализация!C7</f>
        <v>57600</v>
      </c>
      <c r="C7" s="121">
        <f>Реализация!D7</f>
        <v>72000</v>
      </c>
      <c r="D7" s="121">
        <f>Реализация!E7</f>
        <v>148000</v>
      </c>
      <c r="E7" s="121">
        <f>Реализация!F7</f>
        <v>575424</v>
      </c>
      <c r="F7" s="121">
        <f>Реализация!G7</f>
        <v>725034.24000000011</v>
      </c>
      <c r="G7" s="121">
        <f>Реализация!H7</f>
        <v>866933.79840000009</v>
      </c>
      <c r="H7" s="121">
        <f>Реализация!I7</f>
        <v>1208114.1964800004</v>
      </c>
      <c r="I7" s="152">
        <f>SUM(B7:H7)</f>
        <v>3653106.2348800008</v>
      </c>
      <c r="J7" s="126"/>
      <c r="K7" s="118"/>
      <c r="L7" s="118"/>
      <c r="M7" s="118"/>
      <c r="N7" s="118"/>
      <c r="O7" s="118"/>
      <c r="P7" s="118"/>
      <c r="Q7" s="118"/>
      <c r="R7" s="118"/>
      <c r="S7" s="118"/>
    </row>
    <row r="8" spans="1:19" ht="15">
      <c r="A8" s="127" t="s">
        <v>214</v>
      </c>
      <c r="B8" s="254"/>
      <c r="C8" s="255"/>
      <c r="D8" s="255"/>
      <c r="E8" s="255"/>
      <c r="F8" s="255"/>
      <c r="G8" s="255"/>
      <c r="H8" s="255"/>
      <c r="I8" s="246"/>
      <c r="J8" s="126"/>
      <c r="K8" s="118"/>
      <c r="L8" s="118"/>
      <c r="M8" s="118"/>
      <c r="N8" s="118"/>
      <c r="O8" s="118"/>
      <c r="P8" s="118"/>
      <c r="Q8" s="118"/>
      <c r="R8" s="118"/>
      <c r="S8" s="118"/>
    </row>
    <row r="9" spans="1:19" ht="15">
      <c r="A9" s="127" t="s">
        <v>215</v>
      </c>
      <c r="B9" s="121">
        <f>SUM(B10:B14)</f>
        <v>169620.61218666667</v>
      </c>
      <c r="C9" s="121">
        <f t="shared" ref="C9:I9" si="0">SUM(C10:C14)</f>
        <v>169827.71218666664</v>
      </c>
      <c r="D9" s="121">
        <f t="shared" si="0"/>
        <v>188707.91214222222</v>
      </c>
      <c r="E9" s="121">
        <f t="shared" si="0"/>
        <v>391408.37867999997</v>
      </c>
      <c r="F9" s="121">
        <f t="shared" si="0"/>
        <v>454513.65016586671</v>
      </c>
      <c r="G9" s="121">
        <f t="shared" si="0"/>
        <v>523626.78245060274</v>
      </c>
      <c r="H9" s="121">
        <f t="shared" si="0"/>
        <v>714459.31278131786</v>
      </c>
      <c r="I9" s="153">
        <f t="shared" si="0"/>
        <v>2529964.3605933432</v>
      </c>
      <c r="J9" s="126"/>
      <c r="K9" s="118"/>
      <c r="L9" s="118"/>
      <c r="M9" s="118"/>
      <c r="N9" s="118"/>
      <c r="O9" s="118"/>
      <c r="P9" s="118"/>
      <c r="Q9" s="118"/>
      <c r="R9" s="118"/>
      <c r="S9" s="118"/>
    </row>
    <row r="10" spans="1:19" ht="45">
      <c r="A10" s="124" t="s">
        <v>216</v>
      </c>
      <c r="B10" s="121">
        <f>Амортизация!C20</f>
        <v>13700</v>
      </c>
      <c r="C10" s="121">
        <f>Амортизация!D20</f>
        <v>13700</v>
      </c>
      <c r="D10" s="121">
        <f>Амортизация!E20</f>
        <v>13700</v>
      </c>
      <c r="E10" s="121">
        <f>Амортизация!F20</f>
        <v>13700</v>
      </c>
      <c r="F10" s="121">
        <f>Амортизация!G20</f>
        <v>13700</v>
      </c>
      <c r="G10" s="121">
        <f>Амортизация!H20</f>
        <v>13700</v>
      </c>
      <c r="H10" s="121">
        <f>Амортизация!I20</f>
        <v>13700</v>
      </c>
      <c r="I10" s="152">
        <v>13700</v>
      </c>
      <c r="J10" s="131" t="s">
        <v>217</v>
      </c>
      <c r="K10" s="118"/>
      <c r="L10" s="118"/>
      <c r="M10" s="118"/>
      <c r="N10" s="118"/>
      <c r="O10" s="118"/>
      <c r="P10" s="118"/>
      <c r="Q10" s="118"/>
      <c r="R10" s="118"/>
      <c r="S10" s="118"/>
    </row>
    <row r="11" spans="1:19" ht="30">
      <c r="A11" s="124" t="s">
        <v>218</v>
      </c>
      <c r="B11" s="259">
        <f>Потребности!B14</f>
        <v>64280.476773333336</v>
      </c>
      <c r="C11" s="259">
        <f>Потребности!C14</f>
        <v>60292.776773333331</v>
      </c>
      <c r="D11" s="259">
        <f>Потребности!D14</f>
        <v>56468.07984888889</v>
      </c>
      <c r="E11" s="259">
        <f>Потребности!E14</f>
        <v>131069.18298186666</v>
      </c>
      <c r="F11" s="259">
        <f>Потребности!F14</f>
        <v>147603.24239374936</v>
      </c>
      <c r="G11" s="259">
        <f>Потребности!G14</f>
        <v>172939.97032978263</v>
      </c>
      <c r="H11" s="259">
        <f>Потребности!H14</f>
        <v>251619.7724651467</v>
      </c>
      <c r="I11" s="153">
        <f>SUM(B11:H11)</f>
        <v>884273.50156610098</v>
      </c>
      <c r="J11" s="131" t="s">
        <v>219</v>
      </c>
      <c r="K11" s="118"/>
      <c r="L11" s="118"/>
      <c r="M11" s="118"/>
      <c r="N11" s="118"/>
      <c r="O11" s="118"/>
      <c r="P11" s="118"/>
      <c r="Q11" s="118"/>
      <c r="R11" s="118"/>
      <c r="S11" s="118"/>
    </row>
    <row r="12" spans="1:19" ht="30">
      <c r="A12" s="124" t="s">
        <v>220</v>
      </c>
      <c r="B12" s="121">
        <f>Инвестиции!B13-Издержки!B23</f>
        <v>77295.476773333328</v>
      </c>
      <c r="C12" s="121">
        <f>Инвестиции!B13-Издержки!C23</f>
        <v>76610.476773333328</v>
      </c>
      <c r="D12" s="121">
        <f>Инвестиции!B13-Издержки!D23</f>
        <v>75240.476773333328</v>
      </c>
      <c r="E12" s="121">
        <f>Инвестиции!B13-Издержки!E23</f>
        <v>72500.476773333328</v>
      </c>
      <c r="F12" s="121">
        <f>Инвестиции!B13-Издержки!F23</f>
        <v>69760.476773333328</v>
      </c>
      <c r="G12" s="121">
        <f>Инвестиции!B13-Издержки!G23</f>
        <v>67020.476773333328</v>
      </c>
      <c r="H12" s="121">
        <f>Инвестиции!B13-Издержки!H23</f>
        <v>64280.476773333328</v>
      </c>
      <c r="I12" s="153">
        <f>SUM(B12:H12)</f>
        <v>502708.3374133333</v>
      </c>
      <c r="J12" s="131" t="s">
        <v>221</v>
      </c>
      <c r="K12" s="118"/>
      <c r="L12" s="118"/>
      <c r="M12" s="118"/>
      <c r="N12" s="118"/>
      <c r="O12" s="118"/>
      <c r="P12" s="118"/>
      <c r="Q12" s="118"/>
      <c r="R12" s="118"/>
      <c r="S12" s="118"/>
    </row>
    <row r="13" spans="1:19" ht="15">
      <c r="A13" s="124" t="s">
        <v>222</v>
      </c>
      <c r="B13" s="121">
        <f>'Обязательные отчисления'!B5</f>
        <v>11520</v>
      </c>
      <c r="C13" s="121">
        <f>'Обязательные отчисления'!C5</f>
        <v>14400</v>
      </c>
      <c r="D13" s="121">
        <f>'Обязательные отчисления'!D5</f>
        <v>29600</v>
      </c>
      <c r="E13" s="121">
        <f>'Обязательные отчисления'!E5</f>
        <v>115084.8</v>
      </c>
      <c r="F13" s="121">
        <f>'Обязательные отчисления'!F5</f>
        <v>145006.84800000003</v>
      </c>
      <c r="G13" s="121">
        <f>'Обязательные отчисления'!G5</f>
        <v>173386.75968000002</v>
      </c>
      <c r="H13" s="121">
        <f>'Обязательные отчисления'!H5</f>
        <v>241622.83929600008</v>
      </c>
      <c r="I13" s="153">
        <f>SUM(B13:H13)</f>
        <v>730621.24697600014</v>
      </c>
      <c r="J13" s="126"/>
      <c r="K13" s="118"/>
      <c r="L13" s="118"/>
      <c r="M13" s="118"/>
      <c r="N13" s="118"/>
      <c r="O13" s="118"/>
      <c r="P13" s="118"/>
      <c r="Q13" s="118"/>
      <c r="R13" s="118"/>
      <c r="S13" s="118"/>
    </row>
    <row r="14" spans="1:19" ht="15">
      <c r="A14" s="124" t="s">
        <v>223</v>
      </c>
      <c r="B14" s="121">
        <f>'Обязательные отчисления'!B6</f>
        <v>2824.6586400000006</v>
      </c>
      <c r="C14" s="121">
        <f>'Обязательные отчисления'!C6</f>
        <v>4824.4586399999998</v>
      </c>
      <c r="D14" s="121">
        <f>'Обязательные отчисления'!D6</f>
        <v>13699.355520000001</v>
      </c>
      <c r="E14" s="121">
        <f>'Обязательные отчисления'!E6</f>
        <v>59053.918924799997</v>
      </c>
      <c r="F14" s="121">
        <f>'Обязательные отчисления'!F6</f>
        <v>78443.082998784026</v>
      </c>
      <c r="G14" s="121">
        <f>'Обязательные отчисления'!G6</f>
        <v>96579.57566748673</v>
      </c>
      <c r="H14" s="121">
        <f>'Обязательные отчисления'!H6</f>
        <v>143236.22424683769</v>
      </c>
      <c r="I14" s="153">
        <f>SUM(B14:H14)</f>
        <v>398661.27463790844</v>
      </c>
      <c r="J14" s="126"/>
      <c r="K14" s="118"/>
      <c r="L14" s="118"/>
      <c r="M14" s="118"/>
      <c r="N14" s="118"/>
      <c r="O14" s="118"/>
      <c r="P14" s="118"/>
      <c r="Q14" s="118"/>
      <c r="R14" s="118"/>
      <c r="S14" s="118"/>
    </row>
    <row r="15" spans="1:19" ht="30">
      <c r="A15" s="124" t="s">
        <v>224</v>
      </c>
      <c r="B15" s="121">
        <f>B7-B9</f>
        <v>-112020.61218666667</v>
      </c>
      <c r="C15" s="121">
        <f t="shared" ref="C15:I15" si="1">C7-C9</f>
        <v>-97827.712186666642</v>
      </c>
      <c r="D15" s="121">
        <f t="shared" si="1"/>
        <v>-40707.912142222223</v>
      </c>
      <c r="E15" s="121">
        <f t="shared" si="1"/>
        <v>184015.62132000003</v>
      </c>
      <c r="F15" s="121">
        <f t="shared" si="1"/>
        <v>270520.5898341334</v>
      </c>
      <c r="G15" s="121">
        <f t="shared" si="1"/>
        <v>343307.01594939735</v>
      </c>
      <c r="H15" s="121">
        <f t="shared" si="1"/>
        <v>493654.88369868253</v>
      </c>
      <c r="I15" s="153">
        <f t="shared" si="1"/>
        <v>1123141.8742866577</v>
      </c>
      <c r="J15" s="131" t="s">
        <v>225</v>
      </c>
      <c r="K15" s="118"/>
      <c r="L15" s="118"/>
      <c r="M15" s="118"/>
      <c r="N15" s="118"/>
      <c r="O15" s="118"/>
      <c r="P15" s="118"/>
      <c r="Q15" s="118"/>
      <c r="R15" s="118"/>
      <c r="S15" s="118"/>
    </row>
    <row r="16" spans="1:19" ht="15">
      <c r="A16" s="124" t="s">
        <v>226</v>
      </c>
      <c r="B16" s="121">
        <f>B15</f>
        <v>-112020.61218666667</v>
      </c>
      <c r="C16" s="121">
        <f>B15+C15</f>
        <v>-209848.32437333331</v>
      </c>
      <c r="D16" s="121">
        <f>SUM(B15:D15)</f>
        <v>-250556.23651555553</v>
      </c>
      <c r="E16" s="121">
        <f>SUM(B15:E15)</f>
        <v>-66540.615195555496</v>
      </c>
      <c r="F16" s="121">
        <f>SUM(B15:F15)</f>
        <v>203979.9746385779</v>
      </c>
      <c r="G16" s="121">
        <f>SUM(B15:G15)</f>
        <v>547286.99058797525</v>
      </c>
      <c r="H16" s="121">
        <f>SUM(B15:H15)</f>
        <v>1040941.8742866578</v>
      </c>
      <c r="I16" s="154"/>
      <c r="J16" s="126"/>
      <c r="K16" s="118"/>
      <c r="L16" s="118"/>
      <c r="M16" s="118"/>
      <c r="N16" s="118"/>
      <c r="O16" s="118"/>
      <c r="P16" s="118"/>
      <c r="Q16" s="118"/>
      <c r="R16" s="118"/>
      <c r="S16" s="118"/>
    </row>
    <row r="17" spans="1:19" ht="29.25">
      <c r="A17" s="155" t="s">
        <v>227</v>
      </c>
      <c r="B17" s="247"/>
      <c r="C17" s="247"/>
      <c r="D17" s="247"/>
      <c r="E17" s="247"/>
      <c r="F17" s="247"/>
      <c r="G17" s="247"/>
      <c r="H17" s="247"/>
      <c r="I17" s="248"/>
      <c r="J17" s="126"/>
      <c r="K17" s="118"/>
      <c r="L17" s="118"/>
      <c r="M17" s="118"/>
      <c r="N17" s="118"/>
      <c r="O17" s="118"/>
      <c r="P17" s="118"/>
      <c r="Q17" s="118"/>
      <c r="R17" s="118"/>
      <c r="S17" s="118"/>
    </row>
    <row r="18" spans="1:19" ht="15">
      <c r="A18" s="124" t="s">
        <v>228</v>
      </c>
      <c r="B18" s="137">
        <v>0</v>
      </c>
      <c r="C18" s="137">
        <v>1</v>
      </c>
      <c r="D18" s="137">
        <v>2</v>
      </c>
      <c r="E18" s="137">
        <v>3</v>
      </c>
      <c r="F18" s="137">
        <v>4</v>
      </c>
      <c r="G18" s="137">
        <v>5</v>
      </c>
      <c r="H18" s="137">
        <v>6</v>
      </c>
      <c r="I18" s="122"/>
      <c r="J18" s="126"/>
      <c r="K18" s="118"/>
      <c r="L18" s="118"/>
      <c r="M18" s="118"/>
      <c r="N18" s="118"/>
      <c r="O18" s="118"/>
      <c r="P18" s="118"/>
      <c r="Q18" s="118"/>
      <c r="R18" s="118"/>
      <c r="S18" s="118"/>
    </row>
    <row r="19" spans="1:19" ht="43.5">
      <c r="A19" s="138" t="s">
        <v>229</v>
      </c>
      <c r="B19" s="158">
        <v>0.97199999999999998</v>
      </c>
      <c r="C19" s="158">
        <v>0.97199999999999998</v>
      </c>
      <c r="D19" s="158">
        <v>0.94489999999999996</v>
      </c>
      <c r="E19" s="159">
        <v>0.79718999999999995</v>
      </c>
      <c r="F19" s="159">
        <v>0.71177999999999997</v>
      </c>
      <c r="G19" s="159">
        <v>0.63551800000000003</v>
      </c>
      <c r="H19" s="156">
        <v>0.56740000000000002</v>
      </c>
      <c r="I19" s="154"/>
      <c r="J19" s="131" t="s">
        <v>230</v>
      </c>
      <c r="K19" s="118"/>
      <c r="L19" s="118"/>
      <c r="M19" s="118"/>
      <c r="N19" s="118"/>
      <c r="O19" s="118"/>
      <c r="P19" s="118"/>
      <c r="Q19" s="118"/>
      <c r="R19" s="118"/>
      <c r="S19" s="118"/>
    </row>
    <row r="20" spans="1:19" ht="15">
      <c r="A20" s="124" t="s">
        <v>231</v>
      </c>
      <c r="B20" s="121">
        <f>B7*B19</f>
        <v>55987.199999999997</v>
      </c>
      <c r="C20" s="121">
        <f t="shared" ref="C20:H20" si="2">C7*C19</f>
        <v>69984</v>
      </c>
      <c r="D20" s="121">
        <f t="shared" si="2"/>
        <v>139845.19999999998</v>
      </c>
      <c r="E20" s="121">
        <f t="shared" si="2"/>
        <v>458722.25855999999</v>
      </c>
      <c r="F20" s="121">
        <f t="shared" si="2"/>
        <v>516064.87134720007</v>
      </c>
      <c r="G20" s="121">
        <f t="shared" si="2"/>
        <v>550952.03369157133</v>
      </c>
      <c r="H20" s="121">
        <f t="shared" si="2"/>
        <v>685483.9950827522</v>
      </c>
      <c r="I20" s="152">
        <f>SUM(B20:H20)</f>
        <v>2477039.5586815234</v>
      </c>
      <c r="J20" s="126"/>
      <c r="K20" s="118"/>
      <c r="L20" s="118"/>
      <c r="M20" s="118"/>
      <c r="N20" s="118"/>
      <c r="O20" s="118"/>
      <c r="P20" s="118"/>
      <c r="Q20" s="118"/>
      <c r="R20" s="118"/>
      <c r="S20" s="118"/>
    </row>
    <row r="21" spans="1:19" ht="15">
      <c r="A21" s="124" t="s">
        <v>232</v>
      </c>
      <c r="B21" s="121">
        <f>B9*B19</f>
        <v>164871.23504544</v>
      </c>
      <c r="C21" s="121">
        <f t="shared" ref="C21:H21" si="3">C9*C19</f>
        <v>165072.53624543996</v>
      </c>
      <c r="D21" s="121">
        <f t="shared" si="3"/>
        <v>178310.10618318577</v>
      </c>
      <c r="E21" s="121">
        <f t="shared" si="3"/>
        <v>312026.84539990913</v>
      </c>
      <c r="F21" s="121">
        <f t="shared" si="3"/>
        <v>323513.72591506061</v>
      </c>
      <c r="G21" s="121">
        <f t="shared" si="3"/>
        <v>332774.24552944215</v>
      </c>
      <c r="H21" s="121">
        <f t="shared" si="3"/>
        <v>405384.21407211974</v>
      </c>
      <c r="I21" s="152">
        <f>SUM(B21:H21)</f>
        <v>1881952.9083905972</v>
      </c>
      <c r="J21" s="126"/>
      <c r="K21" s="118"/>
      <c r="L21" s="118"/>
      <c r="M21" s="118"/>
      <c r="N21" s="118"/>
      <c r="O21" s="118"/>
      <c r="P21" s="118"/>
      <c r="Q21" s="118"/>
      <c r="R21" s="118"/>
      <c r="S21" s="118"/>
    </row>
    <row r="22" spans="1:19" ht="30">
      <c r="A22" s="124" t="s">
        <v>233</v>
      </c>
      <c r="B22" s="121">
        <f>B10*B19</f>
        <v>13316.4</v>
      </c>
      <c r="C22" s="121">
        <f t="shared" ref="C22:H22" si="4">C10*C19</f>
        <v>13316.4</v>
      </c>
      <c r="D22" s="121">
        <f t="shared" si="4"/>
        <v>12945.13</v>
      </c>
      <c r="E22" s="121">
        <f t="shared" si="4"/>
        <v>10921.502999999999</v>
      </c>
      <c r="F22" s="121">
        <f t="shared" si="4"/>
        <v>9751.3860000000004</v>
      </c>
      <c r="G22" s="121">
        <f t="shared" si="4"/>
        <v>8706.5966000000008</v>
      </c>
      <c r="H22" s="121">
        <f t="shared" si="4"/>
        <v>7773.38</v>
      </c>
      <c r="I22" s="152">
        <f>SUM(B22:H22)</f>
        <v>76730.795599999998</v>
      </c>
      <c r="J22" s="126"/>
      <c r="K22" s="118"/>
      <c r="L22" s="118"/>
      <c r="M22" s="118"/>
      <c r="N22" s="118"/>
      <c r="O22" s="118"/>
      <c r="P22" s="118"/>
      <c r="Q22" s="118"/>
      <c r="R22" s="118"/>
      <c r="S22" s="118"/>
    </row>
    <row r="23" spans="1:19" ht="15">
      <c r="A23" s="124" t="s">
        <v>234</v>
      </c>
      <c r="B23" s="121">
        <f>B20-B21</f>
        <v>-108884.03504544</v>
      </c>
      <c r="C23" s="121">
        <f t="shared" ref="C23:H23" si="5">C20-C21</f>
        <v>-95088.536245439958</v>
      </c>
      <c r="D23" s="121">
        <f t="shared" si="5"/>
        <v>-38464.906183185783</v>
      </c>
      <c r="E23" s="121">
        <f t="shared" si="5"/>
        <v>146695.41316009086</v>
      </c>
      <c r="F23" s="121">
        <f t="shared" si="5"/>
        <v>192551.14543213946</v>
      </c>
      <c r="G23" s="121">
        <f t="shared" si="5"/>
        <v>218177.78816212917</v>
      </c>
      <c r="H23" s="121">
        <f t="shared" si="5"/>
        <v>280099.78101063246</v>
      </c>
      <c r="I23" s="152">
        <f>SUM(B23:H23)</f>
        <v>595086.65029092622</v>
      </c>
      <c r="J23" s="130" t="s">
        <v>235</v>
      </c>
      <c r="K23" s="118"/>
      <c r="L23" s="118"/>
      <c r="M23" s="118"/>
      <c r="N23" s="118"/>
      <c r="O23" s="118"/>
      <c r="P23" s="118"/>
      <c r="Q23" s="118"/>
      <c r="R23" s="118"/>
      <c r="S23" s="118"/>
    </row>
    <row r="24" spans="1:19" ht="30">
      <c r="A24" s="124" t="s">
        <v>236</v>
      </c>
      <c r="B24" s="121">
        <f>B23</f>
        <v>-108884.03504544</v>
      </c>
      <c r="C24" s="121">
        <f>B23+C23</f>
        <v>-203972.57129087998</v>
      </c>
      <c r="D24" s="121">
        <f>D23+C24</f>
        <v>-242437.47747406576</v>
      </c>
      <c r="E24" s="121">
        <f>D24+E23</f>
        <v>-95742.064313974901</v>
      </c>
      <c r="F24" s="121">
        <f>E24+F23</f>
        <v>96809.081118164555</v>
      </c>
      <c r="G24" s="121">
        <f>F24+G23</f>
        <v>314986.8692802937</v>
      </c>
      <c r="H24" s="121">
        <f>G24+H23</f>
        <v>595086.65029092622</v>
      </c>
      <c r="I24" s="152">
        <f>SUM(B24:H24)</f>
        <v>355846.45256502379</v>
      </c>
      <c r="J24" s="126"/>
      <c r="K24" s="118"/>
      <c r="L24" s="118"/>
      <c r="M24" s="118"/>
      <c r="N24" s="118"/>
      <c r="O24" s="118"/>
      <c r="P24" s="118"/>
      <c r="Q24" s="118"/>
      <c r="R24" s="118"/>
      <c r="S24" s="118"/>
    </row>
    <row r="25" spans="1:19">
      <c r="A25" s="118"/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</row>
    <row r="26" spans="1:19">
      <c r="A26" s="118"/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</row>
    <row r="27" spans="1:19" ht="15">
      <c r="A27" s="150" t="s">
        <v>237</v>
      </c>
      <c r="B27" s="143"/>
      <c r="C27" s="131" t="s">
        <v>238</v>
      </c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</row>
    <row r="28" spans="1:19" ht="15">
      <c r="A28" s="139" t="s">
        <v>239</v>
      </c>
      <c r="B28" s="122">
        <f>F16/12</f>
        <v>16998.331219881493</v>
      </c>
      <c r="C28" s="131" t="s">
        <v>240</v>
      </c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</row>
    <row r="29" spans="1:19" ht="15">
      <c r="A29" s="139" t="s">
        <v>241</v>
      </c>
      <c r="B29" s="129">
        <f>E16+(B28*4)</f>
        <v>1452.7096839704755</v>
      </c>
      <c r="C29" s="131" t="s">
        <v>242</v>
      </c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 t="s">
        <v>267</v>
      </c>
      <c r="P29" s="118"/>
      <c r="Q29" s="118"/>
      <c r="R29" s="118"/>
      <c r="S29" s="118"/>
    </row>
    <row r="30" spans="1:19" ht="15">
      <c r="A30" s="139" t="s">
        <v>243</v>
      </c>
      <c r="B30" s="177" t="s">
        <v>268</v>
      </c>
      <c r="C30" s="131" t="s">
        <v>244</v>
      </c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</row>
    <row r="31" spans="1:19" ht="15">
      <c r="A31" s="139" t="s">
        <v>245</v>
      </c>
      <c r="B31" s="122"/>
      <c r="C31" s="131" t="s">
        <v>246</v>
      </c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</row>
    <row r="32" spans="1:19" ht="15">
      <c r="A32" s="139" t="s">
        <v>239</v>
      </c>
      <c r="B32" s="122">
        <f>F24/12</f>
        <v>8067.4234265137129</v>
      </c>
      <c r="C32" s="126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</row>
    <row r="33" spans="1:19" ht="15">
      <c r="A33" s="139" t="s">
        <v>241</v>
      </c>
      <c r="B33" s="129">
        <f>E24+(B32*12)</f>
        <v>1067.0168041896541</v>
      </c>
      <c r="C33" s="126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</row>
    <row r="34" spans="1:19" ht="15">
      <c r="A34" s="139" t="s">
        <v>243</v>
      </c>
      <c r="B34" s="177" t="s">
        <v>269</v>
      </c>
      <c r="C34" s="126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</row>
    <row r="35" spans="1:19" ht="15">
      <c r="A35" s="126"/>
      <c r="B35" s="126"/>
      <c r="C35" s="126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</row>
    <row r="36" spans="1:19" ht="15">
      <c r="A36" s="126"/>
      <c r="B36" s="126"/>
      <c r="C36" s="126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</row>
    <row r="37" spans="1:19" ht="15">
      <c r="A37" s="126" t="s">
        <v>247</v>
      </c>
      <c r="B37" s="126"/>
      <c r="C37" s="126">
        <f>0.12+(H19-0.12) *I24/(I24-B24)</f>
        <v>0.46257641175252001</v>
      </c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</row>
    <row r="38" spans="1:19" ht="15">
      <c r="A38" s="131" t="s">
        <v>248</v>
      </c>
      <c r="B38" s="126"/>
      <c r="C38" s="126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</row>
    <row r="39" spans="1:19" ht="15">
      <c r="A39" s="131" t="s">
        <v>249</v>
      </c>
      <c r="B39" s="126"/>
      <c r="C39" s="126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</row>
    <row r="40" spans="1:19" ht="15">
      <c r="A40" s="131" t="s">
        <v>250</v>
      </c>
      <c r="B40" s="126"/>
      <c r="C40" s="126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</row>
    <row r="41" spans="1:19" ht="15">
      <c r="A41" s="131" t="s">
        <v>251</v>
      </c>
      <c r="B41" s="126"/>
      <c r="C41" s="126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</row>
  </sheetData>
  <mergeCells count="6">
    <mergeCell ref="B17:I17"/>
    <mergeCell ref="A2:A3"/>
    <mergeCell ref="B2:H2"/>
    <mergeCell ref="I2:I3"/>
    <mergeCell ref="B5:I5"/>
    <mergeCell ref="B8:I8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6368A-EF28-4F43-97F5-45B46788E13F}">
  <dimension ref="A1:R14"/>
  <sheetViews>
    <sheetView workbookViewId="0">
      <selection activeCell="B8" sqref="B8"/>
    </sheetView>
  </sheetViews>
  <sheetFormatPr defaultRowHeight="12.75"/>
  <cols>
    <col min="1" max="1" width="25.140625" customWidth="1"/>
    <col min="2" max="2" width="10.7109375" customWidth="1"/>
    <col min="3" max="3" width="10.140625" bestFit="1" customWidth="1"/>
    <col min="4" max="9" width="9.140625" customWidth="1"/>
  </cols>
  <sheetData>
    <row r="1" spans="1:18" ht="20.25" thickBot="1">
      <c r="A1" s="109" t="s">
        <v>187</v>
      </c>
      <c r="B1" s="109"/>
      <c r="C1" s="109"/>
      <c r="D1" s="109"/>
      <c r="E1" s="109"/>
      <c r="F1" s="109"/>
      <c r="G1" s="109"/>
      <c r="H1" s="109"/>
      <c r="I1" s="109"/>
      <c r="J1" s="109"/>
      <c r="K1" s="126"/>
      <c r="L1" s="118"/>
      <c r="M1" s="118"/>
      <c r="N1" s="118"/>
      <c r="O1" s="118"/>
      <c r="P1" s="118"/>
      <c r="Q1" s="118"/>
      <c r="R1" s="118"/>
    </row>
    <row r="2" spans="1:18" ht="15.75" thickTop="1">
      <c r="A2" s="192" t="s">
        <v>188</v>
      </c>
      <c r="B2" s="252" t="s">
        <v>189</v>
      </c>
      <c r="C2" s="194" t="s">
        <v>1</v>
      </c>
      <c r="D2" s="249"/>
      <c r="E2" s="249"/>
      <c r="F2" s="250"/>
      <c r="G2" s="250"/>
      <c r="H2" s="250"/>
      <c r="I2" s="251"/>
      <c r="J2" s="252" t="s">
        <v>190</v>
      </c>
      <c r="K2" s="126"/>
      <c r="L2" s="118"/>
      <c r="M2" s="118"/>
      <c r="N2" s="118"/>
      <c r="O2" s="118"/>
      <c r="P2" s="118"/>
      <c r="Q2" s="118"/>
      <c r="R2" s="118"/>
    </row>
    <row r="3" spans="1:18" ht="26.25">
      <c r="A3" s="241"/>
      <c r="B3" s="253"/>
      <c r="C3" s="47" t="s">
        <v>2</v>
      </c>
      <c r="D3" s="47" t="s">
        <v>3</v>
      </c>
      <c r="E3" s="144" t="s">
        <v>4</v>
      </c>
      <c r="F3" s="145">
        <v>2024</v>
      </c>
      <c r="G3" s="145">
        <v>2025</v>
      </c>
      <c r="H3" s="145">
        <v>2026</v>
      </c>
      <c r="I3" s="145">
        <v>2027</v>
      </c>
      <c r="J3" s="253"/>
      <c r="K3" s="126"/>
      <c r="L3" s="118"/>
      <c r="M3" s="118"/>
      <c r="N3" s="118"/>
      <c r="O3" s="118"/>
      <c r="P3" s="118"/>
      <c r="Q3" s="118"/>
      <c r="R3" s="118"/>
    </row>
    <row r="4" spans="1:18" ht="15">
      <c r="A4" s="48">
        <v>1</v>
      </c>
      <c r="B4" s="47">
        <v>2</v>
      </c>
      <c r="C4" s="47">
        <v>3</v>
      </c>
      <c r="D4" s="47">
        <v>4</v>
      </c>
      <c r="E4" s="47">
        <v>5</v>
      </c>
      <c r="F4" s="47"/>
      <c r="G4" s="47"/>
      <c r="H4" s="47">
        <v>6</v>
      </c>
      <c r="I4" s="47">
        <v>7</v>
      </c>
      <c r="J4" s="47">
        <v>8</v>
      </c>
      <c r="K4" s="126"/>
      <c r="L4" s="118"/>
      <c r="M4" s="118"/>
      <c r="N4" s="118"/>
      <c r="O4" s="118"/>
      <c r="P4" s="118"/>
      <c r="Q4" s="118"/>
      <c r="R4" s="118"/>
    </row>
    <row r="5" spans="1:18" ht="32.25" customHeight="1">
      <c r="A5" s="124" t="s">
        <v>191</v>
      </c>
      <c r="B5" s="256"/>
      <c r="C5" s="249"/>
      <c r="D5" s="249"/>
      <c r="E5" s="249"/>
      <c r="F5" s="249"/>
      <c r="G5" s="249"/>
      <c r="H5" s="249"/>
      <c r="I5" s="249"/>
      <c r="J5" s="253"/>
      <c r="K5" s="126"/>
      <c r="L5" s="118"/>
      <c r="M5" s="118"/>
      <c r="N5" s="118"/>
      <c r="O5" s="118"/>
      <c r="P5" s="118"/>
      <c r="Q5" s="118"/>
      <c r="R5" s="118"/>
    </row>
    <row r="6" spans="1:18" ht="32.25" customHeight="1">
      <c r="A6" s="50" t="s">
        <v>192</v>
      </c>
      <c r="B6" s="160">
        <v>4</v>
      </c>
      <c r="C6" s="116"/>
      <c r="D6" s="116"/>
      <c r="E6" s="116"/>
      <c r="F6" s="116"/>
      <c r="G6" s="116"/>
      <c r="H6" s="116"/>
      <c r="I6" s="116"/>
      <c r="J6" s="116"/>
      <c r="K6" s="131" t="s">
        <v>193</v>
      </c>
      <c r="L6" s="118"/>
      <c r="M6" s="118"/>
      <c r="N6" s="118"/>
      <c r="O6" s="118"/>
      <c r="P6" s="118"/>
      <c r="Q6" s="118"/>
      <c r="R6" s="118"/>
    </row>
    <row r="7" spans="1:18" ht="30" customHeight="1">
      <c r="A7" s="124" t="s">
        <v>194</v>
      </c>
      <c r="B7" s="160">
        <v>12</v>
      </c>
      <c r="C7" s="116"/>
      <c r="D7" s="116"/>
      <c r="E7" s="116"/>
      <c r="F7" s="116"/>
      <c r="G7" s="116"/>
      <c r="H7" s="116"/>
      <c r="I7" s="116"/>
      <c r="J7" s="116"/>
      <c r="K7" s="126"/>
      <c r="L7" s="118"/>
      <c r="M7" s="118"/>
      <c r="N7" s="118"/>
      <c r="O7" s="118"/>
      <c r="P7" s="118"/>
      <c r="Q7" s="118"/>
      <c r="R7" s="118"/>
    </row>
    <row r="8" spans="1:18" ht="47.25" customHeight="1">
      <c r="A8" s="124" t="s">
        <v>195</v>
      </c>
      <c r="B8" s="160">
        <f>'Дисконт доход'!I24</f>
        <v>355846.45256502379</v>
      </c>
      <c r="C8" s="116"/>
      <c r="D8" s="116"/>
      <c r="E8" s="116"/>
      <c r="F8" s="116"/>
      <c r="G8" s="116"/>
      <c r="H8" s="116"/>
      <c r="I8" s="116"/>
      <c r="J8" s="116"/>
      <c r="K8" s="126"/>
      <c r="L8" s="118"/>
      <c r="M8" s="118"/>
      <c r="N8" s="118"/>
      <c r="O8" s="118"/>
      <c r="P8" s="118"/>
      <c r="Q8" s="118"/>
      <c r="R8" s="118"/>
    </row>
    <row r="9" spans="1:18" ht="30.75" customHeight="1">
      <c r="A9" s="124" t="s">
        <v>196</v>
      </c>
      <c r="B9" s="133">
        <f>'Дисконт доход'!C37</f>
        <v>0.46257641175252001</v>
      </c>
      <c r="C9" s="116"/>
      <c r="D9" s="116"/>
      <c r="E9" s="116"/>
      <c r="F9" s="116"/>
      <c r="G9" s="116"/>
      <c r="H9" s="116"/>
      <c r="I9" s="116"/>
      <c r="J9" s="116"/>
      <c r="K9" s="126"/>
      <c r="L9" s="118"/>
      <c r="M9" s="118"/>
      <c r="N9" s="118"/>
      <c r="O9" s="118"/>
      <c r="P9" s="118"/>
      <c r="Q9" s="118"/>
      <c r="R9" s="118"/>
    </row>
    <row r="10" spans="1:18" ht="25.5" customHeight="1">
      <c r="A10" s="124" t="s">
        <v>197</v>
      </c>
      <c r="B10" s="133">
        <f>(B8+'Дисконт доход'!I22)/'Дисконт доход'!I22</f>
        <v>5.6375962842880236</v>
      </c>
      <c r="C10" s="116"/>
      <c r="D10" s="116"/>
      <c r="E10" s="116"/>
      <c r="F10" s="116"/>
      <c r="G10" s="116"/>
      <c r="H10" s="116"/>
      <c r="I10" s="116"/>
      <c r="J10" s="116" t="s">
        <v>198</v>
      </c>
      <c r="K10" s="131" t="s">
        <v>199</v>
      </c>
      <c r="L10" s="118"/>
      <c r="M10" s="118"/>
      <c r="N10" s="118"/>
      <c r="O10" s="118"/>
      <c r="P10" s="118"/>
      <c r="Q10" s="118"/>
      <c r="R10" s="118"/>
    </row>
    <row r="11" spans="1:18" ht="25.5" customHeight="1">
      <c r="A11" s="124" t="s">
        <v>200</v>
      </c>
      <c r="B11" s="116"/>
      <c r="C11" s="160">
        <f>(ЧП!B10*100)/ЧП!B9</f>
        <v>14.596616798606355</v>
      </c>
      <c r="D11" s="160">
        <f>(ЧП!C10*100)/ЧП!C9</f>
        <v>10.93949819845205</v>
      </c>
      <c r="E11" s="160">
        <f>(ЧП!D10*100)/ЧП!D9</f>
        <v>6.8530805460019124</v>
      </c>
      <c r="F11" s="160">
        <f>(ЧП!E10*100)/ЧП!E9</f>
        <v>4.5051889378117247</v>
      </c>
      <c r="G11" s="160">
        <f>(ЧП!F10*100)/ЧП!F9</f>
        <v>3.9232924192100294</v>
      </c>
      <c r="H11" s="160">
        <f>(ЧП!G10*100)/ЧП!G9</f>
        <v>3.5960097832351301</v>
      </c>
      <c r="I11" s="160">
        <f>(ЧП!H10*100)/ЧП!H9</f>
        <v>2.7461434012058743</v>
      </c>
      <c r="J11" s="116" t="s">
        <v>201</v>
      </c>
      <c r="K11" s="131" t="s">
        <v>202</v>
      </c>
      <c r="L11" s="118"/>
      <c r="M11" s="118"/>
      <c r="N11" s="118"/>
      <c r="O11" s="118"/>
      <c r="P11" s="118"/>
      <c r="Q11" s="118"/>
      <c r="R11" s="118"/>
    </row>
    <row r="12" spans="1:18" ht="26.25" customHeight="1">
      <c r="A12" s="124" t="s">
        <v>203</v>
      </c>
      <c r="B12" s="256"/>
      <c r="C12" s="249"/>
      <c r="D12" s="249"/>
      <c r="E12" s="249"/>
      <c r="F12" s="249"/>
      <c r="G12" s="249"/>
      <c r="H12" s="249"/>
      <c r="I12" s="249"/>
      <c r="J12" s="253"/>
      <c r="K12" s="126"/>
      <c r="L12" s="118"/>
      <c r="M12" s="118"/>
      <c r="N12" s="118"/>
      <c r="O12" s="118"/>
      <c r="P12" s="118"/>
      <c r="Q12" s="118"/>
      <c r="R12" s="118"/>
    </row>
    <row r="13" spans="1:18" ht="27.75" customHeight="1">
      <c r="A13" s="50" t="s">
        <v>204</v>
      </c>
      <c r="B13" s="116"/>
      <c r="C13" s="134">
        <f>ЧП!B14/ЧП!B5</f>
        <v>0.32147928194444453</v>
      </c>
      <c r="D13" s="134">
        <f>ЧП!C14/ЧП!C5</f>
        <v>0.43926398111111115</v>
      </c>
      <c r="E13" s="134">
        <f>ЧП!D14/ЧП!D5</f>
        <v>0.6068032850450451</v>
      </c>
      <c r="F13" s="134">
        <f>ЧП!E14/ЧП!E5</f>
        <v>0.67277563376710048</v>
      </c>
      <c r="G13" s="134">
        <f>ЧП!F14/ЧП!F5</f>
        <v>0.70926028065596469</v>
      </c>
      <c r="H13" s="134">
        <f>ЧП!G14/ЧП!G5</f>
        <v>0.73031271244550744</v>
      </c>
      <c r="I13" s="134">
        <f>ЧП!H14/ЧП!H5</f>
        <v>0.77723863220384115</v>
      </c>
      <c r="J13" s="116"/>
      <c r="K13" s="131" t="s">
        <v>205</v>
      </c>
      <c r="L13" s="118"/>
      <c r="M13" s="118"/>
      <c r="N13" s="118"/>
      <c r="O13" s="118"/>
      <c r="P13" s="118"/>
      <c r="Q13" s="118"/>
      <c r="R13" s="118"/>
    </row>
    <row r="14" spans="1:18" ht="31.5" customHeight="1">
      <c r="A14" s="50" t="s">
        <v>206</v>
      </c>
      <c r="B14" s="116"/>
      <c r="C14" s="134">
        <f>ЧП!B14/Инвестиции!B13</f>
        <v>0.23745952071855322</v>
      </c>
      <c r="D14" s="134">
        <f>ЧП!C14/Инвестиции!B13</f>
        <v>0.40557595886378789</v>
      </c>
      <c r="E14" s="134">
        <f>ЧП!D14/Инвестиции!B13</f>
        <v>1.1516585933131609</v>
      </c>
      <c r="F14" s="134">
        <f>ЧП!E14/Инвестиции!B13</f>
        <v>4.9644637004474657</v>
      </c>
      <c r="G14" s="134">
        <f>ЧП!F14/Инвестиции!B13</f>
        <v>6.5944452999732883</v>
      </c>
      <c r="H14" s="134">
        <f>ЧП!G14/Инвестиции!B13</f>
        <v>8.1191190413021523</v>
      </c>
      <c r="I14" s="134">
        <f>ЧП!H14/Инвестиции!B13</f>
        <v>12.041386055480771</v>
      </c>
      <c r="J14" s="116"/>
      <c r="K14" s="131" t="s">
        <v>207</v>
      </c>
      <c r="L14" s="118"/>
      <c r="M14" s="118"/>
      <c r="N14" s="118"/>
      <c r="O14" s="118"/>
      <c r="P14" s="118"/>
      <c r="Q14" s="118"/>
      <c r="R14" s="118"/>
    </row>
  </sheetData>
  <mergeCells count="6">
    <mergeCell ref="B12:J12"/>
    <mergeCell ref="A2:A3"/>
    <mergeCell ref="B2:B3"/>
    <mergeCell ref="C2:I2"/>
    <mergeCell ref="J2:J3"/>
    <mergeCell ref="B5:J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0DD25-E12C-44E6-B0DA-BE04560370EF}">
  <dimension ref="A1:K17"/>
  <sheetViews>
    <sheetView tabSelected="1" workbookViewId="0">
      <selection activeCell="H24" sqref="H24"/>
    </sheetView>
  </sheetViews>
  <sheetFormatPr defaultRowHeight="12.75"/>
  <cols>
    <col min="1" max="1" width="32.85546875" customWidth="1"/>
    <col min="2" max="2" width="11.28515625" customWidth="1"/>
    <col min="3" max="3" width="10.85546875" bestFit="1" customWidth="1"/>
    <col min="4" max="4" width="11.140625" customWidth="1"/>
    <col min="5" max="5" width="11.85546875" customWidth="1"/>
    <col min="6" max="7" width="10.7109375" bestFit="1" customWidth="1"/>
    <col min="8" max="9" width="10.140625" bestFit="1" customWidth="1"/>
  </cols>
  <sheetData>
    <row r="1" spans="1:11" ht="20.25" thickBot="1">
      <c r="A1" s="109" t="s">
        <v>252</v>
      </c>
      <c r="B1" s="109"/>
      <c r="C1" s="109"/>
      <c r="D1" s="109"/>
      <c r="E1" s="109"/>
      <c r="F1" s="109"/>
      <c r="G1" s="109"/>
      <c r="H1" s="118"/>
      <c r="I1" s="118"/>
      <c r="J1" s="118"/>
      <c r="K1" s="118"/>
    </row>
    <row r="2" spans="1:11" ht="15.75" thickTop="1">
      <c r="A2" s="257" t="s">
        <v>188</v>
      </c>
      <c r="B2" s="252" t="s">
        <v>189</v>
      </c>
      <c r="C2" s="194" t="s">
        <v>1</v>
      </c>
      <c r="D2" s="249"/>
      <c r="E2" s="249"/>
      <c r="F2" s="249"/>
      <c r="G2" s="253"/>
      <c r="H2" s="126"/>
      <c r="I2" s="118"/>
      <c r="J2" s="118"/>
      <c r="K2" s="118"/>
    </row>
    <row r="3" spans="1:11">
      <c r="A3" s="258"/>
      <c r="B3" s="253"/>
      <c r="C3" s="47" t="s">
        <v>2</v>
      </c>
      <c r="D3" s="47" t="s">
        <v>3</v>
      </c>
      <c r="E3" s="47" t="s">
        <v>266</v>
      </c>
      <c r="F3" s="47">
        <v>2024</v>
      </c>
      <c r="G3" s="73">
        <v>2025</v>
      </c>
      <c r="H3" s="74">
        <v>2026</v>
      </c>
      <c r="I3" s="74">
        <v>2027</v>
      </c>
      <c r="J3" s="118"/>
      <c r="K3" s="118"/>
    </row>
    <row r="4" spans="1:11" ht="15">
      <c r="A4" s="119">
        <v>1</v>
      </c>
      <c r="B4" s="110">
        <v>2</v>
      </c>
      <c r="C4" s="110">
        <v>3</v>
      </c>
      <c r="D4" s="110">
        <v>4</v>
      </c>
      <c r="E4" s="110">
        <v>5</v>
      </c>
      <c r="F4" s="110">
        <v>6</v>
      </c>
      <c r="G4" s="111">
        <v>7</v>
      </c>
      <c r="H4" s="143"/>
      <c r="I4" s="123"/>
      <c r="J4" s="118"/>
      <c r="K4" s="118"/>
    </row>
    <row r="5" spans="1:11" ht="15">
      <c r="A5" s="50" t="s">
        <v>253</v>
      </c>
      <c r="B5" s="129"/>
      <c r="C5" s="141">
        <v>8</v>
      </c>
      <c r="D5" s="141">
        <v>8</v>
      </c>
      <c r="E5" s="141">
        <v>8</v>
      </c>
      <c r="F5" s="141">
        <v>8</v>
      </c>
      <c r="G5" s="141">
        <v>8</v>
      </c>
      <c r="H5" s="141">
        <v>8</v>
      </c>
      <c r="I5" s="141">
        <v>8</v>
      </c>
      <c r="J5" s="118"/>
      <c r="K5" s="118"/>
    </row>
    <row r="6" spans="1:11" ht="30" customHeight="1">
      <c r="A6" s="124" t="s">
        <v>254</v>
      </c>
      <c r="B6" s="140">
        <f>SUM(C6:I6)</f>
        <v>707700.12880450906</v>
      </c>
      <c r="C6" s="140">
        <f>Издержки!B25</f>
        <v>30387.451999999997</v>
      </c>
      <c r="D6" s="140">
        <f>Издержки!C25</f>
        <v>30797.451999999997</v>
      </c>
      <c r="E6" s="140">
        <f>Издержки!D25</f>
        <v>42292.469333333327</v>
      </c>
      <c r="F6" s="140">
        <f>Издержки!E25</f>
        <v>132261.87263999999</v>
      </c>
      <c r="G6" s="140">
        <f>Издержки!F25</f>
        <v>144232.48645120001</v>
      </c>
      <c r="H6" s="140">
        <f>Издержки!G25</f>
        <v>156993.84056729602</v>
      </c>
      <c r="I6" s="140">
        <f>Издержки!H25</f>
        <v>170734.55581267973</v>
      </c>
      <c r="J6" s="118"/>
      <c r="K6" s="118"/>
    </row>
    <row r="7" spans="1:11" ht="30.75" customHeight="1">
      <c r="A7" s="124" t="s">
        <v>255</v>
      </c>
      <c r="B7" s="254"/>
      <c r="C7" s="255"/>
      <c r="D7" s="255"/>
      <c r="E7" s="255"/>
      <c r="F7" s="255"/>
      <c r="G7" s="255"/>
      <c r="H7" s="143"/>
      <c r="I7" s="123"/>
      <c r="J7" s="118"/>
      <c r="K7" s="118"/>
    </row>
    <row r="8" spans="1:11" ht="20.25" customHeight="1">
      <c r="A8" s="124" t="s">
        <v>256</v>
      </c>
      <c r="B8" s="140">
        <f>SUM(C8:I8)</f>
        <v>545863.33741333336</v>
      </c>
      <c r="C8" s="140">
        <f>Инвестиции!B13</f>
        <v>77980.476773333328</v>
      </c>
      <c r="D8" s="140">
        <f>Инвестиции!B13</f>
        <v>77980.476773333328</v>
      </c>
      <c r="E8" s="140">
        <f>Инвестиции!B13</f>
        <v>77980.476773333328</v>
      </c>
      <c r="F8" s="140">
        <f>Инвестиции!B13</f>
        <v>77980.476773333328</v>
      </c>
      <c r="G8" s="140">
        <f>Инвестиции!B13</f>
        <v>77980.476773333328</v>
      </c>
      <c r="H8" s="140">
        <f>Инвестиции!B13</f>
        <v>77980.476773333328</v>
      </c>
      <c r="I8" s="140">
        <f>Инвестиции!B13</f>
        <v>77980.476773333328</v>
      </c>
      <c r="J8" s="118"/>
      <c r="K8" s="118"/>
    </row>
    <row r="9" spans="1:11" ht="30">
      <c r="A9" s="124" t="s">
        <v>257</v>
      </c>
      <c r="B9" s="140">
        <f>SUM(C9:I9)</f>
        <v>3653106.2348800008</v>
      </c>
      <c r="C9" s="140">
        <f>Реализация!C7</f>
        <v>57600</v>
      </c>
      <c r="D9" s="140">
        <f>Реализация!D7</f>
        <v>72000</v>
      </c>
      <c r="E9" s="140">
        <f>Реализация!E7</f>
        <v>148000</v>
      </c>
      <c r="F9" s="140">
        <f>Реализация!F7</f>
        <v>575424</v>
      </c>
      <c r="G9" s="140">
        <f>Реализация!G7</f>
        <v>725034.24000000011</v>
      </c>
      <c r="H9" s="140">
        <f>Реализация!H7</f>
        <v>866933.79840000009</v>
      </c>
      <c r="I9" s="140">
        <f>Реализация!I7</f>
        <v>1208114.1964800004</v>
      </c>
      <c r="J9" s="118"/>
      <c r="K9" s="118"/>
    </row>
    <row r="10" spans="1:11" ht="32.25" customHeight="1">
      <c r="A10" s="124" t="s">
        <v>258</v>
      </c>
      <c r="B10" s="254"/>
      <c r="C10" s="255"/>
      <c r="D10" s="255"/>
      <c r="E10" s="255"/>
      <c r="F10" s="255"/>
      <c r="G10" s="255"/>
      <c r="H10" s="143"/>
      <c r="I10" s="123"/>
      <c r="J10" s="118"/>
      <c r="K10" s="118"/>
    </row>
    <row r="11" spans="1:11" ht="26.25">
      <c r="A11" s="50" t="s">
        <v>259</v>
      </c>
      <c r="B11" s="141">
        <v>1</v>
      </c>
      <c r="C11" s="129"/>
      <c r="D11" s="129"/>
      <c r="E11" s="129"/>
      <c r="F11" s="129"/>
      <c r="G11" s="142"/>
      <c r="H11" s="143"/>
      <c r="I11" s="123"/>
      <c r="J11" s="118"/>
      <c r="K11" s="118"/>
    </row>
    <row r="12" spans="1:11" ht="20.25" customHeight="1">
      <c r="A12" s="50" t="s">
        <v>260</v>
      </c>
      <c r="B12" s="122"/>
      <c r="C12" s="140">
        <f>'Дисконт доход'!B24</f>
        <v>-108884.03504544</v>
      </c>
      <c r="D12" s="140">
        <f>'Дисконт доход'!C24</f>
        <v>-203972.57129087998</v>
      </c>
      <c r="E12" s="140">
        <f>'Дисконт доход'!D24</f>
        <v>-242437.47747406576</v>
      </c>
      <c r="F12" s="140">
        <f>'Дисконт доход'!E24</f>
        <v>-95742.064313974901</v>
      </c>
      <c r="G12" s="140">
        <f>'Дисконт доход'!F24</f>
        <v>96809.081118164555</v>
      </c>
      <c r="H12" s="140">
        <f>'Дисконт доход'!G24</f>
        <v>314986.8692802937</v>
      </c>
      <c r="I12" s="140">
        <f>'Дисконт доход'!H24</f>
        <v>595086.65029092622</v>
      </c>
      <c r="J12" s="118"/>
      <c r="K12" s="118"/>
    </row>
    <row r="13" spans="1:11" ht="26.25">
      <c r="A13" s="50" t="s">
        <v>261</v>
      </c>
      <c r="B13" s="135">
        <f>Эффективность!B9</f>
        <v>0.46257641175252001</v>
      </c>
      <c r="C13" s="122"/>
      <c r="D13" s="122"/>
      <c r="E13" s="122"/>
      <c r="F13" s="122"/>
      <c r="G13" s="117"/>
      <c r="H13" s="143"/>
      <c r="I13" s="123"/>
      <c r="J13" s="118"/>
      <c r="K13" s="118"/>
    </row>
    <row r="14" spans="1:11" ht="15">
      <c r="A14" s="50" t="s">
        <v>262</v>
      </c>
      <c r="B14" s="135">
        <f>Эффективность!B10</f>
        <v>5.6375962842880236</v>
      </c>
      <c r="C14" s="122"/>
      <c r="D14" s="122"/>
      <c r="E14" s="122"/>
      <c r="F14" s="122"/>
      <c r="G14" s="117"/>
      <c r="H14" s="143"/>
      <c r="I14" s="123"/>
      <c r="J14" s="118"/>
      <c r="K14" s="118"/>
    </row>
    <row r="15" spans="1:11" ht="15">
      <c r="A15" s="50" t="s">
        <v>263</v>
      </c>
      <c r="B15" s="122"/>
      <c r="C15" s="140">
        <f>Эффективность!C11</f>
        <v>14.596616798606355</v>
      </c>
      <c r="D15" s="140">
        <f>Эффективность!D11</f>
        <v>10.93949819845205</v>
      </c>
      <c r="E15" s="140">
        <f>Эффективность!E11</f>
        <v>6.8530805460019124</v>
      </c>
      <c r="F15" s="140">
        <f>Эффективность!F11</f>
        <v>4.5051889378117247</v>
      </c>
      <c r="G15" s="140">
        <f>Эффективность!G11</f>
        <v>3.9232924192100294</v>
      </c>
      <c r="H15" s="140">
        <f>Эффективность!H11</f>
        <v>3.5960097832351301</v>
      </c>
      <c r="I15" s="140">
        <f>Эффективность!I11</f>
        <v>2.7461434012058743</v>
      </c>
      <c r="J15" s="118"/>
      <c r="K15" s="118"/>
    </row>
    <row r="16" spans="1:11" ht="15">
      <c r="A16" s="50" t="s">
        <v>264</v>
      </c>
      <c r="B16" s="122"/>
      <c r="C16" s="136">
        <f>Эффективность!C13</f>
        <v>0.32147928194444453</v>
      </c>
      <c r="D16" s="136">
        <f>Эффективность!D13</f>
        <v>0.43926398111111115</v>
      </c>
      <c r="E16" s="136">
        <f>Эффективность!E13</f>
        <v>0.6068032850450451</v>
      </c>
      <c r="F16" s="136">
        <f>Эффективность!F13</f>
        <v>0.67277563376710048</v>
      </c>
      <c r="G16" s="136">
        <f>Эффективность!G13</f>
        <v>0.70926028065596469</v>
      </c>
      <c r="H16" s="136">
        <f>Эффективность!H13</f>
        <v>0.73031271244550744</v>
      </c>
      <c r="I16" s="136">
        <f>Эффективность!I13</f>
        <v>0.77723863220384115</v>
      </c>
      <c r="J16" s="118"/>
      <c r="K16" s="118"/>
    </row>
    <row r="17" spans="1:11" ht="15">
      <c r="A17" s="50" t="s">
        <v>265</v>
      </c>
      <c r="B17" s="122"/>
      <c r="C17" s="136">
        <f>Эффективность!C14</f>
        <v>0.23745952071855322</v>
      </c>
      <c r="D17" s="136">
        <f>Эффективность!D14</f>
        <v>0.40557595886378789</v>
      </c>
      <c r="E17" s="136">
        <f>Эффективность!E14</f>
        <v>1.1516585933131609</v>
      </c>
      <c r="F17" s="136">
        <f>Эффективность!F14</f>
        <v>4.9644637004474657</v>
      </c>
      <c r="G17" s="136">
        <f>Эффективность!G14</f>
        <v>6.5944452999732883</v>
      </c>
      <c r="H17" s="136">
        <f>Эффективность!H14</f>
        <v>8.1191190413021523</v>
      </c>
      <c r="I17" s="136">
        <f>Эффективность!I14</f>
        <v>12.041386055480771</v>
      </c>
      <c r="J17" s="118"/>
      <c r="K17" s="118"/>
    </row>
  </sheetData>
  <mergeCells count="5">
    <mergeCell ref="A2:A3"/>
    <mergeCell ref="B2:B3"/>
    <mergeCell ref="C2:G2"/>
    <mergeCell ref="B7:G7"/>
    <mergeCell ref="B10:G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28"/>
  <sheetViews>
    <sheetView workbookViewId="0">
      <selection activeCell="G40" sqref="G40"/>
    </sheetView>
  </sheetViews>
  <sheetFormatPr defaultColWidth="12.5703125" defaultRowHeight="15.75" customHeight="1"/>
  <cols>
    <col min="1" max="1" width="52.140625" customWidth="1"/>
    <col min="2" max="2" width="18.85546875" customWidth="1"/>
    <col min="3" max="3" width="14.7109375" customWidth="1"/>
    <col min="4" max="4" width="16.7109375" customWidth="1"/>
    <col min="5" max="5" width="15.28515625" customWidth="1"/>
  </cols>
  <sheetData>
    <row r="1" spans="1:10">
      <c r="A1" s="22" t="s">
        <v>39</v>
      </c>
      <c r="B1" s="22"/>
      <c r="C1" s="22"/>
      <c r="D1" s="22"/>
      <c r="E1" s="23"/>
      <c r="F1" s="23"/>
      <c r="G1" s="23"/>
      <c r="H1" s="24"/>
      <c r="I1" s="24"/>
      <c r="J1" s="25"/>
    </row>
    <row r="2" spans="1:10">
      <c r="A2" s="185" t="s">
        <v>40</v>
      </c>
      <c r="B2" s="187" t="s">
        <v>41</v>
      </c>
      <c r="C2" s="188" t="s">
        <v>1</v>
      </c>
      <c r="D2" s="181"/>
      <c r="E2" s="181"/>
      <c r="F2" s="181"/>
      <c r="G2" s="181"/>
      <c r="H2" s="181"/>
      <c r="I2" s="180"/>
      <c r="J2" s="25"/>
    </row>
    <row r="3" spans="1:10">
      <c r="A3" s="186"/>
      <c r="B3" s="186"/>
      <c r="C3" s="188">
        <v>2023</v>
      </c>
      <c r="D3" s="181"/>
      <c r="E3" s="180"/>
      <c r="F3" s="26">
        <v>2024</v>
      </c>
      <c r="G3" s="26">
        <v>2025</v>
      </c>
      <c r="H3" s="26">
        <v>2026</v>
      </c>
      <c r="I3" s="26">
        <v>2027</v>
      </c>
      <c r="J3" s="25"/>
    </row>
    <row r="4" spans="1:10">
      <c r="A4" s="26"/>
      <c r="B4" s="26"/>
      <c r="C4" s="27" t="s">
        <v>42</v>
      </c>
      <c r="D4" s="27" t="s">
        <v>43</v>
      </c>
      <c r="E4" s="27" t="s">
        <v>44</v>
      </c>
      <c r="F4" s="26"/>
      <c r="G4" s="26"/>
      <c r="H4" s="24"/>
      <c r="I4" s="24"/>
      <c r="J4" s="25"/>
    </row>
    <row r="5" spans="1:10">
      <c r="A5" s="28" t="s">
        <v>45</v>
      </c>
      <c r="B5" s="29"/>
      <c r="C5" s="29"/>
      <c r="D5" s="29"/>
      <c r="E5" s="29"/>
      <c r="F5" s="29"/>
      <c r="G5" s="29"/>
      <c r="H5" s="24"/>
      <c r="I5" s="24"/>
      <c r="J5" s="25"/>
    </row>
    <row r="6" spans="1:10">
      <c r="A6" s="30" t="s">
        <v>46</v>
      </c>
      <c r="B6" s="23"/>
      <c r="C6" s="31">
        <v>3000</v>
      </c>
      <c r="D6" s="31">
        <v>3000</v>
      </c>
      <c r="E6" s="31">
        <v>3000</v>
      </c>
      <c r="F6" s="31">
        <v>3000</v>
      </c>
      <c r="G6" s="31">
        <v>3000</v>
      </c>
      <c r="H6" s="31">
        <v>3000</v>
      </c>
      <c r="I6" s="31">
        <v>3000</v>
      </c>
      <c r="J6" s="25"/>
    </row>
    <row r="7" spans="1:10">
      <c r="A7" s="30" t="s">
        <v>47</v>
      </c>
      <c r="B7" s="23"/>
      <c r="C7" s="31">
        <v>1500</v>
      </c>
      <c r="D7" s="31">
        <v>1500</v>
      </c>
      <c r="E7" s="31">
        <v>1500</v>
      </c>
      <c r="F7" s="31">
        <v>1500</v>
      </c>
      <c r="G7" s="31">
        <v>1500</v>
      </c>
      <c r="H7" s="31">
        <v>1500</v>
      </c>
      <c r="I7" s="31">
        <v>1500</v>
      </c>
      <c r="J7" s="25"/>
    </row>
    <row r="8" spans="1:10">
      <c r="A8" s="30" t="s">
        <v>48</v>
      </c>
      <c r="B8" s="23"/>
      <c r="C8" s="31">
        <v>1500</v>
      </c>
      <c r="D8" s="31">
        <v>1500</v>
      </c>
      <c r="E8" s="31">
        <v>1500</v>
      </c>
      <c r="F8" s="31">
        <v>1500</v>
      </c>
      <c r="G8" s="31">
        <v>1500</v>
      </c>
      <c r="H8" s="31">
        <v>1500</v>
      </c>
      <c r="I8" s="31">
        <v>1500</v>
      </c>
      <c r="J8" s="25"/>
    </row>
    <row r="9" spans="1:10">
      <c r="A9" s="30" t="s">
        <v>49</v>
      </c>
      <c r="B9" s="23"/>
      <c r="C9" s="31">
        <v>3500</v>
      </c>
      <c r="D9" s="31">
        <v>3500</v>
      </c>
      <c r="E9" s="31">
        <v>3500</v>
      </c>
      <c r="F9" s="31">
        <v>3500</v>
      </c>
      <c r="G9" s="31">
        <v>3500</v>
      </c>
      <c r="H9" s="31">
        <v>3500</v>
      </c>
      <c r="I9" s="31">
        <v>3500</v>
      </c>
      <c r="J9" s="25"/>
    </row>
    <row r="10" spans="1:10">
      <c r="A10" s="30" t="s">
        <v>50</v>
      </c>
      <c r="B10" s="23"/>
      <c r="C10" s="31">
        <v>1200</v>
      </c>
      <c r="D10" s="31">
        <v>1200</v>
      </c>
      <c r="E10" s="31">
        <v>1200</v>
      </c>
      <c r="F10" s="31">
        <v>1200</v>
      </c>
      <c r="G10" s="31">
        <v>1200</v>
      </c>
      <c r="H10" s="31">
        <v>1200</v>
      </c>
      <c r="I10" s="31">
        <v>1200</v>
      </c>
      <c r="J10" s="25"/>
    </row>
    <row r="11" spans="1:10">
      <c r="A11" s="30" t="s">
        <v>51</v>
      </c>
      <c r="B11" s="23"/>
      <c r="C11" s="31">
        <v>3000</v>
      </c>
      <c r="D11" s="31">
        <v>3000</v>
      </c>
      <c r="E11" s="31">
        <v>3000</v>
      </c>
      <c r="F11" s="31">
        <v>3000</v>
      </c>
      <c r="G11" s="31">
        <v>3000</v>
      </c>
      <c r="H11" s="31">
        <v>3000</v>
      </c>
      <c r="I11" s="31">
        <v>3000</v>
      </c>
      <c r="J11" s="25"/>
    </row>
    <row r="12" spans="1:10">
      <c r="A12" s="28" t="s">
        <v>52</v>
      </c>
      <c r="B12" s="29"/>
      <c r="C12" s="29"/>
      <c r="D12" s="29"/>
      <c r="E12" s="29"/>
      <c r="F12" s="29"/>
      <c r="G12" s="29"/>
      <c r="H12" s="24"/>
      <c r="I12" s="24"/>
      <c r="J12" s="25"/>
    </row>
    <row r="13" spans="1:10">
      <c r="A13" s="30" t="s">
        <v>53</v>
      </c>
      <c r="B13" s="32">
        <v>20</v>
      </c>
      <c r="C13" s="31">
        <v>150</v>
      </c>
      <c r="D13" s="31">
        <v>150</v>
      </c>
      <c r="E13" s="31">
        <v>300</v>
      </c>
      <c r="F13" s="31">
        <v>600</v>
      </c>
      <c r="G13" s="31">
        <v>600</v>
      </c>
      <c r="H13" s="31">
        <v>600</v>
      </c>
      <c r="I13" s="31">
        <v>600</v>
      </c>
      <c r="J13" s="25"/>
    </row>
    <row r="14" spans="1:10">
      <c r="A14" s="30" t="s">
        <v>54</v>
      </c>
      <c r="B14" s="32">
        <v>20</v>
      </c>
      <c r="C14" s="31">
        <v>75</v>
      </c>
      <c r="D14" s="31">
        <v>75</v>
      </c>
      <c r="E14" s="31">
        <v>150</v>
      </c>
      <c r="F14" s="31">
        <v>300</v>
      </c>
      <c r="G14" s="31">
        <v>300</v>
      </c>
      <c r="H14" s="31">
        <v>300</v>
      </c>
      <c r="I14" s="31">
        <v>300</v>
      </c>
      <c r="J14" s="25"/>
    </row>
    <row r="15" spans="1:10">
      <c r="A15" s="30" t="s">
        <v>55</v>
      </c>
      <c r="B15" s="32">
        <v>20</v>
      </c>
      <c r="C15" s="31">
        <v>75</v>
      </c>
      <c r="D15" s="31">
        <v>75</v>
      </c>
      <c r="E15" s="31">
        <v>150</v>
      </c>
      <c r="F15" s="31">
        <v>300</v>
      </c>
      <c r="G15" s="31">
        <v>300</v>
      </c>
      <c r="H15" s="31">
        <v>300</v>
      </c>
      <c r="I15" s="31">
        <v>300</v>
      </c>
      <c r="J15" s="25"/>
    </row>
    <row r="16" spans="1:10">
      <c r="A16" s="30" t="s">
        <v>56</v>
      </c>
      <c r="B16" s="32">
        <v>20</v>
      </c>
      <c r="C16" s="31">
        <v>175</v>
      </c>
      <c r="D16" s="31">
        <v>175</v>
      </c>
      <c r="E16" s="31">
        <v>350</v>
      </c>
      <c r="F16" s="31">
        <v>700</v>
      </c>
      <c r="G16" s="31">
        <v>700</v>
      </c>
      <c r="H16" s="31">
        <v>700</v>
      </c>
      <c r="I16" s="31">
        <v>700</v>
      </c>
      <c r="J16" s="25"/>
    </row>
    <row r="17" spans="1:10">
      <c r="A17" s="30" t="s">
        <v>57</v>
      </c>
      <c r="B17" s="32">
        <v>20</v>
      </c>
      <c r="C17" s="31">
        <v>60</v>
      </c>
      <c r="D17" s="31">
        <v>60</v>
      </c>
      <c r="E17" s="31">
        <v>120</v>
      </c>
      <c r="F17" s="31">
        <v>240</v>
      </c>
      <c r="G17" s="31">
        <v>240</v>
      </c>
      <c r="H17" s="31">
        <v>240</v>
      </c>
      <c r="I17" s="31">
        <v>240</v>
      </c>
      <c r="J17" s="25"/>
    </row>
    <row r="18" spans="1:10">
      <c r="A18" s="30" t="s">
        <v>58</v>
      </c>
      <c r="B18" s="32">
        <v>20</v>
      </c>
      <c r="C18" s="31">
        <v>150</v>
      </c>
      <c r="D18" s="31">
        <v>150</v>
      </c>
      <c r="E18" s="31">
        <v>300</v>
      </c>
      <c r="F18" s="31">
        <v>600</v>
      </c>
      <c r="G18" s="31">
        <v>600</v>
      </c>
      <c r="H18" s="31">
        <v>600</v>
      </c>
      <c r="I18" s="31">
        <v>600</v>
      </c>
      <c r="J18" s="25"/>
    </row>
    <row r="19" spans="1:10">
      <c r="A19" s="28"/>
      <c r="B19" s="28"/>
      <c r="C19" s="28"/>
      <c r="D19" s="28"/>
      <c r="E19" s="28"/>
      <c r="F19" s="28"/>
      <c r="G19" s="28"/>
      <c r="H19" s="28"/>
      <c r="I19" s="28"/>
      <c r="J19" s="25"/>
    </row>
    <row r="20" spans="1:10">
      <c r="A20" s="28" t="s">
        <v>59</v>
      </c>
      <c r="B20" s="29"/>
      <c r="C20" s="33">
        <v>13700</v>
      </c>
      <c r="D20" s="33">
        <v>13700</v>
      </c>
      <c r="E20" s="33">
        <v>13700</v>
      </c>
      <c r="F20" s="33">
        <v>13700</v>
      </c>
      <c r="G20" s="33">
        <v>13700</v>
      </c>
      <c r="H20" s="33">
        <v>13700</v>
      </c>
      <c r="I20" s="33">
        <v>13700</v>
      </c>
      <c r="J20" s="25"/>
    </row>
    <row r="21" spans="1:10">
      <c r="A21" s="28" t="s">
        <v>60</v>
      </c>
      <c r="B21" s="29"/>
      <c r="C21" s="33">
        <v>685</v>
      </c>
      <c r="D21" s="33">
        <v>685</v>
      </c>
      <c r="E21" s="33">
        <v>1370</v>
      </c>
      <c r="F21" s="33">
        <v>2740</v>
      </c>
      <c r="G21" s="33">
        <v>2740</v>
      </c>
      <c r="H21" s="33">
        <v>2740</v>
      </c>
      <c r="I21" s="33">
        <v>2740</v>
      </c>
      <c r="J21" s="25"/>
    </row>
    <row r="22" spans="1:10">
      <c r="A22" s="28" t="s">
        <v>61</v>
      </c>
      <c r="B22" s="29"/>
      <c r="C22" s="33">
        <v>685</v>
      </c>
      <c r="D22" s="33">
        <v>1370</v>
      </c>
      <c r="E22" s="33">
        <v>2740</v>
      </c>
      <c r="F22" s="33">
        <v>5480</v>
      </c>
      <c r="G22" s="33">
        <v>8220</v>
      </c>
      <c r="H22" s="34">
        <v>10960</v>
      </c>
      <c r="I22" s="34">
        <v>13700</v>
      </c>
      <c r="J22" s="25"/>
    </row>
    <row r="23" spans="1:10">
      <c r="A23" s="28" t="s">
        <v>62</v>
      </c>
      <c r="B23" s="29"/>
      <c r="C23" s="33">
        <v>13015</v>
      </c>
      <c r="D23" s="33">
        <v>12330</v>
      </c>
      <c r="E23" s="33">
        <v>10960</v>
      </c>
      <c r="F23" s="33">
        <v>8220</v>
      </c>
      <c r="G23" s="33">
        <v>5480</v>
      </c>
      <c r="H23" s="34">
        <v>2740</v>
      </c>
      <c r="I23" s="34">
        <v>0</v>
      </c>
      <c r="J23" s="25"/>
    </row>
    <row r="24" spans="1:10">
      <c r="A24" s="25"/>
      <c r="B24" s="25"/>
      <c r="C24" s="25"/>
      <c r="D24" s="25"/>
      <c r="E24" s="25"/>
      <c r="F24" s="25"/>
      <c r="G24" s="25"/>
      <c r="H24" s="25"/>
      <c r="I24" s="25"/>
      <c r="J24" s="25"/>
    </row>
    <row r="25" spans="1:10">
      <c r="A25" s="25"/>
      <c r="B25" s="25"/>
      <c r="C25" s="25"/>
      <c r="D25" s="25"/>
      <c r="E25" s="25"/>
      <c r="F25" s="25"/>
      <c r="G25" s="25"/>
      <c r="H25" s="25"/>
      <c r="I25" s="25"/>
      <c r="J25" s="25"/>
    </row>
    <row r="26" spans="1:10">
      <c r="A26" s="25"/>
      <c r="B26" s="25"/>
      <c r="C26" s="25"/>
      <c r="D26" s="25"/>
      <c r="E26" s="25"/>
      <c r="F26" s="25"/>
      <c r="G26" s="25"/>
      <c r="H26" s="25"/>
      <c r="I26" s="25"/>
      <c r="J26" s="25"/>
    </row>
    <row r="27" spans="1:10">
      <c r="A27" s="25"/>
      <c r="B27" s="25"/>
      <c r="C27" s="25"/>
      <c r="D27" s="25"/>
      <c r="E27" s="25"/>
      <c r="F27" s="25"/>
      <c r="G27" s="25"/>
      <c r="H27" s="25"/>
      <c r="I27" s="25"/>
      <c r="J27" s="25"/>
    </row>
    <row r="28" spans="1:10">
      <c r="A28" s="25"/>
      <c r="B28" s="25"/>
      <c r="C28" s="25"/>
      <c r="D28" s="25"/>
      <c r="E28" s="25"/>
      <c r="F28" s="25"/>
      <c r="G28" s="25"/>
      <c r="H28" s="25"/>
      <c r="I28" s="25"/>
      <c r="J28" s="25"/>
    </row>
  </sheetData>
  <mergeCells count="4">
    <mergeCell ref="A2:A3"/>
    <mergeCell ref="B2:B3"/>
    <mergeCell ref="C2:I2"/>
    <mergeCell ref="C3:E3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F3230-1E3F-4FB1-955E-98E74891C7D6}">
  <dimension ref="A1:I28"/>
  <sheetViews>
    <sheetView zoomScaleNormal="100" workbookViewId="0">
      <selection activeCell="F33" sqref="F33"/>
    </sheetView>
  </sheetViews>
  <sheetFormatPr defaultRowHeight="12.75"/>
  <cols>
    <col min="1" max="1" width="30" customWidth="1"/>
    <col min="2" max="2" width="11.5703125" customWidth="1"/>
    <col min="3" max="3" width="11.140625" customWidth="1"/>
    <col min="4" max="4" width="12" customWidth="1"/>
    <col min="5" max="5" width="12.140625" customWidth="1"/>
    <col min="6" max="6" width="11.85546875" customWidth="1"/>
    <col min="7" max="7" width="12.5703125" customWidth="1"/>
    <col min="8" max="8" width="11" customWidth="1"/>
  </cols>
  <sheetData>
    <row r="1" spans="1:9" ht="18.75" customHeight="1">
      <c r="A1" s="191" t="s">
        <v>76</v>
      </c>
      <c r="B1" s="191"/>
      <c r="C1" s="191"/>
      <c r="D1" s="191"/>
      <c r="E1" s="52"/>
      <c r="F1" s="52"/>
      <c r="G1" s="78"/>
      <c r="H1" s="78"/>
    </row>
    <row r="2" spans="1:9">
      <c r="A2" s="192" t="s">
        <v>77</v>
      </c>
      <c r="B2" s="194" t="s">
        <v>1</v>
      </c>
      <c r="C2" s="190"/>
      <c r="D2" s="190"/>
      <c r="E2" s="190"/>
      <c r="F2" s="195"/>
      <c r="G2" s="78"/>
      <c r="H2" s="78"/>
    </row>
    <row r="3" spans="1:9">
      <c r="A3" s="193"/>
      <c r="B3" s="47" t="s">
        <v>2</v>
      </c>
      <c r="C3" s="47" t="s">
        <v>3</v>
      </c>
      <c r="D3" s="47" t="s">
        <v>4</v>
      </c>
      <c r="E3" s="47">
        <v>2024</v>
      </c>
      <c r="F3" s="51">
        <v>2025</v>
      </c>
      <c r="G3" s="79">
        <v>2026</v>
      </c>
      <c r="H3" s="56">
        <v>2027</v>
      </c>
    </row>
    <row r="4" spans="1:9">
      <c r="A4" s="48">
        <v>1</v>
      </c>
      <c r="B4" s="47">
        <v>2</v>
      </c>
      <c r="C4" s="47">
        <v>3</v>
      </c>
      <c r="D4" s="47">
        <v>4</v>
      </c>
      <c r="E4" s="47">
        <v>5</v>
      </c>
      <c r="F4" s="51">
        <v>6</v>
      </c>
      <c r="G4" s="79">
        <v>7</v>
      </c>
      <c r="H4" s="79">
        <v>8</v>
      </c>
    </row>
    <row r="5" spans="1:9" ht="15">
      <c r="A5" s="49" t="s">
        <v>78</v>
      </c>
      <c r="B5" s="189"/>
      <c r="C5" s="190"/>
      <c r="D5" s="190"/>
      <c r="E5" s="190"/>
      <c r="F5" s="190"/>
      <c r="G5" s="72"/>
      <c r="H5" s="72"/>
    </row>
    <row r="6" spans="1:9" ht="27" customHeight="1">
      <c r="A6" s="49" t="s">
        <v>79</v>
      </c>
      <c r="B6" s="81"/>
      <c r="C6" s="81"/>
      <c r="D6" s="81"/>
      <c r="E6" s="81"/>
      <c r="F6" s="82"/>
      <c r="G6" s="83"/>
      <c r="H6" s="83"/>
    </row>
    <row r="7" spans="1:9" ht="19.5" customHeight="1">
      <c r="A7" s="87" t="s">
        <v>109</v>
      </c>
      <c r="B7" s="164">
        <f>E7/4</f>
        <v>30</v>
      </c>
      <c r="C7" s="164">
        <f>E7/4</f>
        <v>30</v>
      </c>
      <c r="D7" s="164">
        <f>E7/3</f>
        <v>40</v>
      </c>
      <c r="E7" s="84">
        <v>120</v>
      </c>
      <c r="F7" s="84">
        <v>125</v>
      </c>
      <c r="G7" s="84">
        <v>125</v>
      </c>
      <c r="H7" s="84">
        <v>125</v>
      </c>
    </row>
    <row r="8" spans="1:9" ht="15.75" customHeight="1">
      <c r="A8" s="87" t="s">
        <v>110</v>
      </c>
      <c r="B8" s="164">
        <f t="shared" ref="B8:B14" si="0">E8/4</f>
        <v>45</v>
      </c>
      <c r="C8" s="164">
        <f t="shared" ref="C8:C14" si="1">E8/4</f>
        <v>45</v>
      </c>
      <c r="D8" s="164">
        <f t="shared" ref="D8:D14" si="2">E8/3</f>
        <v>60</v>
      </c>
      <c r="E8" s="84">
        <v>180</v>
      </c>
      <c r="F8" s="84">
        <v>175</v>
      </c>
      <c r="G8" s="84">
        <v>175</v>
      </c>
      <c r="H8" s="84">
        <v>175</v>
      </c>
    </row>
    <row r="9" spans="1:9" ht="14.25" customHeight="1">
      <c r="A9" s="87" t="s">
        <v>111</v>
      </c>
      <c r="B9" s="164">
        <f t="shared" si="0"/>
        <v>50</v>
      </c>
      <c r="C9" s="164">
        <f t="shared" si="1"/>
        <v>50</v>
      </c>
      <c r="D9" s="164">
        <f t="shared" si="2"/>
        <v>66.666666666666671</v>
      </c>
      <c r="E9" s="84">
        <v>200</v>
      </c>
      <c r="F9" s="84">
        <v>200</v>
      </c>
      <c r="G9" s="84">
        <v>200</v>
      </c>
      <c r="H9" s="84">
        <v>200</v>
      </c>
    </row>
    <row r="10" spans="1:9" ht="18" customHeight="1">
      <c r="A10" s="87" t="s">
        <v>112</v>
      </c>
      <c r="B10" s="164">
        <f t="shared" si="0"/>
        <v>25</v>
      </c>
      <c r="C10" s="164">
        <f t="shared" si="1"/>
        <v>25</v>
      </c>
      <c r="D10" s="164">
        <f t="shared" si="2"/>
        <v>33.333333333333336</v>
      </c>
      <c r="E10" s="84">
        <v>100</v>
      </c>
      <c r="F10" s="84">
        <v>100</v>
      </c>
      <c r="G10" s="84">
        <v>100</v>
      </c>
      <c r="H10" s="84">
        <v>100</v>
      </c>
    </row>
    <row r="11" spans="1:9" ht="14.25" customHeight="1">
      <c r="A11" s="87" t="s">
        <v>113</v>
      </c>
      <c r="B11" s="164">
        <f t="shared" si="0"/>
        <v>37.5</v>
      </c>
      <c r="C11" s="164">
        <f t="shared" si="1"/>
        <v>37.5</v>
      </c>
      <c r="D11" s="164">
        <f t="shared" si="2"/>
        <v>50</v>
      </c>
      <c r="E11" s="84">
        <v>150</v>
      </c>
      <c r="F11" s="84">
        <v>150</v>
      </c>
      <c r="G11" s="84">
        <v>150</v>
      </c>
      <c r="H11" s="84">
        <v>150</v>
      </c>
    </row>
    <row r="12" spans="1:9" ht="14.25" customHeight="1">
      <c r="A12" s="87" t="s">
        <v>114</v>
      </c>
      <c r="B12" s="164">
        <f t="shared" si="0"/>
        <v>27.5</v>
      </c>
      <c r="C12" s="164">
        <f t="shared" si="1"/>
        <v>27.5</v>
      </c>
      <c r="D12" s="164">
        <f t="shared" si="2"/>
        <v>36.666666666666664</v>
      </c>
      <c r="E12" s="84">
        <v>110</v>
      </c>
      <c r="F12" s="84">
        <v>110</v>
      </c>
      <c r="G12" s="84">
        <v>110</v>
      </c>
      <c r="H12" s="84">
        <v>110</v>
      </c>
    </row>
    <row r="13" spans="1:9" ht="14.25" customHeight="1">
      <c r="A13" s="87" t="s">
        <v>115</v>
      </c>
      <c r="B13" s="164">
        <f t="shared" si="0"/>
        <v>50</v>
      </c>
      <c r="C13" s="164">
        <f t="shared" si="1"/>
        <v>50</v>
      </c>
      <c r="D13" s="164">
        <f t="shared" si="2"/>
        <v>66.666666666666671</v>
      </c>
      <c r="E13" s="84">
        <v>200</v>
      </c>
      <c r="F13" s="84">
        <v>200</v>
      </c>
      <c r="G13" s="84">
        <v>200</v>
      </c>
      <c r="H13" s="84">
        <v>200</v>
      </c>
    </row>
    <row r="14" spans="1:9" ht="14.25" customHeight="1">
      <c r="A14" s="87" t="s">
        <v>116</v>
      </c>
      <c r="B14" s="164">
        <f t="shared" si="0"/>
        <v>18.75</v>
      </c>
      <c r="C14" s="164">
        <f t="shared" si="1"/>
        <v>18.75</v>
      </c>
      <c r="D14" s="164">
        <f t="shared" si="2"/>
        <v>25</v>
      </c>
      <c r="E14" s="84">
        <v>75</v>
      </c>
      <c r="F14" s="84">
        <v>75</v>
      </c>
      <c r="G14" s="84">
        <v>75</v>
      </c>
      <c r="H14" s="84">
        <v>75</v>
      </c>
    </row>
    <row r="15" spans="1:9" ht="47.25" customHeight="1">
      <c r="A15" s="49" t="s">
        <v>80</v>
      </c>
      <c r="B15" s="86">
        <v>300</v>
      </c>
      <c r="C15" s="86">
        <v>300</v>
      </c>
      <c r="D15" s="86">
        <v>600</v>
      </c>
      <c r="E15" s="86">
        <v>1560</v>
      </c>
      <c r="F15" s="86">
        <v>2028.0000000000005</v>
      </c>
      <c r="G15" s="86">
        <v>2636.4000000000005</v>
      </c>
      <c r="H15" s="86">
        <v>3427.3200000000006</v>
      </c>
    </row>
    <row r="16" spans="1:9" ht="31.5" customHeight="1">
      <c r="A16" s="68" t="s">
        <v>81</v>
      </c>
      <c r="B16" s="89">
        <f>B17*I16</f>
        <v>6465.7019999999993</v>
      </c>
      <c r="C16" s="89">
        <f>I16*C17</f>
        <v>6465.7019999999993</v>
      </c>
      <c r="D16" s="89">
        <f>I16*D17</f>
        <v>8620.9359999999997</v>
      </c>
      <c r="E16" s="89">
        <f>I16*E17</f>
        <v>27931.832639999997</v>
      </c>
      <c r="F16" s="89">
        <f>I16*F17</f>
        <v>30166.3792512</v>
      </c>
      <c r="G16" s="89">
        <f>I16*G17</f>
        <v>32579.689591296003</v>
      </c>
      <c r="H16" s="89">
        <f>I16*H17</f>
        <v>35186.064758599685</v>
      </c>
      <c r="I16" s="85">
        <v>0.34599999999999997</v>
      </c>
    </row>
    <row r="17" spans="1:9" ht="31.5" customHeight="1">
      <c r="A17" s="90" t="s">
        <v>117</v>
      </c>
      <c r="B17" s="84">
        <f>Зарплаты!D15</f>
        <v>18687</v>
      </c>
      <c r="C17" s="84">
        <f>Зарплаты!G15</f>
        <v>18687</v>
      </c>
      <c r="D17" s="84">
        <f>Зарплаты!J15</f>
        <v>24916</v>
      </c>
      <c r="E17" s="84">
        <f>Зарплаты!M15</f>
        <v>80727.839999999997</v>
      </c>
      <c r="F17" s="84">
        <f>Зарплаты!P15</f>
        <v>87186.067200000005</v>
      </c>
      <c r="G17" s="84">
        <f>Зарплаты!S15</f>
        <v>94160.952576000011</v>
      </c>
      <c r="H17" s="84">
        <f>Зарплаты!V15</f>
        <v>101693.82878208002</v>
      </c>
      <c r="I17" s="80"/>
    </row>
    <row r="18" spans="1:9" ht="21" customHeight="1">
      <c r="A18" s="90"/>
      <c r="B18" s="84"/>
      <c r="C18" s="84"/>
      <c r="D18" s="84"/>
      <c r="E18" s="84"/>
      <c r="F18" s="84"/>
      <c r="G18" s="84"/>
      <c r="H18" s="84"/>
      <c r="I18" s="80"/>
    </row>
    <row r="19" spans="1:9" ht="15">
      <c r="A19" s="90" t="s">
        <v>82</v>
      </c>
      <c r="B19" s="91"/>
      <c r="C19" s="91"/>
      <c r="D19" s="91"/>
      <c r="E19" s="91"/>
      <c r="F19" s="91"/>
      <c r="G19" s="83"/>
      <c r="H19" s="83"/>
    </row>
    <row r="20" spans="1:9" ht="15">
      <c r="A20" s="90" t="s">
        <v>83</v>
      </c>
      <c r="B20" s="91">
        <v>3600</v>
      </c>
      <c r="C20" s="91">
        <v>3600</v>
      </c>
      <c r="D20" s="91">
        <v>4800</v>
      </c>
      <c r="E20" s="91">
        <f>1200*12</f>
        <v>14400</v>
      </c>
      <c r="F20" s="91">
        <f>1200*12</f>
        <v>14400</v>
      </c>
      <c r="G20" s="91">
        <f>1200*12</f>
        <v>14400</v>
      </c>
      <c r="H20" s="91">
        <f t="shared" ref="H20" si="3">1200*12</f>
        <v>14400</v>
      </c>
    </row>
    <row r="21" spans="1:9" ht="25.5" customHeight="1">
      <c r="A21" s="90" t="s">
        <v>84</v>
      </c>
      <c r="B21" s="166">
        <v>306</v>
      </c>
      <c r="C21" s="166">
        <v>31</v>
      </c>
      <c r="D21" s="166">
        <v>157.19999999999999</v>
      </c>
      <c r="E21" s="166">
        <f>Ресурсы!L29</f>
        <v>787.2</v>
      </c>
      <c r="F21" s="166">
        <f>Ресурсы!N29</f>
        <v>857.04000000000019</v>
      </c>
      <c r="G21" s="166">
        <f>Ресурсы!P26</f>
        <v>881.79840000000013</v>
      </c>
      <c r="H21" s="166">
        <f>Ресурсы!R26</f>
        <v>952.34227200000032</v>
      </c>
    </row>
    <row r="22" spans="1:9" ht="15">
      <c r="A22" s="90" t="s">
        <v>85</v>
      </c>
      <c r="B22" s="167">
        <v>60</v>
      </c>
      <c r="C22" s="167">
        <v>60</v>
      </c>
      <c r="D22" s="167">
        <v>80</v>
      </c>
      <c r="E22" s="167">
        <f>12*20</f>
        <v>240</v>
      </c>
      <c r="F22" s="167">
        <f t="shared" ref="F22:H22" si="4">12*20</f>
        <v>240</v>
      </c>
      <c r="G22" s="167">
        <f t="shared" si="4"/>
        <v>240</v>
      </c>
      <c r="H22" s="167">
        <f t="shared" si="4"/>
        <v>240</v>
      </c>
    </row>
    <row r="23" spans="1:9" ht="14.25">
      <c r="A23" s="90" t="s">
        <v>86</v>
      </c>
      <c r="B23" s="168">
        <f>Амортизация!C22</f>
        <v>685</v>
      </c>
      <c r="C23" s="168">
        <f>Амортизация!D22</f>
        <v>1370</v>
      </c>
      <c r="D23" s="168">
        <f>Амортизация!E22</f>
        <v>2740</v>
      </c>
      <c r="E23" s="168">
        <f>Амортизация!F22</f>
        <v>5480</v>
      </c>
      <c r="F23" s="168">
        <f>Амортизация!G22</f>
        <v>8220</v>
      </c>
      <c r="G23" s="168">
        <f>Амортизация!H22</f>
        <v>10960</v>
      </c>
      <c r="H23" s="168">
        <f>Амортизация!I22</f>
        <v>13700</v>
      </c>
    </row>
    <row r="24" spans="1:9" ht="15">
      <c r="A24" s="92"/>
      <c r="B24" s="169"/>
      <c r="C24" s="169"/>
      <c r="D24" s="169"/>
      <c r="E24" s="169"/>
      <c r="F24" s="169"/>
      <c r="G24" s="170"/>
      <c r="H24" s="170"/>
    </row>
    <row r="25" spans="1:9" ht="28.5" customHeight="1">
      <c r="A25" s="87" t="s">
        <v>87</v>
      </c>
      <c r="B25" s="167">
        <f>SUM(B26:B27)</f>
        <v>30387.451999999997</v>
      </c>
      <c r="C25" s="167">
        <f t="shared" ref="C25:G25" si="5">SUM(C26:C27)</f>
        <v>30797.451999999997</v>
      </c>
      <c r="D25" s="167">
        <f t="shared" si="5"/>
        <v>42292.469333333327</v>
      </c>
      <c r="E25" s="167">
        <f t="shared" si="5"/>
        <v>132261.87263999999</v>
      </c>
      <c r="F25" s="167">
        <f t="shared" si="5"/>
        <v>144232.48645120001</v>
      </c>
      <c r="G25" s="167">
        <f t="shared" si="5"/>
        <v>156993.84056729602</v>
      </c>
      <c r="H25" s="167">
        <f>SUM(H26:H27)</f>
        <v>170734.55581267973</v>
      </c>
    </row>
    <row r="26" spans="1:9" ht="30">
      <c r="A26" s="87" t="s">
        <v>88</v>
      </c>
      <c r="B26" s="167">
        <f t="shared" ref="B26:H26" si="6">SUM(B7:B17)</f>
        <v>25736.451999999997</v>
      </c>
      <c r="C26" s="167">
        <f t="shared" si="6"/>
        <v>25736.451999999997</v>
      </c>
      <c r="D26" s="167">
        <f t="shared" si="6"/>
        <v>34515.26933333333</v>
      </c>
      <c r="E26" s="167">
        <f t="shared" si="6"/>
        <v>111354.67263999999</v>
      </c>
      <c r="F26" s="167">
        <f t="shared" si="6"/>
        <v>120515.4464512</v>
      </c>
      <c r="G26" s="167">
        <f t="shared" si="6"/>
        <v>130512.04216729602</v>
      </c>
      <c r="H26" s="167">
        <f t="shared" si="6"/>
        <v>141442.21354067972</v>
      </c>
      <c r="I26" s="71"/>
    </row>
    <row r="27" spans="1:9" ht="30">
      <c r="A27" s="93" t="s">
        <v>89</v>
      </c>
      <c r="B27" s="167">
        <f t="shared" ref="B27:H27" si="7">SUM(B20:B23)</f>
        <v>4651</v>
      </c>
      <c r="C27" s="167">
        <f t="shared" si="7"/>
        <v>5061</v>
      </c>
      <c r="D27" s="167">
        <f t="shared" si="7"/>
        <v>7777.2</v>
      </c>
      <c r="E27" s="167">
        <f t="shared" si="7"/>
        <v>20907.2</v>
      </c>
      <c r="F27" s="167">
        <f t="shared" si="7"/>
        <v>23717.040000000001</v>
      </c>
      <c r="G27" s="167">
        <f t="shared" si="7"/>
        <v>26481.7984</v>
      </c>
      <c r="H27" s="167">
        <f t="shared" si="7"/>
        <v>29292.342272000002</v>
      </c>
      <c r="I27" s="71"/>
    </row>
    <row r="28" spans="1:9">
      <c r="I28" s="88"/>
    </row>
  </sheetData>
  <mergeCells count="4">
    <mergeCell ref="B5:F5"/>
    <mergeCell ref="A1:D1"/>
    <mergeCell ref="A2:A3"/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V25"/>
  <sheetViews>
    <sheetView zoomScale="85" zoomScaleNormal="85" workbookViewId="0">
      <selection activeCell="D9" sqref="D9"/>
    </sheetView>
  </sheetViews>
  <sheetFormatPr defaultColWidth="12.5703125" defaultRowHeight="15.75" customHeight="1"/>
  <cols>
    <col min="1" max="1" width="22.140625" customWidth="1"/>
    <col min="2" max="2" width="8.5703125" customWidth="1"/>
    <col min="3" max="3" width="12.140625" customWidth="1"/>
    <col min="4" max="4" width="10.7109375" customWidth="1"/>
    <col min="5" max="5" width="10.140625" customWidth="1"/>
    <col min="6" max="7" width="10.7109375" customWidth="1"/>
    <col min="8" max="8" width="8.5703125" customWidth="1"/>
    <col min="9" max="9" width="9.42578125" customWidth="1"/>
    <col min="10" max="10" width="10.5703125" customWidth="1"/>
    <col min="11" max="11" width="9.42578125" customWidth="1"/>
    <col min="12" max="12" width="9.140625" customWidth="1"/>
    <col min="13" max="13" width="10.28515625" customWidth="1"/>
    <col min="14" max="14" width="8.7109375" customWidth="1"/>
    <col min="15" max="15" width="10" customWidth="1"/>
    <col min="16" max="16" width="9.7109375" customWidth="1"/>
    <col min="17" max="17" width="8.140625" customWidth="1"/>
    <col min="18" max="18" width="8.42578125" customWidth="1"/>
    <col min="19" max="19" width="9.85546875" customWidth="1"/>
    <col min="20" max="20" width="9.42578125" customWidth="1"/>
    <col min="21" max="21" width="8.5703125" customWidth="1"/>
    <col min="22" max="22" width="9.5703125" customWidth="1"/>
  </cols>
  <sheetData>
    <row r="1" spans="1:22" ht="15.75" customHeight="1">
      <c r="A1" s="206" t="s">
        <v>63</v>
      </c>
      <c r="B1" s="207"/>
      <c r="C1" s="207"/>
      <c r="D1" s="207"/>
      <c r="E1" s="207"/>
    </row>
    <row r="3" spans="1:22" ht="15.75" customHeight="1">
      <c r="A3" s="208" t="s">
        <v>64</v>
      </c>
      <c r="B3" s="214" t="s">
        <v>1</v>
      </c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</row>
    <row r="4" spans="1:22" ht="15.75" customHeight="1">
      <c r="A4" s="209"/>
      <c r="B4" s="203">
        <v>2023</v>
      </c>
      <c r="C4" s="204"/>
      <c r="D4" s="204"/>
      <c r="E4" s="204"/>
      <c r="F4" s="204"/>
      <c r="G4" s="204"/>
      <c r="H4" s="204"/>
      <c r="I4" s="204"/>
      <c r="J4" s="205"/>
      <c r="K4" s="215">
        <v>2024</v>
      </c>
      <c r="L4" s="216"/>
      <c r="M4" s="217"/>
      <c r="N4" s="215">
        <v>2025</v>
      </c>
      <c r="O4" s="216"/>
      <c r="P4" s="217"/>
      <c r="Q4" s="211">
        <v>2026</v>
      </c>
      <c r="R4" s="212"/>
      <c r="S4" s="213"/>
      <c r="T4" s="211">
        <v>2027</v>
      </c>
      <c r="U4" s="212"/>
      <c r="V4" s="213"/>
    </row>
    <row r="5" spans="1:22" ht="15.75" customHeight="1">
      <c r="A5" s="209"/>
      <c r="B5" s="196" t="s">
        <v>42</v>
      </c>
      <c r="C5" s="197"/>
      <c r="D5" s="198"/>
      <c r="E5" s="196" t="s">
        <v>43</v>
      </c>
      <c r="F5" s="197"/>
      <c r="G5" s="199"/>
      <c r="H5" s="200" t="s">
        <v>44</v>
      </c>
      <c r="I5" s="201"/>
      <c r="J5" s="202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22" ht="23.25" customHeight="1">
      <c r="A6" s="210"/>
      <c r="B6" s="36" t="s">
        <v>65</v>
      </c>
      <c r="C6" s="36" t="s">
        <v>66</v>
      </c>
      <c r="D6" s="36" t="s">
        <v>67</v>
      </c>
      <c r="E6" s="36" t="s">
        <v>65</v>
      </c>
      <c r="F6" s="36" t="s">
        <v>66</v>
      </c>
      <c r="G6" s="37" t="s">
        <v>67</v>
      </c>
      <c r="H6" s="36" t="s">
        <v>65</v>
      </c>
      <c r="I6" s="36" t="s">
        <v>66</v>
      </c>
      <c r="J6" s="37" t="s">
        <v>67</v>
      </c>
      <c r="K6" s="36" t="s">
        <v>65</v>
      </c>
      <c r="L6" s="36" t="s">
        <v>66</v>
      </c>
      <c r="M6" s="37" t="s">
        <v>67</v>
      </c>
      <c r="N6" s="36" t="s">
        <v>65</v>
      </c>
      <c r="O6" s="37" t="s">
        <v>66</v>
      </c>
      <c r="P6" s="40" t="s">
        <v>67</v>
      </c>
      <c r="Q6" s="36" t="s">
        <v>65</v>
      </c>
      <c r="R6" s="36" t="s">
        <v>66</v>
      </c>
      <c r="S6" s="37" t="s">
        <v>67</v>
      </c>
      <c r="T6" s="36" t="s">
        <v>65</v>
      </c>
      <c r="U6" s="37" t="s">
        <v>66</v>
      </c>
      <c r="V6" s="40" t="s">
        <v>67</v>
      </c>
    </row>
    <row r="7" spans="1:22" ht="15.75" customHeight="1">
      <c r="A7" s="45" t="s">
        <v>68</v>
      </c>
      <c r="B7" s="35"/>
      <c r="C7" s="35"/>
      <c r="D7" s="35"/>
      <c r="E7" s="35"/>
      <c r="F7" s="35"/>
      <c r="G7" s="35"/>
      <c r="H7" s="41"/>
      <c r="I7" s="38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</row>
    <row r="8" spans="1:22" ht="15.75" customHeight="1">
      <c r="A8" s="43" t="s">
        <v>71</v>
      </c>
      <c r="B8" s="31">
        <v>1</v>
      </c>
      <c r="C8" s="31">
        <v>600</v>
      </c>
      <c r="D8" s="31">
        <f>C8*B8*3</f>
        <v>1800</v>
      </c>
      <c r="E8" s="31">
        <v>1</v>
      </c>
      <c r="F8" s="31">
        <v>600</v>
      </c>
      <c r="G8" s="31">
        <f>F8*E8*3</f>
        <v>1800</v>
      </c>
      <c r="H8" s="31">
        <v>1</v>
      </c>
      <c r="I8" s="31">
        <v>600</v>
      </c>
      <c r="J8" s="39">
        <f>I8*H8*4</f>
        <v>2400</v>
      </c>
      <c r="K8" s="31">
        <v>1</v>
      </c>
      <c r="L8" s="31">
        <v>600</v>
      </c>
      <c r="M8" s="39">
        <f>L8*K8*1.08*12</f>
        <v>7776</v>
      </c>
      <c r="N8" s="31">
        <v>1</v>
      </c>
      <c r="O8" s="31">
        <v>600</v>
      </c>
      <c r="P8" s="39">
        <f>M8*1.08</f>
        <v>8398.08</v>
      </c>
      <c r="Q8" s="31">
        <v>1</v>
      </c>
      <c r="R8" s="31">
        <v>600</v>
      </c>
      <c r="S8" s="39">
        <f>P8*1.08</f>
        <v>9069.9264000000003</v>
      </c>
      <c r="T8" s="31">
        <v>1</v>
      </c>
      <c r="U8" s="31">
        <v>600</v>
      </c>
      <c r="V8" s="39">
        <f>S8*1.08</f>
        <v>9795.520512000001</v>
      </c>
    </row>
    <row r="9" spans="1:22" ht="15.75" customHeight="1">
      <c r="A9" s="43" t="s">
        <v>72</v>
      </c>
      <c r="B9" s="31">
        <v>3</v>
      </c>
      <c r="C9" s="46">
        <f>357</f>
        <v>357</v>
      </c>
      <c r="D9" s="31">
        <f>C9*B9*3</f>
        <v>3213</v>
      </c>
      <c r="E9" s="31">
        <v>3</v>
      </c>
      <c r="F9" s="46">
        <f>357</f>
        <v>357</v>
      </c>
      <c r="G9" s="31">
        <f>F9*E9*3</f>
        <v>3213</v>
      </c>
      <c r="H9" s="31">
        <v>3</v>
      </c>
      <c r="I9" s="46">
        <f>357</f>
        <v>357</v>
      </c>
      <c r="J9" s="39">
        <f t="shared" ref="J9:J14" si="0">I9*H9*4</f>
        <v>4284</v>
      </c>
      <c r="K9" s="31">
        <v>3</v>
      </c>
      <c r="L9" s="46">
        <f>357</f>
        <v>357</v>
      </c>
      <c r="M9" s="39">
        <f t="shared" ref="M9:M14" si="1">L9*K9*1.08*12</f>
        <v>13880.16</v>
      </c>
      <c r="N9" s="31">
        <v>3</v>
      </c>
      <c r="O9" s="46">
        <f>357</f>
        <v>357</v>
      </c>
      <c r="P9" s="39">
        <f t="shared" ref="P9:P15" si="2">M9*1.08</f>
        <v>14990.572800000002</v>
      </c>
      <c r="Q9" s="31">
        <v>3</v>
      </c>
      <c r="R9" s="46">
        <f>357</f>
        <v>357</v>
      </c>
      <c r="S9" s="39">
        <f t="shared" ref="S9:S15" si="3">P9*1.08</f>
        <v>16189.818624000003</v>
      </c>
      <c r="T9" s="31">
        <v>3</v>
      </c>
      <c r="U9" s="46">
        <f>357</f>
        <v>357</v>
      </c>
      <c r="V9" s="39">
        <f t="shared" ref="V9:V15" si="4">S9*1.08</f>
        <v>17485.004113920004</v>
      </c>
    </row>
    <row r="10" spans="1:22" ht="15.75" customHeight="1">
      <c r="A10" s="43" t="s">
        <v>73</v>
      </c>
      <c r="B10" s="31">
        <v>1</v>
      </c>
      <c r="C10" s="31">
        <f>358</f>
        <v>358</v>
      </c>
      <c r="D10" s="31">
        <f>C10*B10*3</f>
        <v>1074</v>
      </c>
      <c r="E10" s="31">
        <v>1</v>
      </c>
      <c r="F10" s="31">
        <f>358</f>
        <v>358</v>
      </c>
      <c r="G10" s="31">
        <f>F10*E10*3</f>
        <v>1074</v>
      </c>
      <c r="H10" s="31">
        <v>1</v>
      </c>
      <c r="I10" s="31">
        <f>358</f>
        <v>358</v>
      </c>
      <c r="J10" s="39">
        <f t="shared" si="0"/>
        <v>1432</v>
      </c>
      <c r="K10" s="31">
        <v>1</v>
      </c>
      <c r="L10" s="31">
        <f>358</f>
        <v>358</v>
      </c>
      <c r="M10" s="39">
        <f t="shared" si="1"/>
        <v>4639.68</v>
      </c>
      <c r="N10" s="31">
        <v>1</v>
      </c>
      <c r="O10" s="31">
        <f>358</f>
        <v>358</v>
      </c>
      <c r="P10" s="39">
        <f t="shared" si="2"/>
        <v>5010.8544000000011</v>
      </c>
      <c r="Q10" s="31">
        <v>1</v>
      </c>
      <c r="R10" s="31">
        <f>358</f>
        <v>358</v>
      </c>
      <c r="S10" s="39">
        <f t="shared" si="3"/>
        <v>5411.7227520000015</v>
      </c>
      <c r="T10" s="31">
        <v>1</v>
      </c>
      <c r="U10" s="31">
        <f>358</f>
        <v>358</v>
      </c>
      <c r="V10" s="39">
        <f t="shared" si="4"/>
        <v>5844.6605721600017</v>
      </c>
    </row>
    <row r="11" spans="1:22" ht="15.75" customHeight="1">
      <c r="A11" s="43" t="s">
        <v>74</v>
      </c>
      <c r="B11" s="31">
        <v>1</v>
      </c>
      <c r="C11" s="31">
        <v>700</v>
      </c>
      <c r="D11" s="31">
        <f>C11*B11*3</f>
        <v>2100</v>
      </c>
      <c r="E11" s="31">
        <v>1</v>
      </c>
      <c r="F11" s="31">
        <v>700</v>
      </c>
      <c r="G11" s="31">
        <f>F11*E11*3</f>
        <v>2100</v>
      </c>
      <c r="H11" s="31">
        <v>1</v>
      </c>
      <c r="I11" s="31">
        <v>700</v>
      </c>
      <c r="J11" s="39">
        <f t="shared" si="0"/>
        <v>2800</v>
      </c>
      <c r="K11" s="31">
        <v>1</v>
      </c>
      <c r="L11" s="31">
        <v>700</v>
      </c>
      <c r="M11" s="39">
        <f t="shared" si="1"/>
        <v>9072</v>
      </c>
      <c r="N11" s="31">
        <v>1</v>
      </c>
      <c r="O11" s="31">
        <v>700</v>
      </c>
      <c r="P11" s="39">
        <f t="shared" si="2"/>
        <v>9797.76</v>
      </c>
      <c r="Q11" s="31">
        <v>1</v>
      </c>
      <c r="R11" s="31">
        <v>700</v>
      </c>
      <c r="S11" s="39">
        <f t="shared" si="3"/>
        <v>10581.580800000002</v>
      </c>
      <c r="T11" s="31">
        <v>1</v>
      </c>
      <c r="U11" s="31">
        <v>700</v>
      </c>
      <c r="V11" s="39">
        <f t="shared" si="4"/>
        <v>11428.107264000002</v>
      </c>
    </row>
    <row r="12" spans="1:22" ht="15.75" customHeight="1">
      <c r="A12" s="44" t="s">
        <v>69</v>
      </c>
      <c r="B12" s="29"/>
      <c r="C12" s="29"/>
      <c r="D12" s="31">
        <f t="shared" ref="D12" si="5">C12*B12</f>
        <v>0</v>
      </c>
      <c r="E12" s="29"/>
      <c r="F12" s="29"/>
      <c r="G12" s="31">
        <f t="shared" ref="G12" si="6">F12*E12</f>
        <v>0</v>
      </c>
      <c r="H12" s="29"/>
      <c r="I12" s="29"/>
      <c r="J12" s="39">
        <f t="shared" si="0"/>
        <v>0</v>
      </c>
      <c r="K12" s="29"/>
      <c r="L12" s="29"/>
      <c r="M12" s="39">
        <f t="shared" si="1"/>
        <v>0</v>
      </c>
      <c r="N12" s="29"/>
      <c r="O12" s="29"/>
      <c r="P12" s="39">
        <f t="shared" si="2"/>
        <v>0</v>
      </c>
      <c r="Q12" s="29"/>
      <c r="R12" s="29"/>
      <c r="S12" s="39">
        <f t="shared" si="3"/>
        <v>0</v>
      </c>
      <c r="T12" s="29"/>
      <c r="U12" s="29"/>
      <c r="V12" s="39">
        <f t="shared" si="4"/>
        <v>0</v>
      </c>
    </row>
    <row r="13" spans="1:22" ht="15.75" customHeight="1">
      <c r="A13" s="43" t="s">
        <v>70</v>
      </c>
      <c r="B13" s="31">
        <v>1</v>
      </c>
      <c r="C13" s="31">
        <f>2000</f>
        <v>2000</v>
      </c>
      <c r="D13" s="31">
        <f>C13*B13*3</f>
        <v>6000</v>
      </c>
      <c r="E13" s="31">
        <v>1</v>
      </c>
      <c r="F13" s="31">
        <f>2000</f>
        <v>2000</v>
      </c>
      <c r="G13" s="31">
        <f>F13*E13*3</f>
        <v>6000</v>
      </c>
      <c r="H13" s="31">
        <v>1</v>
      </c>
      <c r="I13" s="31">
        <f>2000</f>
        <v>2000</v>
      </c>
      <c r="J13" s="39">
        <f t="shared" si="0"/>
        <v>8000</v>
      </c>
      <c r="K13" s="31">
        <v>1</v>
      </c>
      <c r="L13" s="31">
        <f>2000</f>
        <v>2000</v>
      </c>
      <c r="M13" s="39">
        <f t="shared" si="1"/>
        <v>25920</v>
      </c>
      <c r="N13" s="31">
        <v>1</v>
      </c>
      <c r="O13" s="31">
        <f>2000</f>
        <v>2000</v>
      </c>
      <c r="P13" s="39">
        <f t="shared" si="2"/>
        <v>27993.600000000002</v>
      </c>
      <c r="Q13" s="31">
        <v>1</v>
      </c>
      <c r="R13" s="31">
        <f>2000</f>
        <v>2000</v>
      </c>
      <c r="S13" s="39">
        <f t="shared" si="3"/>
        <v>30233.088000000003</v>
      </c>
      <c r="T13" s="31">
        <v>1</v>
      </c>
      <c r="U13" s="31">
        <f>2000</f>
        <v>2000</v>
      </c>
      <c r="V13" s="39">
        <f t="shared" si="4"/>
        <v>32651.735040000007</v>
      </c>
    </row>
    <row r="14" spans="1:22" ht="15.75" customHeight="1">
      <c r="A14" s="43" t="s">
        <v>75</v>
      </c>
      <c r="B14" s="31">
        <v>1</v>
      </c>
      <c r="C14" s="31">
        <f>1500</f>
        <v>1500</v>
      </c>
      <c r="D14" s="31">
        <f>C14*B14*3</f>
        <v>4500</v>
      </c>
      <c r="E14" s="31">
        <v>1</v>
      </c>
      <c r="F14" s="31">
        <f>1500</f>
        <v>1500</v>
      </c>
      <c r="G14" s="31">
        <f>F14*E14*3</f>
        <v>4500</v>
      </c>
      <c r="H14" s="31">
        <v>1</v>
      </c>
      <c r="I14" s="31">
        <f>1500</f>
        <v>1500</v>
      </c>
      <c r="J14" s="39">
        <f t="shared" si="0"/>
        <v>6000</v>
      </c>
      <c r="K14" s="31">
        <v>1</v>
      </c>
      <c r="L14" s="31">
        <f>1500</f>
        <v>1500</v>
      </c>
      <c r="M14" s="39">
        <f t="shared" si="1"/>
        <v>19440</v>
      </c>
      <c r="N14" s="31">
        <v>1</v>
      </c>
      <c r="O14" s="31">
        <f>1500</f>
        <v>1500</v>
      </c>
      <c r="P14" s="39">
        <f t="shared" si="2"/>
        <v>20995.200000000001</v>
      </c>
      <c r="Q14" s="31">
        <v>1</v>
      </c>
      <c r="R14" s="31">
        <f>1500</f>
        <v>1500</v>
      </c>
      <c r="S14" s="39">
        <f t="shared" si="3"/>
        <v>22674.816000000003</v>
      </c>
      <c r="T14" s="31">
        <v>1</v>
      </c>
      <c r="U14" s="31">
        <f>1500</f>
        <v>1500</v>
      </c>
      <c r="V14" s="39">
        <f t="shared" si="4"/>
        <v>24488.801280000003</v>
      </c>
    </row>
    <row r="15" spans="1:22" ht="15.75" customHeight="1">
      <c r="A15" s="43" t="s">
        <v>23</v>
      </c>
      <c r="B15" s="31"/>
      <c r="C15" s="31"/>
      <c r="D15" s="76">
        <f>SUM(D8:D14)</f>
        <v>18687</v>
      </c>
      <c r="E15" s="31"/>
      <c r="F15" s="31"/>
      <c r="G15" s="76">
        <f>SUM(G8:G14)</f>
        <v>18687</v>
      </c>
      <c r="H15" s="42"/>
      <c r="I15" s="38"/>
      <c r="J15" s="77">
        <f>SUM(J8:J14)</f>
        <v>24916</v>
      </c>
      <c r="K15" s="39"/>
      <c r="L15" s="39"/>
      <c r="M15" s="77">
        <f>SUM(M8:M14)</f>
        <v>80727.839999999997</v>
      </c>
      <c r="N15" s="39"/>
      <c r="O15" s="39"/>
      <c r="P15" s="77">
        <f t="shared" si="2"/>
        <v>87186.067200000005</v>
      </c>
      <c r="Q15" s="39"/>
      <c r="R15" s="39"/>
      <c r="S15" s="77">
        <f t="shared" si="3"/>
        <v>94160.952576000011</v>
      </c>
      <c r="T15" s="39"/>
      <c r="U15" s="39"/>
      <c r="V15" s="77">
        <f t="shared" si="4"/>
        <v>101693.82878208002</v>
      </c>
    </row>
    <row r="16" spans="1:22" ht="15.75" customHeight="1">
      <c r="A16" s="25"/>
    </row>
    <row r="17" spans="1:10" ht="15.75" customHeight="1">
      <c r="A17" s="25"/>
    </row>
    <row r="18" spans="1:10" ht="15.75" customHeight="1">
      <c r="A18" s="25"/>
      <c r="H18" s="75" t="s">
        <v>108</v>
      </c>
    </row>
    <row r="19" spans="1:10" ht="15.75" customHeight="1">
      <c r="A19" s="25"/>
    </row>
    <row r="20" spans="1:10" ht="15.75" customHeight="1">
      <c r="A20" s="25"/>
    </row>
    <row r="21" spans="1:10" ht="15.75" customHeight="1">
      <c r="A21" s="25"/>
    </row>
    <row r="22" spans="1:10" ht="15.75" customHeight="1">
      <c r="A22" s="25"/>
    </row>
    <row r="23" spans="1:10" ht="15.75" customHeight="1">
      <c r="A23" s="25"/>
    </row>
    <row r="24" spans="1:10" ht="15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</row>
    <row r="25" spans="1:10" ht="15.75" customHeight="1">
      <c r="J25" s="25"/>
    </row>
  </sheetData>
  <mergeCells count="11">
    <mergeCell ref="Q4:S4"/>
    <mergeCell ref="T4:V4"/>
    <mergeCell ref="B3:V3"/>
    <mergeCell ref="K4:M4"/>
    <mergeCell ref="N4:P4"/>
    <mergeCell ref="B5:D5"/>
    <mergeCell ref="E5:G5"/>
    <mergeCell ref="H5:J5"/>
    <mergeCell ref="B4:J4"/>
    <mergeCell ref="A1:E1"/>
    <mergeCell ref="A3:A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C3488-4549-4040-8965-DAA4E7D84171}">
  <dimension ref="A1:K7"/>
  <sheetViews>
    <sheetView workbookViewId="0">
      <selection activeCell="H6" sqref="H6"/>
    </sheetView>
  </sheetViews>
  <sheetFormatPr defaultRowHeight="12.75"/>
  <cols>
    <col min="1" max="1" width="22.28515625" customWidth="1"/>
  </cols>
  <sheetData>
    <row r="1" spans="1:11" ht="32.25" customHeight="1">
      <c r="A1" s="191" t="s">
        <v>90</v>
      </c>
      <c r="B1" s="222"/>
      <c r="C1" s="222"/>
      <c r="D1" s="222"/>
      <c r="E1" s="222"/>
      <c r="F1" s="64"/>
      <c r="G1" s="64"/>
      <c r="H1" s="57"/>
    </row>
    <row r="2" spans="1:11" ht="15" customHeight="1">
      <c r="A2" s="218" t="s">
        <v>91</v>
      </c>
      <c r="B2" s="220" t="s">
        <v>92</v>
      </c>
      <c r="C2" s="223" t="s">
        <v>93</v>
      </c>
      <c r="D2" s="224"/>
      <c r="E2" s="224"/>
      <c r="F2" s="224"/>
      <c r="G2" s="224"/>
      <c r="H2" s="224"/>
      <c r="I2" s="225"/>
      <c r="J2" s="63"/>
    </row>
    <row r="3" spans="1:11" ht="25.5">
      <c r="A3" s="219"/>
      <c r="B3" s="221"/>
      <c r="C3" s="47" t="s">
        <v>2</v>
      </c>
      <c r="D3" s="47" t="s">
        <v>3</v>
      </c>
      <c r="E3" s="47" t="s">
        <v>4</v>
      </c>
      <c r="F3" s="47">
        <v>2024</v>
      </c>
      <c r="G3" s="51">
        <v>2025</v>
      </c>
      <c r="H3" s="65">
        <v>2026</v>
      </c>
      <c r="I3" s="66">
        <v>2027</v>
      </c>
      <c r="K3" s="94" t="s">
        <v>118</v>
      </c>
    </row>
    <row r="4" spans="1:11">
      <c r="A4" s="67">
        <v>1</v>
      </c>
      <c r="B4" s="60">
        <v>2</v>
      </c>
      <c r="C4" s="47">
        <v>2</v>
      </c>
      <c r="D4" s="47">
        <v>3</v>
      </c>
      <c r="E4" s="47">
        <v>4</v>
      </c>
      <c r="F4" s="47">
        <v>5</v>
      </c>
      <c r="G4" s="51">
        <v>6</v>
      </c>
      <c r="H4" s="55">
        <v>7</v>
      </c>
      <c r="I4" s="55">
        <v>8</v>
      </c>
    </row>
    <row r="5" spans="1:11" ht="29.25" customHeight="1">
      <c r="A5" s="49" t="s">
        <v>94</v>
      </c>
      <c r="B5" s="58" t="s">
        <v>32</v>
      </c>
      <c r="C5" s="59">
        <v>32</v>
      </c>
      <c r="D5" s="59">
        <v>32</v>
      </c>
      <c r="E5" s="59">
        <v>37</v>
      </c>
      <c r="F5" s="59">
        <f>1.08*E5</f>
        <v>39.96</v>
      </c>
      <c r="G5" s="59">
        <f>1.08*F5</f>
        <v>43.156800000000004</v>
      </c>
      <c r="H5" s="59">
        <f t="shared" ref="H5:I5" si="0">1.08*G5</f>
        <v>46.609344000000007</v>
      </c>
      <c r="I5" s="59">
        <f t="shared" si="0"/>
        <v>50.338091520000013</v>
      </c>
    </row>
    <row r="6" spans="1:11" ht="63" customHeight="1">
      <c r="A6" s="49" t="s">
        <v>95</v>
      </c>
      <c r="B6" s="58" t="s">
        <v>20</v>
      </c>
      <c r="C6" s="59">
        <f>3*600</f>
        <v>1800</v>
      </c>
      <c r="D6" s="59">
        <f>3*750</f>
        <v>2250</v>
      </c>
      <c r="E6" s="59">
        <f>4*1000</f>
        <v>4000</v>
      </c>
      <c r="F6" s="59">
        <f>12*1200</f>
        <v>14400</v>
      </c>
      <c r="G6" s="62">
        <f>12*1400</f>
        <v>16800</v>
      </c>
      <c r="H6" s="61">
        <f>12*1550</f>
        <v>18600</v>
      </c>
      <c r="I6" s="39">
        <f>12*2000</f>
        <v>24000</v>
      </c>
    </row>
    <row r="7" spans="1:11" ht="48.75" customHeight="1">
      <c r="A7" s="49" t="s">
        <v>96</v>
      </c>
      <c r="B7" s="58" t="s">
        <v>32</v>
      </c>
      <c r="C7" s="59">
        <f>C5*C6</f>
        <v>57600</v>
      </c>
      <c r="D7" s="59">
        <f t="shared" ref="D7:H7" si="1">D5*D6</f>
        <v>72000</v>
      </c>
      <c r="E7" s="59">
        <f t="shared" si="1"/>
        <v>148000</v>
      </c>
      <c r="F7" s="59">
        <f t="shared" si="1"/>
        <v>575424</v>
      </c>
      <c r="G7" s="59">
        <f t="shared" si="1"/>
        <v>725034.24000000011</v>
      </c>
      <c r="H7" s="59">
        <f t="shared" si="1"/>
        <v>866933.79840000009</v>
      </c>
      <c r="I7" s="59">
        <f>I5*I6</f>
        <v>1208114.1964800004</v>
      </c>
    </row>
  </sheetData>
  <mergeCells count="4">
    <mergeCell ref="A2:A3"/>
    <mergeCell ref="B2:B3"/>
    <mergeCell ref="A1:E1"/>
    <mergeCell ref="C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EA82D-C1D3-45E1-B5CF-42CB64B65BBA}">
  <dimension ref="A1:J14"/>
  <sheetViews>
    <sheetView workbookViewId="0">
      <selection activeCell="L7" sqref="L7"/>
    </sheetView>
  </sheetViews>
  <sheetFormatPr defaultRowHeight="12.75"/>
  <cols>
    <col min="1" max="1" width="35.42578125" customWidth="1"/>
    <col min="2" max="2" width="11.28515625" customWidth="1"/>
    <col min="3" max="3" width="11.140625" customWidth="1"/>
    <col min="4" max="4" width="12.28515625" customWidth="1"/>
    <col min="5" max="5" width="13.7109375" customWidth="1"/>
    <col min="6" max="6" width="14.5703125" customWidth="1"/>
    <col min="7" max="7" width="12.7109375" customWidth="1"/>
    <col min="8" max="8" width="13.85546875" customWidth="1"/>
  </cols>
  <sheetData>
    <row r="1" spans="1:10" ht="15">
      <c r="A1" s="191" t="s">
        <v>97</v>
      </c>
      <c r="B1" s="191"/>
      <c r="C1" s="191"/>
      <c r="D1" s="191"/>
      <c r="E1" s="52"/>
      <c r="F1" s="52"/>
      <c r="G1" s="70"/>
    </row>
    <row r="2" spans="1:10">
      <c r="A2" s="192" t="s">
        <v>77</v>
      </c>
      <c r="B2" s="226" t="s">
        <v>1</v>
      </c>
      <c r="C2" s="227"/>
      <c r="D2" s="227"/>
      <c r="E2" s="227"/>
      <c r="F2" s="227"/>
      <c r="G2" s="228"/>
    </row>
    <row r="3" spans="1:10">
      <c r="A3" s="193"/>
      <c r="B3" s="47" t="s">
        <v>2</v>
      </c>
      <c r="C3" s="47" t="s">
        <v>3</v>
      </c>
      <c r="D3" s="47" t="s">
        <v>4</v>
      </c>
      <c r="E3" s="47">
        <v>2024</v>
      </c>
      <c r="F3" s="51">
        <v>2025</v>
      </c>
      <c r="G3" s="65">
        <v>2026</v>
      </c>
      <c r="H3" s="56">
        <v>2027</v>
      </c>
    </row>
    <row r="4" spans="1:10">
      <c r="A4" s="48">
        <v>1</v>
      </c>
      <c r="B4" s="47">
        <v>2</v>
      </c>
      <c r="C4" s="47">
        <v>3</v>
      </c>
      <c r="D4" s="47">
        <v>4</v>
      </c>
      <c r="E4" s="47">
        <v>5</v>
      </c>
      <c r="F4" s="47">
        <v>6</v>
      </c>
      <c r="G4" s="51">
        <v>7</v>
      </c>
      <c r="H4" s="39"/>
    </row>
    <row r="5" spans="1:10" ht="30" customHeight="1">
      <c r="A5" s="49" t="s">
        <v>98</v>
      </c>
      <c r="B5" s="165">
        <f>Реализация!C7</f>
        <v>57600</v>
      </c>
      <c r="C5" s="165">
        <f>Реализация!D7</f>
        <v>72000</v>
      </c>
      <c r="D5" s="165">
        <f>Реализация!E7</f>
        <v>148000</v>
      </c>
      <c r="E5" s="165">
        <f>Реализация!F7</f>
        <v>575424</v>
      </c>
      <c r="F5" s="165">
        <f>Реализация!G7</f>
        <v>725034.24000000011</v>
      </c>
      <c r="G5" s="165">
        <f>Реализация!H7</f>
        <v>866933.79840000009</v>
      </c>
      <c r="H5" s="165">
        <f>Реализация!I7</f>
        <v>1208114.1964800004</v>
      </c>
    </row>
    <row r="6" spans="1:10" ht="15">
      <c r="A6" s="49" t="s">
        <v>99</v>
      </c>
      <c r="B6" s="53"/>
      <c r="C6" s="53"/>
      <c r="D6" s="53"/>
      <c r="E6" s="53"/>
      <c r="F6" s="53"/>
      <c r="G6" s="54"/>
      <c r="H6" s="39"/>
    </row>
    <row r="7" spans="1:10" ht="15">
      <c r="A7" s="49" t="s">
        <v>100</v>
      </c>
      <c r="B7" s="59">
        <f>I7*B5</f>
        <v>11520</v>
      </c>
      <c r="C7" s="59">
        <f>I7*C5</f>
        <v>14400</v>
      </c>
      <c r="D7" s="59">
        <f>I7*D5</f>
        <v>29600</v>
      </c>
      <c r="E7" s="59">
        <f>I7*E5</f>
        <v>115084.8</v>
      </c>
      <c r="F7" s="59">
        <f>I7*F5</f>
        <v>145006.84800000003</v>
      </c>
      <c r="G7" s="59">
        <f>I7*G5</f>
        <v>173386.75968000002</v>
      </c>
      <c r="H7" s="149">
        <f>H5*I7</f>
        <v>241622.83929600008</v>
      </c>
      <c r="I7">
        <v>0.2</v>
      </c>
    </row>
    <row r="8" spans="1:10" ht="15">
      <c r="A8" s="49" t="s">
        <v>101</v>
      </c>
      <c r="B8" s="59">
        <f>Издержки!B26</f>
        <v>25736.451999999997</v>
      </c>
      <c r="C8" s="59">
        <f>Издержки!C26</f>
        <v>25736.451999999997</v>
      </c>
      <c r="D8" s="59">
        <f>Издержки!D26</f>
        <v>34515.26933333333</v>
      </c>
      <c r="E8" s="59">
        <f>Издержки!E26</f>
        <v>111354.67263999999</v>
      </c>
      <c r="F8" s="59">
        <f>Издержки!F26</f>
        <v>120515.4464512</v>
      </c>
      <c r="G8" s="59">
        <f>Издержки!G26</f>
        <v>130512.04216729602</v>
      </c>
      <c r="H8" s="59">
        <f>Издержки!H26</f>
        <v>141442.21354067972</v>
      </c>
    </row>
    <row r="9" spans="1:10" ht="31.5" customHeight="1">
      <c r="A9" s="49" t="s">
        <v>102</v>
      </c>
      <c r="B9" s="59">
        <f>B5-B8</f>
        <v>31863.548000000003</v>
      </c>
      <c r="C9" s="59">
        <f t="shared" ref="C9:H9" si="0">C5-C8</f>
        <v>46263.548000000003</v>
      </c>
      <c r="D9" s="59">
        <f t="shared" si="0"/>
        <v>113484.73066666667</v>
      </c>
      <c r="E9" s="59">
        <f t="shared" si="0"/>
        <v>464069.32736</v>
      </c>
      <c r="F9" s="59">
        <f t="shared" si="0"/>
        <v>604518.79354880005</v>
      </c>
      <c r="G9" s="59">
        <f t="shared" si="0"/>
        <v>736421.75623270404</v>
      </c>
      <c r="H9" s="59">
        <f t="shared" si="0"/>
        <v>1066671.9829393206</v>
      </c>
    </row>
    <row r="10" spans="1:10" ht="15">
      <c r="A10" s="68" t="s">
        <v>103</v>
      </c>
      <c r="B10" s="171">
        <f>Издержки!B27</f>
        <v>4651</v>
      </c>
      <c r="C10" s="171">
        <f>Издержки!C27</f>
        <v>5061</v>
      </c>
      <c r="D10" s="171">
        <f>Издержки!D27</f>
        <v>7777.2</v>
      </c>
      <c r="E10" s="171">
        <f>Издержки!E27</f>
        <v>20907.2</v>
      </c>
      <c r="F10" s="171">
        <f>Издержки!F27</f>
        <v>23717.040000000001</v>
      </c>
      <c r="G10" s="171">
        <f>Издержки!G27</f>
        <v>26481.7984</v>
      </c>
      <c r="H10" s="171">
        <f>Издержки!H27</f>
        <v>29292.342272000002</v>
      </c>
    </row>
    <row r="11" spans="1:10" ht="15">
      <c r="A11" s="69" t="s">
        <v>104</v>
      </c>
      <c r="B11" s="172">
        <f>B5-B7-B8-B10</f>
        <v>15692.548000000003</v>
      </c>
      <c r="C11" s="172">
        <f t="shared" ref="C11:H11" si="1">C5-C7-C8-C10</f>
        <v>26802.548000000003</v>
      </c>
      <c r="D11" s="172">
        <f t="shared" si="1"/>
        <v>76107.530666666673</v>
      </c>
      <c r="E11" s="172">
        <f t="shared" si="1"/>
        <v>328077.32736</v>
      </c>
      <c r="F11" s="172">
        <f t="shared" si="1"/>
        <v>435794.90554880013</v>
      </c>
      <c r="G11" s="172">
        <f t="shared" si="1"/>
        <v>536553.19815270405</v>
      </c>
      <c r="H11" s="172">
        <f t="shared" si="1"/>
        <v>795756.8013713205</v>
      </c>
    </row>
    <row r="12" spans="1:10" ht="14.25">
      <c r="A12" s="50" t="s">
        <v>105</v>
      </c>
      <c r="B12" s="173"/>
      <c r="C12" s="173"/>
      <c r="D12" s="173"/>
      <c r="E12" s="173"/>
      <c r="F12" s="173"/>
      <c r="G12" s="174"/>
      <c r="H12" s="175"/>
      <c r="J12">
        <v>1.08</v>
      </c>
    </row>
    <row r="13" spans="1:10" ht="15">
      <c r="A13" s="50" t="s">
        <v>106</v>
      </c>
      <c r="B13" s="59">
        <f>B11*0.18</f>
        <v>2824.6586400000006</v>
      </c>
      <c r="C13" s="59">
        <f t="shared" ref="C13:H13" si="2">C11*0.18</f>
        <v>4824.4586399999998</v>
      </c>
      <c r="D13" s="59">
        <f t="shared" si="2"/>
        <v>13699.355520000001</v>
      </c>
      <c r="E13" s="59">
        <f t="shared" si="2"/>
        <v>59053.918924799997</v>
      </c>
      <c r="F13" s="59">
        <f t="shared" si="2"/>
        <v>78443.082998784026</v>
      </c>
      <c r="G13" s="59">
        <f t="shared" si="2"/>
        <v>96579.57566748673</v>
      </c>
      <c r="H13" s="59">
        <f t="shared" si="2"/>
        <v>143236.22424683769</v>
      </c>
    </row>
    <row r="14" spans="1:10" ht="15">
      <c r="A14" s="50" t="s">
        <v>107</v>
      </c>
      <c r="B14" s="59">
        <f>B11+B13</f>
        <v>18517.206640000004</v>
      </c>
      <c r="C14" s="59">
        <f t="shared" ref="C14:H14" si="3">C11+C13</f>
        <v>31627.006640000003</v>
      </c>
      <c r="D14" s="59">
        <f t="shared" si="3"/>
        <v>89806.88618666667</v>
      </c>
      <c r="E14" s="59">
        <f t="shared" si="3"/>
        <v>387131.2462848</v>
      </c>
      <c r="F14" s="59">
        <f t="shared" si="3"/>
        <v>514237.98854758416</v>
      </c>
      <c r="G14" s="59">
        <f t="shared" si="3"/>
        <v>633132.77382019081</v>
      </c>
      <c r="H14" s="59">
        <f t="shared" si="3"/>
        <v>938993.02561815816</v>
      </c>
    </row>
  </sheetData>
  <mergeCells count="3">
    <mergeCell ref="A2:A3"/>
    <mergeCell ref="B2:G2"/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4E4AF-34E4-4D8C-BFF3-E134ACE3D325}">
  <dimension ref="A1:J8"/>
  <sheetViews>
    <sheetView workbookViewId="0">
      <selection activeCell="G15" sqref="G15"/>
    </sheetView>
  </sheetViews>
  <sheetFormatPr defaultRowHeight="12.75"/>
  <cols>
    <col min="1" max="1" width="35.5703125" customWidth="1"/>
    <col min="8" max="8" width="13.7109375" customWidth="1"/>
  </cols>
  <sheetData>
    <row r="1" spans="1:10" ht="20.25" thickBot="1">
      <c r="A1" s="231" t="s">
        <v>119</v>
      </c>
      <c r="B1" s="231"/>
      <c r="C1" s="231"/>
      <c r="D1" s="231"/>
      <c r="E1" s="231"/>
      <c r="F1" s="231"/>
      <c r="G1" s="231"/>
      <c r="H1" s="231"/>
      <c r="I1" s="231"/>
      <c r="J1" s="231"/>
    </row>
    <row r="2" spans="1:10" ht="15.75" customHeight="1" thickTop="1">
      <c r="A2" s="229" t="s">
        <v>120</v>
      </c>
      <c r="B2" s="232" t="s">
        <v>93</v>
      </c>
      <c r="C2" s="233"/>
      <c r="D2" s="233"/>
      <c r="E2" s="233"/>
      <c r="F2" s="233"/>
      <c r="G2" s="233"/>
      <c r="H2" s="233"/>
    </row>
    <row r="3" spans="1:10" ht="30">
      <c r="A3" s="230"/>
      <c r="B3" s="96" t="s">
        <v>160</v>
      </c>
      <c r="C3" s="97" t="s">
        <v>161</v>
      </c>
      <c r="D3" s="97" t="s">
        <v>162</v>
      </c>
      <c r="E3" s="97">
        <v>2024</v>
      </c>
      <c r="F3" s="97">
        <v>2025</v>
      </c>
      <c r="G3" s="97">
        <v>2026</v>
      </c>
      <c r="H3" s="98">
        <v>2027</v>
      </c>
    </row>
    <row r="4" spans="1:10" ht="15">
      <c r="A4" s="99">
        <v>1</v>
      </c>
      <c r="B4" s="100">
        <v>2</v>
      </c>
      <c r="C4" s="100">
        <v>3</v>
      </c>
      <c r="D4" s="100">
        <v>4</v>
      </c>
      <c r="E4" s="100">
        <v>5</v>
      </c>
      <c r="F4" s="101">
        <v>6</v>
      </c>
      <c r="G4" s="99">
        <v>7</v>
      </c>
      <c r="H4" s="99">
        <v>8</v>
      </c>
    </row>
    <row r="5" spans="1:10" ht="19.5" customHeight="1">
      <c r="A5" s="104" t="s">
        <v>121</v>
      </c>
      <c r="B5" s="105">
        <f>ЧП!B7</f>
        <v>11520</v>
      </c>
      <c r="C5" s="105">
        <f>ЧП!C7</f>
        <v>14400</v>
      </c>
      <c r="D5" s="105">
        <f>ЧП!D7</f>
        <v>29600</v>
      </c>
      <c r="E5" s="105">
        <f>ЧП!E7</f>
        <v>115084.8</v>
      </c>
      <c r="F5" s="105">
        <f>ЧП!F7</f>
        <v>145006.84800000003</v>
      </c>
      <c r="G5" s="105">
        <f>ЧП!G7</f>
        <v>173386.75968000002</v>
      </c>
      <c r="H5" s="105">
        <f>ЧП!H7</f>
        <v>241622.83929600008</v>
      </c>
    </row>
    <row r="6" spans="1:10" ht="23.25" customHeight="1">
      <c r="A6" s="104" t="s">
        <v>122</v>
      </c>
      <c r="B6" s="105">
        <f>ЧП!B13</f>
        <v>2824.6586400000006</v>
      </c>
      <c r="C6" s="105">
        <f>ЧП!C13</f>
        <v>4824.4586399999998</v>
      </c>
      <c r="D6" s="105">
        <f>ЧП!D13</f>
        <v>13699.355520000001</v>
      </c>
      <c r="E6" s="105">
        <f>ЧП!E13</f>
        <v>59053.918924799997</v>
      </c>
      <c r="F6" s="105">
        <f>ЧП!F13</f>
        <v>78443.082998784026</v>
      </c>
      <c r="G6" s="105">
        <f>ЧП!G13</f>
        <v>96579.57566748673</v>
      </c>
      <c r="H6" s="105">
        <f>ЧП!H13</f>
        <v>143236.22424683769</v>
      </c>
    </row>
    <row r="7" spans="1:10" ht="22.5" customHeight="1">
      <c r="A7" s="104" t="s">
        <v>123</v>
      </c>
      <c r="B7" s="106">
        <f>Издержки!B16</f>
        <v>6465.7019999999993</v>
      </c>
      <c r="C7" s="106">
        <f>Издержки!C16</f>
        <v>6465.7019999999993</v>
      </c>
      <c r="D7" s="106">
        <f>Издержки!D16</f>
        <v>8620.9359999999997</v>
      </c>
      <c r="E7" s="106">
        <f>Издержки!E16</f>
        <v>27931.832639999997</v>
      </c>
      <c r="F7" s="106">
        <f>Издержки!F16</f>
        <v>30166.3792512</v>
      </c>
      <c r="G7" s="106">
        <f>Издержки!G16</f>
        <v>32579.689591296003</v>
      </c>
      <c r="H7" s="106">
        <f>Издержки!H16</f>
        <v>35186.064758599685</v>
      </c>
    </row>
    <row r="8" spans="1:10" ht="19.5" customHeight="1">
      <c r="A8" s="104" t="s">
        <v>124</v>
      </c>
      <c r="B8" s="108">
        <f>SUM(B5:B7)</f>
        <v>20810.360639999999</v>
      </c>
      <c r="C8" s="108">
        <f t="shared" ref="C8:G8" si="0">SUM(C5:C7)</f>
        <v>25690.160640000002</v>
      </c>
      <c r="D8" s="108">
        <f t="shared" si="0"/>
        <v>51920.291519999999</v>
      </c>
      <c r="E8" s="108">
        <f t="shared" si="0"/>
        <v>202070.5515648</v>
      </c>
      <c r="F8" s="108">
        <f t="shared" si="0"/>
        <v>253616.31024998406</v>
      </c>
      <c r="G8" s="108">
        <f t="shared" si="0"/>
        <v>302546.02493878279</v>
      </c>
      <c r="H8" s="108">
        <f>SUM(H5:H7)</f>
        <v>420045.12830143742</v>
      </c>
    </row>
  </sheetData>
  <mergeCells count="3">
    <mergeCell ref="A2:A3"/>
    <mergeCell ref="A1:J1"/>
    <mergeCell ref="B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72D6C-369D-4A02-9B13-A1E843DFA81F}">
  <dimension ref="A1:G13"/>
  <sheetViews>
    <sheetView workbookViewId="0">
      <selection activeCell="B13" sqref="B13"/>
    </sheetView>
  </sheetViews>
  <sheetFormatPr defaultRowHeight="12.75"/>
  <cols>
    <col min="1" max="1" width="35.28515625" customWidth="1"/>
    <col min="2" max="2" width="17.85546875" customWidth="1"/>
    <col min="3" max="3" width="12.28515625" customWidth="1"/>
  </cols>
  <sheetData>
    <row r="1" spans="1:7" ht="20.25" customHeight="1">
      <c r="A1" s="235" t="s">
        <v>125</v>
      </c>
      <c r="B1" s="235"/>
      <c r="C1" s="235"/>
      <c r="D1" s="235"/>
      <c r="E1" s="235"/>
      <c r="F1" s="235"/>
      <c r="G1" s="235"/>
    </row>
    <row r="2" spans="1:7">
      <c r="A2" s="234" t="s">
        <v>126</v>
      </c>
      <c r="B2" s="234" t="s">
        <v>160</v>
      </c>
      <c r="C2" s="70"/>
    </row>
    <row r="3" spans="1:7">
      <c r="A3" s="234"/>
      <c r="B3" s="234"/>
      <c r="C3" s="70"/>
    </row>
    <row r="4" spans="1:7" ht="15">
      <c r="A4" s="99">
        <v>1</v>
      </c>
      <c r="B4" s="100">
        <v>2</v>
      </c>
      <c r="C4" s="70"/>
    </row>
    <row r="5" spans="1:7" ht="20.25" customHeight="1">
      <c r="A5" s="95" t="s">
        <v>127</v>
      </c>
      <c r="B5" s="102"/>
      <c r="C5" s="70"/>
    </row>
    <row r="6" spans="1:7" ht="20.25" customHeight="1">
      <c r="A6" s="95" t="s">
        <v>128</v>
      </c>
      <c r="B6" s="102">
        <v>0</v>
      </c>
      <c r="C6" s="70"/>
    </row>
    <row r="7" spans="1:7" ht="32.25" customHeight="1">
      <c r="A7" s="95" t="s">
        <v>129</v>
      </c>
      <c r="B7" s="103">
        <f>Амортизация!C20</f>
        <v>13700</v>
      </c>
      <c r="C7" s="107" t="s">
        <v>130</v>
      </c>
    </row>
    <row r="8" spans="1:7" ht="27.75" customHeight="1">
      <c r="A8" s="95" t="s">
        <v>131</v>
      </c>
      <c r="B8" s="95">
        <v>0</v>
      </c>
      <c r="C8" s="70"/>
    </row>
    <row r="9" spans="1:7" ht="28.5" customHeight="1">
      <c r="A9" s="95" t="s">
        <v>132</v>
      </c>
      <c r="B9" s="95">
        <v>0</v>
      </c>
      <c r="C9" s="70"/>
    </row>
    <row r="10" spans="1:7" ht="31.5" customHeight="1">
      <c r="A10" s="95" t="s">
        <v>133</v>
      </c>
      <c r="B10" s="95">
        <v>0</v>
      </c>
      <c r="C10" s="70"/>
    </row>
    <row r="11" spans="1:7" ht="18" customHeight="1">
      <c r="A11" s="95" t="s">
        <v>134</v>
      </c>
      <c r="B11" s="147">
        <f>B7</f>
        <v>13700</v>
      </c>
      <c r="C11" s="107" t="s">
        <v>135</v>
      </c>
    </row>
    <row r="12" spans="1:7" ht="30.75" customHeight="1">
      <c r="A12" s="95" t="s">
        <v>136</v>
      </c>
      <c r="B12" s="147">
        <f>Потребности!B15</f>
        <v>64280.476773333336</v>
      </c>
      <c r="C12" s="107" t="s">
        <v>137</v>
      </c>
    </row>
    <row r="13" spans="1:7" ht="25.5" customHeight="1">
      <c r="A13" s="95" t="s">
        <v>138</v>
      </c>
      <c r="B13" s="147">
        <f>SUM(B11:B12)</f>
        <v>77980.476773333328</v>
      </c>
      <c r="C13" s="107" t="s">
        <v>139</v>
      </c>
    </row>
  </sheetData>
  <mergeCells count="3">
    <mergeCell ref="A2:A3"/>
    <mergeCell ref="B2:B3"/>
    <mergeCell ref="A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202A6-FDAA-4E30-9E88-13FD6648536C}">
  <dimension ref="A1:X15"/>
  <sheetViews>
    <sheetView workbookViewId="0">
      <selection activeCell="B14" sqref="B14"/>
    </sheetView>
  </sheetViews>
  <sheetFormatPr defaultRowHeight="12.75"/>
  <cols>
    <col min="1" max="1" width="29.140625" customWidth="1"/>
    <col min="2" max="2" width="13" customWidth="1"/>
    <col min="3" max="3" width="11.5703125" bestFit="1" customWidth="1"/>
    <col min="4" max="5" width="11.7109375" bestFit="1" customWidth="1"/>
    <col min="6" max="8" width="12.5703125" bestFit="1" customWidth="1"/>
    <col min="9" max="9" width="13" customWidth="1"/>
  </cols>
  <sheetData>
    <row r="1" spans="1:24" ht="20.25" thickBot="1">
      <c r="A1" s="231" t="s">
        <v>140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80"/>
    </row>
    <row r="2" spans="1:24" ht="15.75" thickTop="1">
      <c r="A2" s="229" t="s">
        <v>120</v>
      </c>
      <c r="B2" s="238" t="s">
        <v>93</v>
      </c>
      <c r="C2" s="239"/>
      <c r="D2" s="239"/>
      <c r="E2" s="239"/>
      <c r="F2" s="239"/>
      <c r="G2" s="239"/>
      <c r="H2" s="240"/>
      <c r="I2" s="80"/>
      <c r="J2" s="80"/>
      <c r="K2" s="80"/>
      <c r="L2" s="80"/>
      <c r="M2" s="80"/>
      <c r="R2" s="80"/>
      <c r="S2" s="80"/>
      <c r="T2" s="80"/>
      <c r="U2" s="80"/>
      <c r="V2" s="80"/>
      <c r="W2" s="80"/>
      <c r="X2" s="80"/>
    </row>
    <row r="3" spans="1:24" ht="30">
      <c r="A3" s="230"/>
      <c r="B3" s="96" t="s">
        <v>160</v>
      </c>
      <c r="C3" s="97" t="s">
        <v>161</v>
      </c>
      <c r="D3" s="97" t="s">
        <v>162</v>
      </c>
      <c r="E3" s="97">
        <v>2024</v>
      </c>
      <c r="F3" s="97">
        <v>2025</v>
      </c>
      <c r="G3" s="97">
        <v>2026</v>
      </c>
      <c r="H3" s="98">
        <v>2027</v>
      </c>
      <c r="I3" s="80"/>
      <c r="J3" s="80"/>
      <c r="K3" s="80"/>
      <c r="L3" s="80"/>
      <c r="M3" s="80"/>
      <c r="R3" s="80"/>
      <c r="S3" s="80"/>
      <c r="T3" s="80"/>
      <c r="U3" s="80"/>
      <c r="V3" s="80"/>
      <c r="W3" s="80"/>
      <c r="X3" s="80"/>
    </row>
    <row r="4" spans="1:24" ht="15">
      <c r="A4" s="99">
        <v>1</v>
      </c>
      <c r="B4" s="148">
        <v>2</v>
      </c>
      <c r="C4" s="148">
        <v>3</v>
      </c>
      <c r="D4" s="148">
        <v>4</v>
      </c>
      <c r="E4" s="148">
        <v>5</v>
      </c>
      <c r="F4" s="101">
        <v>6</v>
      </c>
      <c r="G4" s="99">
        <v>7</v>
      </c>
      <c r="H4" s="99">
        <v>8</v>
      </c>
      <c r="I4" s="80"/>
      <c r="J4" s="80"/>
      <c r="K4" s="80"/>
      <c r="L4" s="80"/>
      <c r="M4" s="80"/>
      <c r="R4" s="80"/>
      <c r="S4" s="80"/>
      <c r="T4" s="80"/>
      <c r="U4" s="80"/>
      <c r="V4" s="80"/>
      <c r="W4" s="80"/>
      <c r="X4" s="80"/>
    </row>
    <row r="5" spans="1:24">
      <c r="A5" s="95" t="s">
        <v>141</v>
      </c>
      <c r="B5" s="149">
        <f>SUM(B6:B7)</f>
        <v>19201</v>
      </c>
      <c r="C5" s="149">
        <f t="shared" ref="C5:H5" si="0">SUM(C6:C7)</f>
        <v>24001</v>
      </c>
      <c r="D5" s="149">
        <f t="shared" si="0"/>
        <v>24667.666666666668</v>
      </c>
      <c r="E5" s="149">
        <f t="shared" si="0"/>
        <v>47953</v>
      </c>
      <c r="F5" s="149">
        <f t="shared" si="0"/>
        <v>60420.520000000011</v>
      </c>
      <c r="G5" s="149">
        <f t="shared" si="0"/>
        <v>72245.483200000002</v>
      </c>
      <c r="H5" s="149">
        <f t="shared" si="0"/>
        <v>100677.18304000005</v>
      </c>
      <c r="I5" s="80"/>
      <c r="J5" s="80"/>
      <c r="K5" s="80"/>
      <c r="L5" s="80"/>
      <c r="M5" s="80"/>
      <c r="R5" s="80"/>
      <c r="S5" s="80"/>
      <c r="T5" s="80"/>
      <c r="U5" s="80"/>
      <c r="V5" s="80"/>
      <c r="W5" s="80"/>
      <c r="X5" s="80"/>
    </row>
    <row r="6" spans="1:24" ht="26.25">
      <c r="A6" s="95" t="s">
        <v>142</v>
      </c>
      <c r="B6" s="102">
        <f>ЧП!B5*30/90</f>
        <v>19200</v>
      </c>
      <c r="C6" s="102">
        <f>ЧП!C5*30/90</f>
        <v>24000</v>
      </c>
      <c r="D6" s="102">
        <f>ЧП!D5*30/180</f>
        <v>24666.666666666668</v>
      </c>
      <c r="E6" s="102">
        <f>ЧП!E5*30/360</f>
        <v>47952</v>
      </c>
      <c r="F6" s="102">
        <f>ЧП!F5*30/360</f>
        <v>60419.520000000011</v>
      </c>
      <c r="G6" s="102">
        <f>ЧП!G5*30/360</f>
        <v>72244.483200000002</v>
      </c>
      <c r="H6" s="102">
        <f>ЧП!H5*30/360</f>
        <v>100676.18304000005</v>
      </c>
      <c r="I6" s="236" t="s">
        <v>143</v>
      </c>
      <c r="J6" s="237"/>
      <c r="K6" s="237"/>
      <c r="L6" s="237"/>
      <c r="M6" s="70"/>
      <c r="R6" s="80"/>
      <c r="S6" s="80"/>
      <c r="T6" s="80"/>
      <c r="U6" s="80"/>
      <c r="V6" s="80"/>
      <c r="W6" s="80"/>
      <c r="X6" s="80"/>
    </row>
    <row r="7" spans="1:24" ht="26.25">
      <c r="A7" s="95" t="s">
        <v>144</v>
      </c>
      <c r="B7" s="103">
        <v>1</v>
      </c>
      <c r="C7" s="103">
        <v>1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236" t="s">
        <v>145</v>
      </c>
      <c r="J7" s="237"/>
      <c r="K7" s="237"/>
      <c r="L7" s="70"/>
      <c r="M7" s="70"/>
      <c r="R7" s="80"/>
      <c r="S7" s="80"/>
      <c r="T7" s="80"/>
      <c r="U7" s="80"/>
      <c r="V7" s="80"/>
      <c r="W7" s="80"/>
      <c r="X7" s="80"/>
    </row>
    <row r="8" spans="1:24" ht="25.5">
      <c r="A8" s="95" t="s">
        <v>146</v>
      </c>
      <c r="B8" s="147">
        <f>B5</f>
        <v>19201</v>
      </c>
      <c r="C8" s="147">
        <f>C5-B5</f>
        <v>4800</v>
      </c>
      <c r="D8" s="147">
        <f>D5-C5</f>
        <v>666.66666666666788</v>
      </c>
      <c r="E8" s="147">
        <f t="shared" ref="E8:H8" si="1">E5-D5</f>
        <v>23285.333333333332</v>
      </c>
      <c r="F8" s="147">
        <f t="shared" si="1"/>
        <v>12467.520000000011</v>
      </c>
      <c r="G8" s="147">
        <f t="shared" si="1"/>
        <v>11824.963199999991</v>
      </c>
      <c r="H8" s="147">
        <f t="shared" si="1"/>
        <v>28431.699840000045</v>
      </c>
      <c r="I8" s="70" t="s">
        <v>147</v>
      </c>
      <c r="J8" s="70"/>
      <c r="K8" s="70"/>
      <c r="L8" s="70"/>
      <c r="M8" s="70"/>
      <c r="R8" s="80"/>
      <c r="S8" s="80"/>
      <c r="T8" s="80"/>
      <c r="U8" s="80"/>
      <c r="V8" s="80"/>
      <c r="W8" s="80"/>
      <c r="X8" s="80"/>
    </row>
    <row r="9" spans="1:24" ht="26.25" customHeight="1">
      <c r="A9" s="95" t="s">
        <v>148</v>
      </c>
      <c r="B9" s="176">
        <f>SUM(B10:B12)</f>
        <v>6677.4767733333338</v>
      </c>
      <c r="C9" s="176">
        <f t="shared" ref="C9:G9" si="2">SUM(C10:C12)</f>
        <v>7490.776773333333</v>
      </c>
      <c r="D9" s="176">
        <f t="shared" si="2"/>
        <v>6466.0798488888886</v>
      </c>
      <c r="E9" s="176">
        <f t="shared" si="2"/>
        <v>11877.849648533334</v>
      </c>
      <c r="F9" s="176">
        <f t="shared" si="2"/>
        <v>14294.682393749335</v>
      </c>
      <c r="G9" s="176">
        <f t="shared" si="2"/>
        <v>16624.040729782617</v>
      </c>
      <c r="H9" s="176">
        <f>SUM(H10:H12)</f>
        <v>21833.706545146561</v>
      </c>
      <c r="I9" s="70"/>
      <c r="J9" s="70"/>
      <c r="K9" s="70"/>
      <c r="L9" s="70"/>
      <c r="M9" s="70"/>
      <c r="R9" s="80"/>
      <c r="S9" s="80"/>
      <c r="T9" s="80"/>
      <c r="U9" s="80"/>
      <c r="V9" s="80"/>
      <c r="W9" s="80"/>
      <c r="X9" s="80"/>
    </row>
    <row r="10" spans="1:24" ht="43.5" customHeight="1">
      <c r="A10" s="95" t="s">
        <v>149</v>
      </c>
      <c r="B10" s="176">
        <f>SUM(Издержки!B7:B14)*30/90</f>
        <v>94.583333333333329</v>
      </c>
      <c r="C10" s="176">
        <f>SUM(Издержки!C7:C14)*30/90</f>
        <v>94.583333333333329</v>
      </c>
      <c r="D10" s="176">
        <f>SUM(Издержки!D7:D14)*30/180</f>
        <v>63.055555555555564</v>
      </c>
      <c r="E10" s="176">
        <f>SUM(Издержки!E7:E14)*30/360</f>
        <v>94.583333333333329</v>
      </c>
      <c r="F10" s="176">
        <f>SUM(Издержки!F7:F14)*30/360</f>
        <v>94.583333333333329</v>
      </c>
      <c r="G10" s="176">
        <f>SUM(Издержки!G7:G14)*30/360</f>
        <v>94.583333333333329</v>
      </c>
      <c r="H10" s="176">
        <f>SUM(Издержки!H7:H14)*30/360</f>
        <v>94.583333333333329</v>
      </c>
      <c r="I10" s="236" t="s">
        <v>150</v>
      </c>
      <c r="J10" s="237"/>
      <c r="K10" s="237"/>
      <c r="L10" s="237"/>
      <c r="M10" s="237"/>
      <c r="R10" s="80"/>
      <c r="S10" s="80"/>
      <c r="T10" s="80"/>
      <c r="U10" s="80"/>
      <c r="V10" s="80"/>
      <c r="W10" s="80"/>
      <c r="X10" s="80"/>
    </row>
    <row r="11" spans="1:24" ht="27.75" customHeight="1">
      <c r="A11" s="95" t="s">
        <v>151</v>
      </c>
      <c r="B11" s="176">
        <f>Издержки!B17*15/90</f>
        <v>3114.5</v>
      </c>
      <c r="C11" s="176">
        <f>Издержки!C17*15/90</f>
        <v>3114.5</v>
      </c>
      <c r="D11" s="176">
        <f>Издержки!D17*15/180</f>
        <v>2076.3333333333335</v>
      </c>
      <c r="E11" s="176">
        <f>Издержки!E17*15/360</f>
        <v>3363.6599999999994</v>
      </c>
      <c r="F11" s="176">
        <f>Издержки!F17*15/360</f>
        <v>3632.7528000000002</v>
      </c>
      <c r="G11" s="176">
        <f>Издержки!G17*15/360</f>
        <v>3923.3730240000004</v>
      </c>
      <c r="H11" s="176">
        <f>Издержки!H17*15/360</f>
        <v>4237.2428659200004</v>
      </c>
      <c r="I11" s="236" t="s">
        <v>152</v>
      </c>
      <c r="J11" s="237"/>
      <c r="K11" s="237"/>
      <c r="L11" s="237"/>
      <c r="M11" s="237"/>
    </row>
    <row r="12" spans="1:24" ht="25.5">
      <c r="A12" s="95" t="s">
        <v>153</v>
      </c>
      <c r="B12" s="176">
        <f>'Обязательные отчисления'!B8*15/90</f>
        <v>3468.3934400000003</v>
      </c>
      <c r="C12" s="176">
        <f>'Обязательные отчисления'!C8*15/90</f>
        <v>4281.69344</v>
      </c>
      <c r="D12" s="176">
        <f>'Обязательные отчисления'!D8*15/180</f>
        <v>4326.6909599999999</v>
      </c>
      <c r="E12" s="176">
        <f>'Обязательные отчисления'!E8*15/360</f>
        <v>8419.6063152000006</v>
      </c>
      <c r="F12" s="176">
        <f>'Обязательные отчисления'!F8*15/360</f>
        <v>10567.346260416001</v>
      </c>
      <c r="G12" s="176">
        <f>'Обязательные отчисления'!G8*15/360</f>
        <v>12606.084372449284</v>
      </c>
      <c r="H12" s="176">
        <f>'Обязательные отчисления'!H8*15/360</f>
        <v>17501.880345893227</v>
      </c>
      <c r="I12" s="236" t="s">
        <v>154</v>
      </c>
      <c r="J12" s="237"/>
      <c r="K12" s="237"/>
      <c r="L12" s="237"/>
      <c r="M12" s="237"/>
    </row>
    <row r="13" spans="1:24" ht="25.5">
      <c r="A13" s="95" t="s">
        <v>155</v>
      </c>
      <c r="B13" s="176">
        <f>B9</f>
        <v>6677.4767733333338</v>
      </c>
      <c r="C13" s="176">
        <f t="shared" ref="C13:H13" si="3">C9</f>
        <v>7490.776773333333</v>
      </c>
      <c r="D13" s="176">
        <f t="shared" si="3"/>
        <v>6466.0798488888886</v>
      </c>
      <c r="E13" s="176">
        <f t="shared" si="3"/>
        <v>11877.849648533334</v>
      </c>
      <c r="F13" s="176">
        <f t="shared" si="3"/>
        <v>14294.682393749335</v>
      </c>
      <c r="G13" s="176">
        <f t="shared" si="3"/>
        <v>16624.040729782617</v>
      </c>
      <c r="H13" s="176">
        <f t="shared" si="3"/>
        <v>21833.706545146561</v>
      </c>
      <c r="I13" s="118" t="s">
        <v>156</v>
      </c>
      <c r="J13" s="70"/>
      <c r="K13" s="70"/>
      <c r="L13" s="70"/>
      <c r="M13" s="70"/>
    </row>
    <row r="14" spans="1:24" ht="25.5">
      <c r="A14" s="95" t="s">
        <v>157</v>
      </c>
      <c r="B14" s="176">
        <f>SUM(B5:B9)</f>
        <v>64280.476773333336</v>
      </c>
      <c r="C14" s="176">
        <f t="shared" ref="C14:H14" si="4">SUM(C5:C9)</f>
        <v>60292.776773333331</v>
      </c>
      <c r="D14" s="176">
        <f t="shared" si="4"/>
        <v>56468.07984888889</v>
      </c>
      <c r="E14" s="176">
        <f t="shared" si="4"/>
        <v>131069.18298186666</v>
      </c>
      <c r="F14" s="176">
        <f t="shared" si="4"/>
        <v>147603.24239374936</v>
      </c>
      <c r="G14" s="176">
        <f t="shared" si="4"/>
        <v>172939.97032978263</v>
      </c>
      <c r="H14" s="176">
        <f t="shared" si="4"/>
        <v>251619.7724651467</v>
      </c>
      <c r="I14" s="146">
        <v>44564</v>
      </c>
      <c r="J14" s="70"/>
      <c r="K14" s="70"/>
      <c r="L14" s="70"/>
      <c r="M14" s="70"/>
    </row>
    <row r="15" spans="1:24" ht="25.5">
      <c r="A15" s="95" t="s">
        <v>158</v>
      </c>
      <c r="B15" s="176">
        <f>B14</f>
        <v>64280.476773333336</v>
      </c>
      <c r="C15" s="176">
        <f t="shared" ref="C15:H15" si="5">C14</f>
        <v>60292.776773333331</v>
      </c>
      <c r="D15" s="176">
        <f t="shared" si="5"/>
        <v>56468.07984888889</v>
      </c>
      <c r="E15" s="176">
        <f t="shared" si="5"/>
        <v>131069.18298186666</v>
      </c>
      <c r="F15" s="176">
        <f t="shared" si="5"/>
        <v>147603.24239374936</v>
      </c>
      <c r="G15" s="176">
        <f t="shared" si="5"/>
        <v>172939.97032978263</v>
      </c>
      <c r="H15" s="176">
        <f t="shared" si="5"/>
        <v>251619.7724651467</v>
      </c>
      <c r="I15" s="118" t="s">
        <v>159</v>
      </c>
      <c r="J15" s="70"/>
      <c r="K15" s="70"/>
      <c r="L15" s="70"/>
      <c r="M15" s="70"/>
    </row>
  </sheetData>
  <mergeCells count="8">
    <mergeCell ref="I11:M11"/>
    <mergeCell ref="I12:M12"/>
    <mergeCell ref="A1:L1"/>
    <mergeCell ref="A2:A3"/>
    <mergeCell ref="B2:H2"/>
    <mergeCell ref="I6:L6"/>
    <mergeCell ref="I7:K7"/>
    <mergeCell ref="I10:M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Ресурсы</vt:lpstr>
      <vt:lpstr>Амортизация</vt:lpstr>
      <vt:lpstr>Издержки</vt:lpstr>
      <vt:lpstr>Зарплаты</vt:lpstr>
      <vt:lpstr>Реализация</vt:lpstr>
      <vt:lpstr>ЧП</vt:lpstr>
      <vt:lpstr>Обязательные отчисления</vt:lpstr>
      <vt:lpstr>Инвестиции</vt:lpstr>
      <vt:lpstr>Потребности</vt:lpstr>
      <vt:lpstr>Кридиты</vt:lpstr>
      <vt:lpstr>Источники</vt:lpstr>
      <vt:lpstr>Дисконт доход</vt:lpstr>
      <vt:lpstr>Эффективность</vt:lpstr>
      <vt:lpstr>Итог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Ilya Yakovchik</cp:lastModifiedBy>
  <dcterms:modified xsi:type="dcterms:W3CDTF">2022-05-02T21:56:05Z</dcterms:modified>
</cp:coreProperties>
</file>