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\Documents\Tax Nuggets Academy\U6_TaxCompliance_TaxPlanning\"/>
    </mc:Choice>
  </mc:AlternateContent>
  <xr:revisionPtr revIDLastSave="0" documentId="13_ncr:1_{F3D0BA00-4735-42B3-BCDD-47BE68D57BDE}" xr6:coauthVersionLast="47" xr6:coauthVersionMax="47" xr10:uidLastSave="{00000000-0000-0000-0000-000000000000}"/>
  <bookViews>
    <workbookView xWindow="-120" yWindow="-120" windowWidth="19440" windowHeight="15000" xr2:uid="{CEB78889-FE8C-4952-8961-FF2582178800}"/>
  </bookViews>
  <sheets>
    <sheet name="2022 Group Tax 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M36" i="1"/>
  <c r="N36" i="1"/>
  <c r="L37" i="1"/>
  <c r="M37" i="1"/>
  <c r="N37" i="1"/>
  <c r="K37" i="1"/>
  <c r="J37" i="1"/>
  <c r="J36" i="1"/>
  <c r="K36" i="1"/>
  <c r="L119" i="1" l="1" a="1"/>
  <c r="L119" i="1" s="1"/>
  <c r="C96" i="1"/>
  <c r="C95" i="1"/>
  <c r="I95" i="1" l="1"/>
  <c r="K31" i="1"/>
  <c r="K34" i="1" s="1"/>
  <c r="N28" i="1"/>
  <c r="M28" i="1"/>
  <c r="M24" i="1"/>
  <c r="M26" i="1"/>
  <c r="L28" i="1"/>
  <c r="N29" i="1"/>
  <c r="L29" i="1"/>
  <c r="L120" i="1"/>
  <c r="G120" i="1"/>
  <c r="G119" i="1"/>
  <c r="L31" i="1"/>
  <c r="J13" i="1"/>
  <c r="N10" i="1"/>
  <c r="M10" i="1"/>
  <c r="L122" i="1" l="1"/>
  <c r="H118" i="1" l="1"/>
  <c r="I119" i="1"/>
  <c r="J119" i="1"/>
  <c r="I60" i="1"/>
  <c r="J30" i="1" l="1"/>
  <c r="N122" i="1"/>
  <c r="M122" i="1"/>
  <c r="K121" i="1"/>
  <c r="K120" i="1"/>
  <c r="M119" i="1"/>
  <c r="J122" i="1"/>
  <c r="K119" i="1"/>
  <c r="G103" i="1" s="1"/>
  <c r="K13" i="1" s="1"/>
  <c r="K118" i="1"/>
  <c r="H122" i="1"/>
  <c r="N78" i="1"/>
  <c r="N63" i="1"/>
  <c r="N24" i="1"/>
  <c r="N16" i="1"/>
  <c r="N26" i="1" s="1"/>
  <c r="M78" i="1"/>
  <c r="L78" i="1"/>
  <c r="M63" i="1"/>
  <c r="L63" i="1"/>
  <c r="L24" i="1"/>
  <c r="M16" i="1"/>
  <c r="K12" i="1"/>
  <c r="J63" i="1"/>
  <c r="K63" i="1"/>
  <c r="J19" i="1"/>
  <c r="J24" i="1" s="1"/>
  <c r="K11" i="1"/>
  <c r="J11" i="1"/>
  <c r="I16" i="1"/>
  <c r="H16" i="1"/>
  <c r="G16" i="1"/>
  <c r="K24" i="1"/>
  <c r="I24" i="1"/>
  <c r="H24" i="1"/>
  <c r="G24" i="1"/>
  <c r="M29" i="1" l="1"/>
  <c r="N80" i="1"/>
  <c r="K122" i="1"/>
  <c r="L80" i="1"/>
  <c r="M80" i="1"/>
  <c r="L34" i="1"/>
  <c r="H90" i="1"/>
  <c r="G56" i="1" s="1"/>
  <c r="K78" i="1"/>
  <c r="H78" i="1"/>
  <c r="I78" i="1"/>
  <c r="J78" i="1"/>
  <c r="H63" i="1"/>
  <c r="I63" i="1"/>
  <c r="M34" i="1" l="1"/>
  <c r="N34" i="1"/>
  <c r="J80" i="1"/>
  <c r="I80" i="1"/>
  <c r="H80" i="1"/>
  <c r="H84" i="1" s="1"/>
  <c r="H87" i="1" s="1"/>
  <c r="K80" i="1"/>
  <c r="I96" i="1" l="1"/>
  <c r="I97" i="1"/>
  <c r="G52" i="1"/>
  <c r="G50" i="1"/>
  <c r="G55" i="1" l="1"/>
  <c r="G51" i="1"/>
  <c r="G78" i="1" l="1"/>
  <c r="G63" i="1"/>
  <c r="G122" i="1" l="1"/>
  <c r="G104" i="1"/>
  <c r="L13" i="1" s="1"/>
  <c r="L16" i="1" s="1"/>
  <c r="L26" i="1" s="1"/>
  <c r="G102" i="1"/>
  <c r="J16" i="1" s="1"/>
  <c r="J26" i="1" s="1"/>
  <c r="J28" i="1" s="1"/>
  <c r="J29" i="1" l="1"/>
  <c r="G105" i="1"/>
  <c r="K16" i="1"/>
  <c r="K26" i="1" s="1"/>
  <c r="K28" i="1" s="1"/>
  <c r="G80" i="1"/>
  <c r="K29" i="1" l="1"/>
  <c r="J34" i="1"/>
  <c r="G107" i="1"/>
  <c r="G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Vicky T</author>
  </authors>
  <commentList>
    <comment ref="L13" authorId="0" shapeId="0" xr:uid="{B5C6FEF6-0659-4901-A967-9149FA54D0DA}">
      <text>
        <r>
          <rPr>
            <b/>
            <sz val="9"/>
            <color indexed="81"/>
            <rFont val="Tahoma"/>
            <family val="2"/>
          </rPr>
          <t>Tax Nuggets Academy:</t>
        </r>
        <r>
          <rPr>
            <sz val="9"/>
            <color indexed="81"/>
            <rFont val="Tahoma"/>
            <family val="2"/>
          </rPr>
          <t xml:space="preserve">
Will use this to pay part of the Div7A MYR for FY23. Balance will come from personal funds</t>
        </r>
      </text>
    </comment>
    <comment ref="A34" authorId="0" shapeId="0" xr:uid="{118F9744-E827-4691-B855-B86F6DCDF8BB}">
      <text>
        <r>
          <rPr>
            <b/>
            <sz val="9"/>
            <color indexed="81"/>
            <rFont val="Tahoma"/>
            <family val="2"/>
          </rPr>
          <t>Tax Nuggets Academy:</t>
        </r>
        <r>
          <rPr>
            <sz val="9"/>
            <color indexed="81"/>
            <rFont val="Tahoma"/>
            <family val="2"/>
          </rPr>
          <t xml:space="preserve">
Check refundable amounts, as some tax offsets are non-refundable.</t>
        </r>
      </text>
    </comment>
    <comment ref="E84" authorId="0" shapeId="0" xr:uid="{50B9C538-98E3-4B0B-81D9-499BECA771D3}">
      <text>
        <r>
          <rPr>
            <b/>
            <sz val="9"/>
            <color indexed="81"/>
            <rFont val="Tahoma"/>
            <family val="2"/>
          </rPr>
          <t>Tax Nuggets Academy:</t>
        </r>
        <r>
          <rPr>
            <sz val="9"/>
            <color indexed="81"/>
            <rFont val="Tahoma"/>
            <family val="2"/>
          </rPr>
          <t xml:space="preserve">
Type "Yes" or "No"
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<sst xmlns="http://schemas.openxmlformats.org/spreadsheetml/2006/main" count="147" uniqueCount="127">
  <si>
    <t>$</t>
  </si>
  <si>
    <t>Depreciation - Accounting</t>
  </si>
  <si>
    <t>Depreciation - Tax</t>
  </si>
  <si>
    <t>Net Operating Profit/(Loss) per Financial Statements</t>
  </si>
  <si>
    <t>ADD: Assessable or Non-Deductible Items</t>
  </si>
  <si>
    <t>LESS: Deductible or Non-Assessable Items</t>
  </si>
  <si>
    <t>Superannuation Payable - Current Year</t>
  </si>
  <si>
    <t>Superannuation Payable - Prior Year</t>
  </si>
  <si>
    <t>Trust Distributions - Accounting</t>
  </si>
  <si>
    <t>Provision for Employee Entitlements - Prior Year</t>
  </si>
  <si>
    <t>Provision for Employee Entitlements - Current Year</t>
  </si>
  <si>
    <t>Subtotal to add</t>
  </si>
  <si>
    <t>Subtotal to subtract</t>
  </si>
  <si>
    <t>Total distributed</t>
  </si>
  <si>
    <t>Foreign Tax Credits</t>
  </si>
  <si>
    <t>TFN Credits (Withholding)</t>
  </si>
  <si>
    <t>Total Tax Distribution</t>
  </si>
  <si>
    <t>Prepayments</t>
  </si>
  <si>
    <t>Blackhole Expenditure</t>
  </si>
  <si>
    <t>Non-Assessable Non-Exempt Income (NANE)</t>
  </si>
  <si>
    <t>xxx</t>
  </si>
  <si>
    <t>Capital Gains - Accounting</t>
  </si>
  <si>
    <t>Taxable Income/(Loss) per Tax Return</t>
  </si>
  <si>
    <t>Gross Franked Distributions</t>
  </si>
  <si>
    <t>Beneficiary 4</t>
  </si>
  <si>
    <t>Franking
Credits</t>
  </si>
  <si>
    <t>Other
Income</t>
  </si>
  <si>
    <t>Net Capital Gains - Tax</t>
  </si>
  <si>
    <t>Prior Year Losses Applied</t>
  </si>
  <si>
    <t>Trust Distributions - Tax (franked distributions excluding franking credits)</t>
  </si>
  <si>
    <t>Foreign Tax Credits - Wealthtrac</t>
  </si>
  <si>
    <t>Franking Credits - Westpac</t>
  </si>
  <si>
    <t>Franking Credits - Wealthtrac</t>
  </si>
  <si>
    <t>Franking Credits - Boards by Bart Pty Ltd</t>
  </si>
  <si>
    <t>Unrealised Foreign Currency Gain/(Loss)</t>
  </si>
  <si>
    <t>Homer Simpson</t>
  </si>
  <si>
    <t>Marge Simpson</t>
  </si>
  <si>
    <t>Maggie Simpson</t>
  </si>
  <si>
    <t>Streaming Notes</t>
  </si>
  <si>
    <t>Net Capital 
Gains</t>
  </si>
  <si>
    <t>Rounding adjustments</t>
  </si>
  <si>
    <t>Trust Distributions - Tax (excl capital gains, franked distributions, foreign income)</t>
  </si>
  <si>
    <t>Trust Distributions - Tax (foreign income excluding foreign tax credits)</t>
  </si>
  <si>
    <t>Gross Foreign Income</t>
  </si>
  <si>
    <t>CLIENT GROUP:</t>
  </si>
  <si>
    <t>Simpson Family</t>
  </si>
  <si>
    <t>Distributions to beneficiaries</t>
  </si>
  <si>
    <t>Trust</t>
  </si>
  <si>
    <t>Company</t>
  </si>
  <si>
    <t>HOMAR FT</t>
  </si>
  <si>
    <t>Boards by Bart PL</t>
  </si>
  <si>
    <t>Simpson &amp; Simpson Lawyers</t>
  </si>
  <si>
    <t>Partnership</t>
  </si>
  <si>
    <t>Lisa Simpson</t>
  </si>
  <si>
    <t>Total partnership distributions:</t>
  </si>
  <si>
    <t>Total trust distributions:</t>
  </si>
  <si>
    <t>Fines &amp; Penalties</t>
  </si>
  <si>
    <t>Legal Fees - Capitalised</t>
  </si>
  <si>
    <t>Cost of Goods Sold - Accounting</t>
  </si>
  <si>
    <t>Cost of Goods Sold - Tax</t>
  </si>
  <si>
    <t>Less other tax credits (PAYGI, TFN/ABN withholding)</t>
  </si>
  <si>
    <t>Income tax at rate</t>
  </si>
  <si>
    <t>Base rate entity?</t>
  </si>
  <si>
    <t>Yes</t>
  </si>
  <si>
    <t>Undistributed trust income to be taxed in hands of trustee</t>
  </si>
  <si>
    <t>Income tax at 47%</t>
  </si>
  <si>
    <t>Less franking credits received</t>
  </si>
  <si>
    <t>Dividends paid</t>
  </si>
  <si>
    <t>Franking credits attached to dividends</t>
  </si>
  <si>
    <t>Distributions to partners</t>
  </si>
  <si>
    <t>FOR PARTNERSHIPS</t>
  </si>
  <si>
    <t>FOR COMPANIES</t>
  </si>
  <si>
    <t>FOR TRUSTS</t>
  </si>
  <si>
    <t>FOR INDIVIDUALS</t>
  </si>
  <si>
    <t>Partner Salaries &amp; Superannuation Contributions</t>
  </si>
  <si>
    <t>FOR INDIVIDUALS IN BUSINESS AND/OR NON-INDIVIDUALS</t>
  </si>
  <si>
    <t>Income</t>
  </si>
  <si>
    <t>Deductions</t>
  </si>
  <si>
    <t>Total taxable income</t>
  </si>
  <si>
    <t>Estimated tax</t>
  </si>
  <si>
    <t>Estimated Medicare levy</t>
  </si>
  <si>
    <t>** Note that any HECS/HELP repayments, Medicare levy surcharges,</t>
  </si>
  <si>
    <t>Division 293 assessmets, and other taxes have not been included in</t>
  </si>
  <si>
    <t>the above calculations. Additional lines can be added to the summary.</t>
  </si>
  <si>
    <t>Salary &amp; Wages</t>
  </si>
  <si>
    <t>Less:</t>
  </si>
  <si>
    <t>PAYG withheld and/or instalments paid</t>
  </si>
  <si>
    <t>Franking credits</t>
  </si>
  <si>
    <t>Foreign income tax offsets</t>
  </si>
  <si>
    <t>Other tax offsets</t>
  </si>
  <si>
    <t>Net tax payable (per tax return)</t>
  </si>
  <si>
    <t>Entity type:</t>
  </si>
  <si>
    <t>Entity name:</t>
  </si>
  <si>
    <t>Total assessable income</t>
  </si>
  <si>
    <t>Net rental income</t>
  </si>
  <si>
    <t>Interest received</t>
  </si>
  <si>
    <t>Dividends received</t>
  </si>
  <si>
    <t>Trust distributions received</t>
  </si>
  <si>
    <t>Total deductions</t>
  </si>
  <si>
    <t>Work-related deductions</t>
  </si>
  <si>
    <t>Donations</t>
  </si>
  <si>
    <t>Cost of managing tax affairs</t>
  </si>
  <si>
    <t>Personal superannuation contributions</t>
  </si>
  <si>
    <t>Income protection insurance</t>
  </si>
  <si>
    <t>$0 - $18,200</t>
  </si>
  <si>
    <t>Nil</t>
  </si>
  <si>
    <t>$18,201 - $45,000</t>
  </si>
  <si>
    <t>19c per $1 over $18,200</t>
  </si>
  <si>
    <t>$45,001 - $120,000</t>
  </si>
  <si>
    <t>$5,092 + 32.5c per $1 over $45,000</t>
  </si>
  <si>
    <t>$120,001 - $180,000</t>
  </si>
  <si>
    <t>$29,467 + 37c for each $1 over $120,000</t>
  </si>
  <si>
    <t>$180,000+</t>
  </si>
  <si>
    <t>$51,667 + 45c for each $1 over $180,000</t>
  </si>
  <si>
    <t>Net capital gains (excluding from trust distributions)</t>
  </si>
  <si>
    <t>Net tax payable / (refundable) (per tax return)</t>
  </si>
  <si>
    <t>Individual</t>
  </si>
  <si>
    <t>Bart Simpson</t>
  </si>
  <si>
    <t>2023 Individual Tax Rates</t>
  </si>
  <si>
    <t>TAX PLANNING FOR THE YEAR ENDED 30 JUNE 2023</t>
  </si>
  <si>
    <t>Capital gains</t>
  </si>
  <si>
    <t>ADDITIONAL NOTES:</t>
  </si>
  <si>
    <t>ESTIMATED DISTRIBUTION TO BENEFICIARIES FROM HOMAR FAMILY TRUST:</t>
  </si>
  <si>
    <t>50% franked</t>
  </si>
  <si>
    <t>Other income, 50% franked</t>
  </si>
  <si>
    <t>Gross tax %</t>
  </si>
  <si>
    <t>Tax excl franking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</si>
</sst>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Montserrat"/>
    </font>
    <font>
      <sz val="10"/>
      <name val="Montserrat"/>
    </font>
    <font>
      <b/>
      <u/>
      <sz val="10"/>
      <name val="Montserrat"/>
    </font>
    <font>
      <u val="singleAccounting"/>
      <sz val="10"/>
      <name val="Montserrat"/>
    </font>
    <font>
      <u/>
      <sz val="10"/>
      <name val="Montserrat"/>
    </font>
    <font>
      <sz val="10"/>
      <color indexed="10"/>
      <name val="Montserrat"/>
    </font>
    <font>
      <sz val="7"/>
      <name val="Montserrat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164" fontId="6" fillId="0" borderId="0" xfId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165" fontId="4" fillId="0" borderId="0" xfId="2" applyNumberFormat="1" applyFont="1"/>
    <xf numFmtId="165" fontId="4" fillId="2" borderId="0" xfId="2" applyNumberFormat="1" applyFont="1" applyFill="1"/>
    <xf numFmtId="0" fontId="4" fillId="0" borderId="1" xfId="0" applyFont="1" applyBorder="1" applyAlignment="1">
      <alignment horizontal="center" wrapText="1"/>
    </xf>
    <xf numFmtId="165" fontId="4" fillId="2" borderId="0" xfId="2" applyNumberFormat="1" applyFont="1" applyFill="1" applyAlignment="1">
      <alignment horizontal="center"/>
    </xf>
    <xf numFmtId="165" fontId="4" fillId="0" borderId="0" xfId="2" applyNumberFormat="1" applyFont="1" applyAlignment="1">
      <alignment horizontal="center"/>
    </xf>
    <xf numFmtId="165" fontId="4" fillId="2" borderId="1" xfId="2" applyNumberFormat="1" applyFont="1" applyFill="1" applyBorder="1" applyAlignment="1">
      <alignment horizontal="center"/>
    </xf>
    <xf numFmtId="164" fontId="4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165" fontId="4" fillId="2" borderId="0" xfId="2" applyNumberFormat="1" applyFont="1" applyFill="1" applyBorder="1"/>
    <xf numFmtId="165" fontId="4" fillId="0" borderId="3" xfId="2" applyNumberFormat="1" applyFont="1" applyBorder="1"/>
    <xf numFmtId="165" fontId="3" fillId="0" borderId="2" xfId="2" applyNumberFormat="1" applyFont="1" applyBorder="1"/>
    <xf numFmtId="0" fontId="3" fillId="0" borderId="0" xfId="0" applyFont="1" applyAlignment="1">
      <alignment horizontal="center" wrapText="1"/>
    </xf>
    <xf numFmtId="165" fontId="4" fillId="0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/>
    <xf numFmtId="165" fontId="4" fillId="2" borderId="1" xfId="2" applyNumberFormat="1" applyFont="1" applyFill="1" applyBorder="1"/>
    <xf numFmtId="165" fontId="4" fillId="0" borderId="0" xfId="2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center"/>
    </xf>
    <xf numFmtId="165" fontId="4" fillId="0" borderId="1" xfId="2" applyNumberFormat="1" applyFont="1" applyBorder="1"/>
    <xf numFmtId="0" fontId="13" fillId="0" borderId="0" xfId="0" applyFo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9" fontId="4" fillId="2" borderId="0" xfId="0" applyNumberFormat="1" applyFont="1" applyFill="1" applyAlignment="1">
      <alignment horizontal="center"/>
    </xf>
    <xf numFmtId="165" fontId="4" fillId="0" borderId="0" xfId="0" applyNumberFormat="1" applyFont="1"/>
    <xf numFmtId="165" fontId="4" fillId="0" borderId="0" xfId="2" applyNumberFormat="1" applyFont="1" applyFill="1"/>
    <xf numFmtId="43" fontId="4" fillId="0" borderId="0" xfId="0" applyNumberFormat="1" applyFont="1"/>
    <xf numFmtId="164" fontId="6" fillId="0" borderId="0" xfId="1" applyFont="1" applyFill="1" applyAlignment="1">
      <alignment horizontal="center"/>
    </xf>
    <xf numFmtId="165" fontId="4" fillId="0" borderId="0" xfId="2" applyNumberFormat="1" applyFont="1" applyFill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2" applyNumberFormat="1" applyFont="1" applyFill="1" applyAlignment="1">
      <alignment horizontal="center"/>
    </xf>
    <xf numFmtId="165" fontId="3" fillId="0" borderId="3" xfId="2" applyNumberFormat="1" applyFont="1" applyBorder="1"/>
    <xf numFmtId="165" fontId="3" fillId="0" borderId="0" xfId="2" applyNumberFormat="1" applyFont="1"/>
    <xf numFmtId="9" fontId="4" fillId="0" borderId="0" xfId="3" applyFont="1"/>
    <xf numFmtId="165" fontId="3" fillId="0" borderId="2" xfId="2" applyNumberFormat="1" applyFont="1" applyBorder="1" applyAlignment="1">
      <alignment horizontal="center"/>
    </xf>
    <xf numFmtId="165" fontId="4" fillId="0" borderId="0" xfId="2" applyNumberFormat="1" applyFont="1" applyFill="1" applyAlignment="1">
      <alignment horizontal="right"/>
    </xf>
    <xf numFmtId="165" fontId="3" fillId="2" borderId="0" xfId="2" applyNumberFormat="1" applyFont="1" applyFill="1" applyAlignment="1">
      <alignment horizontal="center"/>
    </xf>
    <xf numFmtId="165" fontId="3" fillId="3" borderId="0" xfId="2" applyNumberFormat="1" applyFont="1" applyFill="1" applyAlignment="1">
      <alignment horizontal="center"/>
    </xf>
    <xf numFmtId="9" fontId="4" fillId="0" borderId="0" xfId="3" applyFont="1" applyFill="1" applyAlignment="1">
      <alignment horizontal="center"/>
    </xf>
  </cellXfs>
  <cellStyles count="4">
    <cellStyle name="Comma" xfId="2" builtinId="3"/>
    <cellStyle name="Currency_Tax Reconciliations 2008" xfId="1" xr:uid="{3334BE80-79F8-4211-862A-905DD5FF0A59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5978-FCD6-478B-94DB-D1A0142AADC4}">
  <dimension ref="A1:S123"/>
  <sheetViews>
    <sheetView tabSelected="1" topLeftCell="E1" zoomScale="85" zoomScaleNormal="85" workbookViewId="0">
      <pane ySplit="7" topLeftCell="A8" activePane="bottomLeft" state="frozen"/>
      <selection pane="bottomLeft" activeCell="P11" sqref="P11"/>
    </sheetView>
  </sheetViews>
  <sheetFormatPr defaultColWidth="11" defaultRowHeight="15" x14ac:dyDescent="0.3"/>
  <cols>
    <col min="1" max="1" width="7.7109375" style="2" customWidth="1"/>
    <col min="2" max="2" width="21" style="2" customWidth="1"/>
    <col min="3" max="3" width="20.28515625" style="2" customWidth="1"/>
    <col min="4" max="4" width="16.5703125" style="2" customWidth="1"/>
    <col min="5" max="9" width="15.7109375" style="2" customWidth="1"/>
    <col min="10" max="10" width="16.5703125" style="2" customWidth="1"/>
    <col min="11" max="18" width="16.7109375" style="2" customWidth="1"/>
    <col min="19" max="16384" width="11" style="2"/>
  </cols>
  <sheetData>
    <row r="1" spans="1:19" x14ac:dyDescent="0.3">
      <c r="A1" s="4" t="s">
        <v>119</v>
      </c>
      <c r="B1" s="7"/>
      <c r="R1" s="1" t="s">
        <v>118</v>
      </c>
    </row>
    <row r="2" spans="1:19" x14ac:dyDescent="0.3">
      <c r="F2" s="9"/>
      <c r="R2" s="2" t="s">
        <v>104</v>
      </c>
      <c r="S2" s="2" t="s">
        <v>105</v>
      </c>
    </row>
    <row r="3" spans="1:19" x14ac:dyDescent="0.3">
      <c r="A3" s="1" t="s">
        <v>44</v>
      </c>
      <c r="C3" s="1" t="s">
        <v>45</v>
      </c>
      <c r="G3" s="3"/>
      <c r="H3" s="3"/>
      <c r="I3" s="8"/>
      <c r="J3" s="8"/>
      <c r="R3" s="2" t="s">
        <v>106</v>
      </c>
      <c r="S3" s="2" t="s">
        <v>107</v>
      </c>
    </row>
    <row r="4" spans="1:19" s="10" customFormat="1" ht="45" x14ac:dyDescent="0.3">
      <c r="C4" s="31"/>
      <c r="F4" s="1" t="s">
        <v>92</v>
      </c>
      <c r="G4" s="33" t="s">
        <v>49</v>
      </c>
      <c r="H4" s="33" t="s">
        <v>50</v>
      </c>
      <c r="I4" s="33" t="s">
        <v>51</v>
      </c>
      <c r="J4" s="33" t="s">
        <v>35</v>
      </c>
      <c r="K4" s="33" t="s">
        <v>36</v>
      </c>
      <c r="L4" s="33" t="s">
        <v>117</v>
      </c>
      <c r="M4" s="33" t="s">
        <v>53</v>
      </c>
      <c r="N4" s="33" t="s">
        <v>37</v>
      </c>
      <c r="P4" s="19"/>
      <c r="R4" s="2" t="s">
        <v>108</v>
      </c>
      <c r="S4" s="2" t="s">
        <v>109</v>
      </c>
    </row>
    <row r="5" spans="1:19" s="10" customFormat="1" ht="30" x14ac:dyDescent="0.3">
      <c r="C5" s="31"/>
      <c r="F5" s="1" t="s">
        <v>91</v>
      </c>
      <c r="G5" s="32" t="s">
        <v>47</v>
      </c>
      <c r="H5" s="32" t="s">
        <v>48</v>
      </c>
      <c r="I5" s="32" t="s">
        <v>52</v>
      </c>
      <c r="J5" s="32" t="s">
        <v>116</v>
      </c>
      <c r="K5" s="32" t="s">
        <v>116</v>
      </c>
      <c r="L5" s="32" t="s">
        <v>116</v>
      </c>
      <c r="M5" s="32" t="s">
        <v>116</v>
      </c>
      <c r="N5" s="32" t="s">
        <v>116</v>
      </c>
      <c r="R5" s="10" t="s">
        <v>110</v>
      </c>
      <c r="S5" s="2" t="s">
        <v>111</v>
      </c>
    </row>
    <row r="6" spans="1:19" x14ac:dyDescent="0.3">
      <c r="F6" s="5"/>
      <c r="G6" s="17" t="s">
        <v>0</v>
      </c>
      <c r="H6" s="17" t="s">
        <v>0</v>
      </c>
      <c r="I6" s="17" t="s">
        <v>0</v>
      </c>
      <c r="J6" s="17" t="s">
        <v>0</v>
      </c>
      <c r="K6" s="17" t="s">
        <v>0</v>
      </c>
      <c r="L6" s="17" t="s">
        <v>0</v>
      </c>
      <c r="M6" s="17" t="s">
        <v>0</v>
      </c>
      <c r="N6" s="17" t="s">
        <v>0</v>
      </c>
      <c r="R6" s="10" t="s">
        <v>112</v>
      </c>
      <c r="S6" s="2" t="s">
        <v>113</v>
      </c>
    </row>
    <row r="7" spans="1:19" ht="2.25" customHeight="1" x14ac:dyDescent="0.45">
      <c r="F7" s="5"/>
      <c r="G7" s="6"/>
      <c r="H7" s="6"/>
      <c r="I7" s="6"/>
      <c r="J7" s="6"/>
      <c r="K7" s="6"/>
      <c r="L7" s="6"/>
      <c r="M7" s="6"/>
      <c r="N7" s="6"/>
    </row>
    <row r="8" spans="1:19" ht="12.75" customHeight="1" x14ac:dyDescent="0.3">
      <c r="A8" s="30" t="s">
        <v>73</v>
      </c>
      <c r="F8" s="5"/>
      <c r="G8" s="39"/>
      <c r="H8" s="39"/>
      <c r="I8" s="39"/>
      <c r="J8" s="39"/>
      <c r="K8" s="39"/>
      <c r="L8" s="39"/>
      <c r="M8" s="39"/>
      <c r="N8" s="39"/>
    </row>
    <row r="9" spans="1:19" ht="12.75" customHeight="1" x14ac:dyDescent="0.3">
      <c r="A9" s="1" t="s">
        <v>76</v>
      </c>
      <c r="F9" s="5"/>
      <c r="G9" s="39"/>
      <c r="H9" s="39"/>
      <c r="I9" s="39"/>
      <c r="J9" s="39"/>
      <c r="K9" s="39"/>
      <c r="L9" s="39"/>
      <c r="M9" s="39"/>
      <c r="N9" s="39"/>
    </row>
    <row r="10" spans="1:19" ht="12.75" customHeight="1" x14ac:dyDescent="0.3">
      <c r="B10" s="2" t="s">
        <v>84</v>
      </c>
      <c r="F10" s="5"/>
      <c r="G10" s="14"/>
      <c r="H10" s="14"/>
      <c r="I10" s="14"/>
      <c r="J10" s="14">
        <v>120000</v>
      </c>
      <c r="K10" s="14"/>
      <c r="L10" s="14"/>
      <c r="M10" s="14">
        <f>I95</f>
        <v>282500</v>
      </c>
      <c r="N10" s="14">
        <f>I96</f>
        <v>132500</v>
      </c>
    </row>
    <row r="11" spans="1:19" ht="12.75" customHeight="1" x14ac:dyDescent="0.3">
      <c r="B11" s="2" t="s">
        <v>95</v>
      </c>
      <c r="F11" s="5"/>
      <c r="G11" s="14"/>
      <c r="H11" s="14"/>
      <c r="I11" s="14"/>
      <c r="J11" s="14">
        <f>21.7/2</f>
        <v>10.85</v>
      </c>
      <c r="K11" s="14">
        <f>21.7/2</f>
        <v>10.85</v>
      </c>
      <c r="L11" s="14"/>
      <c r="M11" s="14"/>
      <c r="N11" s="14"/>
    </row>
    <row r="12" spans="1:19" ht="12.75" customHeight="1" x14ac:dyDescent="0.3">
      <c r="B12" s="2" t="s">
        <v>96</v>
      </c>
      <c r="F12" s="5"/>
      <c r="G12" s="14"/>
      <c r="H12" s="14"/>
      <c r="I12" s="14"/>
      <c r="J12" s="14"/>
      <c r="K12" s="14">
        <f>1502+2627+1126</f>
        <v>5255</v>
      </c>
      <c r="L12" s="14"/>
      <c r="M12" s="14"/>
      <c r="N12" s="14"/>
    </row>
    <row r="13" spans="1:19" ht="12.75" customHeight="1" x14ac:dyDescent="0.3">
      <c r="B13" s="2" t="s">
        <v>97</v>
      </c>
      <c r="F13" s="5"/>
      <c r="G13" s="14"/>
      <c r="H13" s="14"/>
      <c r="I13" s="14"/>
      <c r="J13" s="14">
        <f>G102</f>
        <v>33271.480000000003</v>
      </c>
      <c r="K13" s="14">
        <f>G103</f>
        <v>224483.03999999998</v>
      </c>
      <c r="L13" s="14">
        <f>G104</f>
        <v>215542.91999999998</v>
      </c>
      <c r="M13" s="14"/>
      <c r="N13" s="14"/>
    </row>
    <row r="14" spans="1:19" ht="12.75" customHeight="1" x14ac:dyDescent="0.3">
      <c r="B14" s="2" t="s">
        <v>114</v>
      </c>
      <c r="F14" s="5"/>
      <c r="G14" s="14"/>
      <c r="H14" s="14"/>
      <c r="I14" s="14"/>
      <c r="J14" s="14"/>
      <c r="K14" s="14">
        <v>767</v>
      </c>
      <c r="L14" s="14"/>
      <c r="M14" s="14"/>
      <c r="N14" s="14"/>
    </row>
    <row r="15" spans="1:19" ht="12.75" customHeight="1" x14ac:dyDescent="0.3">
      <c r="B15" s="2" t="s">
        <v>94</v>
      </c>
      <c r="F15" s="5"/>
      <c r="G15" s="16"/>
      <c r="H15" s="16"/>
      <c r="I15" s="16"/>
      <c r="J15" s="16">
        <v>2483</v>
      </c>
      <c r="K15" s="16">
        <v>2483</v>
      </c>
      <c r="L15" s="16"/>
      <c r="M15" s="16"/>
      <c r="N15" s="16"/>
    </row>
    <row r="16" spans="1:19" ht="12.75" customHeight="1" x14ac:dyDescent="0.3">
      <c r="A16" s="2" t="s">
        <v>93</v>
      </c>
      <c r="F16" s="5"/>
      <c r="G16" s="39">
        <f>SUM(G10:G15)</f>
        <v>0</v>
      </c>
      <c r="H16" s="39">
        <f t="shared" ref="H16:K16" si="0">SUM(H10:H15)</f>
        <v>0</v>
      </c>
      <c r="I16" s="39">
        <f t="shared" si="0"/>
        <v>0</v>
      </c>
      <c r="J16" s="39">
        <f t="shared" si="0"/>
        <v>155765.33000000002</v>
      </c>
      <c r="K16" s="39">
        <f t="shared" si="0"/>
        <v>232998.88999999998</v>
      </c>
      <c r="L16" s="39">
        <f t="shared" ref="L16" si="1">SUM(L10:L15)</f>
        <v>215542.91999999998</v>
      </c>
      <c r="M16" s="39">
        <f t="shared" ref="M16:N16" si="2">SUM(M10:M15)</f>
        <v>282500</v>
      </c>
      <c r="N16" s="39">
        <f t="shared" si="2"/>
        <v>132500</v>
      </c>
    </row>
    <row r="17" spans="1:14" ht="12.75" customHeight="1" x14ac:dyDescent="0.3">
      <c r="F17" s="5"/>
      <c r="G17" s="39"/>
      <c r="H17" s="39"/>
      <c r="I17" s="39"/>
      <c r="J17" s="39"/>
      <c r="K17" s="39"/>
      <c r="L17" s="39"/>
      <c r="M17" s="39"/>
      <c r="N17" s="39"/>
    </row>
    <row r="18" spans="1:14" ht="12.75" customHeight="1" x14ac:dyDescent="0.3">
      <c r="A18" s="1" t="s">
        <v>77</v>
      </c>
      <c r="F18" s="5"/>
      <c r="G18" s="39"/>
      <c r="H18" s="39"/>
      <c r="I18" s="39"/>
      <c r="J18" s="39"/>
      <c r="K18" s="39"/>
      <c r="L18" s="39"/>
      <c r="M18" s="39"/>
      <c r="N18" s="39"/>
    </row>
    <row r="19" spans="1:14" ht="12.75" customHeight="1" x14ac:dyDescent="0.3">
      <c r="B19" s="2" t="s">
        <v>99</v>
      </c>
      <c r="F19" s="5"/>
      <c r="G19" s="14"/>
      <c r="H19" s="14"/>
      <c r="I19" s="14"/>
      <c r="J19" s="14">
        <f>2633+300+935</f>
        <v>3868</v>
      </c>
      <c r="K19" s="14"/>
      <c r="L19" s="14"/>
      <c r="M19" s="14"/>
      <c r="N19" s="14"/>
    </row>
    <row r="20" spans="1:14" ht="12.75" customHeight="1" x14ac:dyDescent="0.3">
      <c r="B20" s="2" t="s">
        <v>100</v>
      </c>
      <c r="F20" s="5"/>
      <c r="G20" s="14"/>
      <c r="H20" s="14"/>
      <c r="I20" s="14"/>
      <c r="J20" s="14">
        <v>5000</v>
      </c>
      <c r="K20" s="14">
        <v>20000</v>
      </c>
      <c r="L20" s="14">
        <v>10000</v>
      </c>
      <c r="M20" s="14">
        <v>5000</v>
      </c>
      <c r="N20" s="14">
        <v>2500</v>
      </c>
    </row>
    <row r="21" spans="1:14" ht="12.75" customHeight="1" x14ac:dyDescent="0.3">
      <c r="B21" s="2" t="s">
        <v>101</v>
      </c>
      <c r="F21" s="5"/>
      <c r="G21" s="14"/>
      <c r="H21" s="14"/>
      <c r="I21" s="14"/>
      <c r="J21" s="14">
        <v>660</v>
      </c>
      <c r="K21" s="14">
        <v>770</v>
      </c>
      <c r="L21" s="14"/>
      <c r="M21" s="14"/>
      <c r="N21" s="14"/>
    </row>
    <row r="22" spans="1:14" ht="12.75" customHeight="1" x14ac:dyDescent="0.3">
      <c r="B22" s="2" t="s">
        <v>102</v>
      </c>
      <c r="F22" s="5"/>
      <c r="G22" s="14"/>
      <c r="H22" s="14"/>
      <c r="I22" s="14"/>
      <c r="J22" s="14">
        <v>10000</v>
      </c>
      <c r="K22" s="14">
        <v>27500</v>
      </c>
      <c r="L22" s="14"/>
      <c r="M22" s="14"/>
      <c r="N22" s="14">
        <v>27500</v>
      </c>
    </row>
    <row r="23" spans="1:14" ht="12.75" customHeight="1" x14ac:dyDescent="0.3">
      <c r="B23" s="2" t="s">
        <v>103</v>
      </c>
      <c r="F23" s="5"/>
      <c r="G23" s="16"/>
      <c r="H23" s="16"/>
      <c r="I23" s="16"/>
      <c r="J23" s="16">
        <v>659</v>
      </c>
      <c r="K23" s="16"/>
      <c r="L23" s="16"/>
      <c r="M23" s="16">
        <v>2500</v>
      </c>
      <c r="N23" s="16">
        <v>1000</v>
      </c>
    </row>
    <row r="24" spans="1:14" ht="12.75" customHeight="1" x14ac:dyDescent="0.3">
      <c r="A24" s="2" t="s">
        <v>98</v>
      </c>
      <c r="F24" s="5"/>
      <c r="G24" s="39">
        <f>SUM(G19:G23)</f>
        <v>0</v>
      </c>
      <c r="H24" s="39">
        <f t="shared" ref="H24:K24" si="3">SUM(H19:H23)</f>
        <v>0</v>
      </c>
      <c r="I24" s="39">
        <f t="shared" si="3"/>
        <v>0</v>
      </c>
      <c r="J24" s="39">
        <f t="shared" si="3"/>
        <v>20187</v>
      </c>
      <c r="K24" s="39">
        <f t="shared" si="3"/>
        <v>48270</v>
      </c>
      <c r="L24" s="39">
        <f t="shared" ref="L24" si="4">SUM(L19:L23)</f>
        <v>10000</v>
      </c>
      <c r="M24" s="39">
        <f>SUM(M19:M23)</f>
        <v>7500</v>
      </c>
      <c r="N24" s="39">
        <f t="shared" ref="N24" si="5">SUM(N19:N23)</f>
        <v>31000</v>
      </c>
    </row>
    <row r="25" spans="1:14" ht="12.75" customHeight="1" x14ac:dyDescent="0.3">
      <c r="F25" s="5"/>
      <c r="G25" s="39"/>
      <c r="H25" s="39"/>
      <c r="I25" s="39"/>
      <c r="J25" s="39"/>
      <c r="K25" s="39"/>
      <c r="L25" s="39"/>
      <c r="M25" s="39"/>
      <c r="N25" s="39"/>
    </row>
    <row r="26" spans="1:14" s="1" customFormat="1" ht="12.75" customHeight="1" x14ac:dyDescent="0.3">
      <c r="A26" s="1" t="s">
        <v>78</v>
      </c>
      <c r="F26" s="41"/>
      <c r="G26" s="42"/>
      <c r="H26" s="42"/>
      <c r="I26" s="42"/>
      <c r="J26" s="42">
        <f>J16-J24</f>
        <v>135578.33000000002</v>
      </c>
      <c r="K26" s="42">
        <f>K16-K24</f>
        <v>184728.88999999998</v>
      </c>
      <c r="L26" s="42">
        <f>L16-L24</f>
        <v>205542.91999999998</v>
      </c>
      <c r="M26" s="42">
        <f>M16-M24</f>
        <v>275000</v>
      </c>
      <c r="N26" s="42">
        <f>N16-N24</f>
        <v>101500</v>
      </c>
    </row>
    <row r="27" spans="1:14" ht="12.75" customHeight="1" x14ac:dyDescent="0.3">
      <c r="A27" s="1"/>
      <c r="F27" s="5"/>
      <c r="G27" s="39"/>
      <c r="H27" s="39"/>
      <c r="I27" s="39"/>
      <c r="J27" s="39"/>
      <c r="K27" s="39"/>
      <c r="L27" s="39"/>
      <c r="M27" s="39"/>
      <c r="N27" s="39"/>
    </row>
    <row r="28" spans="1:14" s="1" customFormat="1" ht="12.75" customHeight="1" x14ac:dyDescent="0.3">
      <c r="A28" s="1" t="s">
        <v>79</v>
      </c>
      <c r="F28" s="41"/>
      <c r="G28" s="42"/>
      <c r="H28" s="42"/>
      <c r="I28" s="42"/>
      <c r="J28" s="48">
        <f>29467+(J26-120000)*0.37</f>
        <v>35230.982100000008</v>
      </c>
      <c r="K28" s="48">
        <f>51667+(K26-180000)*0.45</f>
        <v>53795.000499999995</v>
      </c>
      <c r="L28" s="48">
        <f>51667+(L26-180000)*0.45</f>
        <v>63161.313999999991</v>
      </c>
      <c r="M28" s="48">
        <f>51667+(M26-180000)*0.45</f>
        <v>94417</v>
      </c>
      <c r="N28" s="48">
        <f>5092+(N26-45000)*0.325</f>
        <v>23454.5</v>
      </c>
    </row>
    <row r="29" spans="1:14" s="1" customFormat="1" ht="12.75" customHeight="1" x14ac:dyDescent="0.3">
      <c r="A29" s="1" t="s">
        <v>80</v>
      </c>
      <c r="F29" s="41"/>
      <c r="G29" s="42"/>
      <c r="H29" s="42"/>
      <c r="I29" s="42"/>
      <c r="J29" s="49">
        <f>J26*0.02</f>
        <v>2711.5666000000006</v>
      </c>
      <c r="K29" s="49">
        <f>K26*0.02</f>
        <v>3694.5777999999996</v>
      </c>
      <c r="L29" s="49">
        <f t="shared" ref="L29:N29" si="6">L26*0.02</f>
        <v>4110.8584000000001</v>
      </c>
      <c r="M29" s="49">
        <f t="shared" si="6"/>
        <v>5500</v>
      </c>
      <c r="N29" s="49">
        <f t="shared" si="6"/>
        <v>2030</v>
      </c>
    </row>
    <row r="30" spans="1:14" ht="12.75" customHeight="1" x14ac:dyDescent="0.3">
      <c r="A30" s="1" t="s">
        <v>85</v>
      </c>
      <c r="B30" s="2" t="s">
        <v>86</v>
      </c>
      <c r="F30" s="5"/>
      <c r="G30" s="39"/>
      <c r="H30" s="39"/>
      <c r="I30" s="39"/>
      <c r="J30" s="14">
        <f>-30000</f>
        <v>-30000</v>
      </c>
      <c r="K30" s="14">
        <v>0</v>
      </c>
      <c r="L30" s="14"/>
      <c r="M30" s="14">
        <v>-65000</v>
      </c>
      <c r="N30" s="14">
        <v>-20000</v>
      </c>
    </row>
    <row r="31" spans="1:14" ht="12.75" customHeight="1" x14ac:dyDescent="0.3">
      <c r="A31" s="1"/>
      <c r="B31" s="2" t="s">
        <v>87</v>
      </c>
      <c r="F31" s="5"/>
      <c r="G31" s="39"/>
      <c r="H31" s="39"/>
      <c r="I31" s="39"/>
      <c r="J31" s="14"/>
      <c r="K31" s="14">
        <f>-L119</f>
        <v>-55033.345000000001</v>
      </c>
      <c r="L31" s="14">
        <f>-L120</f>
        <v>-55033.345000000001</v>
      </c>
      <c r="M31" s="14"/>
      <c r="N31" s="14"/>
    </row>
    <row r="32" spans="1:14" ht="12.75" customHeight="1" x14ac:dyDescent="0.3">
      <c r="A32" s="1"/>
      <c r="B32" s="2" t="s">
        <v>88</v>
      </c>
      <c r="F32" s="5"/>
      <c r="G32" s="39"/>
      <c r="H32" s="39"/>
      <c r="I32" s="39"/>
      <c r="J32" s="14"/>
      <c r="K32" s="14"/>
      <c r="L32" s="14"/>
      <c r="M32" s="14"/>
      <c r="N32" s="14"/>
    </row>
    <row r="33" spans="1:14" ht="12.75" customHeight="1" x14ac:dyDescent="0.3">
      <c r="A33" s="1"/>
      <c r="B33" s="2" t="s">
        <v>89</v>
      </c>
      <c r="F33" s="5"/>
      <c r="G33" s="40"/>
      <c r="H33" s="40"/>
      <c r="I33" s="40"/>
      <c r="J33" s="16"/>
      <c r="K33" s="16"/>
      <c r="L33" s="16"/>
      <c r="M33" s="16"/>
      <c r="N33" s="16"/>
    </row>
    <row r="34" spans="1:14" s="1" customFormat="1" ht="12.75" customHeight="1" x14ac:dyDescent="0.3">
      <c r="A34" s="1" t="s">
        <v>115</v>
      </c>
      <c r="F34" s="41"/>
      <c r="G34" s="42"/>
      <c r="H34" s="42"/>
      <c r="I34" s="42"/>
      <c r="J34" s="42">
        <f>SUM(J28:J32)</f>
        <v>7942.5487000000066</v>
      </c>
      <c r="K34" s="42">
        <f>SUM(K28:K32)</f>
        <v>2456.2332999999926</v>
      </c>
      <c r="L34" s="42">
        <f>SUM(L28:L32)</f>
        <v>12238.827399999995</v>
      </c>
      <c r="M34" s="42">
        <f>SUM(M28:M32)</f>
        <v>34917</v>
      </c>
      <c r="N34" s="42">
        <f>SUM(N28:N32)</f>
        <v>5484.5</v>
      </c>
    </row>
    <row r="35" spans="1:14" ht="12.75" customHeight="1" x14ac:dyDescent="0.3">
      <c r="A35" s="1"/>
      <c r="F35" s="5"/>
      <c r="G35" s="39"/>
      <c r="H35" s="39"/>
      <c r="I35" s="39"/>
      <c r="J35" s="39"/>
      <c r="K35" s="39"/>
      <c r="L35" s="39"/>
      <c r="M35" s="39"/>
      <c r="N35" s="39"/>
    </row>
    <row r="36" spans="1:14" ht="12.75" customHeight="1" x14ac:dyDescent="0.3">
      <c r="A36" s="2" t="s">
        <v>81</v>
      </c>
      <c r="F36" s="5"/>
      <c r="G36" s="39"/>
      <c r="H36" s="39"/>
      <c r="I36" s="47" t="s">
        <v>125</v>
      </c>
      <c r="J36" s="50">
        <f>(J29+J28)/J26</f>
        <v>0.27985702951201719</v>
      </c>
      <c r="K36" s="50">
        <f>(K29+K28)/K26</f>
        <v>0.31121054373249357</v>
      </c>
      <c r="L36" s="50">
        <f t="shared" ref="L36:N36" si="7">(L29+L28)/L26</f>
        <v>0.32729014650565441</v>
      </c>
      <c r="M36" s="50">
        <f t="shared" si="7"/>
        <v>0.36333454545454547</v>
      </c>
      <c r="N36" s="50">
        <f t="shared" si="7"/>
        <v>0.25107881773399016</v>
      </c>
    </row>
    <row r="37" spans="1:14" ht="12.75" customHeight="1" x14ac:dyDescent="0.3">
      <c r="A37" s="2" t="s">
        <v>82</v>
      </c>
      <c r="F37" s="5"/>
      <c r="G37" s="39"/>
      <c r="H37" s="39"/>
      <c r="I37" s="47" t="s">
        <v>126</v>
      </c>
      <c r="J37" s="50">
        <f>(J29+J28+J31)/J26</f>
        <v>0.27985702951201719</v>
      </c>
      <c r="K37" s="50">
        <f>(K29+K28+K31)/K26</f>
        <v>1.3296422124335792E-2</v>
      </c>
      <c r="L37" s="50">
        <f t="shared" ref="L37:N37" si="8">(L29+L28+L31)/L26</f>
        <v>5.9543901585128768E-2</v>
      </c>
      <c r="M37" s="50">
        <f t="shared" si="8"/>
        <v>0.36333454545454547</v>
      </c>
      <c r="N37" s="50">
        <f t="shared" si="8"/>
        <v>0.25107881773399016</v>
      </c>
    </row>
    <row r="38" spans="1:14" ht="12.75" customHeight="1" x14ac:dyDescent="0.3">
      <c r="A38" s="2" t="s">
        <v>83</v>
      </c>
      <c r="F38" s="5"/>
      <c r="G38" s="39"/>
      <c r="H38" s="39"/>
      <c r="I38" s="39"/>
      <c r="J38" s="39"/>
      <c r="K38" s="39"/>
      <c r="L38" s="39"/>
      <c r="M38" s="39"/>
      <c r="N38" s="39"/>
    </row>
    <row r="39" spans="1:14" ht="12.75" customHeight="1" x14ac:dyDescent="0.3">
      <c r="F39" s="5"/>
      <c r="G39" s="39"/>
      <c r="H39" s="39"/>
      <c r="I39" s="39"/>
      <c r="J39" s="39"/>
      <c r="K39" s="39"/>
      <c r="L39" s="39"/>
      <c r="M39" s="39"/>
      <c r="N39" s="39"/>
    </row>
    <row r="40" spans="1:14" ht="12.75" customHeight="1" x14ac:dyDescent="0.3">
      <c r="A40" s="30"/>
      <c r="F40" s="5"/>
      <c r="G40" s="39"/>
      <c r="H40" s="39"/>
      <c r="I40" s="39"/>
      <c r="J40" s="39"/>
      <c r="K40" s="39"/>
      <c r="L40" s="39"/>
      <c r="M40" s="39"/>
      <c r="N40" s="39"/>
    </row>
    <row r="41" spans="1:14" ht="12.75" customHeight="1" x14ac:dyDescent="0.3">
      <c r="F41" s="5"/>
      <c r="G41" s="39"/>
      <c r="H41" s="39"/>
      <c r="I41" s="39"/>
      <c r="J41" s="39"/>
      <c r="K41" s="39"/>
      <c r="L41" s="39"/>
      <c r="M41" s="39"/>
      <c r="N41" s="39"/>
    </row>
    <row r="42" spans="1:14" ht="17.25" x14ac:dyDescent="0.45">
      <c r="A42" s="30" t="s">
        <v>75</v>
      </c>
      <c r="F42" s="5"/>
      <c r="G42" s="38"/>
      <c r="H42" s="38"/>
      <c r="I42" s="38"/>
      <c r="J42" s="38"/>
      <c r="K42" s="38"/>
      <c r="L42" s="38"/>
      <c r="M42" s="38"/>
      <c r="N42" s="38"/>
    </row>
    <row r="43" spans="1:14" x14ac:dyDescent="0.3">
      <c r="A43" s="1" t="s">
        <v>3</v>
      </c>
      <c r="G43" s="12">
        <v>401857</v>
      </c>
      <c r="H43" s="12">
        <v>1200000</v>
      </c>
      <c r="I43" s="12">
        <v>85000</v>
      </c>
      <c r="J43" s="12"/>
      <c r="K43" s="12"/>
      <c r="L43" s="12"/>
      <c r="M43" s="12"/>
      <c r="N43" s="12"/>
    </row>
    <row r="44" spans="1:14" x14ac:dyDescent="0.3">
      <c r="G44" s="11"/>
      <c r="H44" s="11"/>
      <c r="I44" s="11"/>
      <c r="J44" s="11"/>
      <c r="K44" s="11"/>
      <c r="L44" s="11"/>
      <c r="M44" s="11"/>
      <c r="N44" s="11"/>
    </row>
    <row r="45" spans="1:14" x14ac:dyDescent="0.3">
      <c r="A45" s="4" t="s">
        <v>4</v>
      </c>
      <c r="B45" s="7"/>
      <c r="G45" s="11"/>
      <c r="H45" s="11"/>
      <c r="I45" s="11"/>
      <c r="J45" s="11"/>
      <c r="K45" s="11"/>
      <c r="L45" s="11"/>
      <c r="M45" s="11"/>
      <c r="N45" s="11"/>
    </row>
    <row r="46" spans="1:14" x14ac:dyDescent="0.3">
      <c r="A46" s="7"/>
      <c r="B46" s="2" t="s">
        <v>1</v>
      </c>
      <c r="G46" s="12"/>
      <c r="H46" s="12"/>
      <c r="I46" s="12"/>
      <c r="J46" s="12"/>
      <c r="K46" s="12"/>
      <c r="L46" s="12"/>
      <c r="M46" s="12"/>
      <c r="N46" s="12"/>
    </row>
    <row r="47" spans="1:14" x14ac:dyDescent="0.3">
      <c r="A47" s="7"/>
      <c r="B47" s="2" t="s">
        <v>56</v>
      </c>
      <c r="G47" s="12"/>
      <c r="H47" s="12"/>
      <c r="I47" s="12"/>
      <c r="J47" s="12"/>
      <c r="K47" s="12"/>
      <c r="L47" s="12"/>
      <c r="M47" s="12"/>
      <c r="N47" s="12"/>
    </row>
    <row r="48" spans="1:14" x14ac:dyDescent="0.3">
      <c r="A48" s="7"/>
      <c r="B48" s="2" t="s">
        <v>57</v>
      </c>
      <c r="G48" s="12"/>
      <c r="H48" s="12"/>
      <c r="I48" s="12"/>
      <c r="J48" s="12"/>
      <c r="K48" s="12"/>
      <c r="L48" s="12"/>
      <c r="M48" s="12"/>
      <c r="N48" s="12"/>
    </row>
    <row r="49" spans="1:14" x14ac:dyDescent="0.3">
      <c r="A49" s="7"/>
      <c r="B49" s="2" t="s">
        <v>58</v>
      </c>
      <c r="G49" s="12"/>
      <c r="H49" s="12"/>
      <c r="I49" s="12"/>
      <c r="J49" s="12"/>
      <c r="K49" s="12"/>
      <c r="L49" s="12"/>
      <c r="M49" s="12"/>
      <c r="N49" s="12"/>
    </row>
    <row r="50" spans="1:14" x14ac:dyDescent="0.3">
      <c r="B50" s="2" t="s">
        <v>41</v>
      </c>
      <c r="G50" s="12">
        <f>10448.65</f>
        <v>10448.65</v>
      </c>
      <c r="H50" s="12"/>
      <c r="I50" s="12"/>
      <c r="J50" s="12"/>
      <c r="K50" s="12"/>
      <c r="L50" s="12"/>
      <c r="M50" s="12"/>
      <c r="N50" s="12"/>
    </row>
    <row r="51" spans="1:14" x14ac:dyDescent="0.3">
      <c r="B51" s="2" t="s">
        <v>29</v>
      </c>
      <c r="G51" s="12">
        <f>13799.87-4880.72</f>
        <v>8919.1500000000015</v>
      </c>
      <c r="H51" s="12"/>
      <c r="I51" s="12"/>
      <c r="J51" s="12"/>
      <c r="K51" s="12"/>
      <c r="L51" s="12"/>
      <c r="M51" s="12"/>
      <c r="N51" s="12"/>
    </row>
    <row r="52" spans="1:14" x14ac:dyDescent="0.3">
      <c r="B52" s="2" t="s">
        <v>42</v>
      </c>
      <c r="G52" s="12">
        <f>6090</f>
        <v>6090</v>
      </c>
      <c r="H52" s="12"/>
      <c r="I52" s="12"/>
      <c r="J52" s="12"/>
      <c r="K52" s="12"/>
      <c r="L52" s="12"/>
      <c r="M52" s="12"/>
      <c r="N52" s="12"/>
    </row>
    <row r="53" spans="1:14" x14ac:dyDescent="0.3">
      <c r="B53" s="2" t="s">
        <v>27</v>
      </c>
      <c r="G53" s="12">
        <v>33271.480000000003</v>
      </c>
      <c r="H53" s="12"/>
      <c r="I53" s="12"/>
      <c r="J53" s="12"/>
      <c r="K53" s="12"/>
      <c r="L53" s="12"/>
      <c r="M53" s="12"/>
      <c r="N53" s="12"/>
    </row>
    <row r="54" spans="1:14" x14ac:dyDescent="0.3">
      <c r="B54" s="2" t="s">
        <v>32</v>
      </c>
      <c r="G54" s="12">
        <v>4880.9800000000005</v>
      </c>
      <c r="H54" s="12"/>
      <c r="I54" s="12"/>
      <c r="J54" s="12"/>
      <c r="K54" s="12"/>
      <c r="L54" s="12"/>
      <c r="M54" s="12"/>
      <c r="N54" s="12"/>
    </row>
    <row r="55" spans="1:14" x14ac:dyDescent="0.3">
      <c r="B55" s="2" t="s">
        <v>31</v>
      </c>
      <c r="G55" s="12">
        <f>2571.43+2614.28</f>
        <v>5185.71</v>
      </c>
      <c r="H55" s="12"/>
      <c r="I55" s="12"/>
      <c r="J55" s="12"/>
      <c r="K55" s="12"/>
      <c r="L55" s="12"/>
      <c r="M55" s="12"/>
      <c r="N55" s="12"/>
    </row>
    <row r="56" spans="1:14" x14ac:dyDescent="0.3">
      <c r="B56" s="2" t="s">
        <v>33</v>
      </c>
      <c r="G56" s="12">
        <f>H90</f>
        <v>100000</v>
      </c>
      <c r="H56" s="12"/>
      <c r="I56" s="12"/>
      <c r="J56" s="12"/>
      <c r="K56" s="12"/>
      <c r="L56" s="12"/>
      <c r="M56" s="12"/>
      <c r="N56" s="12"/>
    </row>
    <row r="57" spans="1:14" x14ac:dyDescent="0.3">
      <c r="B57" s="2" t="s">
        <v>30</v>
      </c>
      <c r="G57" s="12">
        <v>637.47</v>
      </c>
      <c r="H57" s="12"/>
      <c r="I57" s="12"/>
      <c r="J57" s="12"/>
      <c r="K57" s="12"/>
      <c r="L57" s="12"/>
      <c r="M57" s="12"/>
      <c r="N57" s="12"/>
    </row>
    <row r="58" spans="1:14" x14ac:dyDescent="0.3">
      <c r="B58" s="2" t="s">
        <v>6</v>
      </c>
      <c r="G58" s="20"/>
      <c r="H58" s="20">
        <v>0</v>
      </c>
      <c r="I58" s="20"/>
      <c r="J58" s="20"/>
      <c r="K58" s="20"/>
      <c r="L58" s="20"/>
      <c r="M58" s="20"/>
      <c r="N58" s="20"/>
    </row>
    <row r="59" spans="1:14" hidden="1" x14ac:dyDescent="0.3">
      <c r="B59" s="2" t="s">
        <v>10</v>
      </c>
      <c r="G59" s="20"/>
      <c r="H59" s="20"/>
      <c r="I59" s="20"/>
      <c r="J59" s="20"/>
      <c r="K59" s="20"/>
      <c r="L59" s="20"/>
      <c r="M59" s="20"/>
      <c r="N59" s="20"/>
    </row>
    <row r="60" spans="1:14" x14ac:dyDescent="0.3">
      <c r="B60" s="2" t="s">
        <v>74</v>
      </c>
      <c r="G60" s="20"/>
      <c r="H60" s="20"/>
      <c r="I60" s="20">
        <f>240000+90000</f>
        <v>330000</v>
      </c>
      <c r="J60" s="20"/>
      <c r="K60" s="20"/>
      <c r="L60" s="20"/>
      <c r="M60" s="20"/>
      <c r="N60" s="20"/>
    </row>
    <row r="61" spans="1:14" hidden="1" x14ac:dyDescent="0.3">
      <c r="B61" s="2" t="s">
        <v>20</v>
      </c>
      <c r="G61" s="20"/>
      <c r="H61" s="20"/>
      <c r="I61" s="20"/>
      <c r="J61" s="20"/>
      <c r="K61" s="20"/>
      <c r="L61" s="20"/>
      <c r="M61" s="20"/>
      <c r="N61" s="20"/>
    </row>
    <row r="62" spans="1:14" hidden="1" x14ac:dyDescent="0.3">
      <c r="B62" s="2" t="s">
        <v>20</v>
      </c>
      <c r="G62" s="20"/>
      <c r="H62" s="20"/>
      <c r="I62" s="20"/>
      <c r="J62" s="20"/>
      <c r="K62" s="20"/>
      <c r="L62" s="20"/>
      <c r="M62" s="20"/>
      <c r="N62" s="20"/>
    </row>
    <row r="63" spans="1:14" x14ac:dyDescent="0.3">
      <c r="B63" s="1" t="s">
        <v>11</v>
      </c>
      <c r="G63" s="43">
        <f t="shared" ref="G63:N63" si="9">SUM(G46:G62)</f>
        <v>169433.44000000003</v>
      </c>
      <c r="H63" s="43">
        <f t="shared" si="9"/>
        <v>0</v>
      </c>
      <c r="I63" s="43">
        <f t="shared" si="9"/>
        <v>330000</v>
      </c>
      <c r="J63" s="43">
        <f t="shared" si="9"/>
        <v>0</v>
      </c>
      <c r="K63" s="43">
        <f t="shared" si="9"/>
        <v>0</v>
      </c>
      <c r="L63" s="43">
        <f t="shared" si="9"/>
        <v>0</v>
      </c>
      <c r="M63" s="43">
        <f t="shared" si="9"/>
        <v>0</v>
      </c>
      <c r="N63" s="43">
        <f t="shared" si="9"/>
        <v>0</v>
      </c>
    </row>
    <row r="64" spans="1:14" x14ac:dyDescent="0.3">
      <c r="G64" s="11"/>
      <c r="H64" s="11"/>
      <c r="I64" s="11"/>
      <c r="J64" s="11"/>
      <c r="K64" s="11"/>
      <c r="L64" s="11"/>
      <c r="M64" s="11"/>
      <c r="N64" s="11"/>
    </row>
    <row r="65" spans="1:14" x14ac:dyDescent="0.3">
      <c r="A65" s="4" t="s">
        <v>5</v>
      </c>
      <c r="B65" s="7"/>
      <c r="G65" s="11"/>
      <c r="H65" s="11"/>
      <c r="I65" s="11"/>
      <c r="J65" s="11"/>
      <c r="K65" s="11"/>
      <c r="L65" s="11"/>
      <c r="M65" s="11"/>
      <c r="N65" s="11"/>
    </row>
    <row r="66" spans="1:14" x14ac:dyDescent="0.3">
      <c r="B66" s="2" t="s">
        <v>2</v>
      </c>
      <c r="G66" s="12"/>
      <c r="H66" s="12"/>
      <c r="I66" s="12"/>
      <c r="J66" s="12"/>
      <c r="K66" s="12"/>
      <c r="L66" s="12"/>
      <c r="M66" s="12"/>
      <c r="N66" s="12"/>
    </row>
    <row r="67" spans="1:14" hidden="1" x14ac:dyDescent="0.3">
      <c r="B67" s="2" t="s">
        <v>17</v>
      </c>
      <c r="G67" s="12"/>
      <c r="H67" s="12"/>
      <c r="I67" s="12"/>
      <c r="J67" s="12"/>
      <c r="K67" s="12"/>
      <c r="L67" s="12"/>
      <c r="M67" s="12"/>
      <c r="N67" s="12"/>
    </row>
    <row r="68" spans="1:14" hidden="1" x14ac:dyDescent="0.3">
      <c r="B68" s="2" t="s">
        <v>18</v>
      </c>
      <c r="G68" s="12"/>
      <c r="H68" s="12"/>
      <c r="I68" s="12"/>
      <c r="J68" s="12"/>
      <c r="K68" s="12"/>
      <c r="L68" s="12"/>
      <c r="M68" s="12"/>
      <c r="N68" s="12"/>
    </row>
    <row r="69" spans="1:14" x14ac:dyDescent="0.3">
      <c r="B69" s="2" t="s">
        <v>8</v>
      </c>
      <c r="G69" s="12">
        <v>88677</v>
      </c>
      <c r="H69" s="12"/>
      <c r="I69" s="12"/>
      <c r="J69" s="12"/>
      <c r="K69" s="12"/>
      <c r="L69" s="12"/>
      <c r="M69" s="12"/>
      <c r="N69" s="12"/>
    </row>
    <row r="70" spans="1:14" x14ac:dyDescent="0.3">
      <c r="B70" s="2" t="s">
        <v>21</v>
      </c>
      <c r="G70" s="12">
        <v>3242</v>
      </c>
      <c r="H70" s="12"/>
      <c r="I70" s="12"/>
      <c r="J70" s="12"/>
      <c r="K70" s="12"/>
      <c r="L70" s="12"/>
      <c r="M70" s="12"/>
      <c r="N70" s="12"/>
    </row>
    <row r="71" spans="1:14" hidden="1" x14ac:dyDescent="0.3">
      <c r="B71" s="2" t="s">
        <v>19</v>
      </c>
      <c r="G71" s="12"/>
      <c r="H71" s="12"/>
      <c r="I71" s="12"/>
      <c r="J71" s="12"/>
      <c r="K71" s="12"/>
      <c r="L71" s="12"/>
      <c r="M71" s="12"/>
      <c r="N71" s="12"/>
    </row>
    <row r="72" spans="1:14" x14ac:dyDescent="0.3">
      <c r="B72" s="2" t="s">
        <v>7</v>
      </c>
      <c r="G72" s="12"/>
      <c r="H72" s="20">
        <v>4500</v>
      </c>
      <c r="I72" s="12"/>
      <c r="J72" s="12"/>
      <c r="K72" s="12"/>
      <c r="L72" s="12"/>
      <c r="M72" s="12"/>
      <c r="N72" s="12"/>
    </row>
    <row r="73" spans="1:14" hidden="1" x14ac:dyDescent="0.3">
      <c r="B73" s="2" t="s">
        <v>9</v>
      </c>
      <c r="G73" s="12"/>
      <c r="H73" s="12"/>
      <c r="I73" s="12"/>
      <c r="J73" s="12"/>
      <c r="K73" s="12"/>
      <c r="L73" s="12"/>
      <c r="M73" s="12"/>
      <c r="N73" s="12"/>
    </row>
    <row r="74" spans="1:14" x14ac:dyDescent="0.3">
      <c r="B74" s="2" t="s">
        <v>28</v>
      </c>
      <c r="G74" s="12"/>
      <c r="H74" s="12"/>
      <c r="I74" s="12"/>
      <c r="J74" s="12"/>
      <c r="K74" s="12"/>
      <c r="L74" s="12"/>
      <c r="M74" s="12"/>
      <c r="N74" s="12"/>
    </row>
    <row r="75" spans="1:14" x14ac:dyDescent="0.3">
      <c r="B75" s="2" t="s">
        <v>34</v>
      </c>
      <c r="G75" s="12">
        <v>6072</v>
      </c>
      <c r="H75" s="12"/>
      <c r="I75" s="12"/>
      <c r="J75" s="12"/>
      <c r="K75" s="12"/>
      <c r="L75" s="12"/>
      <c r="M75" s="12"/>
      <c r="N75" s="12"/>
    </row>
    <row r="76" spans="1:14" x14ac:dyDescent="0.3">
      <c r="B76" s="2" t="s">
        <v>59</v>
      </c>
      <c r="G76" s="12"/>
      <c r="H76" s="12"/>
      <c r="I76" s="12"/>
      <c r="J76" s="12"/>
      <c r="K76" s="12"/>
      <c r="L76" s="12"/>
      <c r="M76" s="12"/>
      <c r="N76" s="12"/>
    </row>
    <row r="77" spans="1:14" x14ac:dyDescent="0.3">
      <c r="B77" s="2" t="s">
        <v>40</v>
      </c>
      <c r="G77" s="20">
        <v>2</v>
      </c>
      <c r="H77" s="20"/>
      <c r="I77" s="20"/>
      <c r="J77" s="20"/>
      <c r="K77" s="20"/>
      <c r="L77" s="20"/>
      <c r="M77" s="20"/>
      <c r="N77" s="20"/>
    </row>
    <row r="78" spans="1:14" x14ac:dyDescent="0.3">
      <c r="B78" s="1" t="s">
        <v>12</v>
      </c>
      <c r="G78" s="21">
        <f>SUM(G66:G77)</f>
        <v>97993</v>
      </c>
      <c r="H78" s="21">
        <f t="shared" ref="H78:J78" si="10">SUM(H66:H77)</f>
        <v>4500</v>
      </c>
      <c r="I78" s="21">
        <f t="shared" si="10"/>
        <v>0</v>
      </c>
      <c r="J78" s="21">
        <f t="shared" si="10"/>
        <v>0</v>
      </c>
      <c r="K78" s="21">
        <f>SUM(K66:K77)</f>
        <v>0</v>
      </c>
      <c r="L78" s="21">
        <f t="shared" ref="L78" si="11">SUM(L66:L77)</f>
        <v>0</v>
      </c>
      <c r="M78" s="21">
        <f>SUM(M66:M77)</f>
        <v>0</v>
      </c>
      <c r="N78" s="21">
        <f>SUM(N66:N77)</f>
        <v>0</v>
      </c>
    </row>
    <row r="79" spans="1:14" x14ac:dyDescent="0.3">
      <c r="G79" s="11"/>
      <c r="H79" s="11"/>
      <c r="I79" s="11"/>
      <c r="J79" s="11"/>
      <c r="K79" s="11"/>
      <c r="L79" s="11"/>
      <c r="M79" s="11"/>
      <c r="N79" s="11"/>
    </row>
    <row r="80" spans="1:14" ht="15.75" thickBot="1" x14ac:dyDescent="0.35">
      <c r="A80" s="1" t="s">
        <v>22</v>
      </c>
      <c r="G80" s="22">
        <f t="shared" ref="G80:N80" si="12">G43+G63-G78</f>
        <v>473297.44000000006</v>
      </c>
      <c r="H80" s="22">
        <f t="shared" si="12"/>
        <v>1195500</v>
      </c>
      <c r="I80" s="22">
        <f t="shared" si="12"/>
        <v>415000</v>
      </c>
      <c r="J80" s="22">
        <f t="shared" si="12"/>
        <v>0</v>
      </c>
      <c r="K80" s="22">
        <f t="shared" si="12"/>
        <v>0</v>
      </c>
      <c r="L80" s="22">
        <f t="shared" si="12"/>
        <v>0</v>
      </c>
      <c r="M80" s="22">
        <f t="shared" si="12"/>
        <v>0</v>
      </c>
      <c r="N80" s="22">
        <f t="shared" si="12"/>
        <v>0</v>
      </c>
    </row>
    <row r="81" spans="1:14" ht="15.75" thickTop="1" x14ac:dyDescent="0.3">
      <c r="G81" s="11"/>
      <c r="H81" s="11"/>
      <c r="I81" s="11"/>
      <c r="J81" s="11"/>
      <c r="K81" s="11"/>
      <c r="L81" s="11"/>
      <c r="M81" s="11"/>
      <c r="N81" s="11"/>
    </row>
    <row r="82" spans="1:14" x14ac:dyDescent="0.3">
      <c r="G82" s="11"/>
      <c r="H82" s="11"/>
      <c r="I82" s="11"/>
      <c r="J82" s="11"/>
      <c r="K82" s="11"/>
      <c r="L82" s="11"/>
      <c r="M82" s="11"/>
      <c r="N82" s="11"/>
    </row>
    <row r="83" spans="1:14" x14ac:dyDescent="0.3">
      <c r="A83" s="30" t="s">
        <v>71</v>
      </c>
      <c r="G83" s="11"/>
      <c r="H83" s="11"/>
      <c r="I83" s="11"/>
      <c r="J83" s="11"/>
      <c r="K83" s="11"/>
      <c r="L83" s="11"/>
      <c r="M83" s="11"/>
      <c r="N83" s="11"/>
    </row>
    <row r="84" spans="1:14" x14ac:dyDescent="0.3">
      <c r="A84" s="2" t="s">
        <v>61</v>
      </c>
      <c r="D84" s="2" t="s">
        <v>62</v>
      </c>
      <c r="E84" s="34" t="s">
        <v>63</v>
      </c>
      <c r="G84" s="11"/>
      <c r="H84" s="36">
        <f>IF(E84="Yes",H80*0.25,H80*0.3)</f>
        <v>298875</v>
      </c>
      <c r="I84" s="11"/>
      <c r="J84" s="11"/>
      <c r="K84" s="11"/>
      <c r="L84" s="11"/>
      <c r="M84" s="11"/>
      <c r="N84" s="11"/>
    </row>
    <row r="85" spans="1:14" x14ac:dyDescent="0.3">
      <c r="A85" s="1"/>
      <c r="B85" s="2" t="s">
        <v>66</v>
      </c>
      <c r="G85" s="11"/>
      <c r="H85" s="12">
        <v>0</v>
      </c>
      <c r="I85" s="11"/>
      <c r="J85" s="11"/>
      <c r="K85" s="11"/>
      <c r="L85" s="11"/>
      <c r="M85" s="11"/>
      <c r="N85" s="11"/>
    </row>
    <row r="86" spans="1:14" x14ac:dyDescent="0.3">
      <c r="A86" s="1"/>
      <c r="B86" s="2" t="s">
        <v>60</v>
      </c>
      <c r="G86" s="29"/>
      <c r="H86" s="26">
        <v>0</v>
      </c>
      <c r="I86" s="29"/>
      <c r="J86" s="29"/>
      <c r="K86" s="29"/>
      <c r="L86" s="29"/>
      <c r="M86" s="29"/>
      <c r="N86" s="29"/>
    </row>
    <row r="87" spans="1:14" s="1" customFormat="1" x14ac:dyDescent="0.3">
      <c r="B87" s="1" t="s">
        <v>90</v>
      </c>
      <c r="G87" s="44"/>
      <c r="H87" s="44">
        <f t="shared" ref="H87" si="13">H84-H85-H86</f>
        <v>298875</v>
      </c>
      <c r="I87" s="44"/>
      <c r="J87" s="44"/>
      <c r="K87" s="44"/>
      <c r="L87" s="44"/>
      <c r="M87" s="44"/>
      <c r="N87" s="44"/>
    </row>
    <row r="88" spans="1:14" x14ac:dyDescent="0.3">
      <c r="A88" s="1"/>
      <c r="G88" s="11"/>
      <c r="I88" s="11"/>
      <c r="J88" s="11"/>
      <c r="K88" s="11"/>
      <c r="L88" s="11"/>
      <c r="M88" s="11"/>
      <c r="N88" s="11"/>
    </row>
    <row r="89" spans="1:14" x14ac:dyDescent="0.3">
      <c r="A89" s="2" t="s">
        <v>67</v>
      </c>
      <c r="G89" s="11"/>
      <c r="H89" s="11">
        <v>300000</v>
      </c>
      <c r="I89" s="11"/>
      <c r="J89" s="11"/>
      <c r="K89" s="11"/>
      <c r="L89" s="11"/>
      <c r="M89" s="11"/>
      <c r="N89" s="11"/>
    </row>
    <row r="90" spans="1:14" x14ac:dyDescent="0.3">
      <c r="A90" s="2" t="s">
        <v>68</v>
      </c>
      <c r="G90" s="11"/>
      <c r="H90" s="11">
        <f>H89/0.75*0.25</f>
        <v>100000</v>
      </c>
      <c r="I90" s="11"/>
      <c r="J90" s="11"/>
      <c r="K90" s="11"/>
      <c r="L90" s="11"/>
      <c r="M90" s="11"/>
      <c r="N90" s="11"/>
    </row>
    <row r="91" spans="1:14" x14ac:dyDescent="0.3">
      <c r="G91" s="11"/>
      <c r="H91" s="11"/>
      <c r="I91" s="11"/>
      <c r="J91" s="11"/>
      <c r="K91" s="11"/>
      <c r="L91" s="11"/>
      <c r="M91" s="11"/>
      <c r="N91" s="11"/>
    </row>
    <row r="92" spans="1:14" x14ac:dyDescent="0.3">
      <c r="G92" s="11"/>
      <c r="H92" s="11"/>
      <c r="I92" s="11"/>
      <c r="J92" s="11"/>
      <c r="K92" s="11"/>
      <c r="L92" s="11"/>
      <c r="M92" s="11"/>
      <c r="N92" s="11"/>
    </row>
    <row r="93" spans="1:14" x14ac:dyDescent="0.3">
      <c r="A93" s="30" t="s">
        <v>70</v>
      </c>
      <c r="G93" s="11"/>
      <c r="H93" s="11"/>
      <c r="I93" s="11"/>
      <c r="J93" s="11"/>
      <c r="K93" s="11"/>
      <c r="L93" s="11"/>
      <c r="M93" s="11"/>
      <c r="N93" s="11"/>
    </row>
    <row r="94" spans="1:14" x14ac:dyDescent="0.3">
      <c r="A94" s="1" t="s">
        <v>69</v>
      </c>
      <c r="G94" s="11"/>
      <c r="H94" s="11"/>
      <c r="I94" s="11"/>
      <c r="J94" s="11"/>
      <c r="K94" s="11"/>
      <c r="L94" s="11"/>
      <c r="M94" s="11"/>
      <c r="N94" s="11"/>
    </row>
    <row r="95" spans="1:14" x14ac:dyDescent="0.3">
      <c r="B95" s="2" t="s">
        <v>53</v>
      </c>
      <c r="C95" s="45">
        <f>240000/(90000+240000)</f>
        <v>0.72727272727272729</v>
      </c>
      <c r="D95" s="37"/>
      <c r="G95" s="11"/>
      <c r="H95" s="11"/>
      <c r="I95" s="12">
        <f>(I80-240000-90000)/2+240000</f>
        <v>282500</v>
      </c>
      <c r="J95" s="11"/>
      <c r="K95" s="11"/>
      <c r="L95" s="11"/>
      <c r="M95" s="11"/>
      <c r="N95" s="11"/>
    </row>
    <row r="96" spans="1:14" x14ac:dyDescent="0.3">
      <c r="B96" s="2" t="s">
        <v>37</v>
      </c>
      <c r="C96" s="45">
        <f>90000/(90000+240000)</f>
        <v>0.27272727272727271</v>
      </c>
      <c r="G96" s="29"/>
      <c r="H96" s="29"/>
      <c r="I96" s="26">
        <f>(I80-240000-90000)/2+90000</f>
        <v>132500</v>
      </c>
      <c r="J96" s="29"/>
      <c r="K96" s="29"/>
      <c r="L96" s="29"/>
      <c r="M96" s="29"/>
      <c r="N96" s="29"/>
    </row>
    <row r="97" spans="1:14" x14ac:dyDescent="0.3">
      <c r="B97" s="2" t="s">
        <v>54</v>
      </c>
      <c r="G97" s="11"/>
      <c r="H97" s="11"/>
      <c r="I97" s="11">
        <f t="shared" ref="I97" si="14">SUM(I95:I96)</f>
        <v>415000</v>
      </c>
      <c r="J97" s="11"/>
      <c r="K97" s="11"/>
      <c r="L97" s="11"/>
      <c r="M97" s="11"/>
      <c r="N97" s="11"/>
    </row>
    <row r="98" spans="1:14" x14ac:dyDescent="0.3">
      <c r="G98" s="11"/>
      <c r="H98" s="11"/>
      <c r="I98" s="11"/>
      <c r="J98" s="11"/>
      <c r="K98" s="11"/>
      <c r="L98" s="11"/>
      <c r="M98" s="11"/>
      <c r="N98" s="11"/>
    </row>
    <row r="99" spans="1:14" x14ac:dyDescent="0.3">
      <c r="G99" s="11"/>
      <c r="H99" s="11"/>
      <c r="I99" s="11"/>
      <c r="J99" s="11"/>
      <c r="K99" s="11"/>
      <c r="L99" s="11"/>
      <c r="M99" s="11"/>
      <c r="N99" s="11"/>
    </row>
    <row r="100" spans="1:14" x14ac:dyDescent="0.3">
      <c r="A100" s="30" t="s">
        <v>72</v>
      </c>
      <c r="G100" s="11"/>
      <c r="H100" s="11"/>
      <c r="I100" s="11"/>
      <c r="J100" s="11"/>
      <c r="K100" s="11"/>
      <c r="L100" s="11"/>
      <c r="M100" s="11"/>
      <c r="N100" s="11"/>
    </row>
    <row r="101" spans="1:14" x14ac:dyDescent="0.3">
      <c r="A101" s="1" t="s">
        <v>46</v>
      </c>
      <c r="G101" s="11"/>
      <c r="H101" s="11"/>
      <c r="I101" s="11"/>
      <c r="J101" s="11"/>
      <c r="K101" s="11"/>
      <c r="L101" s="11"/>
      <c r="M101" s="11"/>
      <c r="N101" s="11"/>
    </row>
    <row r="102" spans="1:14" x14ac:dyDescent="0.3">
      <c r="B102" s="2" t="s">
        <v>35</v>
      </c>
      <c r="G102" s="12">
        <f>K118</f>
        <v>33271.480000000003</v>
      </c>
      <c r="H102" s="11"/>
      <c r="I102" s="11"/>
      <c r="J102" s="11"/>
      <c r="K102" s="11"/>
      <c r="L102" s="11"/>
      <c r="M102" s="11"/>
      <c r="N102" s="11"/>
    </row>
    <row r="103" spans="1:14" x14ac:dyDescent="0.3">
      <c r="B103" s="2" t="s">
        <v>36</v>
      </c>
      <c r="G103" s="12">
        <f>K119</f>
        <v>224483.03999999998</v>
      </c>
      <c r="H103" s="11"/>
      <c r="I103" s="11"/>
      <c r="J103" s="11"/>
      <c r="K103" s="11"/>
      <c r="L103" s="11"/>
      <c r="M103" s="11"/>
      <c r="N103" s="11"/>
    </row>
    <row r="104" spans="1:14" x14ac:dyDescent="0.3">
      <c r="B104" s="2" t="s">
        <v>117</v>
      </c>
      <c r="G104" s="26">
        <f>K120</f>
        <v>215542.91999999998</v>
      </c>
      <c r="H104" s="29"/>
      <c r="I104" s="29"/>
      <c r="J104" s="29"/>
      <c r="K104" s="29"/>
      <c r="L104" s="29"/>
      <c r="M104" s="29"/>
      <c r="N104" s="29"/>
    </row>
    <row r="105" spans="1:14" x14ac:dyDescent="0.3">
      <c r="B105" s="2" t="s">
        <v>55</v>
      </c>
      <c r="G105" s="44">
        <f>SUM(G102:G104)</f>
        <v>473297.43999999994</v>
      </c>
      <c r="H105" s="11"/>
      <c r="I105" s="11"/>
      <c r="J105" s="11"/>
      <c r="K105" s="11"/>
      <c r="L105" s="11"/>
      <c r="M105" s="11"/>
      <c r="N105" s="11"/>
    </row>
    <row r="106" spans="1:14" x14ac:dyDescent="0.3">
      <c r="G106" s="11"/>
      <c r="H106" s="11"/>
      <c r="I106" s="11"/>
      <c r="J106" s="11"/>
      <c r="K106" s="11"/>
    </row>
    <row r="107" spans="1:14" x14ac:dyDescent="0.3">
      <c r="A107" s="2" t="s">
        <v>64</v>
      </c>
      <c r="G107" s="35">
        <f>G80-G105</f>
        <v>0</v>
      </c>
    </row>
    <row r="108" spans="1:14" x14ac:dyDescent="0.3">
      <c r="A108" s="2" t="s">
        <v>65</v>
      </c>
      <c r="G108" s="37">
        <f>G107*0.47</f>
        <v>0</v>
      </c>
    </row>
    <row r="114" spans="1:18" x14ac:dyDescent="0.3">
      <c r="A114" s="30" t="s">
        <v>121</v>
      </c>
    </row>
    <row r="116" spans="1:18" x14ac:dyDescent="0.3">
      <c r="A116" s="4" t="s">
        <v>122</v>
      </c>
      <c r="B116" s="7"/>
    </row>
    <row r="117" spans="1:18" ht="30" x14ac:dyDescent="0.3">
      <c r="C117" s="10"/>
      <c r="D117" s="23" t="s">
        <v>38</v>
      </c>
      <c r="G117" s="13" t="s">
        <v>23</v>
      </c>
      <c r="H117" s="13" t="s">
        <v>39</v>
      </c>
      <c r="I117" s="13" t="s">
        <v>43</v>
      </c>
      <c r="J117" s="13" t="s">
        <v>26</v>
      </c>
      <c r="K117" s="18" t="s">
        <v>16</v>
      </c>
      <c r="L117" s="13" t="s">
        <v>25</v>
      </c>
      <c r="M117" s="13" t="s">
        <v>14</v>
      </c>
      <c r="N117" s="13" t="s">
        <v>15</v>
      </c>
    </row>
    <row r="118" spans="1:18" x14ac:dyDescent="0.3">
      <c r="B118" s="2" t="s">
        <v>35</v>
      </c>
      <c r="D118" s="27" t="s">
        <v>120</v>
      </c>
      <c r="G118" s="39"/>
      <c r="H118" s="36">
        <f>G53</f>
        <v>33271.480000000003</v>
      </c>
      <c r="I118" s="36"/>
      <c r="J118" s="36"/>
      <c r="K118" s="14">
        <f>SUM(G118:J118)</f>
        <v>33271.480000000003</v>
      </c>
      <c r="L118" s="39"/>
      <c r="M118" s="39"/>
      <c r="N118" s="36"/>
    </row>
    <row r="119" spans="1:18" x14ac:dyDescent="0.3">
      <c r="B119" s="2" t="s">
        <v>36</v>
      </c>
      <c r="D119" s="27" t="s">
        <v>124</v>
      </c>
      <c r="G119" s="39">
        <f>(SUM(G51,G54:G56)+300000+12100)*0.5-1</f>
        <v>215541.91999999998</v>
      </c>
      <c r="H119" s="39"/>
      <c r="I119" s="39">
        <f>+G52+G57</f>
        <v>6727.47</v>
      </c>
      <c r="J119" s="36">
        <f>G50+20-8255</f>
        <v>2213.6499999999996</v>
      </c>
      <c r="K119" s="14">
        <f>SUM(G119:J119)</f>
        <v>224483.03999999998</v>
      </c>
      <c r="L119" s="39" cm="1">
        <f t="array" ref="L119">SUM(G54:G56*0.5)</f>
        <v>55033.345000000001</v>
      </c>
      <c r="M119" s="39">
        <f>G57</f>
        <v>637.47</v>
      </c>
      <c r="N119" s="36"/>
    </row>
    <row r="120" spans="1:18" x14ac:dyDescent="0.3">
      <c r="B120" s="2" t="s">
        <v>117</v>
      </c>
      <c r="D120" s="27" t="s">
        <v>123</v>
      </c>
      <c r="G120" s="39">
        <f>(SUM(G51,G54:G56)+300000+12100)*0.5</f>
        <v>215542.91999999998</v>
      </c>
      <c r="H120" s="39"/>
      <c r="I120" s="39"/>
      <c r="J120" s="36"/>
      <c r="K120" s="14">
        <f>SUM(G120:J120)</f>
        <v>215542.91999999998</v>
      </c>
      <c r="L120" s="39">
        <f>SUM(G54:G56)*0.5</f>
        <v>55033.345000000001</v>
      </c>
      <c r="M120" s="39"/>
      <c r="N120" s="36"/>
    </row>
    <row r="121" spans="1:18" hidden="1" x14ac:dyDescent="0.3">
      <c r="B121" s="2" t="s">
        <v>24</v>
      </c>
      <c r="D121" s="24"/>
      <c r="G121" s="16"/>
      <c r="H121" s="16"/>
      <c r="I121" s="28"/>
      <c r="J121" s="12"/>
      <c r="K121" s="15">
        <f>SUM(G121:J121)</f>
        <v>0</v>
      </c>
      <c r="L121" s="16"/>
      <c r="M121" s="16"/>
      <c r="N121" s="12"/>
    </row>
    <row r="122" spans="1:18" ht="15.75" thickBot="1" x14ac:dyDescent="0.35">
      <c r="B122" s="1" t="s">
        <v>13</v>
      </c>
      <c r="D122" s="24"/>
      <c r="G122" s="46">
        <f t="shared" ref="G122:N122" si="15">SUM(G118:G121)</f>
        <v>431084.83999999997</v>
      </c>
      <c r="H122" s="46">
        <f t="shared" si="15"/>
        <v>33271.480000000003</v>
      </c>
      <c r="I122" s="46"/>
      <c r="J122" s="46">
        <f t="shared" si="15"/>
        <v>2213.6499999999996</v>
      </c>
      <c r="K122" s="46">
        <f t="shared" si="15"/>
        <v>473297.43999999994</v>
      </c>
      <c r="L122" s="46">
        <f>SUM(L118:L121)</f>
        <v>110066.69</v>
      </c>
      <c r="M122" s="46">
        <f t="shared" si="15"/>
        <v>637.47</v>
      </c>
      <c r="N122" s="46">
        <f t="shared" si="15"/>
        <v>0</v>
      </c>
    </row>
    <row r="123" spans="1:18" ht="15.75" thickTop="1" x14ac:dyDescent="0.3">
      <c r="D123" s="25"/>
      <c r="I123" s="11"/>
      <c r="K123" s="11"/>
      <c r="L123" s="11"/>
      <c r="N123" s="11"/>
      <c r="O123" s="11"/>
      <c r="Q123" s="11"/>
      <c r="R123" s="11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Group Tax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 Nuggets Academy</dc:creator>
  <cp:lastModifiedBy>Anh La</cp:lastModifiedBy>
  <dcterms:created xsi:type="dcterms:W3CDTF">2023-03-07T00:18:39Z</dcterms:created>
  <dcterms:modified xsi:type="dcterms:W3CDTF">2023-06-14T06:09:45Z</dcterms:modified>
</cp:coreProperties>
</file>